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San Joaquin/Second Model Iteration/"/>
    </mc:Choice>
  </mc:AlternateContent>
  <xr:revisionPtr revIDLastSave="4" documentId="8_{8F2EDF86-F424-44E2-9F49-6548ACDEAE2A}" xr6:coauthVersionLast="47" xr6:coauthVersionMax="47" xr10:uidLastSave="{79EACC5A-B8FB-4783-B5D0-570EA4330A5D}"/>
  <bookViews>
    <workbookView xWindow="-110" yWindow="-110" windowWidth="19420" windowHeight="10420" firstSheet="1" activeTab="7" xr2:uid="{09308C05-D6F0-454F-9123-E8B0F97862D3}"/>
  </bookViews>
  <sheets>
    <sheet name="UserInput" sheetId="1" r:id="rId1"/>
    <sheet name="Template Portfolio" sheetId="18" r:id="rId2"/>
    <sheet name="State Policy Aligned Portfolio" sheetId="20" r:id="rId3"/>
    <sheet name="Maximum Portfolio" sheetId="19" state="hidden" r:id="rId4"/>
    <sheet name="Current Projects Portfolio" sheetId="17" state="hidden" r:id="rId5"/>
    <sheet name="Sheet1" sheetId="21" r:id="rId6"/>
    <sheet name="Sheet2" sheetId="22" r:id="rId7"/>
    <sheet name="UserMade_Scenario" sheetId="16" r:id="rId8"/>
    <sheet name="Predev_Scenarios" sheetId="11" r:id="rId9"/>
    <sheet name="Electricity" sheetId="2" r:id="rId10"/>
    <sheet name="Hydrogen" sheetId="3" r:id="rId11"/>
    <sheet name="Biogas" sheetId="9" r:id="rId12"/>
    <sheet name="RenewableJetFuel" sheetId="10" r:id="rId13"/>
    <sheet name="CarbonCapture" sheetId="12" r:id="rId14"/>
    <sheet name="Assumptions" sheetId="7" r:id="rId15"/>
    <sheet name="GREET3.0" sheetId="13" r:id="rId16"/>
    <sheet name="Constraints" sheetId="8" r:id="rId17"/>
  </sheets>
  <definedNames>
    <definedName name="_xlnm._FilterDatabase" localSheetId="11" hidden="1">Biogas!$O$2:$AA$99</definedName>
    <definedName name="_xlnm._FilterDatabase" localSheetId="15" hidden="1">GREET3.0!$A$2:$C$173</definedName>
    <definedName name="_xlnm._FilterDatabase" localSheetId="10" hidden="1">Hydrogen!$Y$2:$AT$212</definedName>
    <definedName name="_xlnm._FilterDatabase" localSheetId="7" hidden="1">UserMade_Scenario!$A$1:$AR$1009</definedName>
  </definedNames>
  <calcPr calcId="191028"/>
  <pivotCaches>
    <pivotCache cacheId="0" r:id="rId18"/>
    <pivotCache cacheId="1" r:id="rId19"/>
    <pivotCache cacheId="2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2" i="9" l="1"/>
  <c r="AV30" i="9"/>
  <c r="AN8" i="9"/>
  <c r="AP3" i="16" l="1"/>
  <c r="AQ3" i="16" s="1"/>
  <c r="AP4" i="16"/>
  <c r="AP5" i="16"/>
  <c r="AP6" i="16"/>
  <c r="AQ6" i="16" s="1"/>
  <c r="AP7" i="16"/>
  <c r="AQ7" i="16" s="1"/>
  <c r="AP8" i="16"/>
  <c r="AP9" i="16"/>
  <c r="AQ9" i="16" s="1"/>
  <c r="AP10" i="16"/>
  <c r="AP11" i="16"/>
  <c r="AP12" i="16"/>
  <c r="AP13" i="16"/>
  <c r="AP14" i="16"/>
  <c r="AQ14" i="16" s="1"/>
  <c r="AP15" i="16"/>
  <c r="AP16" i="16"/>
  <c r="AP17" i="16"/>
  <c r="AP18" i="16"/>
  <c r="AP19" i="16"/>
  <c r="AQ19" i="16" s="1"/>
  <c r="AP20" i="16"/>
  <c r="AP21" i="16"/>
  <c r="AP22" i="16"/>
  <c r="AP23" i="16"/>
  <c r="AP24" i="16"/>
  <c r="AP25" i="16"/>
  <c r="AP26" i="16"/>
  <c r="AP27" i="16"/>
  <c r="AQ27" i="16" s="1"/>
  <c r="AP28" i="16"/>
  <c r="AP29" i="16"/>
  <c r="AP30" i="16"/>
  <c r="AQ30" i="16" s="1"/>
  <c r="AP31" i="16"/>
  <c r="AP32" i="16"/>
  <c r="AP33" i="16"/>
  <c r="AQ33" i="16" s="1"/>
  <c r="AP34" i="16"/>
  <c r="AP35" i="16"/>
  <c r="AP36" i="16"/>
  <c r="AP37" i="16"/>
  <c r="AP38" i="16"/>
  <c r="AP39" i="16"/>
  <c r="AP40" i="16"/>
  <c r="AP41" i="16"/>
  <c r="AQ41" i="16" s="1"/>
  <c r="AP42" i="16"/>
  <c r="AP43" i="16"/>
  <c r="AQ43" i="16" s="1"/>
  <c r="AP149" i="16"/>
  <c r="AP150" i="16"/>
  <c r="AP151" i="16"/>
  <c r="AP152" i="16"/>
  <c r="AP153" i="16"/>
  <c r="AP154" i="16"/>
  <c r="AP155" i="16"/>
  <c r="AP156" i="16"/>
  <c r="AP157" i="16"/>
  <c r="AP158" i="16"/>
  <c r="AP159" i="16"/>
  <c r="AP160" i="16"/>
  <c r="AP161" i="16"/>
  <c r="AP162" i="16"/>
  <c r="AP163" i="16"/>
  <c r="AP164" i="16"/>
  <c r="AQ164" i="16" s="1"/>
  <c r="AP165" i="16"/>
  <c r="AP166" i="16"/>
  <c r="AP167" i="16"/>
  <c r="AP168" i="16"/>
  <c r="AP169" i="16"/>
  <c r="AP170" i="16"/>
  <c r="AP171" i="16"/>
  <c r="AP172" i="16"/>
  <c r="AQ172" i="16" s="1"/>
  <c r="AP173" i="16"/>
  <c r="AP174" i="16"/>
  <c r="AP175" i="16"/>
  <c r="AQ175" i="16" s="1"/>
  <c r="AP176" i="16"/>
  <c r="AP177" i="16"/>
  <c r="AP178" i="16"/>
  <c r="AP179" i="16"/>
  <c r="AP180" i="16"/>
  <c r="AP181" i="16"/>
  <c r="AP182" i="16"/>
  <c r="AP183" i="16"/>
  <c r="AP184" i="16"/>
  <c r="AP185" i="16"/>
  <c r="AP186" i="16"/>
  <c r="AP187" i="16"/>
  <c r="AP188" i="16"/>
  <c r="AQ188" i="16" s="1"/>
  <c r="AP189" i="16"/>
  <c r="AP190" i="16"/>
  <c r="AP191" i="16"/>
  <c r="AP192" i="16"/>
  <c r="AP193" i="16"/>
  <c r="AP194" i="16"/>
  <c r="AP195" i="16"/>
  <c r="AP196" i="16"/>
  <c r="AP197" i="16"/>
  <c r="AP198" i="16"/>
  <c r="AP199" i="16"/>
  <c r="AP200" i="16"/>
  <c r="AP201" i="16"/>
  <c r="AP202" i="16"/>
  <c r="AP203" i="16"/>
  <c r="AP204" i="16"/>
  <c r="AQ204" i="16" s="1"/>
  <c r="AP205" i="16"/>
  <c r="AP206" i="16"/>
  <c r="AP207" i="16"/>
  <c r="AQ207" i="16" s="1"/>
  <c r="AP208" i="16"/>
  <c r="AP209" i="16"/>
  <c r="AP210" i="16"/>
  <c r="AP211" i="16"/>
  <c r="AP212" i="16"/>
  <c r="AP213" i="16"/>
  <c r="AP214" i="16"/>
  <c r="AP215" i="16"/>
  <c r="AP216" i="16"/>
  <c r="AP217" i="16"/>
  <c r="AP218" i="16"/>
  <c r="AP219" i="16"/>
  <c r="AP220" i="16"/>
  <c r="AQ220" i="16" s="1"/>
  <c r="AP221" i="16"/>
  <c r="AP222" i="16"/>
  <c r="AP223" i="16"/>
  <c r="AQ223" i="16" s="1"/>
  <c r="AP224" i="16"/>
  <c r="AP225" i="16"/>
  <c r="AP226" i="16"/>
  <c r="AP227" i="16"/>
  <c r="AP228" i="16"/>
  <c r="AP229" i="16"/>
  <c r="AP230" i="16"/>
  <c r="AP231" i="16"/>
  <c r="AP232" i="16"/>
  <c r="AP254" i="16"/>
  <c r="AP255" i="16"/>
  <c r="AQ255" i="16" s="1"/>
  <c r="AP256" i="16"/>
  <c r="AP257" i="16"/>
  <c r="AQ257" i="16" s="1"/>
  <c r="AP258" i="16"/>
  <c r="AP259" i="16"/>
  <c r="AP260" i="16"/>
  <c r="AQ260" i="16" s="1"/>
  <c r="AP261" i="16"/>
  <c r="AP262" i="16"/>
  <c r="AP263" i="16"/>
  <c r="AQ263" i="16" s="1"/>
  <c r="AP264" i="16"/>
  <c r="AP265" i="16"/>
  <c r="AQ265" i="16" s="1"/>
  <c r="AP266" i="16"/>
  <c r="AP267" i="16"/>
  <c r="AP268" i="16"/>
  <c r="AQ268" i="16" s="1"/>
  <c r="AP269" i="16"/>
  <c r="AP270" i="16"/>
  <c r="AP271" i="16"/>
  <c r="AQ271" i="16" s="1"/>
  <c r="AP272" i="16"/>
  <c r="AP273" i="16"/>
  <c r="AQ273" i="16" s="1"/>
  <c r="AP274" i="16"/>
  <c r="AP275" i="16"/>
  <c r="AP276" i="16"/>
  <c r="AQ276" i="16" s="1"/>
  <c r="AP277" i="16"/>
  <c r="AQ277" i="16" s="1"/>
  <c r="AP278" i="16"/>
  <c r="AP279" i="16"/>
  <c r="AQ279" i="16" s="1"/>
  <c r="AP280" i="16"/>
  <c r="AP281" i="16"/>
  <c r="AQ281" i="16" s="1"/>
  <c r="AP282" i="16"/>
  <c r="AP283" i="16"/>
  <c r="AP284" i="16"/>
  <c r="AQ284" i="16" s="1"/>
  <c r="AP285" i="16"/>
  <c r="AP286" i="16"/>
  <c r="AP287" i="16"/>
  <c r="AQ287" i="16" s="1"/>
  <c r="AP288" i="16"/>
  <c r="AP289" i="16"/>
  <c r="AQ289" i="16" s="1"/>
  <c r="AP290" i="16"/>
  <c r="AP291" i="16"/>
  <c r="AP292" i="16"/>
  <c r="AQ292" i="16" s="1"/>
  <c r="AP293" i="16"/>
  <c r="AP294" i="16"/>
  <c r="AP295" i="16"/>
  <c r="AP401" i="16"/>
  <c r="AP402" i="16"/>
  <c r="AP403" i="16"/>
  <c r="AP404" i="16"/>
  <c r="AP405" i="16"/>
  <c r="AQ405" i="16" s="1"/>
  <c r="AP406" i="16"/>
  <c r="AP407" i="16"/>
  <c r="AP408" i="16"/>
  <c r="AP409" i="16"/>
  <c r="AP410" i="16"/>
  <c r="AP411" i="16"/>
  <c r="AQ411" i="16" s="1"/>
  <c r="AP412" i="16"/>
  <c r="AP413" i="16"/>
  <c r="AQ413" i="16" s="1"/>
  <c r="AP414" i="16"/>
  <c r="AP415" i="16"/>
  <c r="AP416" i="16"/>
  <c r="AP417" i="16"/>
  <c r="AP418" i="16"/>
  <c r="AP419" i="16"/>
  <c r="AP420" i="16"/>
  <c r="AP421" i="16"/>
  <c r="AQ421" i="16" s="1"/>
  <c r="AP422" i="16"/>
  <c r="AP423" i="16"/>
  <c r="AP424" i="16"/>
  <c r="AP425" i="16"/>
  <c r="AP426" i="16"/>
  <c r="AP427" i="16"/>
  <c r="AP428" i="16"/>
  <c r="AP429" i="16"/>
  <c r="AQ429" i="16" s="1"/>
  <c r="AP430" i="16"/>
  <c r="AP431" i="16"/>
  <c r="AP432" i="16"/>
  <c r="AP433" i="16"/>
  <c r="AP434" i="16"/>
  <c r="AP435" i="16"/>
  <c r="AP436" i="16"/>
  <c r="AP437" i="16"/>
  <c r="AQ437" i="16" s="1"/>
  <c r="AP438" i="16"/>
  <c r="AP439" i="16"/>
  <c r="AP440" i="16"/>
  <c r="AP441" i="16"/>
  <c r="AP442" i="16"/>
  <c r="AP443" i="16"/>
  <c r="AP444" i="16"/>
  <c r="AP445" i="16"/>
  <c r="AQ445" i="16" s="1"/>
  <c r="AP446" i="16"/>
  <c r="AP447" i="16"/>
  <c r="AP448" i="16"/>
  <c r="AP449" i="16"/>
  <c r="AP450" i="16"/>
  <c r="AP451" i="16"/>
  <c r="AP452" i="16"/>
  <c r="AP453" i="16"/>
  <c r="AQ453" i="16" s="1"/>
  <c r="AP454" i="16"/>
  <c r="AP455" i="16"/>
  <c r="AP456" i="16"/>
  <c r="AP457" i="16"/>
  <c r="AP458" i="16"/>
  <c r="AP459" i="16"/>
  <c r="AP460" i="16"/>
  <c r="AP461" i="16"/>
  <c r="AQ461" i="16" s="1"/>
  <c r="AP462" i="16"/>
  <c r="AP463" i="16"/>
  <c r="AP464" i="16"/>
  <c r="AP465" i="16"/>
  <c r="AP466" i="16"/>
  <c r="AP467" i="16"/>
  <c r="AQ467" i="16" s="1"/>
  <c r="AP468" i="16"/>
  <c r="AP469" i="16"/>
  <c r="AQ469" i="16" s="1"/>
  <c r="AP470" i="16"/>
  <c r="AP471" i="16"/>
  <c r="AP472" i="16"/>
  <c r="AP473" i="16"/>
  <c r="AP474" i="16"/>
  <c r="AP475" i="16"/>
  <c r="AQ475" i="16" s="1"/>
  <c r="AP476" i="16"/>
  <c r="AP477" i="16"/>
  <c r="AQ477" i="16" s="1"/>
  <c r="AP478" i="16"/>
  <c r="AP479" i="16"/>
  <c r="AP480" i="16"/>
  <c r="AP481" i="16"/>
  <c r="AP482" i="16"/>
  <c r="AP483" i="16"/>
  <c r="AP484" i="16"/>
  <c r="AP506" i="16"/>
  <c r="AP507" i="16"/>
  <c r="AP508" i="16"/>
  <c r="AP509" i="16"/>
  <c r="AQ509" i="16" s="1"/>
  <c r="AP510" i="16"/>
  <c r="AP511" i="16"/>
  <c r="AQ511" i="16" s="1"/>
  <c r="AP512" i="16"/>
  <c r="AP513" i="16"/>
  <c r="AP514" i="16"/>
  <c r="AP515" i="16"/>
  <c r="AP516" i="16"/>
  <c r="AP517" i="16"/>
  <c r="AQ517" i="16" s="1"/>
  <c r="AP518" i="16"/>
  <c r="AP519" i="16"/>
  <c r="AQ519" i="16" s="1"/>
  <c r="AP520" i="16"/>
  <c r="AP521" i="16"/>
  <c r="AP522" i="16"/>
  <c r="AP523" i="16"/>
  <c r="AP524" i="16"/>
  <c r="AP525" i="16"/>
  <c r="AQ525" i="16" s="1"/>
  <c r="AP526" i="16"/>
  <c r="AP527" i="16"/>
  <c r="AQ527" i="16" s="1"/>
  <c r="AP528" i="16"/>
  <c r="AP529" i="16"/>
  <c r="AP530" i="16"/>
  <c r="AP531" i="16"/>
  <c r="AP532" i="16"/>
  <c r="AP533" i="16"/>
  <c r="AQ533" i="16" s="1"/>
  <c r="AP534" i="16"/>
  <c r="AP535" i="16"/>
  <c r="AQ535" i="16" s="1"/>
  <c r="AP536" i="16"/>
  <c r="AP537" i="16"/>
  <c r="AP538" i="16"/>
  <c r="AP539" i="16"/>
  <c r="AP540" i="16"/>
  <c r="AP541" i="16"/>
  <c r="AQ541" i="16" s="1"/>
  <c r="AP542" i="16"/>
  <c r="AP543" i="16"/>
  <c r="AQ543" i="16" s="1"/>
  <c r="AP544" i="16"/>
  <c r="AP545" i="16"/>
  <c r="AP546" i="16"/>
  <c r="AP547" i="16"/>
  <c r="AP653" i="16"/>
  <c r="AP654" i="16"/>
  <c r="AP655" i="16"/>
  <c r="AP656" i="16"/>
  <c r="AP657" i="16"/>
  <c r="AP658" i="16"/>
  <c r="AP659" i="16"/>
  <c r="AQ659" i="16" s="1"/>
  <c r="AP660" i="16"/>
  <c r="AP661" i="16"/>
  <c r="AP662" i="16"/>
  <c r="AQ662" i="16" s="1"/>
  <c r="AP663" i="16"/>
  <c r="AP664" i="16"/>
  <c r="AQ664" i="16" s="1"/>
  <c r="AP665" i="16"/>
  <c r="AP666" i="16"/>
  <c r="AP667" i="16"/>
  <c r="AQ667" i="16" s="1"/>
  <c r="AP668" i="16"/>
  <c r="AP669" i="16"/>
  <c r="AP670" i="16"/>
  <c r="AQ670" i="16" s="1"/>
  <c r="AP671" i="16"/>
  <c r="AP672" i="16"/>
  <c r="AQ672" i="16" s="1"/>
  <c r="AP673" i="16"/>
  <c r="AP674" i="16"/>
  <c r="AP675" i="16"/>
  <c r="AQ675" i="16" s="1"/>
  <c r="AP676" i="16"/>
  <c r="AP677" i="16"/>
  <c r="AP678" i="16"/>
  <c r="AQ678" i="16" s="1"/>
  <c r="AP679" i="16"/>
  <c r="AP680" i="16"/>
  <c r="AQ680" i="16" s="1"/>
  <c r="AP681" i="16"/>
  <c r="AP682" i="16"/>
  <c r="AP683" i="16"/>
  <c r="AQ683" i="16" s="1"/>
  <c r="AP684" i="16"/>
  <c r="AP685" i="16"/>
  <c r="AP686" i="16"/>
  <c r="AP687" i="16"/>
  <c r="AP688" i="16"/>
  <c r="AP689" i="16"/>
  <c r="AQ689" i="16" s="1"/>
  <c r="AP690" i="16"/>
  <c r="AP691" i="16"/>
  <c r="AQ691" i="16" s="1"/>
  <c r="AP692" i="16"/>
  <c r="AP693" i="16"/>
  <c r="AP694" i="16"/>
  <c r="AQ694" i="16" s="1"/>
  <c r="AP695" i="16"/>
  <c r="AP696" i="16"/>
  <c r="AP697" i="16"/>
  <c r="AQ697" i="16" s="1"/>
  <c r="AP698" i="16"/>
  <c r="AP699" i="16"/>
  <c r="AQ699" i="16" s="1"/>
  <c r="AP700" i="16"/>
  <c r="AP701" i="16"/>
  <c r="AP702" i="16"/>
  <c r="AQ702" i="16" s="1"/>
  <c r="AP703" i="16"/>
  <c r="AP704" i="16"/>
  <c r="AP705" i="16"/>
  <c r="AP706" i="16"/>
  <c r="AP707" i="16"/>
  <c r="AQ707" i="16" s="1"/>
  <c r="AP708" i="16"/>
  <c r="AP709" i="16"/>
  <c r="AP710" i="16"/>
  <c r="AQ710" i="16" s="1"/>
  <c r="AP711" i="16"/>
  <c r="AP712" i="16"/>
  <c r="AP713" i="16"/>
  <c r="AP714" i="16"/>
  <c r="AP715" i="16"/>
  <c r="AQ715" i="16" s="1"/>
  <c r="AP716" i="16"/>
  <c r="AP717" i="16"/>
  <c r="AP718" i="16"/>
  <c r="AP719" i="16"/>
  <c r="AP720" i="16"/>
  <c r="AP721" i="16"/>
  <c r="AP722" i="16"/>
  <c r="AP723" i="16"/>
  <c r="AQ723" i="16" s="1"/>
  <c r="AP724" i="16"/>
  <c r="AP725" i="16"/>
  <c r="AP726" i="16"/>
  <c r="AQ726" i="16" s="1"/>
  <c r="AP727" i="16"/>
  <c r="AP728" i="16"/>
  <c r="AP729" i="16"/>
  <c r="AQ729" i="16" s="1"/>
  <c r="AP730" i="16"/>
  <c r="AP731" i="16"/>
  <c r="AQ731" i="16" s="1"/>
  <c r="AP732" i="16"/>
  <c r="AP733" i="16"/>
  <c r="AP734" i="16"/>
  <c r="AQ734" i="16" s="1"/>
  <c r="AP735" i="16"/>
  <c r="AP736" i="16"/>
  <c r="AP758" i="16"/>
  <c r="AP759" i="16"/>
  <c r="AP760" i="16"/>
  <c r="AP761" i="16"/>
  <c r="AP762" i="16"/>
  <c r="AP763" i="16"/>
  <c r="AQ763" i="16" s="1"/>
  <c r="AP764" i="16"/>
  <c r="AP765" i="16"/>
  <c r="AQ765" i="16" s="1"/>
  <c r="AP766" i="16"/>
  <c r="AP767" i="16"/>
  <c r="AP768" i="16"/>
  <c r="AP769" i="16"/>
  <c r="AP770" i="16"/>
  <c r="AP771" i="16"/>
  <c r="AP772" i="16"/>
  <c r="AP773" i="16"/>
  <c r="AQ773" i="16" s="1"/>
  <c r="AP774" i="16"/>
  <c r="AP775" i="16"/>
  <c r="AP776" i="16"/>
  <c r="AP777" i="16"/>
  <c r="AP778" i="16"/>
  <c r="AP779" i="16"/>
  <c r="AQ779" i="16" s="1"/>
  <c r="AP780" i="16"/>
  <c r="AP781" i="16"/>
  <c r="AQ781" i="16" s="1"/>
  <c r="AP782" i="16"/>
  <c r="AP783" i="16"/>
  <c r="AP784" i="16"/>
  <c r="AP785" i="16"/>
  <c r="AP786" i="16"/>
  <c r="AP787" i="16"/>
  <c r="AQ787" i="16" s="1"/>
  <c r="AP788" i="16"/>
  <c r="AP789" i="16"/>
  <c r="AQ789" i="16" s="1"/>
  <c r="AP790" i="16"/>
  <c r="AQ790" i="16" s="1"/>
  <c r="AP791" i="16"/>
  <c r="AP792" i="16"/>
  <c r="AP793" i="16"/>
  <c r="AP794" i="16"/>
  <c r="AP795" i="16"/>
  <c r="AQ795" i="16" s="1"/>
  <c r="AP796" i="16"/>
  <c r="AP797" i="16"/>
  <c r="AQ797" i="16" s="1"/>
  <c r="AP798" i="16"/>
  <c r="AP799" i="16"/>
  <c r="AP905" i="16"/>
  <c r="AQ905" i="16" s="1"/>
  <c r="AP906" i="16"/>
  <c r="AP907" i="16"/>
  <c r="AP908" i="16"/>
  <c r="AP909" i="16"/>
  <c r="AP910" i="16"/>
  <c r="AQ910" i="16" s="1"/>
  <c r="AP911" i="16"/>
  <c r="AP912" i="16"/>
  <c r="AP913" i="16"/>
  <c r="AQ913" i="16" s="1"/>
  <c r="AP914" i="16"/>
  <c r="AP915" i="16"/>
  <c r="AP916" i="16"/>
  <c r="AQ916" i="16" s="1"/>
  <c r="AP917" i="16"/>
  <c r="AP918" i="16"/>
  <c r="AQ918" i="16" s="1"/>
  <c r="AP919" i="16"/>
  <c r="AP920" i="16"/>
  <c r="AP921" i="16"/>
  <c r="AQ921" i="16" s="1"/>
  <c r="AP922" i="16"/>
  <c r="AP923" i="16"/>
  <c r="AP924" i="16"/>
  <c r="AQ924" i="16" s="1"/>
  <c r="AP925" i="16"/>
  <c r="AP926" i="16"/>
  <c r="AQ926" i="16" s="1"/>
  <c r="AP927" i="16"/>
  <c r="AP928" i="16"/>
  <c r="AP929" i="16"/>
  <c r="AQ929" i="16" s="1"/>
  <c r="AP930" i="16"/>
  <c r="AP931" i="16"/>
  <c r="AP932" i="16"/>
  <c r="AQ932" i="16" s="1"/>
  <c r="AP933" i="16"/>
  <c r="AP934" i="16"/>
  <c r="AQ934" i="16" s="1"/>
  <c r="AP935" i="16"/>
  <c r="AP936" i="16"/>
  <c r="AP937" i="16"/>
  <c r="AQ937" i="16" s="1"/>
  <c r="AP938" i="16"/>
  <c r="AP939" i="16"/>
  <c r="AP940" i="16"/>
  <c r="AQ940" i="16" s="1"/>
  <c r="AP941" i="16"/>
  <c r="AP942" i="16"/>
  <c r="AQ942" i="16" s="1"/>
  <c r="AP943" i="16"/>
  <c r="AP944" i="16"/>
  <c r="AP945" i="16"/>
  <c r="AQ945" i="16" s="1"/>
  <c r="AP946" i="16"/>
  <c r="AP947" i="16"/>
  <c r="AP948" i="16"/>
  <c r="AP949" i="16"/>
  <c r="AP950" i="16"/>
  <c r="AQ950" i="16" s="1"/>
  <c r="W950" i="16" s="1"/>
  <c r="AP951" i="16"/>
  <c r="AP952" i="16"/>
  <c r="AP953" i="16"/>
  <c r="AQ953" i="16" s="1"/>
  <c r="AP954" i="16"/>
  <c r="AP955" i="16"/>
  <c r="AP956" i="16"/>
  <c r="AQ956" i="16" s="1"/>
  <c r="AP957" i="16"/>
  <c r="AP958" i="16"/>
  <c r="AQ958" i="16" s="1"/>
  <c r="AP959" i="16"/>
  <c r="AP960" i="16"/>
  <c r="AP961" i="16"/>
  <c r="AQ961" i="16" s="1"/>
  <c r="AP962" i="16"/>
  <c r="AP963" i="16"/>
  <c r="AP964" i="16"/>
  <c r="AQ964" i="16" s="1"/>
  <c r="AP965" i="16"/>
  <c r="AP966" i="16"/>
  <c r="AQ966" i="16" s="1"/>
  <c r="AP967" i="16"/>
  <c r="AP968" i="16"/>
  <c r="AP969" i="16"/>
  <c r="AQ969" i="16" s="1"/>
  <c r="AP970" i="16"/>
  <c r="AP971" i="16"/>
  <c r="AP972" i="16"/>
  <c r="AP973" i="16"/>
  <c r="AP974" i="16"/>
  <c r="AQ974" i="16" s="1"/>
  <c r="AP975" i="16"/>
  <c r="AP976" i="16"/>
  <c r="AP977" i="16"/>
  <c r="AQ977" i="16" s="1"/>
  <c r="AP978" i="16"/>
  <c r="AP979" i="16"/>
  <c r="AP980" i="16"/>
  <c r="AQ980" i="16" s="1"/>
  <c r="AP981" i="16"/>
  <c r="AP982" i="16"/>
  <c r="AQ982" i="16" s="1"/>
  <c r="AP983" i="16"/>
  <c r="AP984" i="16"/>
  <c r="AP985" i="16"/>
  <c r="AQ985" i="16" s="1"/>
  <c r="AP986" i="16"/>
  <c r="AP987" i="16"/>
  <c r="AP988" i="16"/>
  <c r="AQ988" i="16" s="1"/>
  <c r="AP2" i="16"/>
  <c r="AQ5" i="16"/>
  <c r="AQ13" i="16"/>
  <c r="AQ21" i="16"/>
  <c r="AQ29" i="16"/>
  <c r="AQ37" i="16"/>
  <c r="AQ150" i="16"/>
  <c r="AQ158" i="16"/>
  <c r="AQ166" i="16"/>
  <c r="AQ174" i="16"/>
  <c r="AQ182" i="16"/>
  <c r="AQ190" i="16"/>
  <c r="AQ191" i="16"/>
  <c r="AQ198" i="16"/>
  <c r="AQ206" i="16"/>
  <c r="AQ214" i="16"/>
  <c r="AQ222" i="16"/>
  <c r="AQ230" i="16"/>
  <c r="AQ259" i="16"/>
  <c r="AQ267" i="16"/>
  <c r="AQ275" i="16"/>
  <c r="AQ283" i="16"/>
  <c r="AQ291" i="16"/>
  <c r="AQ404" i="16"/>
  <c r="AQ412" i="16"/>
  <c r="AQ420" i="16"/>
  <c r="AQ428" i="16"/>
  <c r="AQ436" i="16"/>
  <c r="AQ444" i="16"/>
  <c r="AQ452" i="16"/>
  <c r="AQ460" i="16"/>
  <c r="AQ468" i="16"/>
  <c r="AQ476" i="16"/>
  <c r="AQ484" i="16"/>
  <c r="AQ513" i="16"/>
  <c r="AQ521" i="16"/>
  <c r="AQ529" i="16"/>
  <c r="AQ537" i="16"/>
  <c r="AQ545" i="16"/>
  <c r="AQ759" i="16"/>
  <c r="AQ767" i="16"/>
  <c r="AQ775" i="16"/>
  <c r="AQ783" i="16"/>
  <c r="AQ791" i="16"/>
  <c r="AQ799" i="16"/>
  <c r="D166" i="7"/>
  <c r="C166" i="7"/>
  <c r="D165" i="7"/>
  <c r="C165" i="7"/>
  <c r="AQ967" i="16" l="1"/>
  <c r="AR927" i="16"/>
  <c r="AR908" i="16"/>
  <c r="X908" i="16" s="1"/>
  <c r="AR771" i="16"/>
  <c r="AR295" i="16"/>
  <c r="X295" i="16" s="1"/>
  <c r="AR271" i="16"/>
  <c r="X271" i="16" s="1"/>
  <c r="AR423" i="16"/>
  <c r="X423" i="16" s="1"/>
  <c r="AQ295" i="16"/>
  <c r="W295" i="16" s="1"/>
  <c r="AQ972" i="16"/>
  <c r="W972" i="16" s="1"/>
  <c r="AQ908" i="16"/>
  <c r="AQ25" i="16"/>
  <c r="AR985" i="16"/>
  <c r="AR977" i="16"/>
  <c r="X977" i="16" s="1"/>
  <c r="AR969" i="16"/>
  <c r="X969" i="16" s="1"/>
  <c r="AR945" i="16"/>
  <c r="X945" i="16" s="1"/>
  <c r="AR937" i="16"/>
  <c r="X937" i="16" s="1"/>
  <c r="AR921" i="16"/>
  <c r="AR913" i="16"/>
  <c r="AR905" i="16"/>
  <c r="AR959" i="16"/>
  <c r="AR916" i="16"/>
  <c r="X916" i="16" s="1"/>
  <c r="AR779" i="16"/>
  <c r="X779" i="16" s="1"/>
  <c r="AR694" i="16"/>
  <c r="X694" i="16" s="1"/>
  <c r="AR662" i="16"/>
  <c r="X662" i="16" s="1"/>
  <c r="AR279" i="16"/>
  <c r="AQ654" i="16"/>
  <c r="AQ725" i="16"/>
  <c r="W725" i="16" s="1"/>
  <c r="AR471" i="16"/>
  <c r="X471" i="16" s="1"/>
  <c r="AQ948" i="16"/>
  <c r="W948" i="16" s="1"/>
  <c r="AQ718" i="16"/>
  <c r="W718" i="16" s="1"/>
  <c r="AR775" i="16"/>
  <c r="X775" i="16" s="1"/>
  <c r="AR767" i="16"/>
  <c r="X767" i="16" s="1"/>
  <c r="AR759" i="16"/>
  <c r="AR975" i="16"/>
  <c r="AQ935" i="16"/>
  <c r="W935" i="16" s="1"/>
  <c r="AR911" i="16"/>
  <c r="AQ758" i="16"/>
  <c r="W758" i="16" s="1"/>
  <c r="AQ721" i="16"/>
  <c r="W721" i="16" s="1"/>
  <c r="AR713" i="16"/>
  <c r="X713" i="16" s="1"/>
  <c r="AR705" i="16"/>
  <c r="X705" i="16" s="1"/>
  <c r="AR689" i="16"/>
  <c r="AQ681" i="16"/>
  <c r="AR673" i="16"/>
  <c r="AR665" i="16"/>
  <c r="AQ657" i="16"/>
  <c r="W657" i="16" s="1"/>
  <c r="AQ459" i="16"/>
  <c r="W459" i="16" s="1"/>
  <c r="AQ451" i="16"/>
  <c r="W451" i="16" s="1"/>
  <c r="AQ435" i="16"/>
  <c r="W435" i="16" s="1"/>
  <c r="AQ419" i="16"/>
  <c r="W419" i="16" s="1"/>
  <c r="AQ403" i="16"/>
  <c r="AQ798" i="16"/>
  <c r="W798" i="16" s="1"/>
  <c r="AQ686" i="16"/>
  <c r="AQ443" i="16"/>
  <c r="W443" i="16" s="1"/>
  <c r="AQ17" i="16"/>
  <c r="W17" i="16" s="1"/>
  <c r="AR950" i="16"/>
  <c r="X950" i="16" s="1"/>
  <c r="AR934" i="16"/>
  <c r="X934" i="16" s="1"/>
  <c r="AR926" i="16"/>
  <c r="AR918" i="16"/>
  <c r="X918" i="16" s="1"/>
  <c r="AR910" i="16"/>
  <c r="AR797" i="16"/>
  <c r="X797" i="16" s="1"/>
  <c r="AR789" i="16"/>
  <c r="X789" i="16" s="1"/>
  <c r="AR765" i="16"/>
  <c r="X765" i="16" s="1"/>
  <c r="AR543" i="16"/>
  <c r="X543" i="16" s="1"/>
  <c r="AR527" i="16"/>
  <c r="X527" i="16" s="1"/>
  <c r="AR519" i="16"/>
  <c r="AR511" i="16"/>
  <c r="X511" i="16" s="1"/>
  <c r="AQ919" i="16"/>
  <c r="W919" i="16" s="1"/>
  <c r="AR953" i="16"/>
  <c r="X953" i="16" s="1"/>
  <c r="AR783" i="16"/>
  <c r="X783" i="16" s="1"/>
  <c r="AQ983" i="16"/>
  <c r="W983" i="16" s="1"/>
  <c r="AR943" i="16"/>
  <c r="X943" i="16" s="1"/>
  <c r="AR795" i="16"/>
  <c r="X795" i="16" s="1"/>
  <c r="AR763" i="16"/>
  <c r="AR710" i="16"/>
  <c r="AR678" i="16"/>
  <c r="X678" i="16" s="1"/>
  <c r="AR535" i="16"/>
  <c r="X535" i="16" s="1"/>
  <c r="AQ4" i="16"/>
  <c r="W4" i="16" s="1"/>
  <c r="AQ951" i="16"/>
  <c r="W951" i="16" s="1"/>
  <c r="AQ774" i="16"/>
  <c r="W774" i="16" s="1"/>
  <c r="AR924" i="16"/>
  <c r="X924" i="16" s="1"/>
  <c r="AR787" i="16"/>
  <c r="AR734" i="16"/>
  <c r="AR533" i="16"/>
  <c r="X533" i="16" s="1"/>
  <c r="AR287" i="16"/>
  <c r="X287" i="16" s="1"/>
  <c r="AR255" i="16"/>
  <c r="X255" i="16" s="1"/>
  <c r="AR431" i="16"/>
  <c r="X431" i="16" s="1"/>
  <c r="AQ771" i="16"/>
  <c r="W771" i="16" s="1"/>
  <c r="AR793" i="16"/>
  <c r="X793" i="16" s="1"/>
  <c r="AR785" i="16"/>
  <c r="AR777" i="16"/>
  <c r="AR769" i="16"/>
  <c r="X769" i="16" s="1"/>
  <c r="AR761" i="16"/>
  <c r="X761" i="16" s="1"/>
  <c r="AQ724" i="16"/>
  <c r="W724" i="16" s="1"/>
  <c r="AQ708" i="16"/>
  <c r="W708" i="16" s="1"/>
  <c r="AQ692" i="16"/>
  <c r="W692" i="16" s="1"/>
  <c r="AQ668" i="16"/>
  <c r="W668" i="16" s="1"/>
  <c r="AQ523" i="16"/>
  <c r="AQ507" i="16"/>
  <c r="AQ470" i="16"/>
  <c r="W470" i="16" s="1"/>
  <c r="AQ454" i="16"/>
  <c r="W454" i="16" s="1"/>
  <c r="AQ438" i="16"/>
  <c r="W438" i="16" s="1"/>
  <c r="AQ422" i="16"/>
  <c r="W422" i="16" s="1"/>
  <c r="AQ39" i="16"/>
  <c r="W39" i="16" s="1"/>
  <c r="AR263" i="16"/>
  <c r="X263" i="16" s="1"/>
  <c r="W982" i="16"/>
  <c r="W966" i="16"/>
  <c r="W958" i="16"/>
  <c r="X710" i="16"/>
  <c r="AQ785" i="16"/>
  <c r="W785" i="16" s="1"/>
  <c r="AQ711" i="16"/>
  <c r="W711" i="16" s="1"/>
  <c r="AQ695" i="16"/>
  <c r="W695" i="16" s="1"/>
  <c r="AQ679" i="16"/>
  <c r="W679" i="16" s="1"/>
  <c r="AQ663" i="16"/>
  <c r="W663" i="16" s="1"/>
  <c r="AQ542" i="16"/>
  <c r="W542" i="16" s="1"/>
  <c r="AR542" i="16"/>
  <c r="X542" i="16" s="1"/>
  <c r="AQ526" i="16"/>
  <c r="W526" i="16" s="1"/>
  <c r="AR526" i="16"/>
  <c r="X526" i="16" s="1"/>
  <c r="AQ481" i="16"/>
  <c r="W481" i="16" s="1"/>
  <c r="AR481" i="16"/>
  <c r="X481" i="16" s="1"/>
  <c r="AQ465" i="16"/>
  <c r="W465" i="16" s="1"/>
  <c r="AR465" i="16"/>
  <c r="X465" i="16" s="1"/>
  <c r="AQ433" i="16"/>
  <c r="W433" i="16" s="1"/>
  <c r="AR433" i="16"/>
  <c r="X433" i="16" s="1"/>
  <c r="AR721" i="16"/>
  <c r="X721" i="16" s="1"/>
  <c r="AR657" i="16"/>
  <c r="X657" i="16" s="1"/>
  <c r="AQ965" i="16"/>
  <c r="W965" i="16" s="1"/>
  <c r="AR965" i="16"/>
  <c r="X965" i="16" s="1"/>
  <c r="AQ917" i="16"/>
  <c r="W917" i="16" s="1"/>
  <c r="AR917" i="16"/>
  <c r="X917" i="16" s="1"/>
  <c r="AQ909" i="16"/>
  <c r="W909" i="16" s="1"/>
  <c r="AR909" i="16"/>
  <c r="X909" i="16" s="1"/>
  <c r="AQ788" i="16"/>
  <c r="W788" i="16" s="1"/>
  <c r="AR788" i="16"/>
  <c r="X788" i="16" s="1"/>
  <c r="AQ719" i="16"/>
  <c r="W719" i="16" s="1"/>
  <c r="AQ703" i="16"/>
  <c r="W703" i="16" s="1"/>
  <c r="AQ687" i="16"/>
  <c r="W687" i="16" s="1"/>
  <c r="AQ671" i="16"/>
  <c r="W671" i="16" s="1"/>
  <c r="AQ655" i="16"/>
  <c r="W655" i="16" s="1"/>
  <c r="AQ534" i="16"/>
  <c r="W534" i="16" s="1"/>
  <c r="AR534" i="16"/>
  <c r="X534" i="16" s="1"/>
  <c r="AQ518" i="16"/>
  <c r="W518" i="16" s="1"/>
  <c r="AR518" i="16"/>
  <c r="X518" i="16" s="1"/>
  <c r="AQ510" i="16"/>
  <c r="W510" i="16" s="1"/>
  <c r="AR510" i="16"/>
  <c r="X510" i="16" s="1"/>
  <c r="AQ473" i="16"/>
  <c r="W473" i="16" s="1"/>
  <c r="AR473" i="16"/>
  <c r="X473" i="16" s="1"/>
  <c r="AQ457" i="16"/>
  <c r="W457" i="16" s="1"/>
  <c r="AR457" i="16"/>
  <c r="X457" i="16" s="1"/>
  <c r="AQ449" i="16"/>
  <c r="W449" i="16" s="1"/>
  <c r="AR449" i="16"/>
  <c r="X449" i="16" s="1"/>
  <c r="AQ441" i="16"/>
  <c r="W441" i="16" s="1"/>
  <c r="AR441" i="16"/>
  <c r="X441" i="16" s="1"/>
  <c r="AQ425" i="16"/>
  <c r="W425" i="16" s="1"/>
  <c r="AR425" i="16"/>
  <c r="X425" i="16" s="1"/>
  <c r="AQ417" i="16"/>
  <c r="W417" i="16" s="1"/>
  <c r="AR417" i="16"/>
  <c r="X417" i="16" s="1"/>
  <c r="AQ409" i="16"/>
  <c r="W409" i="16" s="1"/>
  <c r="AR409" i="16"/>
  <c r="X409" i="16" s="1"/>
  <c r="AQ401" i="16"/>
  <c r="W401" i="16" s="1"/>
  <c r="AR401" i="16"/>
  <c r="X401" i="16" s="1"/>
  <c r="AQ288" i="16"/>
  <c r="W288" i="16" s="1"/>
  <c r="AR288" i="16"/>
  <c r="X288" i="16" s="1"/>
  <c r="AQ280" i="16"/>
  <c r="W280" i="16" s="1"/>
  <c r="AR280" i="16"/>
  <c r="X280" i="16" s="1"/>
  <c r="AQ272" i="16"/>
  <c r="W272" i="16" s="1"/>
  <c r="AR272" i="16"/>
  <c r="X272" i="16" s="1"/>
  <c r="AQ264" i="16"/>
  <c r="W264" i="16" s="1"/>
  <c r="AR264" i="16"/>
  <c r="X264" i="16" s="1"/>
  <c r="AQ256" i="16"/>
  <c r="W256" i="16" s="1"/>
  <c r="AR256" i="16"/>
  <c r="X256" i="16" s="1"/>
  <c r="AR227" i="16"/>
  <c r="X227" i="16" s="1"/>
  <c r="AR219" i="16"/>
  <c r="X219" i="16" s="1"/>
  <c r="AR211" i="16"/>
  <c r="X211" i="16" s="1"/>
  <c r="AR203" i="16"/>
  <c r="X203" i="16" s="1"/>
  <c r="AR195" i="16"/>
  <c r="X195" i="16" s="1"/>
  <c r="AR187" i="16"/>
  <c r="X187" i="16" s="1"/>
  <c r="AR179" i="16"/>
  <c r="X179" i="16" s="1"/>
  <c r="AQ171" i="16"/>
  <c r="AQ975" i="16"/>
  <c r="W975" i="16" s="1"/>
  <c r="AQ959" i="16"/>
  <c r="W959" i="16" s="1"/>
  <c r="AQ943" i="16"/>
  <c r="W943" i="16" s="1"/>
  <c r="AQ927" i="16"/>
  <c r="W927" i="16" s="1"/>
  <c r="AQ911" i="16"/>
  <c r="W911" i="16" s="1"/>
  <c r="AQ673" i="16"/>
  <c r="W673" i="16" s="1"/>
  <c r="W988" i="16"/>
  <c r="AR988" i="16"/>
  <c r="X988" i="16" s="1"/>
  <c r="W980" i="16"/>
  <c r="AR980" i="16"/>
  <c r="X980" i="16" s="1"/>
  <c r="AR972" i="16"/>
  <c r="X972" i="16" s="1"/>
  <c r="W964" i="16"/>
  <c r="AR964" i="16"/>
  <c r="X964" i="16" s="1"/>
  <c r="W956" i="16"/>
  <c r="AR956" i="16"/>
  <c r="X956" i="16" s="1"/>
  <c r="AR948" i="16"/>
  <c r="X948" i="16" s="1"/>
  <c r="AR940" i="16"/>
  <c r="X940" i="16" s="1"/>
  <c r="AR932" i="16"/>
  <c r="X932" i="16" s="1"/>
  <c r="W932" i="16"/>
  <c r="AR719" i="16"/>
  <c r="X719" i="16" s="1"/>
  <c r="AR687" i="16"/>
  <c r="X687" i="16" s="1"/>
  <c r="AR655" i="16"/>
  <c r="X655" i="16" s="1"/>
  <c r="AQ981" i="16"/>
  <c r="W981" i="16" s="1"/>
  <c r="AR981" i="16"/>
  <c r="X981" i="16" s="1"/>
  <c r="AQ933" i="16"/>
  <c r="W933" i="16" s="1"/>
  <c r="AR933" i="16"/>
  <c r="X933" i="16" s="1"/>
  <c r="AQ772" i="16"/>
  <c r="W772" i="16" s="1"/>
  <c r="AR772" i="16"/>
  <c r="X772" i="16" s="1"/>
  <c r="AQ971" i="16"/>
  <c r="W971" i="16" s="1"/>
  <c r="AR971" i="16"/>
  <c r="X971" i="16" s="1"/>
  <c r="AQ947" i="16"/>
  <c r="W947" i="16" s="1"/>
  <c r="AR947" i="16"/>
  <c r="X947" i="16" s="1"/>
  <c r="AQ923" i="16"/>
  <c r="W923" i="16" s="1"/>
  <c r="AR923" i="16"/>
  <c r="X923" i="16" s="1"/>
  <c r="AQ794" i="16"/>
  <c r="W794" i="16" s="1"/>
  <c r="AR794" i="16"/>
  <c r="X794" i="16" s="1"/>
  <c r="AQ770" i="16"/>
  <c r="W770" i="16" s="1"/>
  <c r="AR770" i="16"/>
  <c r="X770" i="16" s="1"/>
  <c r="AR725" i="16"/>
  <c r="X725" i="16" s="1"/>
  <c r="AQ701" i="16"/>
  <c r="W701" i="16" s="1"/>
  <c r="AR701" i="16"/>
  <c r="X701" i="16" s="1"/>
  <c r="AQ677" i="16"/>
  <c r="W677" i="16" s="1"/>
  <c r="AR677" i="16"/>
  <c r="X677" i="16" s="1"/>
  <c r="AQ540" i="16"/>
  <c r="W540" i="16" s="1"/>
  <c r="AR540" i="16"/>
  <c r="X540" i="16" s="1"/>
  <c r="AQ508" i="16"/>
  <c r="W508" i="16" s="1"/>
  <c r="AR508" i="16"/>
  <c r="X508" i="16" s="1"/>
  <c r="AQ455" i="16"/>
  <c r="W455" i="16" s="1"/>
  <c r="AQ407" i="16"/>
  <c r="W407" i="16" s="1"/>
  <c r="AR16" i="16"/>
  <c r="X16" i="16" s="1"/>
  <c r="AQ941" i="16"/>
  <c r="W941" i="16" s="1"/>
  <c r="AR941" i="16"/>
  <c r="X941" i="16" s="1"/>
  <c r="AQ764" i="16"/>
  <c r="W764" i="16" s="1"/>
  <c r="AR764" i="16"/>
  <c r="X764" i="16" s="1"/>
  <c r="AQ987" i="16"/>
  <c r="W987" i="16" s="1"/>
  <c r="AR987" i="16"/>
  <c r="X987" i="16" s="1"/>
  <c r="AQ963" i="16"/>
  <c r="W963" i="16" s="1"/>
  <c r="AR963" i="16"/>
  <c r="X963" i="16" s="1"/>
  <c r="AQ939" i="16"/>
  <c r="W939" i="16" s="1"/>
  <c r="AR939" i="16"/>
  <c r="X939" i="16" s="1"/>
  <c r="AQ915" i="16"/>
  <c r="W915" i="16" s="1"/>
  <c r="AR915" i="16"/>
  <c r="X915" i="16" s="1"/>
  <c r="AQ786" i="16"/>
  <c r="W786" i="16" s="1"/>
  <c r="AR786" i="16"/>
  <c r="X786" i="16" s="1"/>
  <c r="AQ762" i="16"/>
  <c r="W762" i="16" s="1"/>
  <c r="AR762" i="16"/>
  <c r="X762" i="16" s="1"/>
  <c r="AQ717" i="16"/>
  <c r="W717" i="16" s="1"/>
  <c r="AR717" i="16"/>
  <c r="X717" i="16" s="1"/>
  <c r="AQ693" i="16"/>
  <c r="W693" i="16" s="1"/>
  <c r="AR693" i="16"/>
  <c r="X693" i="16" s="1"/>
  <c r="AR669" i="16"/>
  <c r="X669" i="16" s="1"/>
  <c r="AQ653" i="16"/>
  <c r="W653" i="16" s="1"/>
  <c r="AR653" i="16"/>
  <c r="X653" i="16" s="1"/>
  <c r="AQ524" i="16"/>
  <c r="W524" i="16" s="1"/>
  <c r="AR524" i="16"/>
  <c r="X524" i="16" s="1"/>
  <c r="AQ479" i="16"/>
  <c r="W479" i="16" s="1"/>
  <c r="AQ463" i="16"/>
  <c r="W463" i="16" s="1"/>
  <c r="AQ439" i="16"/>
  <c r="W439" i="16" s="1"/>
  <c r="AQ415" i="16"/>
  <c r="W415" i="16" s="1"/>
  <c r="AQ278" i="16"/>
  <c r="W278" i="16" s="1"/>
  <c r="AR278" i="16"/>
  <c r="X278" i="16" s="1"/>
  <c r="AR254" i="16"/>
  <c r="X254" i="16" s="1"/>
  <c r="AQ209" i="16"/>
  <c r="W209" i="16" s="1"/>
  <c r="AQ193" i="16"/>
  <c r="W193" i="16" s="1"/>
  <c r="AQ169" i="16"/>
  <c r="W169" i="16" s="1"/>
  <c r="AR40" i="16"/>
  <c r="X40" i="16" s="1"/>
  <c r="AR24" i="16"/>
  <c r="X24" i="16" s="1"/>
  <c r="AR479" i="16"/>
  <c r="X479" i="16" s="1"/>
  <c r="AQ705" i="16"/>
  <c r="W705" i="16" s="1"/>
  <c r="AQ986" i="16"/>
  <c r="W986" i="16" s="1"/>
  <c r="AR986" i="16"/>
  <c r="X986" i="16" s="1"/>
  <c r="AQ978" i="16"/>
  <c r="W978" i="16" s="1"/>
  <c r="AR978" i="16"/>
  <c r="X978" i="16" s="1"/>
  <c r="AQ970" i="16"/>
  <c r="W970" i="16" s="1"/>
  <c r="AR970" i="16"/>
  <c r="X970" i="16" s="1"/>
  <c r="AQ962" i="16"/>
  <c r="W962" i="16" s="1"/>
  <c r="AR962" i="16"/>
  <c r="X962" i="16" s="1"/>
  <c r="AQ954" i="16"/>
  <c r="W954" i="16" s="1"/>
  <c r="AR954" i="16"/>
  <c r="X954" i="16" s="1"/>
  <c r="AQ946" i="16"/>
  <c r="W946" i="16" s="1"/>
  <c r="AR946" i="16"/>
  <c r="X946" i="16" s="1"/>
  <c r="AQ938" i="16"/>
  <c r="W938" i="16" s="1"/>
  <c r="AR938" i="16"/>
  <c r="X938" i="16" s="1"/>
  <c r="AQ930" i="16"/>
  <c r="W930" i="16" s="1"/>
  <c r="AR930" i="16"/>
  <c r="X930" i="16" s="1"/>
  <c r="AQ922" i="16"/>
  <c r="W922" i="16" s="1"/>
  <c r="AR922" i="16"/>
  <c r="X922" i="16" s="1"/>
  <c r="AQ914" i="16"/>
  <c r="W914" i="16" s="1"/>
  <c r="AR914" i="16"/>
  <c r="X914" i="16" s="1"/>
  <c r="AQ906" i="16"/>
  <c r="W906" i="16" s="1"/>
  <c r="AR906" i="16"/>
  <c r="X906" i="16" s="1"/>
  <c r="AQ793" i="16"/>
  <c r="W793" i="16" s="1"/>
  <c r="AR967" i="16"/>
  <c r="X967" i="16" s="1"/>
  <c r="AR935" i="16"/>
  <c r="X935" i="16" s="1"/>
  <c r="AR711" i="16"/>
  <c r="X711" i="16" s="1"/>
  <c r="AR679" i="16"/>
  <c r="X679" i="16" s="1"/>
  <c r="AR407" i="16"/>
  <c r="X407" i="16" s="1"/>
  <c r="AQ431" i="16"/>
  <c r="W431" i="16" s="1"/>
  <c r="AQ294" i="16"/>
  <c r="W294" i="16" s="1"/>
  <c r="AR294" i="16"/>
  <c r="X294" i="16" s="1"/>
  <c r="AQ270" i="16"/>
  <c r="W270" i="16" s="1"/>
  <c r="AR270" i="16"/>
  <c r="X270" i="16" s="1"/>
  <c r="AQ225" i="16"/>
  <c r="W225" i="16" s="1"/>
  <c r="AQ201" i="16"/>
  <c r="W201" i="16" s="1"/>
  <c r="AQ177" i="16"/>
  <c r="W177" i="16" s="1"/>
  <c r="AR681" i="16"/>
  <c r="X681" i="16" s="1"/>
  <c r="AR415" i="16"/>
  <c r="X415" i="16" s="1"/>
  <c r="AQ669" i="16"/>
  <c r="W669" i="16" s="1"/>
  <c r="W985" i="16"/>
  <c r="X985" i="16"/>
  <c r="W977" i="16"/>
  <c r="W969" i="16"/>
  <c r="W961" i="16"/>
  <c r="W953" i="16"/>
  <c r="W945" i="16"/>
  <c r="W937" i="16"/>
  <c r="W929" i="16"/>
  <c r="W921" i="16"/>
  <c r="X921" i="16"/>
  <c r="AR961" i="16"/>
  <c r="X961" i="16" s="1"/>
  <c r="AR929" i="16"/>
  <c r="X929" i="16" s="1"/>
  <c r="AR463" i="16"/>
  <c r="X463" i="16" s="1"/>
  <c r="AQ949" i="16"/>
  <c r="W949" i="16" s="1"/>
  <c r="AR949" i="16"/>
  <c r="X949" i="16" s="1"/>
  <c r="AQ735" i="16"/>
  <c r="W735" i="16" s="1"/>
  <c r="AQ979" i="16"/>
  <c r="W979" i="16" s="1"/>
  <c r="AR979" i="16"/>
  <c r="X979" i="16" s="1"/>
  <c r="AQ955" i="16"/>
  <c r="W955" i="16" s="1"/>
  <c r="AR955" i="16"/>
  <c r="X955" i="16" s="1"/>
  <c r="AQ931" i="16"/>
  <c r="W931" i="16" s="1"/>
  <c r="AR931" i="16"/>
  <c r="X931" i="16" s="1"/>
  <c r="AQ907" i="16"/>
  <c r="W907" i="16" s="1"/>
  <c r="AR907" i="16"/>
  <c r="X907" i="16" s="1"/>
  <c r="AQ778" i="16"/>
  <c r="W778" i="16" s="1"/>
  <c r="AR778" i="16"/>
  <c r="X778" i="16" s="1"/>
  <c r="AQ733" i="16"/>
  <c r="W733" i="16" s="1"/>
  <c r="AR733" i="16"/>
  <c r="X733" i="16" s="1"/>
  <c r="AQ709" i="16"/>
  <c r="W709" i="16" s="1"/>
  <c r="AR709" i="16"/>
  <c r="X709" i="16" s="1"/>
  <c r="AQ685" i="16"/>
  <c r="W685" i="16" s="1"/>
  <c r="AR685" i="16"/>
  <c r="X685" i="16" s="1"/>
  <c r="AQ661" i="16"/>
  <c r="W661" i="16" s="1"/>
  <c r="AR661" i="16"/>
  <c r="X661" i="16" s="1"/>
  <c r="AQ532" i="16"/>
  <c r="W532" i="16" s="1"/>
  <c r="AR532" i="16"/>
  <c r="X532" i="16" s="1"/>
  <c r="AQ516" i="16"/>
  <c r="W516" i="16" s="1"/>
  <c r="AR516" i="16"/>
  <c r="X516" i="16" s="1"/>
  <c r="AQ471" i="16"/>
  <c r="W471" i="16" s="1"/>
  <c r="AQ447" i="16"/>
  <c r="W447" i="16" s="1"/>
  <c r="AQ423" i="16"/>
  <c r="W423" i="16" s="1"/>
  <c r="AQ286" i="16"/>
  <c r="W286" i="16" s="1"/>
  <c r="AR286" i="16"/>
  <c r="X286" i="16" s="1"/>
  <c r="AQ262" i="16"/>
  <c r="W262" i="16" s="1"/>
  <c r="AR262" i="16"/>
  <c r="X262" i="16" s="1"/>
  <c r="AQ217" i="16"/>
  <c r="W217" i="16" s="1"/>
  <c r="AQ185" i="16"/>
  <c r="AQ984" i="16"/>
  <c r="W984" i="16" s="1"/>
  <c r="AR984" i="16"/>
  <c r="X984" i="16" s="1"/>
  <c r="AQ976" i="16"/>
  <c r="W976" i="16" s="1"/>
  <c r="AR976" i="16"/>
  <c r="X976" i="16" s="1"/>
  <c r="AQ968" i="16"/>
  <c r="W968" i="16" s="1"/>
  <c r="AR968" i="16"/>
  <c r="X968" i="16" s="1"/>
  <c r="AQ960" i="16"/>
  <c r="W960" i="16" s="1"/>
  <c r="AR960" i="16"/>
  <c r="X960" i="16" s="1"/>
  <c r="AQ952" i="16"/>
  <c r="W952" i="16" s="1"/>
  <c r="AR952" i="16"/>
  <c r="X952" i="16" s="1"/>
  <c r="AQ944" i="16"/>
  <c r="W944" i="16" s="1"/>
  <c r="AR944" i="16"/>
  <c r="X944" i="16" s="1"/>
  <c r="AQ936" i="16"/>
  <c r="W936" i="16" s="1"/>
  <c r="AR936" i="16"/>
  <c r="X936" i="16" s="1"/>
  <c r="AQ928" i="16"/>
  <c r="W928" i="16" s="1"/>
  <c r="AR928" i="16"/>
  <c r="X928" i="16" s="1"/>
  <c r="AQ920" i="16"/>
  <c r="W920" i="16" s="1"/>
  <c r="AR920" i="16"/>
  <c r="X920" i="16" s="1"/>
  <c r="AQ912" i="16"/>
  <c r="W912" i="16" s="1"/>
  <c r="AR912" i="16"/>
  <c r="X912" i="16" s="1"/>
  <c r="W799" i="16"/>
  <c r="W791" i="16"/>
  <c r="AR799" i="16"/>
  <c r="X799" i="16" s="1"/>
  <c r="AR735" i="16"/>
  <c r="X735" i="16" s="1"/>
  <c r="AR703" i="16"/>
  <c r="X703" i="16" s="1"/>
  <c r="AR671" i="16"/>
  <c r="X671" i="16" s="1"/>
  <c r="AR455" i="16"/>
  <c r="X455" i="16" s="1"/>
  <c r="AQ973" i="16"/>
  <c r="W973" i="16" s="1"/>
  <c r="AR973" i="16"/>
  <c r="X973" i="16" s="1"/>
  <c r="AQ925" i="16"/>
  <c r="W925" i="16" s="1"/>
  <c r="AR925" i="16"/>
  <c r="X925" i="16" s="1"/>
  <c r="AQ796" i="16"/>
  <c r="W796" i="16" s="1"/>
  <c r="AR796" i="16"/>
  <c r="X796" i="16" s="1"/>
  <c r="W967" i="16"/>
  <c r="X911" i="16"/>
  <c r="W790" i="16"/>
  <c r="AR790" i="16"/>
  <c r="X790" i="16" s="1"/>
  <c r="AR774" i="16"/>
  <c r="X774" i="16" s="1"/>
  <c r="AR758" i="16"/>
  <c r="X758" i="16" s="1"/>
  <c r="W689" i="16"/>
  <c r="X689" i="16"/>
  <c r="X673" i="16"/>
  <c r="AQ536" i="16"/>
  <c r="W536" i="16" s="1"/>
  <c r="AR536" i="16"/>
  <c r="X536" i="16" s="1"/>
  <c r="AQ512" i="16"/>
  <c r="W512" i="16" s="1"/>
  <c r="AR512" i="16"/>
  <c r="X512" i="16" s="1"/>
  <c r="W475" i="16"/>
  <c r="AR475" i="16"/>
  <c r="X475" i="16" s="1"/>
  <c r="AR459" i="16"/>
  <c r="X459" i="16" s="1"/>
  <c r="AR443" i="16"/>
  <c r="X443" i="16" s="1"/>
  <c r="AQ290" i="16"/>
  <c r="W290" i="16" s="1"/>
  <c r="AR290" i="16"/>
  <c r="X290" i="16" s="1"/>
  <c r="AQ957" i="16"/>
  <c r="W957" i="16" s="1"/>
  <c r="AR957" i="16"/>
  <c r="X957" i="16" s="1"/>
  <c r="AQ780" i="16"/>
  <c r="W780" i="16" s="1"/>
  <c r="AR780" i="16"/>
  <c r="X780" i="16" s="1"/>
  <c r="X975" i="16"/>
  <c r="X959" i="16"/>
  <c r="X927" i="16"/>
  <c r="AR798" i="16"/>
  <c r="X798" i="16" s="1"/>
  <c r="AR782" i="16"/>
  <c r="X782" i="16" s="1"/>
  <c r="AR766" i="16"/>
  <c r="X766" i="16" s="1"/>
  <c r="W729" i="16"/>
  <c r="W697" i="16"/>
  <c r="W681" i="16"/>
  <c r="X665" i="16"/>
  <c r="AQ544" i="16"/>
  <c r="W544" i="16" s="1"/>
  <c r="AR544" i="16"/>
  <c r="X544" i="16" s="1"/>
  <c r="AQ528" i="16"/>
  <c r="W528" i="16" s="1"/>
  <c r="AR528" i="16"/>
  <c r="X528" i="16" s="1"/>
  <c r="AQ520" i="16"/>
  <c r="W520" i="16" s="1"/>
  <c r="AR520" i="16"/>
  <c r="X520" i="16" s="1"/>
  <c r="AR483" i="16"/>
  <c r="X483" i="16" s="1"/>
  <c r="W467" i="16"/>
  <c r="AR467" i="16"/>
  <c r="X467" i="16" s="1"/>
  <c r="AR451" i="16"/>
  <c r="X451" i="16" s="1"/>
  <c r="AR435" i="16"/>
  <c r="X435" i="16" s="1"/>
  <c r="AR427" i="16"/>
  <c r="X427" i="16" s="1"/>
  <c r="AR419" i="16"/>
  <c r="X419" i="16" s="1"/>
  <c r="W411" i="16"/>
  <c r="AR411" i="16"/>
  <c r="X411" i="16" s="1"/>
  <c r="W403" i="16"/>
  <c r="AR403" i="16"/>
  <c r="X403" i="16" s="1"/>
  <c r="AQ282" i="16"/>
  <c r="W282" i="16" s="1"/>
  <c r="AR282" i="16"/>
  <c r="X282" i="16" s="1"/>
  <c r="AR729" i="16"/>
  <c r="X729" i="16" s="1"/>
  <c r="AR697" i="16"/>
  <c r="X697" i="16" s="1"/>
  <c r="AR447" i="16"/>
  <c r="X447" i="16" s="1"/>
  <c r="AQ782" i="16"/>
  <c r="W782" i="16" s="1"/>
  <c r="AQ766" i="16"/>
  <c r="W766" i="16" s="1"/>
  <c r="AQ727" i="16"/>
  <c r="W727" i="16" s="1"/>
  <c r="AQ713" i="16"/>
  <c r="W713" i="16" s="1"/>
  <c r="AQ665" i="16"/>
  <c r="W665" i="16" s="1"/>
  <c r="AQ483" i="16"/>
  <c r="W483" i="16" s="1"/>
  <c r="AQ427" i="16"/>
  <c r="W427" i="16" s="1"/>
  <c r="AR982" i="16"/>
  <c r="X982" i="16" s="1"/>
  <c r="AR974" i="16"/>
  <c r="X974" i="16" s="1"/>
  <c r="AR966" i="16"/>
  <c r="X966" i="16" s="1"/>
  <c r="AR958" i="16"/>
  <c r="X958" i="16" s="1"/>
  <c r="AR983" i="16"/>
  <c r="X983" i="16" s="1"/>
  <c r="AR951" i="16"/>
  <c r="X951" i="16" s="1"/>
  <c r="AR919" i="16"/>
  <c r="X919" i="16" s="1"/>
  <c r="AR791" i="16"/>
  <c r="X791" i="16" s="1"/>
  <c r="AR727" i="16"/>
  <c r="X727" i="16" s="1"/>
  <c r="AR695" i="16"/>
  <c r="X695" i="16" s="1"/>
  <c r="AR663" i="16"/>
  <c r="X663" i="16" s="1"/>
  <c r="AR439" i="16"/>
  <c r="X439" i="16" s="1"/>
  <c r="W974" i="16"/>
  <c r="W940" i="16"/>
  <c r="AQ777" i="16"/>
  <c r="W777" i="16" s="1"/>
  <c r="AQ769" i="16"/>
  <c r="W769" i="16" s="1"/>
  <c r="AQ761" i="16"/>
  <c r="W761" i="16" s="1"/>
  <c r="AQ732" i="16"/>
  <c r="W732" i="16" s="1"/>
  <c r="AQ716" i="16"/>
  <c r="W716" i="16" s="1"/>
  <c r="AQ700" i="16"/>
  <c r="W700" i="16" s="1"/>
  <c r="AQ684" i="16"/>
  <c r="W684" i="16" s="1"/>
  <c r="AQ676" i="16"/>
  <c r="W676" i="16" s="1"/>
  <c r="AQ660" i="16"/>
  <c r="W660" i="16" s="1"/>
  <c r="AQ547" i="16"/>
  <c r="W547" i="16" s="1"/>
  <c r="AQ539" i="16"/>
  <c r="W539" i="16" s="1"/>
  <c r="AQ531" i="16"/>
  <c r="W531" i="16" s="1"/>
  <c r="W523" i="16"/>
  <c r="AQ515" i="16"/>
  <c r="W515" i="16" s="1"/>
  <c r="W507" i="16"/>
  <c r="AQ478" i="16"/>
  <c r="W478" i="16" s="1"/>
  <c r="AQ462" i="16"/>
  <c r="W462" i="16" s="1"/>
  <c r="AQ446" i="16"/>
  <c r="W446" i="16" s="1"/>
  <c r="AQ430" i="16"/>
  <c r="W430" i="16" s="1"/>
  <c r="AQ414" i="16"/>
  <c r="W414" i="16" s="1"/>
  <c r="AQ406" i="16"/>
  <c r="W406" i="16" s="1"/>
  <c r="AQ293" i="16"/>
  <c r="W293" i="16" s="1"/>
  <c r="AQ285" i="16"/>
  <c r="W285" i="16" s="1"/>
  <c r="W277" i="16"/>
  <c r="AQ269" i="16"/>
  <c r="W269" i="16" s="1"/>
  <c r="AQ261" i="16"/>
  <c r="W261" i="16" s="1"/>
  <c r="AR232" i="16"/>
  <c r="X232" i="16" s="1"/>
  <c r="AR224" i="16"/>
  <c r="X224" i="16" s="1"/>
  <c r="AR208" i="16"/>
  <c r="X208" i="16" s="1"/>
  <c r="AR200" i="16"/>
  <c r="X200" i="16" s="1"/>
  <c r="AR192" i="16"/>
  <c r="X192" i="16" s="1"/>
  <c r="AR176" i="16"/>
  <c r="X176" i="16" s="1"/>
  <c r="AR168" i="16"/>
  <c r="X168" i="16" s="1"/>
  <c r="AR39" i="16"/>
  <c r="X39" i="16" s="1"/>
  <c r="AR31" i="16"/>
  <c r="X31" i="16" s="1"/>
  <c r="AR23" i="16"/>
  <c r="X23" i="16" s="1"/>
  <c r="AR15" i="16"/>
  <c r="X15" i="16" s="1"/>
  <c r="AR7" i="16"/>
  <c r="X7" i="16" s="1"/>
  <c r="AR942" i="16"/>
  <c r="X942" i="16" s="1"/>
  <c r="AR726" i="16"/>
  <c r="X726" i="16" s="1"/>
  <c r="AR718" i="16"/>
  <c r="X718" i="16" s="1"/>
  <c r="AR702" i="16"/>
  <c r="X702" i="16" s="1"/>
  <c r="AR686" i="16"/>
  <c r="X686" i="16" s="1"/>
  <c r="AR670" i="16"/>
  <c r="X670" i="16" s="1"/>
  <c r="AR654" i="16"/>
  <c r="X654" i="16" s="1"/>
  <c r="AR478" i="16"/>
  <c r="X478" i="16" s="1"/>
  <c r="AR470" i="16"/>
  <c r="X470" i="16" s="1"/>
  <c r="AR462" i="16"/>
  <c r="X462" i="16" s="1"/>
  <c r="AR454" i="16"/>
  <c r="X454" i="16" s="1"/>
  <c r="AR446" i="16"/>
  <c r="X446" i="16" s="1"/>
  <c r="AR438" i="16"/>
  <c r="X438" i="16" s="1"/>
  <c r="AR430" i="16"/>
  <c r="X430" i="16" s="1"/>
  <c r="AR422" i="16"/>
  <c r="X422" i="16" s="1"/>
  <c r="AR414" i="16"/>
  <c r="X414" i="16" s="1"/>
  <c r="AR406" i="16"/>
  <c r="X406" i="16" s="1"/>
  <c r="W924" i="16"/>
  <c r="W916" i="16"/>
  <c r="W908" i="16"/>
  <c r="X785" i="16"/>
  <c r="W913" i="16"/>
  <c r="W905" i="16"/>
  <c r="AQ792" i="16"/>
  <c r="W792" i="16" s="1"/>
  <c r="AQ784" i="16"/>
  <c r="W784" i="16" s="1"/>
  <c r="AQ776" i="16"/>
  <c r="W776" i="16" s="1"/>
  <c r="AQ768" i="16"/>
  <c r="W768" i="16" s="1"/>
  <c r="AQ760" i="16"/>
  <c r="W760" i="16" s="1"/>
  <c r="W731" i="16"/>
  <c r="W723" i="16"/>
  <c r="W715" i="16"/>
  <c r="W707" i="16"/>
  <c r="W699" i="16"/>
  <c r="W691" i="16"/>
  <c r="W683" i="16"/>
  <c r="W675" i="16"/>
  <c r="W667" i="16"/>
  <c r="W659" i="16"/>
  <c r="AQ546" i="16"/>
  <c r="W546" i="16" s="1"/>
  <c r="AQ538" i="16"/>
  <c r="W538" i="16" s="1"/>
  <c r="AQ530" i="16"/>
  <c r="W530" i="16" s="1"/>
  <c r="AQ522" i="16"/>
  <c r="W522" i="16" s="1"/>
  <c r="AQ514" i="16"/>
  <c r="W514" i="16" s="1"/>
  <c r="AQ506" i="16"/>
  <c r="W506" i="16" s="1"/>
  <c r="W477" i="16"/>
  <c r="W469" i="16"/>
  <c r="W461" i="16"/>
  <c r="W453" i="16"/>
  <c r="W445" i="16"/>
  <c r="W437" i="16"/>
  <c r="W429" i="16"/>
  <c r="W421" i="16"/>
  <c r="W413" i="16"/>
  <c r="W405" i="16"/>
  <c r="W292" i="16"/>
  <c r="W284" i="16"/>
  <c r="W276" i="16"/>
  <c r="W268" i="16"/>
  <c r="W260" i="16"/>
  <c r="AR6" i="16"/>
  <c r="X6" i="16" s="1"/>
  <c r="AR781" i="16"/>
  <c r="X781" i="16" s="1"/>
  <c r="AR773" i="16"/>
  <c r="X773" i="16" s="1"/>
  <c r="AR541" i="16"/>
  <c r="X541" i="16" s="1"/>
  <c r="AR525" i="16"/>
  <c r="X525" i="16" s="1"/>
  <c r="AR517" i="16"/>
  <c r="X517" i="16" s="1"/>
  <c r="AR509" i="16"/>
  <c r="X509" i="16" s="1"/>
  <c r="AR477" i="16"/>
  <c r="X477" i="16" s="1"/>
  <c r="AR469" i="16"/>
  <c r="X469" i="16" s="1"/>
  <c r="AR461" i="16"/>
  <c r="X461" i="16" s="1"/>
  <c r="AR453" i="16"/>
  <c r="X453" i="16" s="1"/>
  <c r="AR445" i="16"/>
  <c r="X445" i="16" s="1"/>
  <c r="AR437" i="16"/>
  <c r="X437" i="16" s="1"/>
  <c r="AR429" i="16"/>
  <c r="X429" i="16" s="1"/>
  <c r="AR421" i="16"/>
  <c r="X421" i="16" s="1"/>
  <c r="AR413" i="16"/>
  <c r="X413" i="16" s="1"/>
  <c r="AR405" i="16"/>
  <c r="X405" i="16" s="1"/>
  <c r="AR293" i="16"/>
  <c r="X293" i="16" s="1"/>
  <c r="AR285" i="16"/>
  <c r="X285" i="16" s="1"/>
  <c r="AR277" i="16"/>
  <c r="X277" i="16" s="1"/>
  <c r="AR269" i="16"/>
  <c r="X269" i="16" s="1"/>
  <c r="AR261" i="16"/>
  <c r="X261" i="16" s="1"/>
  <c r="W783" i="16"/>
  <c r="W775" i="16"/>
  <c r="W767" i="16"/>
  <c r="W759" i="16"/>
  <c r="X759" i="16"/>
  <c r="AQ730" i="16"/>
  <c r="W730" i="16" s="1"/>
  <c r="AQ722" i="16"/>
  <c r="W722" i="16" s="1"/>
  <c r="AQ714" i="16"/>
  <c r="W714" i="16" s="1"/>
  <c r="AQ706" i="16"/>
  <c r="W706" i="16" s="1"/>
  <c r="AQ698" i="16"/>
  <c r="W698" i="16" s="1"/>
  <c r="AQ690" i="16"/>
  <c r="W690" i="16" s="1"/>
  <c r="AQ682" i="16"/>
  <c r="W682" i="16" s="1"/>
  <c r="AQ674" i="16"/>
  <c r="W674" i="16" s="1"/>
  <c r="AQ666" i="16"/>
  <c r="W666" i="16" s="1"/>
  <c r="AQ658" i="16"/>
  <c r="W658" i="16" s="1"/>
  <c r="W545" i="16"/>
  <c r="W537" i="16"/>
  <c r="W529" i="16"/>
  <c r="W521" i="16"/>
  <c r="W513" i="16"/>
  <c r="W484" i="16"/>
  <c r="W476" i="16"/>
  <c r="W468" i="16"/>
  <c r="W460" i="16"/>
  <c r="W452" i="16"/>
  <c r="W444" i="16"/>
  <c r="W436" i="16"/>
  <c r="W428" i="16"/>
  <c r="W420" i="16"/>
  <c r="W412" i="16"/>
  <c r="W404" i="16"/>
  <c r="W291" i="16"/>
  <c r="W283" i="16"/>
  <c r="W275" i="16"/>
  <c r="W267" i="16"/>
  <c r="W259" i="16"/>
  <c r="AR230" i="16"/>
  <c r="X230" i="16" s="1"/>
  <c r="AR222" i="16"/>
  <c r="X222" i="16" s="1"/>
  <c r="AR214" i="16"/>
  <c r="X214" i="16" s="1"/>
  <c r="AR206" i="16"/>
  <c r="X206" i="16" s="1"/>
  <c r="AR198" i="16"/>
  <c r="X198" i="16" s="1"/>
  <c r="AR190" i="16"/>
  <c r="X190" i="16" s="1"/>
  <c r="AR182" i="16"/>
  <c r="X182" i="16" s="1"/>
  <c r="AR174" i="16"/>
  <c r="X174" i="16" s="1"/>
  <c r="AR37" i="16"/>
  <c r="X37" i="16" s="1"/>
  <c r="AR29" i="16"/>
  <c r="X29" i="16" s="1"/>
  <c r="AR21" i="16"/>
  <c r="X21" i="16" s="1"/>
  <c r="AR13" i="16"/>
  <c r="X13" i="16" s="1"/>
  <c r="AR5" i="16"/>
  <c r="X5" i="16" s="1"/>
  <c r="AR732" i="16"/>
  <c r="X732" i="16" s="1"/>
  <c r="AR724" i="16"/>
  <c r="X724" i="16" s="1"/>
  <c r="AR716" i="16"/>
  <c r="X716" i="16" s="1"/>
  <c r="AR708" i="16"/>
  <c r="X708" i="16" s="1"/>
  <c r="AR700" i="16"/>
  <c r="X700" i="16" s="1"/>
  <c r="AR692" i="16"/>
  <c r="X692" i="16" s="1"/>
  <c r="AR684" i="16"/>
  <c r="X684" i="16" s="1"/>
  <c r="AR676" i="16"/>
  <c r="X676" i="16" s="1"/>
  <c r="AR668" i="16"/>
  <c r="X668" i="16" s="1"/>
  <c r="AR660" i="16"/>
  <c r="X660" i="16" s="1"/>
  <c r="AR484" i="16"/>
  <c r="X484" i="16" s="1"/>
  <c r="AR476" i="16"/>
  <c r="X476" i="16" s="1"/>
  <c r="AR468" i="16"/>
  <c r="X468" i="16" s="1"/>
  <c r="AR460" i="16"/>
  <c r="X460" i="16" s="1"/>
  <c r="AR452" i="16"/>
  <c r="X452" i="16" s="1"/>
  <c r="AR444" i="16"/>
  <c r="X444" i="16" s="1"/>
  <c r="AR436" i="16"/>
  <c r="X436" i="16" s="1"/>
  <c r="AR428" i="16"/>
  <c r="X428" i="16" s="1"/>
  <c r="AR420" i="16"/>
  <c r="X420" i="16" s="1"/>
  <c r="AR412" i="16"/>
  <c r="X412" i="16" s="1"/>
  <c r="AR404" i="16"/>
  <c r="X404" i="16" s="1"/>
  <c r="AR292" i="16"/>
  <c r="X292" i="16" s="1"/>
  <c r="AR284" i="16"/>
  <c r="X284" i="16" s="1"/>
  <c r="AR276" i="16"/>
  <c r="X276" i="16" s="1"/>
  <c r="AR268" i="16"/>
  <c r="X268" i="16" s="1"/>
  <c r="AR260" i="16"/>
  <c r="X260" i="16" s="1"/>
  <c r="X913" i="16"/>
  <c r="X905" i="16"/>
  <c r="AQ274" i="16"/>
  <c r="W274" i="16" s="1"/>
  <c r="AQ266" i="16"/>
  <c r="W266" i="16" s="1"/>
  <c r="AQ258" i="16"/>
  <c r="W258" i="16" s="1"/>
  <c r="AQ229" i="16"/>
  <c r="W229" i="16" s="1"/>
  <c r="AQ197" i="16"/>
  <c r="W197" i="16" s="1"/>
  <c r="AQ189" i="16"/>
  <c r="W189" i="16" s="1"/>
  <c r="AQ165" i="16"/>
  <c r="W165" i="16" s="1"/>
  <c r="AR157" i="16"/>
  <c r="X157" i="16" s="1"/>
  <c r="AR149" i="16"/>
  <c r="X149" i="16" s="1"/>
  <c r="AQ28" i="16"/>
  <c r="W28" i="16" s="1"/>
  <c r="AR731" i="16"/>
  <c r="X731" i="16" s="1"/>
  <c r="AR723" i="16"/>
  <c r="X723" i="16" s="1"/>
  <c r="AR715" i="16"/>
  <c r="X715" i="16" s="1"/>
  <c r="AR707" i="16"/>
  <c r="X707" i="16" s="1"/>
  <c r="AR699" i="16"/>
  <c r="X699" i="16" s="1"/>
  <c r="AR691" i="16"/>
  <c r="X691" i="16" s="1"/>
  <c r="AR683" i="16"/>
  <c r="X683" i="16" s="1"/>
  <c r="AR675" i="16"/>
  <c r="X675" i="16" s="1"/>
  <c r="AR667" i="16"/>
  <c r="X667" i="16" s="1"/>
  <c r="AR659" i="16"/>
  <c r="X659" i="16" s="1"/>
  <c r="AR547" i="16"/>
  <c r="X547" i="16" s="1"/>
  <c r="AR539" i="16"/>
  <c r="X539" i="16" s="1"/>
  <c r="AR531" i="16"/>
  <c r="X531" i="16" s="1"/>
  <c r="AR523" i="16"/>
  <c r="X523" i="16" s="1"/>
  <c r="AR515" i="16"/>
  <c r="X515" i="16" s="1"/>
  <c r="AR507" i="16"/>
  <c r="X507" i="16" s="1"/>
  <c r="AR291" i="16"/>
  <c r="X291" i="16" s="1"/>
  <c r="AR283" i="16"/>
  <c r="X283" i="16" s="1"/>
  <c r="AR275" i="16"/>
  <c r="X275" i="16" s="1"/>
  <c r="AR267" i="16"/>
  <c r="X267" i="16" s="1"/>
  <c r="AR259" i="16"/>
  <c r="X259" i="16" s="1"/>
  <c r="W934" i="16"/>
  <c r="W926" i="16"/>
  <c r="W918" i="16"/>
  <c r="W910" i="16"/>
  <c r="W797" i="16"/>
  <c r="W789" i="16"/>
  <c r="W781" i="16"/>
  <c r="W773" i="16"/>
  <c r="W765" i="16"/>
  <c r="AQ736" i="16"/>
  <c r="W736" i="16" s="1"/>
  <c r="AQ728" i="16"/>
  <c r="W728" i="16" s="1"/>
  <c r="AQ720" i="16"/>
  <c r="W720" i="16" s="1"/>
  <c r="AQ712" i="16"/>
  <c r="W712" i="16" s="1"/>
  <c r="AQ704" i="16"/>
  <c r="W704" i="16" s="1"/>
  <c r="AQ696" i="16"/>
  <c r="W696" i="16" s="1"/>
  <c r="AQ688" i="16"/>
  <c r="W688" i="16" s="1"/>
  <c r="W680" i="16"/>
  <c r="W672" i="16"/>
  <c r="W664" i="16"/>
  <c r="AQ656" i="16"/>
  <c r="W656" i="16" s="1"/>
  <c r="W543" i="16"/>
  <c r="W535" i="16"/>
  <c r="W527" i="16"/>
  <c r="W519" i="16"/>
  <c r="X519" i="16"/>
  <c r="W511" i="16"/>
  <c r="AQ482" i="16"/>
  <c r="W482" i="16" s="1"/>
  <c r="AQ474" i="16"/>
  <c r="W474" i="16" s="1"/>
  <c r="AQ466" i="16"/>
  <c r="W466" i="16" s="1"/>
  <c r="AQ458" i="16"/>
  <c r="W458" i="16" s="1"/>
  <c r="AQ450" i="16"/>
  <c r="W450" i="16" s="1"/>
  <c r="AQ442" i="16"/>
  <c r="W442" i="16" s="1"/>
  <c r="AQ434" i="16"/>
  <c r="W434" i="16" s="1"/>
  <c r="AQ426" i="16"/>
  <c r="W426" i="16" s="1"/>
  <c r="AQ418" i="16"/>
  <c r="W418" i="16" s="1"/>
  <c r="AQ410" i="16"/>
  <c r="W410" i="16" s="1"/>
  <c r="AQ402" i="16"/>
  <c r="W402" i="16" s="1"/>
  <c r="W289" i="16"/>
  <c r="W281" i="16"/>
  <c r="W273" i="16"/>
  <c r="W265" i="16"/>
  <c r="W257" i="16"/>
  <c r="AR228" i="16"/>
  <c r="X228" i="16" s="1"/>
  <c r="AR220" i="16"/>
  <c r="X220" i="16" s="1"/>
  <c r="AR204" i="16"/>
  <c r="X204" i="16" s="1"/>
  <c r="AR196" i="16"/>
  <c r="X196" i="16" s="1"/>
  <c r="AR188" i="16"/>
  <c r="X188" i="16" s="1"/>
  <c r="AQ11" i="16"/>
  <c r="W11" i="16" s="1"/>
  <c r="AR730" i="16"/>
  <c r="X730" i="16" s="1"/>
  <c r="AR722" i="16"/>
  <c r="X722" i="16" s="1"/>
  <c r="AR714" i="16"/>
  <c r="X714" i="16" s="1"/>
  <c r="AR706" i="16"/>
  <c r="X706" i="16" s="1"/>
  <c r="AR698" i="16"/>
  <c r="X698" i="16" s="1"/>
  <c r="AR690" i="16"/>
  <c r="X690" i="16" s="1"/>
  <c r="AR682" i="16"/>
  <c r="X682" i="16" s="1"/>
  <c r="AR674" i="16"/>
  <c r="X674" i="16" s="1"/>
  <c r="AR666" i="16"/>
  <c r="X666" i="16" s="1"/>
  <c r="AR658" i="16"/>
  <c r="X658" i="16" s="1"/>
  <c r="AR546" i="16"/>
  <c r="X546" i="16" s="1"/>
  <c r="AR538" i="16"/>
  <c r="X538" i="16" s="1"/>
  <c r="AR530" i="16"/>
  <c r="X530" i="16" s="1"/>
  <c r="AR522" i="16"/>
  <c r="X522" i="16" s="1"/>
  <c r="AR514" i="16"/>
  <c r="X514" i="16" s="1"/>
  <c r="AR506" i="16"/>
  <c r="X506" i="16" s="1"/>
  <c r="AR482" i="16"/>
  <c r="X482" i="16" s="1"/>
  <c r="AR474" i="16"/>
  <c r="X474" i="16" s="1"/>
  <c r="AR466" i="16"/>
  <c r="X466" i="16" s="1"/>
  <c r="AR458" i="16"/>
  <c r="X458" i="16" s="1"/>
  <c r="AR450" i="16"/>
  <c r="X450" i="16" s="1"/>
  <c r="AR442" i="16"/>
  <c r="X442" i="16" s="1"/>
  <c r="AR434" i="16"/>
  <c r="X434" i="16" s="1"/>
  <c r="AR426" i="16"/>
  <c r="X426" i="16" s="1"/>
  <c r="AR418" i="16"/>
  <c r="X418" i="16" s="1"/>
  <c r="AR410" i="16"/>
  <c r="X410" i="16" s="1"/>
  <c r="AR402" i="16"/>
  <c r="X402" i="16" s="1"/>
  <c r="AR274" i="16"/>
  <c r="X274" i="16" s="1"/>
  <c r="AR266" i="16"/>
  <c r="X266" i="16" s="1"/>
  <c r="AR258" i="16"/>
  <c r="X258" i="16" s="1"/>
  <c r="W942" i="16"/>
  <c r="AR545" i="16"/>
  <c r="X545" i="16" s="1"/>
  <c r="AR537" i="16"/>
  <c r="X537" i="16" s="1"/>
  <c r="AR529" i="16"/>
  <c r="X529" i="16" s="1"/>
  <c r="AR521" i="16"/>
  <c r="X521" i="16" s="1"/>
  <c r="AR513" i="16"/>
  <c r="X513" i="16" s="1"/>
  <c r="AR289" i="16"/>
  <c r="X289" i="16" s="1"/>
  <c r="AR281" i="16"/>
  <c r="X281" i="16" s="1"/>
  <c r="AR273" i="16"/>
  <c r="X273" i="16" s="1"/>
  <c r="AR265" i="16"/>
  <c r="X265" i="16" s="1"/>
  <c r="AR257" i="16"/>
  <c r="X257" i="16" s="1"/>
  <c r="X926" i="16"/>
  <c r="X910" i="16"/>
  <c r="W795" i="16"/>
  <c r="W787" i="16"/>
  <c r="X787" i="16"/>
  <c r="W779" i="16"/>
  <c r="X771" i="16"/>
  <c r="W763" i="16"/>
  <c r="X763" i="16"/>
  <c r="W734" i="16"/>
  <c r="W726" i="16"/>
  <c r="W710" i="16"/>
  <c r="W702" i="16"/>
  <c r="W694" i="16"/>
  <c r="W686" i="16"/>
  <c r="W678" i="16"/>
  <c r="W670" i="16"/>
  <c r="W662" i="16"/>
  <c r="W654" i="16"/>
  <c r="W541" i="16"/>
  <c r="W533" i="16"/>
  <c r="W525" i="16"/>
  <c r="W517" i="16"/>
  <c r="W509" i="16"/>
  <c r="AQ480" i="16"/>
  <c r="W480" i="16" s="1"/>
  <c r="AQ472" i="16"/>
  <c r="W472" i="16" s="1"/>
  <c r="AQ464" i="16"/>
  <c r="W464" i="16" s="1"/>
  <c r="AQ456" i="16"/>
  <c r="W456" i="16" s="1"/>
  <c r="AQ448" i="16"/>
  <c r="W448" i="16" s="1"/>
  <c r="AQ440" i="16"/>
  <c r="W440" i="16" s="1"/>
  <c r="AQ432" i="16"/>
  <c r="W432" i="16" s="1"/>
  <c r="AQ424" i="16"/>
  <c r="W424" i="16" s="1"/>
  <c r="AQ416" i="16"/>
  <c r="W416" i="16" s="1"/>
  <c r="AQ408" i="16"/>
  <c r="W408" i="16" s="1"/>
  <c r="W287" i="16"/>
  <c r="W279" i="16"/>
  <c r="X279" i="16"/>
  <c r="W271" i="16"/>
  <c r="W263" i="16"/>
  <c r="W255" i="16"/>
  <c r="AR226" i="16"/>
  <c r="X226" i="16" s="1"/>
  <c r="AR218" i="16"/>
  <c r="X218" i="16" s="1"/>
  <c r="AR210" i="16"/>
  <c r="X210" i="16" s="1"/>
  <c r="AR202" i="16"/>
  <c r="X202" i="16" s="1"/>
  <c r="AR194" i="16"/>
  <c r="X194" i="16" s="1"/>
  <c r="AR186" i="16"/>
  <c r="X186" i="16" s="1"/>
  <c r="AR178" i="16"/>
  <c r="X178" i="16" s="1"/>
  <c r="AR41" i="16"/>
  <c r="X41" i="16" s="1"/>
  <c r="AR33" i="16"/>
  <c r="X33" i="16" s="1"/>
  <c r="AR25" i="16"/>
  <c r="X25" i="16" s="1"/>
  <c r="AR17" i="16"/>
  <c r="X17" i="16" s="1"/>
  <c r="AR9" i="16"/>
  <c r="X9" i="16" s="1"/>
  <c r="AR792" i="16"/>
  <c r="X792" i="16" s="1"/>
  <c r="AR784" i="16"/>
  <c r="X784" i="16" s="1"/>
  <c r="AR776" i="16"/>
  <c r="X776" i="16" s="1"/>
  <c r="AR768" i="16"/>
  <c r="X768" i="16" s="1"/>
  <c r="AR760" i="16"/>
  <c r="X760" i="16" s="1"/>
  <c r="AR736" i="16"/>
  <c r="X736" i="16" s="1"/>
  <c r="AR728" i="16"/>
  <c r="X728" i="16" s="1"/>
  <c r="AR720" i="16"/>
  <c r="X720" i="16" s="1"/>
  <c r="AR712" i="16"/>
  <c r="X712" i="16" s="1"/>
  <c r="AR704" i="16"/>
  <c r="X704" i="16" s="1"/>
  <c r="AR696" i="16"/>
  <c r="X696" i="16" s="1"/>
  <c r="AR688" i="16"/>
  <c r="X688" i="16" s="1"/>
  <c r="AR680" i="16"/>
  <c r="X680" i="16" s="1"/>
  <c r="AR672" i="16"/>
  <c r="X672" i="16" s="1"/>
  <c r="AR664" i="16"/>
  <c r="X664" i="16" s="1"/>
  <c r="AR656" i="16"/>
  <c r="X656" i="16" s="1"/>
  <c r="AR480" i="16"/>
  <c r="X480" i="16" s="1"/>
  <c r="AR472" i="16"/>
  <c r="X472" i="16" s="1"/>
  <c r="AR464" i="16"/>
  <c r="X464" i="16" s="1"/>
  <c r="AR456" i="16"/>
  <c r="X456" i="16" s="1"/>
  <c r="AR448" i="16"/>
  <c r="X448" i="16" s="1"/>
  <c r="AR440" i="16"/>
  <c r="X440" i="16" s="1"/>
  <c r="AR432" i="16"/>
  <c r="X432" i="16" s="1"/>
  <c r="AR424" i="16"/>
  <c r="X424" i="16" s="1"/>
  <c r="AR416" i="16"/>
  <c r="X416" i="16" s="1"/>
  <c r="AR408" i="16"/>
  <c r="X408" i="16" s="1"/>
  <c r="X777" i="16"/>
  <c r="X734" i="16"/>
  <c r="W21" i="16"/>
  <c r="AR180" i="16"/>
  <c r="X180" i="16" s="1"/>
  <c r="AR8" i="16"/>
  <c r="X8" i="16" s="1"/>
  <c r="AQ205" i="16"/>
  <c r="W205" i="16" s="1"/>
  <c r="AR169" i="16"/>
  <c r="X169" i="16" s="1"/>
  <c r="AR212" i="16"/>
  <c r="X212" i="16" s="1"/>
  <c r="AQ173" i="16"/>
  <c r="W173" i="16" s="1"/>
  <c r="AR152" i="16"/>
  <c r="X152" i="16" s="1"/>
  <c r="AQ221" i="16"/>
  <c r="W221" i="16" s="1"/>
  <c r="W29" i="16"/>
  <c r="W6" i="16"/>
  <c r="W223" i="16"/>
  <c r="W207" i="16"/>
  <c r="W191" i="16"/>
  <c r="W175" i="16"/>
  <c r="W30" i="16"/>
  <c r="W14" i="16"/>
  <c r="AR159" i="16"/>
  <c r="X159" i="16" s="1"/>
  <c r="AQ159" i="16"/>
  <c r="W159" i="16" s="1"/>
  <c r="W230" i="16"/>
  <c r="W222" i="16"/>
  <c r="W214" i="16"/>
  <c r="W206" i="16"/>
  <c r="W198" i="16"/>
  <c r="W190" i="16"/>
  <c r="W182" i="16"/>
  <c r="W174" i="16"/>
  <c r="W166" i="16"/>
  <c r="W158" i="16"/>
  <c r="W150" i="16"/>
  <c r="AR229" i="16"/>
  <c r="X229" i="16" s="1"/>
  <c r="AR221" i="16"/>
  <c r="X221" i="16" s="1"/>
  <c r="AR213" i="16"/>
  <c r="X213" i="16" s="1"/>
  <c r="AR205" i="16"/>
  <c r="X205" i="16" s="1"/>
  <c r="AR197" i="16"/>
  <c r="X197" i="16" s="1"/>
  <c r="AR189" i="16"/>
  <c r="X189" i="16" s="1"/>
  <c r="AR181" i="16"/>
  <c r="X181" i="16" s="1"/>
  <c r="AR173" i="16"/>
  <c r="X173" i="16" s="1"/>
  <c r="AR158" i="16"/>
  <c r="X158" i="16" s="1"/>
  <c r="AR30" i="16"/>
  <c r="X30" i="16" s="1"/>
  <c r="W41" i="16"/>
  <c r="W9" i="16"/>
  <c r="AR36" i="16"/>
  <c r="X36" i="16" s="1"/>
  <c r="AR12" i="16"/>
  <c r="X12" i="16" s="1"/>
  <c r="W220" i="16"/>
  <c r="W43" i="16"/>
  <c r="AR43" i="16"/>
  <c r="X43" i="16" s="1"/>
  <c r="W19" i="16"/>
  <c r="AR19" i="16"/>
  <c r="X19" i="16" s="1"/>
  <c r="AQ231" i="16"/>
  <c r="W231" i="16" s="1"/>
  <c r="AQ215" i="16"/>
  <c r="W215" i="16" s="1"/>
  <c r="AQ199" i="16"/>
  <c r="W199" i="16" s="1"/>
  <c r="AQ183" i="16"/>
  <c r="W183" i="16" s="1"/>
  <c r="AQ156" i="16"/>
  <c r="W156" i="16" s="1"/>
  <c r="AQ12" i="16"/>
  <c r="W12" i="16" s="1"/>
  <c r="AQ2" i="16"/>
  <c r="W2" i="16" s="1"/>
  <c r="AQ227" i="16"/>
  <c r="W227" i="16" s="1"/>
  <c r="AQ219" i="16"/>
  <c r="W219" i="16" s="1"/>
  <c r="AQ211" i="16"/>
  <c r="W211" i="16" s="1"/>
  <c r="AQ203" i="16"/>
  <c r="W203" i="16" s="1"/>
  <c r="AQ195" i="16"/>
  <c r="W195" i="16" s="1"/>
  <c r="AQ187" i="16"/>
  <c r="W187" i="16" s="1"/>
  <c r="AQ179" i="16"/>
  <c r="W179" i="16" s="1"/>
  <c r="W171" i="16"/>
  <c r="AR171" i="16"/>
  <c r="X171" i="16" s="1"/>
  <c r="AQ163" i="16"/>
  <c r="W163" i="16" s="1"/>
  <c r="AR163" i="16"/>
  <c r="X163" i="16" s="1"/>
  <c r="AQ155" i="16"/>
  <c r="W155" i="16" s="1"/>
  <c r="AR155" i="16"/>
  <c r="X155" i="16" s="1"/>
  <c r="AQ42" i="16"/>
  <c r="W42" i="16" s="1"/>
  <c r="AR42" i="16"/>
  <c r="X42" i="16" s="1"/>
  <c r="AQ34" i="16"/>
  <c r="W34" i="16" s="1"/>
  <c r="AR34" i="16"/>
  <c r="X34" i="16" s="1"/>
  <c r="AQ26" i="16"/>
  <c r="W26" i="16" s="1"/>
  <c r="AR26" i="16"/>
  <c r="X26" i="16" s="1"/>
  <c r="AQ18" i="16"/>
  <c r="W18" i="16" s="1"/>
  <c r="AR18" i="16"/>
  <c r="X18" i="16" s="1"/>
  <c r="AQ10" i="16"/>
  <c r="W10" i="16" s="1"/>
  <c r="AR10" i="16"/>
  <c r="X10" i="16" s="1"/>
  <c r="AR2" i="16"/>
  <c r="X2" i="16" s="1"/>
  <c r="AR167" i="16"/>
  <c r="X167" i="16" s="1"/>
  <c r="AR150" i="16"/>
  <c r="X150" i="16" s="1"/>
  <c r="AR22" i="16"/>
  <c r="X22" i="16" s="1"/>
  <c r="W37" i="16"/>
  <c r="W5" i="16"/>
  <c r="AR20" i="16"/>
  <c r="X20" i="16" s="1"/>
  <c r="AQ157" i="16"/>
  <c r="W157" i="16" s="1"/>
  <c r="AR172" i="16"/>
  <c r="X172" i="16" s="1"/>
  <c r="W172" i="16"/>
  <c r="AR35" i="16"/>
  <c r="X35" i="16" s="1"/>
  <c r="W3" i="16"/>
  <c r="AR3" i="16"/>
  <c r="X3" i="16" s="1"/>
  <c r="AQ167" i="16"/>
  <c r="W167" i="16" s="1"/>
  <c r="AQ151" i="16"/>
  <c r="W151" i="16" s="1"/>
  <c r="AQ36" i="16"/>
  <c r="W36" i="16" s="1"/>
  <c r="AQ22" i="16"/>
  <c r="W22" i="16" s="1"/>
  <c r="AQ226" i="16"/>
  <c r="W226" i="16" s="1"/>
  <c r="AQ218" i="16"/>
  <c r="W218" i="16" s="1"/>
  <c r="AQ210" i="16"/>
  <c r="W210" i="16" s="1"/>
  <c r="AQ202" i="16"/>
  <c r="W202" i="16" s="1"/>
  <c r="AQ194" i="16"/>
  <c r="W194" i="16" s="1"/>
  <c r="AQ186" i="16"/>
  <c r="W186" i="16" s="1"/>
  <c r="AQ178" i="16"/>
  <c r="W178" i="16" s="1"/>
  <c r="AQ170" i="16"/>
  <c r="W170" i="16" s="1"/>
  <c r="AR170" i="16"/>
  <c r="X170" i="16" s="1"/>
  <c r="AQ162" i="16"/>
  <c r="W162" i="16" s="1"/>
  <c r="AR162" i="16"/>
  <c r="X162" i="16" s="1"/>
  <c r="AQ154" i="16"/>
  <c r="W154" i="16" s="1"/>
  <c r="AR154" i="16"/>
  <c r="X154" i="16" s="1"/>
  <c r="AR225" i="16"/>
  <c r="X225" i="16" s="1"/>
  <c r="AR217" i="16"/>
  <c r="X217" i="16" s="1"/>
  <c r="AR209" i="16"/>
  <c r="X209" i="16" s="1"/>
  <c r="AR201" i="16"/>
  <c r="X201" i="16" s="1"/>
  <c r="AR193" i="16"/>
  <c r="X193" i="16" s="1"/>
  <c r="AR185" i="16"/>
  <c r="X185" i="16" s="1"/>
  <c r="AR177" i="16"/>
  <c r="X177" i="16" s="1"/>
  <c r="AR166" i="16"/>
  <c r="X166" i="16" s="1"/>
  <c r="W185" i="16"/>
  <c r="W25" i="16"/>
  <c r="AR28" i="16"/>
  <c r="X28" i="16" s="1"/>
  <c r="W188" i="16"/>
  <c r="AR164" i="16"/>
  <c r="X164" i="16" s="1"/>
  <c r="W164" i="16"/>
  <c r="W27" i="16"/>
  <c r="AR27" i="16"/>
  <c r="X27" i="16" s="1"/>
  <c r="AQ213" i="16"/>
  <c r="W213" i="16" s="1"/>
  <c r="AQ181" i="16"/>
  <c r="W181" i="16" s="1"/>
  <c r="AQ35" i="16"/>
  <c r="W35" i="16" s="1"/>
  <c r="AQ254" i="16"/>
  <c r="W254" i="16" s="1"/>
  <c r="AQ161" i="16"/>
  <c r="W161" i="16" s="1"/>
  <c r="AR161" i="16"/>
  <c r="X161" i="16" s="1"/>
  <c r="AQ153" i="16"/>
  <c r="W153" i="16" s="1"/>
  <c r="AR153" i="16"/>
  <c r="X153" i="16" s="1"/>
  <c r="AQ40" i="16"/>
  <c r="W40" i="16" s="1"/>
  <c r="AQ32" i="16"/>
  <c r="W32" i="16" s="1"/>
  <c r="AQ24" i="16"/>
  <c r="W24" i="16" s="1"/>
  <c r="AQ16" i="16"/>
  <c r="W16" i="16" s="1"/>
  <c r="AQ8" i="16"/>
  <c r="W8" i="16" s="1"/>
  <c r="AR216" i="16"/>
  <c r="X216" i="16" s="1"/>
  <c r="AR184" i="16"/>
  <c r="X184" i="16" s="1"/>
  <c r="AR165" i="16"/>
  <c r="X165" i="16" s="1"/>
  <c r="AR38" i="16"/>
  <c r="X38" i="16" s="1"/>
  <c r="W13" i="16"/>
  <c r="AR4" i="16"/>
  <c r="X4" i="16" s="1"/>
  <c r="AQ38" i="16"/>
  <c r="W38" i="16" s="1"/>
  <c r="W204" i="16"/>
  <c r="AR156" i="16"/>
  <c r="X156" i="16" s="1"/>
  <c r="AR11" i="16"/>
  <c r="X11" i="16" s="1"/>
  <c r="AR151" i="16"/>
  <c r="X151" i="16" s="1"/>
  <c r="AQ228" i="16"/>
  <c r="W228" i="16" s="1"/>
  <c r="AQ212" i="16"/>
  <c r="W212" i="16" s="1"/>
  <c r="AQ196" i="16"/>
  <c r="W196" i="16" s="1"/>
  <c r="AQ180" i="16"/>
  <c r="W180" i="16" s="1"/>
  <c r="AQ149" i="16"/>
  <c r="W149" i="16" s="1"/>
  <c r="AQ20" i="16"/>
  <c r="W20" i="16" s="1"/>
  <c r="AQ232" i="16"/>
  <c r="W232" i="16" s="1"/>
  <c r="AQ224" i="16"/>
  <c r="W224" i="16" s="1"/>
  <c r="AQ216" i="16"/>
  <c r="W216" i="16" s="1"/>
  <c r="AQ208" i="16"/>
  <c r="W208" i="16" s="1"/>
  <c r="AQ200" i="16"/>
  <c r="W200" i="16" s="1"/>
  <c r="AQ192" i="16"/>
  <c r="W192" i="16" s="1"/>
  <c r="AQ184" i="16"/>
  <c r="W184" i="16" s="1"/>
  <c r="AQ176" i="16"/>
  <c r="W176" i="16" s="1"/>
  <c r="AQ168" i="16"/>
  <c r="W168" i="16" s="1"/>
  <c r="AQ160" i="16"/>
  <c r="W160" i="16" s="1"/>
  <c r="AQ152" i="16"/>
  <c r="W152" i="16" s="1"/>
  <c r="AQ31" i="16"/>
  <c r="W31" i="16" s="1"/>
  <c r="AQ23" i="16"/>
  <c r="W23" i="16" s="1"/>
  <c r="AQ15" i="16"/>
  <c r="W15" i="16" s="1"/>
  <c r="W7" i="16"/>
  <c r="AR231" i="16"/>
  <c r="X231" i="16" s="1"/>
  <c r="AR223" i="16"/>
  <c r="X223" i="16" s="1"/>
  <c r="AR215" i="16"/>
  <c r="X215" i="16" s="1"/>
  <c r="AR207" i="16"/>
  <c r="X207" i="16" s="1"/>
  <c r="AR199" i="16"/>
  <c r="X199" i="16" s="1"/>
  <c r="AR191" i="16"/>
  <c r="X191" i="16" s="1"/>
  <c r="AR183" i="16"/>
  <c r="X183" i="16" s="1"/>
  <c r="AR175" i="16"/>
  <c r="X175" i="16" s="1"/>
  <c r="AR160" i="16"/>
  <c r="X160" i="16" s="1"/>
  <c r="AR32" i="16"/>
  <c r="X32" i="16" s="1"/>
  <c r="AR14" i="16"/>
  <c r="X14" i="16" s="1"/>
  <c r="W33" i="16"/>
  <c r="I90" i="1" l="1"/>
  <c r="I91" i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89" i="1"/>
  <c r="I88" i="1"/>
  <c r="AL3" i="16"/>
  <c r="S3" i="16" s="1"/>
  <c r="AM3" i="16"/>
  <c r="T3" i="16" s="1"/>
  <c r="AN3" i="16"/>
  <c r="U3" i="16" s="1"/>
  <c r="AO3" i="16"/>
  <c r="V3" i="16" s="1"/>
  <c r="AL4" i="16"/>
  <c r="S4" i="16" s="1"/>
  <c r="AM4" i="16"/>
  <c r="T4" i="16" s="1"/>
  <c r="AN4" i="16"/>
  <c r="U4" i="16" s="1"/>
  <c r="AO4" i="16"/>
  <c r="V4" i="16" s="1"/>
  <c r="AL5" i="16"/>
  <c r="S5" i="16" s="1"/>
  <c r="AM5" i="16"/>
  <c r="T5" i="16" s="1"/>
  <c r="AN5" i="16"/>
  <c r="U5" i="16" s="1"/>
  <c r="AO5" i="16"/>
  <c r="V5" i="16" s="1"/>
  <c r="AL6" i="16"/>
  <c r="S6" i="16" s="1"/>
  <c r="AM6" i="16"/>
  <c r="T6" i="16" s="1"/>
  <c r="AN6" i="16"/>
  <c r="U6" i="16" s="1"/>
  <c r="AO6" i="16"/>
  <c r="V6" i="16" s="1"/>
  <c r="AL7" i="16"/>
  <c r="S7" i="16" s="1"/>
  <c r="AM7" i="16"/>
  <c r="T7" i="16" s="1"/>
  <c r="AN7" i="16"/>
  <c r="U7" i="16" s="1"/>
  <c r="AO7" i="16"/>
  <c r="V7" i="16" s="1"/>
  <c r="AL8" i="16"/>
  <c r="S8" i="16" s="1"/>
  <c r="AM8" i="16"/>
  <c r="T8" i="16" s="1"/>
  <c r="AN8" i="16"/>
  <c r="U8" i="16" s="1"/>
  <c r="AO8" i="16"/>
  <c r="V8" i="16" s="1"/>
  <c r="AL9" i="16"/>
  <c r="S9" i="16" s="1"/>
  <c r="AM9" i="16"/>
  <c r="T9" i="16" s="1"/>
  <c r="AN9" i="16"/>
  <c r="U9" i="16" s="1"/>
  <c r="AO9" i="16"/>
  <c r="V9" i="16" s="1"/>
  <c r="AL10" i="16"/>
  <c r="S10" i="16" s="1"/>
  <c r="AM10" i="16"/>
  <c r="T10" i="16" s="1"/>
  <c r="AN10" i="16"/>
  <c r="U10" i="16" s="1"/>
  <c r="AO10" i="16"/>
  <c r="V10" i="16" s="1"/>
  <c r="AL11" i="16"/>
  <c r="S11" i="16" s="1"/>
  <c r="AM11" i="16"/>
  <c r="T11" i="16" s="1"/>
  <c r="AN11" i="16"/>
  <c r="U11" i="16" s="1"/>
  <c r="AO11" i="16"/>
  <c r="V11" i="16" s="1"/>
  <c r="AL12" i="16"/>
  <c r="S12" i="16" s="1"/>
  <c r="AM12" i="16"/>
  <c r="T12" i="16" s="1"/>
  <c r="AN12" i="16"/>
  <c r="U12" i="16" s="1"/>
  <c r="AO12" i="16"/>
  <c r="V12" i="16" s="1"/>
  <c r="AL13" i="16"/>
  <c r="S13" i="16" s="1"/>
  <c r="AM13" i="16"/>
  <c r="T13" i="16" s="1"/>
  <c r="AN13" i="16"/>
  <c r="U13" i="16" s="1"/>
  <c r="AO13" i="16"/>
  <c r="V13" i="16" s="1"/>
  <c r="AL14" i="16"/>
  <c r="S14" i="16" s="1"/>
  <c r="AM14" i="16"/>
  <c r="T14" i="16" s="1"/>
  <c r="AN14" i="16"/>
  <c r="U14" i="16" s="1"/>
  <c r="AO14" i="16"/>
  <c r="V14" i="16" s="1"/>
  <c r="AL15" i="16"/>
  <c r="S15" i="16" s="1"/>
  <c r="AM15" i="16"/>
  <c r="T15" i="16" s="1"/>
  <c r="AN15" i="16"/>
  <c r="U15" i="16" s="1"/>
  <c r="AO15" i="16"/>
  <c r="V15" i="16" s="1"/>
  <c r="AL16" i="16"/>
  <c r="S16" i="16" s="1"/>
  <c r="AM16" i="16"/>
  <c r="T16" i="16" s="1"/>
  <c r="AN16" i="16"/>
  <c r="U16" i="16" s="1"/>
  <c r="AO16" i="16"/>
  <c r="V16" i="16" s="1"/>
  <c r="AL17" i="16"/>
  <c r="S17" i="16" s="1"/>
  <c r="AM17" i="16"/>
  <c r="T17" i="16" s="1"/>
  <c r="AN17" i="16"/>
  <c r="U17" i="16" s="1"/>
  <c r="AO17" i="16"/>
  <c r="V17" i="16" s="1"/>
  <c r="AL18" i="16"/>
  <c r="S18" i="16" s="1"/>
  <c r="AM18" i="16"/>
  <c r="T18" i="16" s="1"/>
  <c r="AN18" i="16"/>
  <c r="U18" i="16" s="1"/>
  <c r="AO18" i="16"/>
  <c r="V18" i="16" s="1"/>
  <c r="AL19" i="16"/>
  <c r="S19" i="16" s="1"/>
  <c r="AM19" i="16"/>
  <c r="T19" i="16" s="1"/>
  <c r="AN19" i="16"/>
  <c r="U19" i="16" s="1"/>
  <c r="AO19" i="16"/>
  <c r="V19" i="16" s="1"/>
  <c r="AL20" i="16"/>
  <c r="S20" i="16" s="1"/>
  <c r="AM20" i="16"/>
  <c r="T20" i="16" s="1"/>
  <c r="AN20" i="16"/>
  <c r="U20" i="16" s="1"/>
  <c r="AO20" i="16"/>
  <c r="V20" i="16" s="1"/>
  <c r="AL21" i="16"/>
  <c r="S21" i="16" s="1"/>
  <c r="AM21" i="16"/>
  <c r="T21" i="16" s="1"/>
  <c r="AN21" i="16"/>
  <c r="U21" i="16" s="1"/>
  <c r="AO21" i="16"/>
  <c r="V21" i="16" s="1"/>
  <c r="AL22" i="16"/>
  <c r="S22" i="16" s="1"/>
  <c r="AM22" i="16"/>
  <c r="T22" i="16" s="1"/>
  <c r="AN22" i="16"/>
  <c r="U22" i="16" s="1"/>
  <c r="AO22" i="16"/>
  <c r="V22" i="16" s="1"/>
  <c r="AL23" i="16"/>
  <c r="S23" i="16" s="1"/>
  <c r="AM23" i="16"/>
  <c r="T23" i="16" s="1"/>
  <c r="AN23" i="16"/>
  <c r="U23" i="16" s="1"/>
  <c r="AO23" i="16"/>
  <c r="V23" i="16" s="1"/>
  <c r="AL24" i="16"/>
  <c r="S24" i="16" s="1"/>
  <c r="AM24" i="16"/>
  <c r="T24" i="16" s="1"/>
  <c r="AN24" i="16"/>
  <c r="U24" i="16" s="1"/>
  <c r="AO24" i="16"/>
  <c r="V24" i="16" s="1"/>
  <c r="AL25" i="16"/>
  <c r="S25" i="16" s="1"/>
  <c r="AM25" i="16"/>
  <c r="T25" i="16" s="1"/>
  <c r="AN25" i="16"/>
  <c r="U25" i="16" s="1"/>
  <c r="AO25" i="16"/>
  <c r="V25" i="16" s="1"/>
  <c r="AL26" i="16"/>
  <c r="S26" i="16" s="1"/>
  <c r="AM26" i="16"/>
  <c r="T26" i="16" s="1"/>
  <c r="AN26" i="16"/>
  <c r="U26" i="16" s="1"/>
  <c r="AO26" i="16"/>
  <c r="V26" i="16" s="1"/>
  <c r="AL27" i="16"/>
  <c r="S27" i="16" s="1"/>
  <c r="AM27" i="16"/>
  <c r="T27" i="16" s="1"/>
  <c r="AN27" i="16"/>
  <c r="U27" i="16" s="1"/>
  <c r="AO27" i="16"/>
  <c r="V27" i="16" s="1"/>
  <c r="AL28" i="16"/>
  <c r="S28" i="16" s="1"/>
  <c r="AM28" i="16"/>
  <c r="T28" i="16" s="1"/>
  <c r="AN28" i="16"/>
  <c r="U28" i="16" s="1"/>
  <c r="AO28" i="16"/>
  <c r="V28" i="16" s="1"/>
  <c r="AL29" i="16"/>
  <c r="S29" i="16" s="1"/>
  <c r="AM29" i="16"/>
  <c r="T29" i="16" s="1"/>
  <c r="AN29" i="16"/>
  <c r="U29" i="16" s="1"/>
  <c r="AO29" i="16"/>
  <c r="V29" i="16" s="1"/>
  <c r="AL30" i="16"/>
  <c r="S30" i="16" s="1"/>
  <c r="AM30" i="16"/>
  <c r="T30" i="16" s="1"/>
  <c r="AN30" i="16"/>
  <c r="U30" i="16" s="1"/>
  <c r="AO30" i="16"/>
  <c r="V30" i="16" s="1"/>
  <c r="AL31" i="16"/>
  <c r="S31" i="16" s="1"/>
  <c r="AM31" i="16"/>
  <c r="T31" i="16" s="1"/>
  <c r="AN31" i="16"/>
  <c r="U31" i="16" s="1"/>
  <c r="AO31" i="16"/>
  <c r="V31" i="16" s="1"/>
  <c r="AL32" i="16"/>
  <c r="S32" i="16" s="1"/>
  <c r="AM32" i="16"/>
  <c r="T32" i="16" s="1"/>
  <c r="AN32" i="16"/>
  <c r="U32" i="16" s="1"/>
  <c r="AO32" i="16"/>
  <c r="V32" i="16" s="1"/>
  <c r="AL33" i="16"/>
  <c r="S33" i="16" s="1"/>
  <c r="AM33" i="16"/>
  <c r="T33" i="16" s="1"/>
  <c r="AN33" i="16"/>
  <c r="U33" i="16" s="1"/>
  <c r="AO33" i="16"/>
  <c r="V33" i="16" s="1"/>
  <c r="AL34" i="16"/>
  <c r="S34" i="16" s="1"/>
  <c r="AM34" i="16"/>
  <c r="T34" i="16" s="1"/>
  <c r="AN34" i="16"/>
  <c r="U34" i="16" s="1"/>
  <c r="AO34" i="16"/>
  <c r="V34" i="16" s="1"/>
  <c r="AL35" i="16"/>
  <c r="S35" i="16" s="1"/>
  <c r="AM35" i="16"/>
  <c r="T35" i="16" s="1"/>
  <c r="AN35" i="16"/>
  <c r="U35" i="16" s="1"/>
  <c r="AO35" i="16"/>
  <c r="V35" i="16" s="1"/>
  <c r="AL36" i="16"/>
  <c r="S36" i="16" s="1"/>
  <c r="AM36" i="16"/>
  <c r="T36" i="16" s="1"/>
  <c r="AN36" i="16"/>
  <c r="U36" i="16" s="1"/>
  <c r="AO36" i="16"/>
  <c r="V36" i="16" s="1"/>
  <c r="AL37" i="16"/>
  <c r="S37" i="16" s="1"/>
  <c r="AM37" i="16"/>
  <c r="T37" i="16" s="1"/>
  <c r="AN37" i="16"/>
  <c r="U37" i="16" s="1"/>
  <c r="AO37" i="16"/>
  <c r="V37" i="16" s="1"/>
  <c r="AL38" i="16"/>
  <c r="S38" i="16" s="1"/>
  <c r="AM38" i="16"/>
  <c r="T38" i="16" s="1"/>
  <c r="AN38" i="16"/>
  <c r="U38" i="16" s="1"/>
  <c r="AO38" i="16"/>
  <c r="V38" i="16" s="1"/>
  <c r="AL39" i="16"/>
  <c r="S39" i="16" s="1"/>
  <c r="AM39" i="16"/>
  <c r="T39" i="16" s="1"/>
  <c r="AN39" i="16"/>
  <c r="U39" i="16" s="1"/>
  <c r="AO39" i="16"/>
  <c r="V39" i="16" s="1"/>
  <c r="AL40" i="16"/>
  <c r="S40" i="16" s="1"/>
  <c r="AM40" i="16"/>
  <c r="T40" i="16" s="1"/>
  <c r="AN40" i="16"/>
  <c r="U40" i="16" s="1"/>
  <c r="AO40" i="16"/>
  <c r="V40" i="16" s="1"/>
  <c r="AL41" i="16"/>
  <c r="S41" i="16" s="1"/>
  <c r="AM41" i="16"/>
  <c r="T41" i="16" s="1"/>
  <c r="AN41" i="16"/>
  <c r="U41" i="16" s="1"/>
  <c r="AO41" i="16"/>
  <c r="V41" i="16" s="1"/>
  <c r="AL42" i="16"/>
  <c r="S42" i="16" s="1"/>
  <c r="AM42" i="16"/>
  <c r="T42" i="16" s="1"/>
  <c r="AN42" i="16"/>
  <c r="U42" i="16" s="1"/>
  <c r="AO42" i="16"/>
  <c r="V42" i="16" s="1"/>
  <c r="AL43" i="16"/>
  <c r="S43" i="16" s="1"/>
  <c r="AM43" i="16"/>
  <c r="T43" i="16" s="1"/>
  <c r="AN43" i="16"/>
  <c r="U43" i="16" s="1"/>
  <c r="AO43" i="16"/>
  <c r="V43" i="16" s="1"/>
  <c r="AL44" i="16"/>
  <c r="AM44" i="16"/>
  <c r="AN44" i="16"/>
  <c r="AO44" i="16"/>
  <c r="AL45" i="16"/>
  <c r="AM45" i="16"/>
  <c r="AN45" i="16"/>
  <c r="AO45" i="16"/>
  <c r="AL46" i="16"/>
  <c r="AM46" i="16"/>
  <c r="AN46" i="16"/>
  <c r="AO46" i="16"/>
  <c r="AL47" i="16"/>
  <c r="AM47" i="16"/>
  <c r="AN47" i="16"/>
  <c r="AO47" i="16"/>
  <c r="AL48" i="16"/>
  <c r="AM48" i="16"/>
  <c r="AN48" i="16"/>
  <c r="AO48" i="16"/>
  <c r="AL49" i="16"/>
  <c r="AM49" i="16"/>
  <c r="AN49" i="16"/>
  <c r="AO49" i="16"/>
  <c r="AL50" i="16"/>
  <c r="AM50" i="16"/>
  <c r="AN50" i="16"/>
  <c r="AO50" i="16"/>
  <c r="AL51" i="16"/>
  <c r="AM51" i="16"/>
  <c r="AN51" i="16"/>
  <c r="AO51" i="16"/>
  <c r="AL52" i="16"/>
  <c r="AM52" i="16"/>
  <c r="AN52" i="16"/>
  <c r="AO52" i="16"/>
  <c r="AL53" i="16"/>
  <c r="AM53" i="16"/>
  <c r="AN53" i="16"/>
  <c r="AO53" i="16"/>
  <c r="AL54" i="16"/>
  <c r="AM54" i="16"/>
  <c r="AN54" i="16"/>
  <c r="AO54" i="16"/>
  <c r="AL55" i="16"/>
  <c r="AM55" i="16"/>
  <c r="AN55" i="16"/>
  <c r="AO55" i="16"/>
  <c r="AL56" i="16"/>
  <c r="AM56" i="16"/>
  <c r="AN56" i="16"/>
  <c r="AO56" i="16"/>
  <c r="AL57" i="16"/>
  <c r="AM57" i="16"/>
  <c r="AN57" i="16"/>
  <c r="AO57" i="16"/>
  <c r="AL58" i="16"/>
  <c r="AM58" i="16"/>
  <c r="AN58" i="16"/>
  <c r="AO58" i="16"/>
  <c r="AL59" i="16"/>
  <c r="AM59" i="16"/>
  <c r="AN59" i="16"/>
  <c r="AO59" i="16"/>
  <c r="AL60" i="16"/>
  <c r="AM60" i="16"/>
  <c r="AN60" i="16"/>
  <c r="AO60" i="16"/>
  <c r="AL61" i="16"/>
  <c r="AM61" i="16"/>
  <c r="AN61" i="16"/>
  <c r="AO61" i="16"/>
  <c r="AL62" i="16"/>
  <c r="AM62" i="16"/>
  <c r="AN62" i="16"/>
  <c r="AO62" i="16"/>
  <c r="AL63" i="16"/>
  <c r="AM63" i="16"/>
  <c r="AN63" i="16"/>
  <c r="AO63" i="16"/>
  <c r="AL64" i="16"/>
  <c r="AM64" i="16"/>
  <c r="AN64" i="16"/>
  <c r="AO64" i="16"/>
  <c r="AL65" i="16"/>
  <c r="AM65" i="16"/>
  <c r="AN65" i="16"/>
  <c r="AO65" i="16"/>
  <c r="AL66" i="16"/>
  <c r="AM66" i="16"/>
  <c r="AN66" i="16"/>
  <c r="AO66" i="16"/>
  <c r="AL67" i="16"/>
  <c r="AM67" i="16"/>
  <c r="AN67" i="16"/>
  <c r="AO67" i="16"/>
  <c r="AL68" i="16"/>
  <c r="AM68" i="16"/>
  <c r="AN68" i="16"/>
  <c r="AO68" i="16"/>
  <c r="AL69" i="16"/>
  <c r="AM69" i="16"/>
  <c r="AN69" i="16"/>
  <c r="AO69" i="16"/>
  <c r="AL70" i="16"/>
  <c r="AM70" i="16"/>
  <c r="AN70" i="16"/>
  <c r="AO70" i="16"/>
  <c r="AL71" i="16"/>
  <c r="AM71" i="16"/>
  <c r="AN71" i="16"/>
  <c r="AO71" i="16"/>
  <c r="AL72" i="16"/>
  <c r="AM72" i="16"/>
  <c r="AN72" i="16"/>
  <c r="AO72" i="16"/>
  <c r="AL73" i="16"/>
  <c r="AM73" i="16"/>
  <c r="AN73" i="16"/>
  <c r="AO73" i="16"/>
  <c r="AL74" i="16"/>
  <c r="AM74" i="16"/>
  <c r="AN74" i="16"/>
  <c r="AO74" i="16"/>
  <c r="AL75" i="16"/>
  <c r="AM75" i="16"/>
  <c r="AN75" i="16"/>
  <c r="AO75" i="16"/>
  <c r="AL76" i="16"/>
  <c r="AM76" i="16"/>
  <c r="AN76" i="16"/>
  <c r="AO76" i="16"/>
  <c r="AL77" i="16"/>
  <c r="AM77" i="16"/>
  <c r="AN77" i="16"/>
  <c r="AO77" i="16"/>
  <c r="AL78" i="16"/>
  <c r="AM78" i="16"/>
  <c r="AN78" i="16"/>
  <c r="AO78" i="16"/>
  <c r="AL79" i="16"/>
  <c r="AM79" i="16"/>
  <c r="AN79" i="16"/>
  <c r="AO79" i="16"/>
  <c r="AL80" i="16"/>
  <c r="AM80" i="16"/>
  <c r="AN80" i="16"/>
  <c r="AO80" i="16"/>
  <c r="AL81" i="16"/>
  <c r="AM81" i="16"/>
  <c r="AN81" i="16"/>
  <c r="AO81" i="16"/>
  <c r="AL82" i="16"/>
  <c r="AM82" i="16"/>
  <c r="AN82" i="16"/>
  <c r="AO82" i="16"/>
  <c r="AL83" i="16"/>
  <c r="AM83" i="16"/>
  <c r="AN83" i="16"/>
  <c r="AO83" i="16"/>
  <c r="AL84" i="16"/>
  <c r="AM84" i="16"/>
  <c r="AN84" i="16"/>
  <c r="AO84" i="16"/>
  <c r="AL85" i="16"/>
  <c r="AM85" i="16"/>
  <c r="AN85" i="16"/>
  <c r="AO85" i="16"/>
  <c r="AL86" i="16"/>
  <c r="AM86" i="16"/>
  <c r="AN86" i="16"/>
  <c r="AO86" i="16"/>
  <c r="AL87" i="16"/>
  <c r="AM87" i="16"/>
  <c r="AN87" i="16"/>
  <c r="AO87" i="16"/>
  <c r="AL88" i="16"/>
  <c r="AM88" i="16"/>
  <c r="AN88" i="16"/>
  <c r="AO88" i="16"/>
  <c r="AL89" i="16"/>
  <c r="AM89" i="16"/>
  <c r="AN89" i="16"/>
  <c r="AO89" i="16"/>
  <c r="AL90" i="16"/>
  <c r="AM90" i="16"/>
  <c r="AN90" i="16"/>
  <c r="AO90" i="16"/>
  <c r="AL91" i="16"/>
  <c r="AM91" i="16"/>
  <c r="AN91" i="16"/>
  <c r="AO91" i="16"/>
  <c r="AL92" i="16"/>
  <c r="AM92" i="16"/>
  <c r="AN92" i="16"/>
  <c r="AO92" i="16"/>
  <c r="AL93" i="16"/>
  <c r="AM93" i="16"/>
  <c r="AN93" i="16"/>
  <c r="AO93" i="16"/>
  <c r="AL94" i="16"/>
  <c r="AM94" i="16"/>
  <c r="AN94" i="16"/>
  <c r="AO94" i="16"/>
  <c r="AL95" i="16"/>
  <c r="AM95" i="16"/>
  <c r="AN95" i="16"/>
  <c r="AO95" i="16"/>
  <c r="AL96" i="16"/>
  <c r="AM96" i="16"/>
  <c r="AN96" i="16"/>
  <c r="AO96" i="16"/>
  <c r="AL97" i="16"/>
  <c r="AM97" i="16"/>
  <c r="AN97" i="16"/>
  <c r="AO97" i="16"/>
  <c r="AL98" i="16"/>
  <c r="AM98" i="16"/>
  <c r="AN98" i="16"/>
  <c r="AO98" i="16"/>
  <c r="AL99" i="16"/>
  <c r="AM99" i="16"/>
  <c r="AN99" i="16"/>
  <c r="AO99" i="16"/>
  <c r="AL100" i="16"/>
  <c r="AM100" i="16"/>
  <c r="AN100" i="16"/>
  <c r="AO100" i="16"/>
  <c r="AL101" i="16"/>
  <c r="AM101" i="16"/>
  <c r="AN101" i="16"/>
  <c r="AO101" i="16"/>
  <c r="AL102" i="16"/>
  <c r="AM102" i="16"/>
  <c r="AN102" i="16"/>
  <c r="AO102" i="16"/>
  <c r="AL103" i="16"/>
  <c r="AM103" i="16"/>
  <c r="AN103" i="16"/>
  <c r="AO103" i="16"/>
  <c r="AL104" i="16"/>
  <c r="AM104" i="16"/>
  <c r="AN104" i="16"/>
  <c r="AO104" i="16"/>
  <c r="AL105" i="16"/>
  <c r="AM105" i="16"/>
  <c r="AN105" i="16"/>
  <c r="AO105" i="16"/>
  <c r="AL106" i="16"/>
  <c r="AM106" i="16"/>
  <c r="AN106" i="16"/>
  <c r="AO106" i="16"/>
  <c r="AL107" i="16"/>
  <c r="AM107" i="16"/>
  <c r="AN107" i="16"/>
  <c r="AO107" i="16"/>
  <c r="AL108" i="16"/>
  <c r="AM108" i="16"/>
  <c r="AN108" i="16"/>
  <c r="AO108" i="16"/>
  <c r="AL109" i="16"/>
  <c r="AM109" i="16"/>
  <c r="AN109" i="16"/>
  <c r="AO109" i="16"/>
  <c r="AL110" i="16"/>
  <c r="AM110" i="16"/>
  <c r="AN110" i="16"/>
  <c r="AO110" i="16"/>
  <c r="AL111" i="16"/>
  <c r="AM111" i="16"/>
  <c r="AN111" i="16"/>
  <c r="AO111" i="16"/>
  <c r="AL112" i="16"/>
  <c r="AM112" i="16"/>
  <c r="AN112" i="16"/>
  <c r="AO112" i="16"/>
  <c r="AL113" i="16"/>
  <c r="AM113" i="16"/>
  <c r="AN113" i="16"/>
  <c r="AO113" i="16"/>
  <c r="AL114" i="16"/>
  <c r="AM114" i="16"/>
  <c r="AN114" i="16"/>
  <c r="AO114" i="16"/>
  <c r="AL115" i="16"/>
  <c r="AM115" i="16"/>
  <c r="AN115" i="16"/>
  <c r="AO115" i="16"/>
  <c r="AL116" i="16"/>
  <c r="AM116" i="16"/>
  <c r="AN116" i="16"/>
  <c r="AO116" i="16"/>
  <c r="AL117" i="16"/>
  <c r="AM117" i="16"/>
  <c r="AN117" i="16"/>
  <c r="AO117" i="16"/>
  <c r="AL118" i="16"/>
  <c r="AM118" i="16"/>
  <c r="AN118" i="16"/>
  <c r="AO118" i="16"/>
  <c r="AL119" i="16"/>
  <c r="AM119" i="16"/>
  <c r="AN119" i="16"/>
  <c r="AO119" i="16"/>
  <c r="AL120" i="16"/>
  <c r="AM120" i="16"/>
  <c r="AN120" i="16"/>
  <c r="AO120" i="16"/>
  <c r="AL121" i="16"/>
  <c r="AM121" i="16"/>
  <c r="AN121" i="16"/>
  <c r="AO121" i="16"/>
  <c r="AL122" i="16"/>
  <c r="AM122" i="16"/>
  <c r="AN122" i="16"/>
  <c r="AO122" i="16"/>
  <c r="AL123" i="16"/>
  <c r="AM123" i="16"/>
  <c r="AN123" i="16"/>
  <c r="AO123" i="16"/>
  <c r="AL124" i="16"/>
  <c r="AM124" i="16"/>
  <c r="AN124" i="16"/>
  <c r="AO124" i="16"/>
  <c r="AL125" i="16"/>
  <c r="AM125" i="16"/>
  <c r="AN125" i="16"/>
  <c r="AO125" i="16"/>
  <c r="AL126" i="16"/>
  <c r="AM126" i="16"/>
  <c r="AN126" i="16"/>
  <c r="AO126" i="16"/>
  <c r="AL127" i="16"/>
  <c r="AM127" i="16"/>
  <c r="AN127" i="16"/>
  <c r="AO127" i="16"/>
  <c r="AL128" i="16"/>
  <c r="AM128" i="16"/>
  <c r="AN128" i="16"/>
  <c r="AO128" i="16"/>
  <c r="AL129" i="16"/>
  <c r="AM129" i="16"/>
  <c r="AN129" i="16"/>
  <c r="AO129" i="16"/>
  <c r="AL130" i="16"/>
  <c r="AM130" i="16"/>
  <c r="AN130" i="16"/>
  <c r="AO130" i="16"/>
  <c r="AL131" i="16"/>
  <c r="AM131" i="16"/>
  <c r="AN131" i="16"/>
  <c r="AO131" i="16"/>
  <c r="AL132" i="16"/>
  <c r="AM132" i="16"/>
  <c r="AN132" i="16"/>
  <c r="AO132" i="16"/>
  <c r="AL133" i="16"/>
  <c r="AM133" i="16"/>
  <c r="AN133" i="16"/>
  <c r="AO133" i="16"/>
  <c r="AL134" i="16"/>
  <c r="AM134" i="16"/>
  <c r="AN134" i="16"/>
  <c r="AO134" i="16"/>
  <c r="AL135" i="16"/>
  <c r="AM135" i="16"/>
  <c r="AN135" i="16"/>
  <c r="AO135" i="16"/>
  <c r="AL136" i="16"/>
  <c r="AM136" i="16"/>
  <c r="AN136" i="16"/>
  <c r="AO136" i="16"/>
  <c r="AL137" i="16"/>
  <c r="AM137" i="16"/>
  <c r="AN137" i="16"/>
  <c r="AO137" i="16"/>
  <c r="AL138" i="16"/>
  <c r="AM138" i="16"/>
  <c r="AN138" i="16"/>
  <c r="AO138" i="16"/>
  <c r="AL139" i="16"/>
  <c r="AM139" i="16"/>
  <c r="AN139" i="16"/>
  <c r="AO139" i="16"/>
  <c r="AL140" i="16"/>
  <c r="AM140" i="16"/>
  <c r="AN140" i="16"/>
  <c r="AO140" i="16"/>
  <c r="AL141" i="16"/>
  <c r="AM141" i="16"/>
  <c r="AN141" i="16"/>
  <c r="AO141" i="16"/>
  <c r="AL142" i="16"/>
  <c r="AM142" i="16"/>
  <c r="AN142" i="16"/>
  <c r="AO142" i="16"/>
  <c r="AL143" i="16"/>
  <c r="AM143" i="16"/>
  <c r="AN143" i="16"/>
  <c r="AO143" i="16"/>
  <c r="AL144" i="16"/>
  <c r="AM144" i="16"/>
  <c r="AN144" i="16"/>
  <c r="AO144" i="16"/>
  <c r="AL145" i="16"/>
  <c r="AM145" i="16"/>
  <c r="AN145" i="16"/>
  <c r="AO145" i="16"/>
  <c r="AL146" i="16"/>
  <c r="AM146" i="16"/>
  <c r="AN146" i="16"/>
  <c r="AO146" i="16"/>
  <c r="AL147" i="16"/>
  <c r="AM147" i="16"/>
  <c r="AN147" i="16"/>
  <c r="AO147" i="16"/>
  <c r="AL148" i="16"/>
  <c r="AM148" i="16"/>
  <c r="AN148" i="16"/>
  <c r="AO148" i="16"/>
  <c r="AL149" i="16"/>
  <c r="S149" i="16" s="1"/>
  <c r="AM149" i="16"/>
  <c r="T149" i="16" s="1"/>
  <c r="AN149" i="16"/>
  <c r="U149" i="16" s="1"/>
  <c r="AO149" i="16"/>
  <c r="V149" i="16" s="1"/>
  <c r="AL150" i="16"/>
  <c r="S150" i="16" s="1"/>
  <c r="AM150" i="16"/>
  <c r="T150" i="16" s="1"/>
  <c r="AN150" i="16"/>
  <c r="U150" i="16" s="1"/>
  <c r="AO150" i="16"/>
  <c r="V150" i="16" s="1"/>
  <c r="AL151" i="16"/>
  <c r="S151" i="16" s="1"/>
  <c r="AM151" i="16"/>
  <c r="T151" i="16" s="1"/>
  <c r="AN151" i="16"/>
  <c r="U151" i="16" s="1"/>
  <c r="AO151" i="16"/>
  <c r="V151" i="16" s="1"/>
  <c r="AL152" i="16"/>
  <c r="S152" i="16" s="1"/>
  <c r="AM152" i="16"/>
  <c r="T152" i="16" s="1"/>
  <c r="AN152" i="16"/>
  <c r="U152" i="16" s="1"/>
  <c r="AO152" i="16"/>
  <c r="V152" i="16" s="1"/>
  <c r="AL153" i="16"/>
  <c r="S153" i="16" s="1"/>
  <c r="AM153" i="16"/>
  <c r="T153" i="16" s="1"/>
  <c r="AN153" i="16"/>
  <c r="U153" i="16" s="1"/>
  <c r="AO153" i="16"/>
  <c r="V153" i="16" s="1"/>
  <c r="AL154" i="16"/>
  <c r="S154" i="16" s="1"/>
  <c r="AM154" i="16"/>
  <c r="T154" i="16" s="1"/>
  <c r="AN154" i="16"/>
  <c r="U154" i="16" s="1"/>
  <c r="AO154" i="16"/>
  <c r="V154" i="16" s="1"/>
  <c r="AL155" i="16"/>
  <c r="S155" i="16" s="1"/>
  <c r="AM155" i="16"/>
  <c r="T155" i="16" s="1"/>
  <c r="AN155" i="16"/>
  <c r="U155" i="16" s="1"/>
  <c r="AO155" i="16"/>
  <c r="V155" i="16" s="1"/>
  <c r="AL156" i="16"/>
  <c r="S156" i="16" s="1"/>
  <c r="AM156" i="16"/>
  <c r="T156" i="16" s="1"/>
  <c r="AN156" i="16"/>
  <c r="U156" i="16" s="1"/>
  <c r="AO156" i="16"/>
  <c r="V156" i="16" s="1"/>
  <c r="AL157" i="16"/>
  <c r="S157" i="16" s="1"/>
  <c r="AM157" i="16"/>
  <c r="T157" i="16" s="1"/>
  <c r="AN157" i="16"/>
  <c r="U157" i="16" s="1"/>
  <c r="AO157" i="16"/>
  <c r="V157" i="16" s="1"/>
  <c r="AL158" i="16"/>
  <c r="S158" i="16" s="1"/>
  <c r="AM158" i="16"/>
  <c r="T158" i="16" s="1"/>
  <c r="AN158" i="16"/>
  <c r="U158" i="16" s="1"/>
  <c r="AO158" i="16"/>
  <c r="V158" i="16" s="1"/>
  <c r="AL159" i="16"/>
  <c r="S159" i="16" s="1"/>
  <c r="AM159" i="16"/>
  <c r="T159" i="16" s="1"/>
  <c r="AN159" i="16"/>
  <c r="U159" i="16" s="1"/>
  <c r="AO159" i="16"/>
  <c r="V159" i="16" s="1"/>
  <c r="AL160" i="16"/>
  <c r="S160" i="16" s="1"/>
  <c r="AM160" i="16"/>
  <c r="T160" i="16" s="1"/>
  <c r="AN160" i="16"/>
  <c r="U160" i="16" s="1"/>
  <c r="AO160" i="16"/>
  <c r="V160" i="16" s="1"/>
  <c r="AL161" i="16"/>
  <c r="S161" i="16" s="1"/>
  <c r="AM161" i="16"/>
  <c r="T161" i="16" s="1"/>
  <c r="AN161" i="16"/>
  <c r="U161" i="16" s="1"/>
  <c r="AO161" i="16"/>
  <c r="V161" i="16" s="1"/>
  <c r="AL162" i="16"/>
  <c r="S162" i="16" s="1"/>
  <c r="AM162" i="16"/>
  <c r="T162" i="16" s="1"/>
  <c r="AN162" i="16"/>
  <c r="U162" i="16" s="1"/>
  <c r="AO162" i="16"/>
  <c r="V162" i="16" s="1"/>
  <c r="AL163" i="16"/>
  <c r="S163" i="16" s="1"/>
  <c r="AM163" i="16"/>
  <c r="T163" i="16" s="1"/>
  <c r="AN163" i="16"/>
  <c r="U163" i="16" s="1"/>
  <c r="AO163" i="16"/>
  <c r="V163" i="16" s="1"/>
  <c r="AL164" i="16"/>
  <c r="S164" i="16" s="1"/>
  <c r="AM164" i="16"/>
  <c r="T164" i="16" s="1"/>
  <c r="AN164" i="16"/>
  <c r="U164" i="16" s="1"/>
  <c r="AO164" i="16"/>
  <c r="V164" i="16" s="1"/>
  <c r="AL165" i="16"/>
  <c r="S165" i="16" s="1"/>
  <c r="AM165" i="16"/>
  <c r="T165" i="16" s="1"/>
  <c r="AN165" i="16"/>
  <c r="U165" i="16" s="1"/>
  <c r="AO165" i="16"/>
  <c r="V165" i="16" s="1"/>
  <c r="AL166" i="16"/>
  <c r="S166" i="16" s="1"/>
  <c r="AM166" i="16"/>
  <c r="T166" i="16" s="1"/>
  <c r="AN166" i="16"/>
  <c r="U166" i="16" s="1"/>
  <c r="AO166" i="16"/>
  <c r="V166" i="16" s="1"/>
  <c r="AL167" i="16"/>
  <c r="S167" i="16" s="1"/>
  <c r="AM167" i="16"/>
  <c r="T167" i="16" s="1"/>
  <c r="AN167" i="16"/>
  <c r="U167" i="16" s="1"/>
  <c r="AO167" i="16"/>
  <c r="V167" i="16" s="1"/>
  <c r="AL168" i="16"/>
  <c r="S168" i="16" s="1"/>
  <c r="AM168" i="16"/>
  <c r="T168" i="16" s="1"/>
  <c r="AN168" i="16"/>
  <c r="U168" i="16" s="1"/>
  <c r="AO168" i="16"/>
  <c r="V168" i="16" s="1"/>
  <c r="AL169" i="16"/>
  <c r="S169" i="16" s="1"/>
  <c r="AM169" i="16"/>
  <c r="T169" i="16" s="1"/>
  <c r="AN169" i="16"/>
  <c r="U169" i="16" s="1"/>
  <c r="AO169" i="16"/>
  <c r="V169" i="16" s="1"/>
  <c r="AL170" i="16"/>
  <c r="S170" i="16" s="1"/>
  <c r="AM170" i="16"/>
  <c r="T170" i="16" s="1"/>
  <c r="AN170" i="16"/>
  <c r="U170" i="16" s="1"/>
  <c r="AO170" i="16"/>
  <c r="V170" i="16" s="1"/>
  <c r="AL171" i="16"/>
  <c r="S171" i="16" s="1"/>
  <c r="AM171" i="16"/>
  <c r="T171" i="16" s="1"/>
  <c r="AN171" i="16"/>
  <c r="U171" i="16" s="1"/>
  <c r="AO171" i="16"/>
  <c r="V171" i="16" s="1"/>
  <c r="AL172" i="16"/>
  <c r="S172" i="16" s="1"/>
  <c r="AM172" i="16"/>
  <c r="T172" i="16" s="1"/>
  <c r="AN172" i="16"/>
  <c r="U172" i="16" s="1"/>
  <c r="AO172" i="16"/>
  <c r="V172" i="16" s="1"/>
  <c r="AL173" i="16"/>
  <c r="S173" i="16" s="1"/>
  <c r="AM173" i="16"/>
  <c r="T173" i="16" s="1"/>
  <c r="AN173" i="16"/>
  <c r="U173" i="16" s="1"/>
  <c r="AO173" i="16"/>
  <c r="V173" i="16" s="1"/>
  <c r="AL174" i="16"/>
  <c r="S174" i="16" s="1"/>
  <c r="AM174" i="16"/>
  <c r="T174" i="16" s="1"/>
  <c r="AN174" i="16"/>
  <c r="U174" i="16" s="1"/>
  <c r="AO174" i="16"/>
  <c r="V174" i="16" s="1"/>
  <c r="AL175" i="16"/>
  <c r="S175" i="16" s="1"/>
  <c r="AM175" i="16"/>
  <c r="T175" i="16" s="1"/>
  <c r="AN175" i="16"/>
  <c r="U175" i="16" s="1"/>
  <c r="AO175" i="16"/>
  <c r="V175" i="16" s="1"/>
  <c r="AL176" i="16"/>
  <c r="S176" i="16" s="1"/>
  <c r="AM176" i="16"/>
  <c r="T176" i="16" s="1"/>
  <c r="AN176" i="16"/>
  <c r="U176" i="16" s="1"/>
  <c r="AO176" i="16"/>
  <c r="V176" i="16" s="1"/>
  <c r="AL177" i="16"/>
  <c r="S177" i="16" s="1"/>
  <c r="AM177" i="16"/>
  <c r="T177" i="16" s="1"/>
  <c r="AN177" i="16"/>
  <c r="U177" i="16" s="1"/>
  <c r="AO177" i="16"/>
  <c r="V177" i="16" s="1"/>
  <c r="AL178" i="16"/>
  <c r="S178" i="16" s="1"/>
  <c r="AM178" i="16"/>
  <c r="T178" i="16" s="1"/>
  <c r="AN178" i="16"/>
  <c r="U178" i="16" s="1"/>
  <c r="AO178" i="16"/>
  <c r="V178" i="16" s="1"/>
  <c r="AL179" i="16"/>
  <c r="S179" i="16" s="1"/>
  <c r="AM179" i="16"/>
  <c r="T179" i="16" s="1"/>
  <c r="AN179" i="16"/>
  <c r="U179" i="16" s="1"/>
  <c r="AO179" i="16"/>
  <c r="V179" i="16" s="1"/>
  <c r="AL180" i="16"/>
  <c r="S180" i="16" s="1"/>
  <c r="AM180" i="16"/>
  <c r="T180" i="16" s="1"/>
  <c r="AN180" i="16"/>
  <c r="U180" i="16" s="1"/>
  <c r="AO180" i="16"/>
  <c r="V180" i="16" s="1"/>
  <c r="AL181" i="16"/>
  <c r="S181" i="16" s="1"/>
  <c r="AM181" i="16"/>
  <c r="T181" i="16" s="1"/>
  <c r="AN181" i="16"/>
  <c r="U181" i="16" s="1"/>
  <c r="AO181" i="16"/>
  <c r="V181" i="16" s="1"/>
  <c r="AL182" i="16"/>
  <c r="S182" i="16" s="1"/>
  <c r="AM182" i="16"/>
  <c r="T182" i="16" s="1"/>
  <c r="AN182" i="16"/>
  <c r="U182" i="16" s="1"/>
  <c r="AO182" i="16"/>
  <c r="V182" i="16" s="1"/>
  <c r="AL183" i="16"/>
  <c r="S183" i="16" s="1"/>
  <c r="AM183" i="16"/>
  <c r="T183" i="16" s="1"/>
  <c r="AN183" i="16"/>
  <c r="U183" i="16" s="1"/>
  <c r="AO183" i="16"/>
  <c r="V183" i="16" s="1"/>
  <c r="AL184" i="16"/>
  <c r="S184" i="16" s="1"/>
  <c r="AM184" i="16"/>
  <c r="T184" i="16" s="1"/>
  <c r="AN184" i="16"/>
  <c r="U184" i="16" s="1"/>
  <c r="AO184" i="16"/>
  <c r="V184" i="16" s="1"/>
  <c r="AL185" i="16"/>
  <c r="S185" i="16" s="1"/>
  <c r="AM185" i="16"/>
  <c r="T185" i="16" s="1"/>
  <c r="AN185" i="16"/>
  <c r="U185" i="16" s="1"/>
  <c r="AO185" i="16"/>
  <c r="V185" i="16" s="1"/>
  <c r="AL186" i="16"/>
  <c r="S186" i="16" s="1"/>
  <c r="AM186" i="16"/>
  <c r="T186" i="16" s="1"/>
  <c r="AN186" i="16"/>
  <c r="U186" i="16" s="1"/>
  <c r="AO186" i="16"/>
  <c r="V186" i="16" s="1"/>
  <c r="AL187" i="16"/>
  <c r="S187" i="16" s="1"/>
  <c r="AM187" i="16"/>
  <c r="T187" i="16" s="1"/>
  <c r="AN187" i="16"/>
  <c r="U187" i="16" s="1"/>
  <c r="AO187" i="16"/>
  <c r="V187" i="16" s="1"/>
  <c r="AL188" i="16"/>
  <c r="S188" i="16" s="1"/>
  <c r="AM188" i="16"/>
  <c r="T188" i="16" s="1"/>
  <c r="AN188" i="16"/>
  <c r="U188" i="16" s="1"/>
  <c r="AO188" i="16"/>
  <c r="V188" i="16" s="1"/>
  <c r="AL189" i="16"/>
  <c r="S189" i="16" s="1"/>
  <c r="AM189" i="16"/>
  <c r="T189" i="16" s="1"/>
  <c r="AN189" i="16"/>
  <c r="U189" i="16" s="1"/>
  <c r="AO189" i="16"/>
  <c r="V189" i="16" s="1"/>
  <c r="AL190" i="16"/>
  <c r="S190" i="16" s="1"/>
  <c r="AM190" i="16"/>
  <c r="T190" i="16" s="1"/>
  <c r="AN190" i="16"/>
  <c r="U190" i="16" s="1"/>
  <c r="AO190" i="16"/>
  <c r="V190" i="16" s="1"/>
  <c r="AL191" i="16"/>
  <c r="S191" i="16" s="1"/>
  <c r="AM191" i="16"/>
  <c r="T191" i="16" s="1"/>
  <c r="AN191" i="16"/>
  <c r="U191" i="16" s="1"/>
  <c r="AO191" i="16"/>
  <c r="V191" i="16" s="1"/>
  <c r="AL192" i="16"/>
  <c r="S192" i="16" s="1"/>
  <c r="AM192" i="16"/>
  <c r="T192" i="16" s="1"/>
  <c r="AN192" i="16"/>
  <c r="U192" i="16" s="1"/>
  <c r="AO192" i="16"/>
  <c r="V192" i="16" s="1"/>
  <c r="AL193" i="16"/>
  <c r="S193" i="16" s="1"/>
  <c r="AM193" i="16"/>
  <c r="T193" i="16" s="1"/>
  <c r="AN193" i="16"/>
  <c r="U193" i="16" s="1"/>
  <c r="AO193" i="16"/>
  <c r="V193" i="16" s="1"/>
  <c r="AL194" i="16"/>
  <c r="S194" i="16" s="1"/>
  <c r="AM194" i="16"/>
  <c r="T194" i="16" s="1"/>
  <c r="AN194" i="16"/>
  <c r="U194" i="16" s="1"/>
  <c r="AO194" i="16"/>
  <c r="V194" i="16" s="1"/>
  <c r="AL195" i="16"/>
  <c r="S195" i="16" s="1"/>
  <c r="AM195" i="16"/>
  <c r="T195" i="16" s="1"/>
  <c r="AN195" i="16"/>
  <c r="U195" i="16" s="1"/>
  <c r="AO195" i="16"/>
  <c r="V195" i="16" s="1"/>
  <c r="AL196" i="16"/>
  <c r="S196" i="16" s="1"/>
  <c r="AM196" i="16"/>
  <c r="T196" i="16" s="1"/>
  <c r="AN196" i="16"/>
  <c r="U196" i="16" s="1"/>
  <c r="AO196" i="16"/>
  <c r="V196" i="16" s="1"/>
  <c r="AL197" i="16"/>
  <c r="S197" i="16" s="1"/>
  <c r="AM197" i="16"/>
  <c r="T197" i="16" s="1"/>
  <c r="AN197" i="16"/>
  <c r="U197" i="16" s="1"/>
  <c r="AO197" i="16"/>
  <c r="V197" i="16" s="1"/>
  <c r="AL198" i="16"/>
  <c r="S198" i="16" s="1"/>
  <c r="AM198" i="16"/>
  <c r="T198" i="16" s="1"/>
  <c r="AN198" i="16"/>
  <c r="U198" i="16" s="1"/>
  <c r="AO198" i="16"/>
  <c r="V198" i="16" s="1"/>
  <c r="AL199" i="16"/>
  <c r="S199" i="16" s="1"/>
  <c r="AM199" i="16"/>
  <c r="T199" i="16" s="1"/>
  <c r="AN199" i="16"/>
  <c r="U199" i="16" s="1"/>
  <c r="AO199" i="16"/>
  <c r="V199" i="16" s="1"/>
  <c r="AL200" i="16"/>
  <c r="S200" i="16" s="1"/>
  <c r="AM200" i="16"/>
  <c r="T200" i="16" s="1"/>
  <c r="AN200" i="16"/>
  <c r="U200" i="16" s="1"/>
  <c r="AO200" i="16"/>
  <c r="V200" i="16" s="1"/>
  <c r="AL201" i="16"/>
  <c r="S201" i="16" s="1"/>
  <c r="AM201" i="16"/>
  <c r="T201" i="16" s="1"/>
  <c r="AN201" i="16"/>
  <c r="U201" i="16" s="1"/>
  <c r="AO201" i="16"/>
  <c r="V201" i="16" s="1"/>
  <c r="AL202" i="16"/>
  <c r="S202" i="16" s="1"/>
  <c r="AM202" i="16"/>
  <c r="T202" i="16" s="1"/>
  <c r="AN202" i="16"/>
  <c r="U202" i="16" s="1"/>
  <c r="AO202" i="16"/>
  <c r="V202" i="16" s="1"/>
  <c r="AL203" i="16"/>
  <c r="S203" i="16" s="1"/>
  <c r="AM203" i="16"/>
  <c r="T203" i="16" s="1"/>
  <c r="AN203" i="16"/>
  <c r="U203" i="16" s="1"/>
  <c r="AO203" i="16"/>
  <c r="V203" i="16" s="1"/>
  <c r="AL204" i="16"/>
  <c r="S204" i="16" s="1"/>
  <c r="AM204" i="16"/>
  <c r="T204" i="16" s="1"/>
  <c r="AN204" i="16"/>
  <c r="U204" i="16" s="1"/>
  <c r="AO204" i="16"/>
  <c r="V204" i="16" s="1"/>
  <c r="AL205" i="16"/>
  <c r="S205" i="16" s="1"/>
  <c r="AM205" i="16"/>
  <c r="T205" i="16" s="1"/>
  <c r="AN205" i="16"/>
  <c r="U205" i="16" s="1"/>
  <c r="AO205" i="16"/>
  <c r="V205" i="16" s="1"/>
  <c r="AL206" i="16"/>
  <c r="S206" i="16" s="1"/>
  <c r="AM206" i="16"/>
  <c r="T206" i="16" s="1"/>
  <c r="AN206" i="16"/>
  <c r="U206" i="16" s="1"/>
  <c r="AO206" i="16"/>
  <c r="V206" i="16" s="1"/>
  <c r="AL207" i="16"/>
  <c r="S207" i="16" s="1"/>
  <c r="AM207" i="16"/>
  <c r="T207" i="16" s="1"/>
  <c r="AN207" i="16"/>
  <c r="U207" i="16" s="1"/>
  <c r="AO207" i="16"/>
  <c r="V207" i="16" s="1"/>
  <c r="AL208" i="16"/>
  <c r="S208" i="16" s="1"/>
  <c r="AM208" i="16"/>
  <c r="T208" i="16" s="1"/>
  <c r="AN208" i="16"/>
  <c r="U208" i="16" s="1"/>
  <c r="AO208" i="16"/>
  <c r="V208" i="16" s="1"/>
  <c r="AL209" i="16"/>
  <c r="S209" i="16" s="1"/>
  <c r="AM209" i="16"/>
  <c r="T209" i="16" s="1"/>
  <c r="AN209" i="16"/>
  <c r="U209" i="16" s="1"/>
  <c r="AO209" i="16"/>
  <c r="V209" i="16" s="1"/>
  <c r="AL210" i="16"/>
  <c r="S210" i="16" s="1"/>
  <c r="AM210" i="16"/>
  <c r="T210" i="16" s="1"/>
  <c r="AN210" i="16"/>
  <c r="U210" i="16" s="1"/>
  <c r="AO210" i="16"/>
  <c r="V210" i="16" s="1"/>
  <c r="AL211" i="16"/>
  <c r="S211" i="16" s="1"/>
  <c r="AM211" i="16"/>
  <c r="T211" i="16" s="1"/>
  <c r="AN211" i="16"/>
  <c r="U211" i="16" s="1"/>
  <c r="AO211" i="16"/>
  <c r="V211" i="16" s="1"/>
  <c r="AL212" i="16"/>
  <c r="S212" i="16" s="1"/>
  <c r="AM212" i="16"/>
  <c r="T212" i="16" s="1"/>
  <c r="AN212" i="16"/>
  <c r="U212" i="16" s="1"/>
  <c r="AO212" i="16"/>
  <c r="V212" i="16" s="1"/>
  <c r="AL213" i="16"/>
  <c r="S213" i="16" s="1"/>
  <c r="AM213" i="16"/>
  <c r="T213" i="16" s="1"/>
  <c r="AN213" i="16"/>
  <c r="U213" i="16" s="1"/>
  <c r="AO213" i="16"/>
  <c r="V213" i="16" s="1"/>
  <c r="AL214" i="16"/>
  <c r="S214" i="16" s="1"/>
  <c r="AM214" i="16"/>
  <c r="T214" i="16" s="1"/>
  <c r="AN214" i="16"/>
  <c r="U214" i="16" s="1"/>
  <c r="AO214" i="16"/>
  <c r="V214" i="16" s="1"/>
  <c r="AL215" i="16"/>
  <c r="S215" i="16" s="1"/>
  <c r="AM215" i="16"/>
  <c r="T215" i="16" s="1"/>
  <c r="AN215" i="16"/>
  <c r="U215" i="16" s="1"/>
  <c r="AO215" i="16"/>
  <c r="V215" i="16" s="1"/>
  <c r="AL216" i="16"/>
  <c r="S216" i="16" s="1"/>
  <c r="AM216" i="16"/>
  <c r="T216" i="16" s="1"/>
  <c r="AN216" i="16"/>
  <c r="U216" i="16" s="1"/>
  <c r="AO216" i="16"/>
  <c r="V216" i="16" s="1"/>
  <c r="AL217" i="16"/>
  <c r="S217" i="16" s="1"/>
  <c r="AM217" i="16"/>
  <c r="T217" i="16" s="1"/>
  <c r="AN217" i="16"/>
  <c r="U217" i="16" s="1"/>
  <c r="AO217" i="16"/>
  <c r="V217" i="16" s="1"/>
  <c r="AL218" i="16"/>
  <c r="S218" i="16" s="1"/>
  <c r="AM218" i="16"/>
  <c r="T218" i="16" s="1"/>
  <c r="AN218" i="16"/>
  <c r="U218" i="16" s="1"/>
  <c r="AO218" i="16"/>
  <c r="V218" i="16" s="1"/>
  <c r="AL219" i="16"/>
  <c r="S219" i="16" s="1"/>
  <c r="AM219" i="16"/>
  <c r="T219" i="16" s="1"/>
  <c r="AN219" i="16"/>
  <c r="U219" i="16" s="1"/>
  <c r="AO219" i="16"/>
  <c r="V219" i="16" s="1"/>
  <c r="AL220" i="16"/>
  <c r="S220" i="16" s="1"/>
  <c r="AM220" i="16"/>
  <c r="T220" i="16" s="1"/>
  <c r="AN220" i="16"/>
  <c r="U220" i="16" s="1"/>
  <c r="AO220" i="16"/>
  <c r="V220" i="16" s="1"/>
  <c r="AL221" i="16"/>
  <c r="S221" i="16" s="1"/>
  <c r="AM221" i="16"/>
  <c r="T221" i="16" s="1"/>
  <c r="AN221" i="16"/>
  <c r="U221" i="16" s="1"/>
  <c r="AO221" i="16"/>
  <c r="V221" i="16" s="1"/>
  <c r="AL222" i="16"/>
  <c r="S222" i="16" s="1"/>
  <c r="AM222" i="16"/>
  <c r="T222" i="16" s="1"/>
  <c r="AN222" i="16"/>
  <c r="U222" i="16" s="1"/>
  <c r="AO222" i="16"/>
  <c r="V222" i="16" s="1"/>
  <c r="AL223" i="16"/>
  <c r="S223" i="16" s="1"/>
  <c r="AM223" i="16"/>
  <c r="T223" i="16" s="1"/>
  <c r="AN223" i="16"/>
  <c r="U223" i="16" s="1"/>
  <c r="AO223" i="16"/>
  <c r="V223" i="16" s="1"/>
  <c r="AL224" i="16"/>
  <c r="S224" i="16" s="1"/>
  <c r="AM224" i="16"/>
  <c r="T224" i="16" s="1"/>
  <c r="AN224" i="16"/>
  <c r="U224" i="16" s="1"/>
  <c r="AO224" i="16"/>
  <c r="V224" i="16" s="1"/>
  <c r="AL225" i="16"/>
  <c r="S225" i="16" s="1"/>
  <c r="AM225" i="16"/>
  <c r="T225" i="16" s="1"/>
  <c r="AN225" i="16"/>
  <c r="U225" i="16" s="1"/>
  <c r="AO225" i="16"/>
  <c r="V225" i="16" s="1"/>
  <c r="AL226" i="16"/>
  <c r="S226" i="16" s="1"/>
  <c r="AM226" i="16"/>
  <c r="T226" i="16" s="1"/>
  <c r="AN226" i="16"/>
  <c r="U226" i="16" s="1"/>
  <c r="AO226" i="16"/>
  <c r="V226" i="16" s="1"/>
  <c r="AL227" i="16"/>
  <c r="S227" i="16" s="1"/>
  <c r="AM227" i="16"/>
  <c r="T227" i="16" s="1"/>
  <c r="AN227" i="16"/>
  <c r="U227" i="16" s="1"/>
  <c r="AO227" i="16"/>
  <c r="V227" i="16" s="1"/>
  <c r="AL228" i="16"/>
  <c r="S228" i="16" s="1"/>
  <c r="AM228" i="16"/>
  <c r="T228" i="16" s="1"/>
  <c r="AN228" i="16"/>
  <c r="U228" i="16" s="1"/>
  <c r="AO228" i="16"/>
  <c r="V228" i="16" s="1"/>
  <c r="AL229" i="16"/>
  <c r="S229" i="16" s="1"/>
  <c r="AM229" i="16"/>
  <c r="T229" i="16" s="1"/>
  <c r="AN229" i="16"/>
  <c r="U229" i="16" s="1"/>
  <c r="AO229" i="16"/>
  <c r="V229" i="16" s="1"/>
  <c r="AL230" i="16"/>
  <c r="S230" i="16" s="1"/>
  <c r="AM230" i="16"/>
  <c r="T230" i="16" s="1"/>
  <c r="AN230" i="16"/>
  <c r="U230" i="16" s="1"/>
  <c r="AO230" i="16"/>
  <c r="V230" i="16" s="1"/>
  <c r="AL231" i="16"/>
  <c r="S231" i="16" s="1"/>
  <c r="AM231" i="16"/>
  <c r="T231" i="16" s="1"/>
  <c r="AN231" i="16"/>
  <c r="U231" i="16" s="1"/>
  <c r="AO231" i="16"/>
  <c r="V231" i="16" s="1"/>
  <c r="AL232" i="16"/>
  <c r="S232" i="16" s="1"/>
  <c r="AM232" i="16"/>
  <c r="T232" i="16" s="1"/>
  <c r="AN232" i="16"/>
  <c r="U232" i="16" s="1"/>
  <c r="AO232" i="16"/>
  <c r="V232" i="16" s="1"/>
  <c r="AL233" i="16"/>
  <c r="AM233" i="16"/>
  <c r="AN233" i="16"/>
  <c r="AO233" i="16"/>
  <c r="AL234" i="16"/>
  <c r="AM234" i="16"/>
  <c r="AN234" i="16"/>
  <c r="AO234" i="16"/>
  <c r="AL235" i="16"/>
  <c r="AM235" i="16"/>
  <c r="AN235" i="16"/>
  <c r="AO235" i="16"/>
  <c r="AL236" i="16"/>
  <c r="AM236" i="16"/>
  <c r="AN236" i="16"/>
  <c r="AO236" i="16"/>
  <c r="AL237" i="16"/>
  <c r="AM237" i="16"/>
  <c r="AN237" i="16"/>
  <c r="AO237" i="16"/>
  <c r="AL238" i="16"/>
  <c r="AM238" i="16"/>
  <c r="AN238" i="16"/>
  <c r="AO238" i="16"/>
  <c r="AL239" i="16"/>
  <c r="AM239" i="16"/>
  <c r="AN239" i="16"/>
  <c r="AO239" i="16"/>
  <c r="AL240" i="16"/>
  <c r="AM240" i="16"/>
  <c r="AN240" i="16"/>
  <c r="AO240" i="16"/>
  <c r="AL241" i="16"/>
  <c r="AM241" i="16"/>
  <c r="AN241" i="16"/>
  <c r="AO241" i="16"/>
  <c r="AL242" i="16"/>
  <c r="AM242" i="16"/>
  <c r="AN242" i="16"/>
  <c r="AO242" i="16"/>
  <c r="AL243" i="16"/>
  <c r="AM243" i="16"/>
  <c r="AN243" i="16"/>
  <c r="AO243" i="16"/>
  <c r="AL244" i="16"/>
  <c r="AM244" i="16"/>
  <c r="AN244" i="16"/>
  <c r="AO244" i="16"/>
  <c r="AL245" i="16"/>
  <c r="AM245" i="16"/>
  <c r="AN245" i="16"/>
  <c r="AO245" i="16"/>
  <c r="AL246" i="16"/>
  <c r="AM246" i="16"/>
  <c r="AN246" i="16"/>
  <c r="AO246" i="16"/>
  <c r="AL247" i="16"/>
  <c r="AM247" i="16"/>
  <c r="AN247" i="16"/>
  <c r="AO247" i="16"/>
  <c r="AL248" i="16"/>
  <c r="AM248" i="16"/>
  <c r="AN248" i="16"/>
  <c r="AO248" i="16"/>
  <c r="AL249" i="16"/>
  <c r="AM249" i="16"/>
  <c r="AN249" i="16"/>
  <c r="AO249" i="16"/>
  <c r="AL250" i="16"/>
  <c r="AM250" i="16"/>
  <c r="AN250" i="16"/>
  <c r="AO250" i="16"/>
  <c r="AL251" i="16"/>
  <c r="AM251" i="16"/>
  <c r="AN251" i="16"/>
  <c r="AO251" i="16"/>
  <c r="AL252" i="16"/>
  <c r="AM252" i="16"/>
  <c r="AN252" i="16"/>
  <c r="AO252" i="16"/>
  <c r="AL253" i="16"/>
  <c r="AM253" i="16"/>
  <c r="AN253" i="16"/>
  <c r="AO253" i="16"/>
  <c r="AL254" i="16"/>
  <c r="S254" i="16" s="1"/>
  <c r="AM254" i="16"/>
  <c r="T254" i="16" s="1"/>
  <c r="AN254" i="16"/>
  <c r="U254" i="16" s="1"/>
  <c r="AO254" i="16"/>
  <c r="V254" i="16" s="1"/>
  <c r="AL255" i="16"/>
  <c r="S255" i="16" s="1"/>
  <c r="AM255" i="16"/>
  <c r="T255" i="16" s="1"/>
  <c r="AN255" i="16"/>
  <c r="U255" i="16" s="1"/>
  <c r="AO255" i="16"/>
  <c r="V255" i="16" s="1"/>
  <c r="AL256" i="16"/>
  <c r="S256" i="16" s="1"/>
  <c r="AM256" i="16"/>
  <c r="T256" i="16" s="1"/>
  <c r="AN256" i="16"/>
  <c r="U256" i="16" s="1"/>
  <c r="AO256" i="16"/>
  <c r="V256" i="16" s="1"/>
  <c r="AL257" i="16"/>
  <c r="S257" i="16" s="1"/>
  <c r="AM257" i="16"/>
  <c r="T257" i="16" s="1"/>
  <c r="AN257" i="16"/>
  <c r="U257" i="16" s="1"/>
  <c r="AO257" i="16"/>
  <c r="V257" i="16" s="1"/>
  <c r="AL258" i="16"/>
  <c r="S258" i="16" s="1"/>
  <c r="AM258" i="16"/>
  <c r="T258" i="16" s="1"/>
  <c r="AN258" i="16"/>
  <c r="U258" i="16" s="1"/>
  <c r="AO258" i="16"/>
  <c r="V258" i="16" s="1"/>
  <c r="AL259" i="16"/>
  <c r="S259" i="16" s="1"/>
  <c r="AM259" i="16"/>
  <c r="T259" i="16" s="1"/>
  <c r="AN259" i="16"/>
  <c r="U259" i="16" s="1"/>
  <c r="AO259" i="16"/>
  <c r="V259" i="16" s="1"/>
  <c r="AL260" i="16"/>
  <c r="S260" i="16" s="1"/>
  <c r="AM260" i="16"/>
  <c r="T260" i="16" s="1"/>
  <c r="AN260" i="16"/>
  <c r="U260" i="16" s="1"/>
  <c r="AO260" i="16"/>
  <c r="V260" i="16" s="1"/>
  <c r="AL261" i="16"/>
  <c r="S261" i="16" s="1"/>
  <c r="AM261" i="16"/>
  <c r="T261" i="16" s="1"/>
  <c r="AN261" i="16"/>
  <c r="U261" i="16" s="1"/>
  <c r="AO261" i="16"/>
  <c r="V261" i="16" s="1"/>
  <c r="AL262" i="16"/>
  <c r="S262" i="16" s="1"/>
  <c r="AM262" i="16"/>
  <c r="T262" i="16" s="1"/>
  <c r="AN262" i="16"/>
  <c r="U262" i="16" s="1"/>
  <c r="AO262" i="16"/>
  <c r="V262" i="16" s="1"/>
  <c r="AL263" i="16"/>
  <c r="S263" i="16" s="1"/>
  <c r="AM263" i="16"/>
  <c r="T263" i="16" s="1"/>
  <c r="AN263" i="16"/>
  <c r="U263" i="16" s="1"/>
  <c r="AO263" i="16"/>
  <c r="V263" i="16" s="1"/>
  <c r="AL264" i="16"/>
  <c r="S264" i="16" s="1"/>
  <c r="AM264" i="16"/>
  <c r="T264" i="16" s="1"/>
  <c r="AN264" i="16"/>
  <c r="U264" i="16" s="1"/>
  <c r="AO264" i="16"/>
  <c r="V264" i="16" s="1"/>
  <c r="AL265" i="16"/>
  <c r="S265" i="16" s="1"/>
  <c r="AM265" i="16"/>
  <c r="T265" i="16" s="1"/>
  <c r="AN265" i="16"/>
  <c r="U265" i="16" s="1"/>
  <c r="AO265" i="16"/>
  <c r="V265" i="16" s="1"/>
  <c r="AL266" i="16"/>
  <c r="S266" i="16" s="1"/>
  <c r="AM266" i="16"/>
  <c r="T266" i="16" s="1"/>
  <c r="AN266" i="16"/>
  <c r="U266" i="16" s="1"/>
  <c r="AO266" i="16"/>
  <c r="V266" i="16" s="1"/>
  <c r="AL267" i="16"/>
  <c r="S267" i="16" s="1"/>
  <c r="AM267" i="16"/>
  <c r="T267" i="16" s="1"/>
  <c r="AN267" i="16"/>
  <c r="U267" i="16" s="1"/>
  <c r="AO267" i="16"/>
  <c r="V267" i="16" s="1"/>
  <c r="AL268" i="16"/>
  <c r="S268" i="16" s="1"/>
  <c r="AM268" i="16"/>
  <c r="T268" i="16" s="1"/>
  <c r="AN268" i="16"/>
  <c r="U268" i="16" s="1"/>
  <c r="AO268" i="16"/>
  <c r="V268" i="16" s="1"/>
  <c r="AL269" i="16"/>
  <c r="S269" i="16" s="1"/>
  <c r="AM269" i="16"/>
  <c r="T269" i="16" s="1"/>
  <c r="AN269" i="16"/>
  <c r="U269" i="16" s="1"/>
  <c r="AO269" i="16"/>
  <c r="V269" i="16" s="1"/>
  <c r="AL270" i="16"/>
  <c r="S270" i="16" s="1"/>
  <c r="AM270" i="16"/>
  <c r="T270" i="16" s="1"/>
  <c r="AN270" i="16"/>
  <c r="U270" i="16" s="1"/>
  <c r="AO270" i="16"/>
  <c r="V270" i="16" s="1"/>
  <c r="AL271" i="16"/>
  <c r="S271" i="16" s="1"/>
  <c r="AM271" i="16"/>
  <c r="T271" i="16" s="1"/>
  <c r="AN271" i="16"/>
  <c r="U271" i="16" s="1"/>
  <c r="AO271" i="16"/>
  <c r="V271" i="16" s="1"/>
  <c r="AL272" i="16"/>
  <c r="S272" i="16" s="1"/>
  <c r="AM272" i="16"/>
  <c r="T272" i="16" s="1"/>
  <c r="AN272" i="16"/>
  <c r="U272" i="16" s="1"/>
  <c r="AO272" i="16"/>
  <c r="V272" i="16" s="1"/>
  <c r="AL273" i="16"/>
  <c r="S273" i="16" s="1"/>
  <c r="AM273" i="16"/>
  <c r="T273" i="16" s="1"/>
  <c r="AN273" i="16"/>
  <c r="U273" i="16" s="1"/>
  <c r="AO273" i="16"/>
  <c r="V273" i="16" s="1"/>
  <c r="AL274" i="16"/>
  <c r="S274" i="16" s="1"/>
  <c r="AM274" i="16"/>
  <c r="T274" i="16" s="1"/>
  <c r="AN274" i="16"/>
  <c r="U274" i="16" s="1"/>
  <c r="AO274" i="16"/>
  <c r="V274" i="16" s="1"/>
  <c r="AL275" i="16"/>
  <c r="S275" i="16" s="1"/>
  <c r="AM275" i="16"/>
  <c r="T275" i="16" s="1"/>
  <c r="AN275" i="16"/>
  <c r="U275" i="16" s="1"/>
  <c r="AO275" i="16"/>
  <c r="V275" i="16" s="1"/>
  <c r="AL276" i="16"/>
  <c r="S276" i="16" s="1"/>
  <c r="AM276" i="16"/>
  <c r="T276" i="16" s="1"/>
  <c r="AN276" i="16"/>
  <c r="U276" i="16" s="1"/>
  <c r="AO276" i="16"/>
  <c r="V276" i="16" s="1"/>
  <c r="AL277" i="16"/>
  <c r="S277" i="16" s="1"/>
  <c r="AM277" i="16"/>
  <c r="T277" i="16" s="1"/>
  <c r="AN277" i="16"/>
  <c r="U277" i="16" s="1"/>
  <c r="AO277" i="16"/>
  <c r="V277" i="16" s="1"/>
  <c r="AL278" i="16"/>
  <c r="S278" i="16" s="1"/>
  <c r="AM278" i="16"/>
  <c r="T278" i="16" s="1"/>
  <c r="AN278" i="16"/>
  <c r="U278" i="16" s="1"/>
  <c r="AO278" i="16"/>
  <c r="V278" i="16" s="1"/>
  <c r="AL279" i="16"/>
  <c r="S279" i="16" s="1"/>
  <c r="AM279" i="16"/>
  <c r="T279" i="16" s="1"/>
  <c r="AN279" i="16"/>
  <c r="U279" i="16" s="1"/>
  <c r="AO279" i="16"/>
  <c r="V279" i="16" s="1"/>
  <c r="AL280" i="16"/>
  <c r="S280" i="16" s="1"/>
  <c r="AM280" i="16"/>
  <c r="T280" i="16" s="1"/>
  <c r="AN280" i="16"/>
  <c r="U280" i="16" s="1"/>
  <c r="AO280" i="16"/>
  <c r="V280" i="16" s="1"/>
  <c r="AL281" i="16"/>
  <c r="S281" i="16" s="1"/>
  <c r="AM281" i="16"/>
  <c r="T281" i="16" s="1"/>
  <c r="AN281" i="16"/>
  <c r="U281" i="16" s="1"/>
  <c r="AO281" i="16"/>
  <c r="V281" i="16" s="1"/>
  <c r="AL282" i="16"/>
  <c r="S282" i="16" s="1"/>
  <c r="AM282" i="16"/>
  <c r="T282" i="16" s="1"/>
  <c r="AN282" i="16"/>
  <c r="U282" i="16" s="1"/>
  <c r="AO282" i="16"/>
  <c r="V282" i="16" s="1"/>
  <c r="AL283" i="16"/>
  <c r="S283" i="16" s="1"/>
  <c r="AM283" i="16"/>
  <c r="T283" i="16" s="1"/>
  <c r="AN283" i="16"/>
  <c r="U283" i="16" s="1"/>
  <c r="AO283" i="16"/>
  <c r="V283" i="16" s="1"/>
  <c r="AL284" i="16"/>
  <c r="S284" i="16" s="1"/>
  <c r="AM284" i="16"/>
  <c r="T284" i="16" s="1"/>
  <c r="AN284" i="16"/>
  <c r="U284" i="16" s="1"/>
  <c r="AO284" i="16"/>
  <c r="V284" i="16" s="1"/>
  <c r="AL285" i="16"/>
  <c r="S285" i="16" s="1"/>
  <c r="AM285" i="16"/>
  <c r="T285" i="16" s="1"/>
  <c r="AN285" i="16"/>
  <c r="U285" i="16" s="1"/>
  <c r="AO285" i="16"/>
  <c r="V285" i="16" s="1"/>
  <c r="AL286" i="16"/>
  <c r="S286" i="16" s="1"/>
  <c r="AM286" i="16"/>
  <c r="T286" i="16" s="1"/>
  <c r="AN286" i="16"/>
  <c r="U286" i="16" s="1"/>
  <c r="AO286" i="16"/>
  <c r="V286" i="16" s="1"/>
  <c r="AL287" i="16"/>
  <c r="S287" i="16" s="1"/>
  <c r="AM287" i="16"/>
  <c r="T287" i="16" s="1"/>
  <c r="AN287" i="16"/>
  <c r="U287" i="16" s="1"/>
  <c r="AO287" i="16"/>
  <c r="V287" i="16" s="1"/>
  <c r="AL288" i="16"/>
  <c r="S288" i="16" s="1"/>
  <c r="AM288" i="16"/>
  <c r="T288" i="16" s="1"/>
  <c r="AN288" i="16"/>
  <c r="U288" i="16" s="1"/>
  <c r="AO288" i="16"/>
  <c r="V288" i="16" s="1"/>
  <c r="AL289" i="16"/>
  <c r="S289" i="16" s="1"/>
  <c r="AM289" i="16"/>
  <c r="T289" i="16" s="1"/>
  <c r="AN289" i="16"/>
  <c r="U289" i="16" s="1"/>
  <c r="AO289" i="16"/>
  <c r="V289" i="16" s="1"/>
  <c r="AL290" i="16"/>
  <c r="S290" i="16" s="1"/>
  <c r="AM290" i="16"/>
  <c r="T290" i="16" s="1"/>
  <c r="AN290" i="16"/>
  <c r="U290" i="16" s="1"/>
  <c r="AO290" i="16"/>
  <c r="V290" i="16" s="1"/>
  <c r="AL291" i="16"/>
  <c r="S291" i="16" s="1"/>
  <c r="AM291" i="16"/>
  <c r="T291" i="16" s="1"/>
  <c r="AN291" i="16"/>
  <c r="U291" i="16" s="1"/>
  <c r="AO291" i="16"/>
  <c r="V291" i="16" s="1"/>
  <c r="AL292" i="16"/>
  <c r="S292" i="16" s="1"/>
  <c r="AM292" i="16"/>
  <c r="T292" i="16" s="1"/>
  <c r="AN292" i="16"/>
  <c r="U292" i="16" s="1"/>
  <c r="AO292" i="16"/>
  <c r="V292" i="16" s="1"/>
  <c r="AL293" i="16"/>
  <c r="S293" i="16" s="1"/>
  <c r="AM293" i="16"/>
  <c r="T293" i="16" s="1"/>
  <c r="AN293" i="16"/>
  <c r="U293" i="16" s="1"/>
  <c r="AO293" i="16"/>
  <c r="V293" i="16" s="1"/>
  <c r="AL294" i="16"/>
  <c r="S294" i="16" s="1"/>
  <c r="AM294" i="16"/>
  <c r="T294" i="16" s="1"/>
  <c r="AN294" i="16"/>
  <c r="U294" i="16" s="1"/>
  <c r="AO294" i="16"/>
  <c r="V294" i="16" s="1"/>
  <c r="AL295" i="16"/>
  <c r="S295" i="16" s="1"/>
  <c r="AM295" i="16"/>
  <c r="T295" i="16" s="1"/>
  <c r="AN295" i="16"/>
  <c r="U295" i="16" s="1"/>
  <c r="AO295" i="16"/>
  <c r="V295" i="16" s="1"/>
  <c r="AL296" i="16"/>
  <c r="AM296" i="16"/>
  <c r="AN296" i="16"/>
  <c r="AO296" i="16"/>
  <c r="AL297" i="16"/>
  <c r="AM297" i="16"/>
  <c r="AN297" i="16"/>
  <c r="AO297" i="16"/>
  <c r="AL298" i="16"/>
  <c r="AM298" i="16"/>
  <c r="AN298" i="16"/>
  <c r="AO298" i="16"/>
  <c r="AL299" i="16"/>
  <c r="AM299" i="16"/>
  <c r="AN299" i="16"/>
  <c r="AO299" i="16"/>
  <c r="AL300" i="16"/>
  <c r="AM300" i="16"/>
  <c r="AN300" i="16"/>
  <c r="AO300" i="16"/>
  <c r="AL301" i="16"/>
  <c r="AM301" i="16"/>
  <c r="AN301" i="16"/>
  <c r="AO301" i="16"/>
  <c r="AL302" i="16"/>
  <c r="AM302" i="16"/>
  <c r="AN302" i="16"/>
  <c r="AO302" i="16"/>
  <c r="AL303" i="16"/>
  <c r="AM303" i="16"/>
  <c r="AN303" i="16"/>
  <c r="AO303" i="16"/>
  <c r="AL304" i="16"/>
  <c r="AM304" i="16"/>
  <c r="AN304" i="16"/>
  <c r="AO304" i="16"/>
  <c r="AL305" i="16"/>
  <c r="AM305" i="16"/>
  <c r="AN305" i="16"/>
  <c r="AO305" i="16"/>
  <c r="AL306" i="16"/>
  <c r="AM306" i="16"/>
  <c r="AN306" i="16"/>
  <c r="AO306" i="16"/>
  <c r="AL307" i="16"/>
  <c r="AM307" i="16"/>
  <c r="AN307" i="16"/>
  <c r="AO307" i="16"/>
  <c r="AL308" i="16"/>
  <c r="AM308" i="16"/>
  <c r="AN308" i="16"/>
  <c r="AO308" i="16"/>
  <c r="AL309" i="16"/>
  <c r="AM309" i="16"/>
  <c r="AN309" i="16"/>
  <c r="AO309" i="16"/>
  <c r="AL310" i="16"/>
  <c r="AM310" i="16"/>
  <c r="AN310" i="16"/>
  <c r="AO310" i="16"/>
  <c r="AL311" i="16"/>
  <c r="AM311" i="16"/>
  <c r="AN311" i="16"/>
  <c r="AO311" i="16"/>
  <c r="AL312" i="16"/>
  <c r="AM312" i="16"/>
  <c r="AN312" i="16"/>
  <c r="AO312" i="16"/>
  <c r="AL313" i="16"/>
  <c r="AM313" i="16"/>
  <c r="AN313" i="16"/>
  <c r="AO313" i="16"/>
  <c r="AL314" i="16"/>
  <c r="AM314" i="16"/>
  <c r="AN314" i="16"/>
  <c r="AO314" i="16"/>
  <c r="AL315" i="16"/>
  <c r="AM315" i="16"/>
  <c r="AN315" i="16"/>
  <c r="AO315" i="16"/>
  <c r="AL316" i="16"/>
  <c r="AM316" i="16"/>
  <c r="AN316" i="16"/>
  <c r="AO316" i="16"/>
  <c r="AL317" i="16"/>
  <c r="AM317" i="16"/>
  <c r="AN317" i="16"/>
  <c r="AO317" i="16"/>
  <c r="AL318" i="16"/>
  <c r="AM318" i="16"/>
  <c r="AN318" i="16"/>
  <c r="AO318" i="16"/>
  <c r="AL319" i="16"/>
  <c r="AM319" i="16"/>
  <c r="AN319" i="16"/>
  <c r="AO319" i="16"/>
  <c r="AL320" i="16"/>
  <c r="AM320" i="16"/>
  <c r="AN320" i="16"/>
  <c r="AO320" i="16"/>
  <c r="AL321" i="16"/>
  <c r="AM321" i="16"/>
  <c r="AN321" i="16"/>
  <c r="AO321" i="16"/>
  <c r="AL322" i="16"/>
  <c r="AM322" i="16"/>
  <c r="AN322" i="16"/>
  <c r="AO322" i="16"/>
  <c r="AL323" i="16"/>
  <c r="AM323" i="16"/>
  <c r="AN323" i="16"/>
  <c r="AO323" i="16"/>
  <c r="AL324" i="16"/>
  <c r="AM324" i="16"/>
  <c r="AN324" i="16"/>
  <c r="AO324" i="16"/>
  <c r="AL325" i="16"/>
  <c r="AM325" i="16"/>
  <c r="AN325" i="16"/>
  <c r="AO325" i="16"/>
  <c r="AL326" i="16"/>
  <c r="AM326" i="16"/>
  <c r="AN326" i="16"/>
  <c r="AO326" i="16"/>
  <c r="AL327" i="16"/>
  <c r="AM327" i="16"/>
  <c r="AN327" i="16"/>
  <c r="AO327" i="16"/>
  <c r="AL328" i="16"/>
  <c r="AM328" i="16"/>
  <c r="AN328" i="16"/>
  <c r="AO328" i="16"/>
  <c r="AL329" i="16"/>
  <c r="AM329" i="16"/>
  <c r="AN329" i="16"/>
  <c r="AO329" i="16"/>
  <c r="AL330" i="16"/>
  <c r="AM330" i="16"/>
  <c r="AN330" i="16"/>
  <c r="AO330" i="16"/>
  <c r="AL331" i="16"/>
  <c r="AM331" i="16"/>
  <c r="AN331" i="16"/>
  <c r="AO331" i="16"/>
  <c r="AL332" i="16"/>
  <c r="AM332" i="16"/>
  <c r="AN332" i="16"/>
  <c r="AO332" i="16"/>
  <c r="AL333" i="16"/>
  <c r="AM333" i="16"/>
  <c r="AN333" i="16"/>
  <c r="AO333" i="16"/>
  <c r="AL334" i="16"/>
  <c r="AM334" i="16"/>
  <c r="AN334" i="16"/>
  <c r="AO334" i="16"/>
  <c r="AL335" i="16"/>
  <c r="AM335" i="16"/>
  <c r="AN335" i="16"/>
  <c r="AO335" i="16"/>
  <c r="AL336" i="16"/>
  <c r="AM336" i="16"/>
  <c r="AN336" i="16"/>
  <c r="AO336" i="16"/>
  <c r="AL337" i="16"/>
  <c r="AM337" i="16"/>
  <c r="AN337" i="16"/>
  <c r="AO337" i="16"/>
  <c r="AL338" i="16"/>
  <c r="AM338" i="16"/>
  <c r="AN338" i="16"/>
  <c r="AO338" i="16"/>
  <c r="AL339" i="16"/>
  <c r="AM339" i="16"/>
  <c r="AN339" i="16"/>
  <c r="AO339" i="16"/>
  <c r="AL340" i="16"/>
  <c r="AM340" i="16"/>
  <c r="AN340" i="16"/>
  <c r="AO340" i="16"/>
  <c r="AL341" i="16"/>
  <c r="AM341" i="16"/>
  <c r="AN341" i="16"/>
  <c r="AO341" i="16"/>
  <c r="AL342" i="16"/>
  <c r="AM342" i="16"/>
  <c r="AN342" i="16"/>
  <c r="AO342" i="16"/>
  <c r="AL343" i="16"/>
  <c r="AM343" i="16"/>
  <c r="AN343" i="16"/>
  <c r="AO343" i="16"/>
  <c r="AL344" i="16"/>
  <c r="AM344" i="16"/>
  <c r="AN344" i="16"/>
  <c r="AO344" i="16"/>
  <c r="AL345" i="16"/>
  <c r="AM345" i="16"/>
  <c r="AN345" i="16"/>
  <c r="AO345" i="16"/>
  <c r="AL346" i="16"/>
  <c r="AM346" i="16"/>
  <c r="AN346" i="16"/>
  <c r="AO346" i="16"/>
  <c r="AL347" i="16"/>
  <c r="AM347" i="16"/>
  <c r="AN347" i="16"/>
  <c r="AO347" i="16"/>
  <c r="AL348" i="16"/>
  <c r="AM348" i="16"/>
  <c r="AN348" i="16"/>
  <c r="AO348" i="16"/>
  <c r="AL349" i="16"/>
  <c r="AM349" i="16"/>
  <c r="AN349" i="16"/>
  <c r="AO349" i="16"/>
  <c r="AL350" i="16"/>
  <c r="AM350" i="16"/>
  <c r="AN350" i="16"/>
  <c r="AO350" i="16"/>
  <c r="AL351" i="16"/>
  <c r="AM351" i="16"/>
  <c r="AN351" i="16"/>
  <c r="AO351" i="16"/>
  <c r="AL352" i="16"/>
  <c r="AM352" i="16"/>
  <c r="AN352" i="16"/>
  <c r="AO352" i="16"/>
  <c r="AL353" i="16"/>
  <c r="AM353" i="16"/>
  <c r="AN353" i="16"/>
  <c r="AO353" i="16"/>
  <c r="AL354" i="16"/>
  <c r="AM354" i="16"/>
  <c r="AN354" i="16"/>
  <c r="AO354" i="16"/>
  <c r="AL355" i="16"/>
  <c r="AM355" i="16"/>
  <c r="AN355" i="16"/>
  <c r="AO355" i="16"/>
  <c r="AL356" i="16"/>
  <c r="AM356" i="16"/>
  <c r="AN356" i="16"/>
  <c r="AO356" i="16"/>
  <c r="AL357" i="16"/>
  <c r="AM357" i="16"/>
  <c r="AN357" i="16"/>
  <c r="AO357" i="16"/>
  <c r="AL358" i="16"/>
  <c r="AM358" i="16"/>
  <c r="AN358" i="16"/>
  <c r="AO358" i="16"/>
  <c r="AL359" i="16"/>
  <c r="AM359" i="16"/>
  <c r="AN359" i="16"/>
  <c r="AO359" i="16"/>
  <c r="AL360" i="16"/>
  <c r="AM360" i="16"/>
  <c r="AN360" i="16"/>
  <c r="AO360" i="16"/>
  <c r="AL361" i="16"/>
  <c r="AM361" i="16"/>
  <c r="AN361" i="16"/>
  <c r="AO361" i="16"/>
  <c r="AL362" i="16"/>
  <c r="AM362" i="16"/>
  <c r="AN362" i="16"/>
  <c r="AO362" i="16"/>
  <c r="AL363" i="16"/>
  <c r="AM363" i="16"/>
  <c r="AN363" i="16"/>
  <c r="AO363" i="16"/>
  <c r="AL364" i="16"/>
  <c r="AM364" i="16"/>
  <c r="AN364" i="16"/>
  <c r="AO364" i="16"/>
  <c r="AL365" i="16"/>
  <c r="AM365" i="16"/>
  <c r="AN365" i="16"/>
  <c r="AO365" i="16"/>
  <c r="AL366" i="16"/>
  <c r="AM366" i="16"/>
  <c r="AN366" i="16"/>
  <c r="AO366" i="16"/>
  <c r="AL367" i="16"/>
  <c r="AM367" i="16"/>
  <c r="AN367" i="16"/>
  <c r="AO367" i="16"/>
  <c r="AL368" i="16"/>
  <c r="AM368" i="16"/>
  <c r="AN368" i="16"/>
  <c r="AO368" i="16"/>
  <c r="AL369" i="16"/>
  <c r="AM369" i="16"/>
  <c r="AN369" i="16"/>
  <c r="AO369" i="16"/>
  <c r="AL370" i="16"/>
  <c r="AM370" i="16"/>
  <c r="AN370" i="16"/>
  <c r="AO370" i="16"/>
  <c r="AL371" i="16"/>
  <c r="AM371" i="16"/>
  <c r="AN371" i="16"/>
  <c r="AO371" i="16"/>
  <c r="AL372" i="16"/>
  <c r="AM372" i="16"/>
  <c r="AN372" i="16"/>
  <c r="AO372" i="16"/>
  <c r="AL373" i="16"/>
  <c r="AM373" i="16"/>
  <c r="AN373" i="16"/>
  <c r="AO373" i="16"/>
  <c r="AL374" i="16"/>
  <c r="AM374" i="16"/>
  <c r="AN374" i="16"/>
  <c r="AO374" i="16"/>
  <c r="AL375" i="16"/>
  <c r="AM375" i="16"/>
  <c r="AN375" i="16"/>
  <c r="AO375" i="16"/>
  <c r="AL376" i="16"/>
  <c r="AM376" i="16"/>
  <c r="AN376" i="16"/>
  <c r="AO376" i="16"/>
  <c r="AL377" i="16"/>
  <c r="AM377" i="16"/>
  <c r="AN377" i="16"/>
  <c r="AO377" i="16"/>
  <c r="AL378" i="16"/>
  <c r="AM378" i="16"/>
  <c r="AN378" i="16"/>
  <c r="AO378" i="16"/>
  <c r="AL379" i="16"/>
  <c r="AM379" i="16"/>
  <c r="AN379" i="16"/>
  <c r="AO379" i="16"/>
  <c r="AL380" i="16"/>
  <c r="AM380" i="16"/>
  <c r="AN380" i="16"/>
  <c r="AO380" i="16"/>
  <c r="AL381" i="16"/>
  <c r="AM381" i="16"/>
  <c r="AN381" i="16"/>
  <c r="AO381" i="16"/>
  <c r="AL382" i="16"/>
  <c r="AM382" i="16"/>
  <c r="AN382" i="16"/>
  <c r="AO382" i="16"/>
  <c r="AL383" i="16"/>
  <c r="AM383" i="16"/>
  <c r="AN383" i="16"/>
  <c r="AO383" i="16"/>
  <c r="AL384" i="16"/>
  <c r="AM384" i="16"/>
  <c r="AN384" i="16"/>
  <c r="AO384" i="16"/>
  <c r="AL385" i="16"/>
  <c r="AM385" i="16"/>
  <c r="AN385" i="16"/>
  <c r="AO385" i="16"/>
  <c r="AL386" i="16"/>
  <c r="AM386" i="16"/>
  <c r="AN386" i="16"/>
  <c r="AO386" i="16"/>
  <c r="AL387" i="16"/>
  <c r="AM387" i="16"/>
  <c r="AN387" i="16"/>
  <c r="AO387" i="16"/>
  <c r="AL388" i="16"/>
  <c r="AM388" i="16"/>
  <c r="AN388" i="16"/>
  <c r="AO388" i="16"/>
  <c r="AL389" i="16"/>
  <c r="AM389" i="16"/>
  <c r="AN389" i="16"/>
  <c r="AO389" i="16"/>
  <c r="AL390" i="16"/>
  <c r="AM390" i="16"/>
  <c r="AN390" i="16"/>
  <c r="AO390" i="16"/>
  <c r="AL391" i="16"/>
  <c r="AM391" i="16"/>
  <c r="AN391" i="16"/>
  <c r="AO391" i="16"/>
  <c r="AL392" i="16"/>
  <c r="AM392" i="16"/>
  <c r="AN392" i="16"/>
  <c r="AO392" i="16"/>
  <c r="AL393" i="16"/>
  <c r="AM393" i="16"/>
  <c r="AN393" i="16"/>
  <c r="AO393" i="16"/>
  <c r="AL394" i="16"/>
  <c r="AM394" i="16"/>
  <c r="AN394" i="16"/>
  <c r="AO394" i="16"/>
  <c r="AL395" i="16"/>
  <c r="AM395" i="16"/>
  <c r="AN395" i="16"/>
  <c r="AO395" i="16"/>
  <c r="AL396" i="16"/>
  <c r="AM396" i="16"/>
  <c r="AN396" i="16"/>
  <c r="AO396" i="16"/>
  <c r="AL397" i="16"/>
  <c r="AM397" i="16"/>
  <c r="AN397" i="16"/>
  <c r="AO397" i="16"/>
  <c r="AL398" i="16"/>
  <c r="AM398" i="16"/>
  <c r="AN398" i="16"/>
  <c r="AO398" i="16"/>
  <c r="AL399" i="16"/>
  <c r="AM399" i="16"/>
  <c r="AN399" i="16"/>
  <c r="AO399" i="16"/>
  <c r="AL400" i="16"/>
  <c r="AM400" i="16"/>
  <c r="AN400" i="16"/>
  <c r="AO400" i="16"/>
  <c r="AL401" i="16"/>
  <c r="S401" i="16" s="1"/>
  <c r="AM401" i="16"/>
  <c r="T401" i="16" s="1"/>
  <c r="AN401" i="16"/>
  <c r="U401" i="16" s="1"/>
  <c r="AO401" i="16"/>
  <c r="V401" i="16" s="1"/>
  <c r="AL402" i="16"/>
  <c r="S402" i="16" s="1"/>
  <c r="AM402" i="16"/>
  <c r="T402" i="16" s="1"/>
  <c r="AN402" i="16"/>
  <c r="U402" i="16" s="1"/>
  <c r="AO402" i="16"/>
  <c r="V402" i="16" s="1"/>
  <c r="AL403" i="16"/>
  <c r="S403" i="16" s="1"/>
  <c r="AM403" i="16"/>
  <c r="T403" i="16" s="1"/>
  <c r="AN403" i="16"/>
  <c r="U403" i="16" s="1"/>
  <c r="AO403" i="16"/>
  <c r="V403" i="16" s="1"/>
  <c r="AL404" i="16"/>
  <c r="S404" i="16" s="1"/>
  <c r="AM404" i="16"/>
  <c r="T404" i="16" s="1"/>
  <c r="AN404" i="16"/>
  <c r="U404" i="16" s="1"/>
  <c r="AO404" i="16"/>
  <c r="V404" i="16" s="1"/>
  <c r="AL405" i="16"/>
  <c r="S405" i="16" s="1"/>
  <c r="AM405" i="16"/>
  <c r="T405" i="16" s="1"/>
  <c r="AN405" i="16"/>
  <c r="U405" i="16" s="1"/>
  <c r="AO405" i="16"/>
  <c r="V405" i="16" s="1"/>
  <c r="AL406" i="16"/>
  <c r="S406" i="16" s="1"/>
  <c r="AM406" i="16"/>
  <c r="T406" i="16" s="1"/>
  <c r="AN406" i="16"/>
  <c r="U406" i="16" s="1"/>
  <c r="AO406" i="16"/>
  <c r="V406" i="16" s="1"/>
  <c r="AL407" i="16"/>
  <c r="S407" i="16" s="1"/>
  <c r="AM407" i="16"/>
  <c r="T407" i="16" s="1"/>
  <c r="AN407" i="16"/>
  <c r="U407" i="16" s="1"/>
  <c r="AO407" i="16"/>
  <c r="V407" i="16" s="1"/>
  <c r="AL408" i="16"/>
  <c r="S408" i="16" s="1"/>
  <c r="AM408" i="16"/>
  <c r="T408" i="16" s="1"/>
  <c r="AN408" i="16"/>
  <c r="U408" i="16" s="1"/>
  <c r="AO408" i="16"/>
  <c r="V408" i="16" s="1"/>
  <c r="AL409" i="16"/>
  <c r="S409" i="16" s="1"/>
  <c r="AM409" i="16"/>
  <c r="T409" i="16" s="1"/>
  <c r="AN409" i="16"/>
  <c r="U409" i="16" s="1"/>
  <c r="AO409" i="16"/>
  <c r="V409" i="16" s="1"/>
  <c r="AL410" i="16"/>
  <c r="S410" i="16" s="1"/>
  <c r="AM410" i="16"/>
  <c r="T410" i="16" s="1"/>
  <c r="AN410" i="16"/>
  <c r="U410" i="16" s="1"/>
  <c r="AO410" i="16"/>
  <c r="V410" i="16" s="1"/>
  <c r="AL411" i="16"/>
  <c r="S411" i="16" s="1"/>
  <c r="AM411" i="16"/>
  <c r="T411" i="16" s="1"/>
  <c r="AN411" i="16"/>
  <c r="U411" i="16" s="1"/>
  <c r="AO411" i="16"/>
  <c r="V411" i="16" s="1"/>
  <c r="AL412" i="16"/>
  <c r="S412" i="16" s="1"/>
  <c r="AM412" i="16"/>
  <c r="T412" i="16" s="1"/>
  <c r="AN412" i="16"/>
  <c r="U412" i="16" s="1"/>
  <c r="AO412" i="16"/>
  <c r="V412" i="16" s="1"/>
  <c r="AL413" i="16"/>
  <c r="S413" i="16" s="1"/>
  <c r="AM413" i="16"/>
  <c r="T413" i="16" s="1"/>
  <c r="AN413" i="16"/>
  <c r="U413" i="16" s="1"/>
  <c r="AO413" i="16"/>
  <c r="V413" i="16" s="1"/>
  <c r="AL414" i="16"/>
  <c r="S414" i="16" s="1"/>
  <c r="AM414" i="16"/>
  <c r="T414" i="16" s="1"/>
  <c r="AN414" i="16"/>
  <c r="U414" i="16" s="1"/>
  <c r="AO414" i="16"/>
  <c r="V414" i="16" s="1"/>
  <c r="AL415" i="16"/>
  <c r="S415" i="16" s="1"/>
  <c r="AM415" i="16"/>
  <c r="T415" i="16" s="1"/>
  <c r="AN415" i="16"/>
  <c r="U415" i="16" s="1"/>
  <c r="AO415" i="16"/>
  <c r="V415" i="16" s="1"/>
  <c r="AL416" i="16"/>
  <c r="S416" i="16" s="1"/>
  <c r="AM416" i="16"/>
  <c r="T416" i="16" s="1"/>
  <c r="AN416" i="16"/>
  <c r="U416" i="16" s="1"/>
  <c r="AO416" i="16"/>
  <c r="V416" i="16" s="1"/>
  <c r="AL417" i="16"/>
  <c r="S417" i="16" s="1"/>
  <c r="AM417" i="16"/>
  <c r="T417" i="16" s="1"/>
  <c r="AN417" i="16"/>
  <c r="U417" i="16" s="1"/>
  <c r="AO417" i="16"/>
  <c r="V417" i="16" s="1"/>
  <c r="AL418" i="16"/>
  <c r="S418" i="16" s="1"/>
  <c r="AM418" i="16"/>
  <c r="T418" i="16" s="1"/>
  <c r="AN418" i="16"/>
  <c r="U418" i="16" s="1"/>
  <c r="AO418" i="16"/>
  <c r="V418" i="16" s="1"/>
  <c r="AL419" i="16"/>
  <c r="S419" i="16" s="1"/>
  <c r="AM419" i="16"/>
  <c r="T419" i="16" s="1"/>
  <c r="AN419" i="16"/>
  <c r="U419" i="16" s="1"/>
  <c r="AO419" i="16"/>
  <c r="V419" i="16" s="1"/>
  <c r="AL420" i="16"/>
  <c r="S420" i="16" s="1"/>
  <c r="AM420" i="16"/>
  <c r="T420" i="16" s="1"/>
  <c r="AN420" i="16"/>
  <c r="U420" i="16" s="1"/>
  <c r="AO420" i="16"/>
  <c r="V420" i="16" s="1"/>
  <c r="AL421" i="16"/>
  <c r="S421" i="16" s="1"/>
  <c r="AM421" i="16"/>
  <c r="T421" i="16" s="1"/>
  <c r="AN421" i="16"/>
  <c r="U421" i="16" s="1"/>
  <c r="AO421" i="16"/>
  <c r="V421" i="16" s="1"/>
  <c r="AL422" i="16"/>
  <c r="S422" i="16" s="1"/>
  <c r="AM422" i="16"/>
  <c r="T422" i="16" s="1"/>
  <c r="AN422" i="16"/>
  <c r="U422" i="16" s="1"/>
  <c r="AO422" i="16"/>
  <c r="V422" i="16" s="1"/>
  <c r="AL423" i="16"/>
  <c r="S423" i="16" s="1"/>
  <c r="AM423" i="16"/>
  <c r="T423" i="16" s="1"/>
  <c r="AN423" i="16"/>
  <c r="U423" i="16" s="1"/>
  <c r="AO423" i="16"/>
  <c r="V423" i="16" s="1"/>
  <c r="AL424" i="16"/>
  <c r="S424" i="16" s="1"/>
  <c r="AM424" i="16"/>
  <c r="T424" i="16" s="1"/>
  <c r="AN424" i="16"/>
  <c r="U424" i="16" s="1"/>
  <c r="AO424" i="16"/>
  <c r="V424" i="16" s="1"/>
  <c r="AL425" i="16"/>
  <c r="S425" i="16" s="1"/>
  <c r="AM425" i="16"/>
  <c r="T425" i="16" s="1"/>
  <c r="AN425" i="16"/>
  <c r="U425" i="16" s="1"/>
  <c r="AO425" i="16"/>
  <c r="V425" i="16" s="1"/>
  <c r="AL426" i="16"/>
  <c r="S426" i="16" s="1"/>
  <c r="AM426" i="16"/>
  <c r="T426" i="16" s="1"/>
  <c r="AN426" i="16"/>
  <c r="U426" i="16" s="1"/>
  <c r="AO426" i="16"/>
  <c r="V426" i="16" s="1"/>
  <c r="AL427" i="16"/>
  <c r="S427" i="16" s="1"/>
  <c r="AM427" i="16"/>
  <c r="T427" i="16" s="1"/>
  <c r="AN427" i="16"/>
  <c r="U427" i="16" s="1"/>
  <c r="AO427" i="16"/>
  <c r="V427" i="16" s="1"/>
  <c r="AL428" i="16"/>
  <c r="S428" i="16" s="1"/>
  <c r="AM428" i="16"/>
  <c r="T428" i="16" s="1"/>
  <c r="AN428" i="16"/>
  <c r="U428" i="16" s="1"/>
  <c r="AO428" i="16"/>
  <c r="V428" i="16" s="1"/>
  <c r="AL429" i="16"/>
  <c r="S429" i="16" s="1"/>
  <c r="AM429" i="16"/>
  <c r="T429" i="16" s="1"/>
  <c r="AN429" i="16"/>
  <c r="U429" i="16" s="1"/>
  <c r="AO429" i="16"/>
  <c r="V429" i="16" s="1"/>
  <c r="AL430" i="16"/>
  <c r="S430" i="16" s="1"/>
  <c r="AM430" i="16"/>
  <c r="T430" i="16" s="1"/>
  <c r="AN430" i="16"/>
  <c r="U430" i="16" s="1"/>
  <c r="AO430" i="16"/>
  <c r="V430" i="16" s="1"/>
  <c r="AL431" i="16"/>
  <c r="S431" i="16" s="1"/>
  <c r="AM431" i="16"/>
  <c r="T431" i="16" s="1"/>
  <c r="AN431" i="16"/>
  <c r="U431" i="16" s="1"/>
  <c r="AO431" i="16"/>
  <c r="V431" i="16" s="1"/>
  <c r="AL432" i="16"/>
  <c r="S432" i="16" s="1"/>
  <c r="AM432" i="16"/>
  <c r="T432" i="16" s="1"/>
  <c r="AN432" i="16"/>
  <c r="U432" i="16" s="1"/>
  <c r="AO432" i="16"/>
  <c r="V432" i="16" s="1"/>
  <c r="AL433" i="16"/>
  <c r="S433" i="16" s="1"/>
  <c r="AM433" i="16"/>
  <c r="T433" i="16" s="1"/>
  <c r="AN433" i="16"/>
  <c r="U433" i="16" s="1"/>
  <c r="AO433" i="16"/>
  <c r="V433" i="16" s="1"/>
  <c r="AL434" i="16"/>
  <c r="S434" i="16" s="1"/>
  <c r="AM434" i="16"/>
  <c r="T434" i="16" s="1"/>
  <c r="AN434" i="16"/>
  <c r="U434" i="16" s="1"/>
  <c r="AO434" i="16"/>
  <c r="V434" i="16" s="1"/>
  <c r="AL435" i="16"/>
  <c r="S435" i="16" s="1"/>
  <c r="AM435" i="16"/>
  <c r="T435" i="16" s="1"/>
  <c r="AN435" i="16"/>
  <c r="U435" i="16" s="1"/>
  <c r="AO435" i="16"/>
  <c r="V435" i="16" s="1"/>
  <c r="AL436" i="16"/>
  <c r="S436" i="16" s="1"/>
  <c r="AM436" i="16"/>
  <c r="T436" i="16" s="1"/>
  <c r="AN436" i="16"/>
  <c r="U436" i="16" s="1"/>
  <c r="AO436" i="16"/>
  <c r="V436" i="16" s="1"/>
  <c r="AL437" i="16"/>
  <c r="S437" i="16" s="1"/>
  <c r="AM437" i="16"/>
  <c r="T437" i="16" s="1"/>
  <c r="AN437" i="16"/>
  <c r="U437" i="16" s="1"/>
  <c r="AO437" i="16"/>
  <c r="V437" i="16" s="1"/>
  <c r="AL438" i="16"/>
  <c r="S438" i="16" s="1"/>
  <c r="AM438" i="16"/>
  <c r="T438" i="16" s="1"/>
  <c r="AN438" i="16"/>
  <c r="U438" i="16" s="1"/>
  <c r="AO438" i="16"/>
  <c r="V438" i="16" s="1"/>
  <c r="AL439" i="16"/>
  <c r="S439" i="16" s="1"/>
  <c r="AM439" i="16"/>
  <c r="T439" i="16" s="1"/>
  <c r="AN439" i="16"/>
  <c r="U439" i="16" s="1"/>
  <c r="AO439" i="16"/>
  <c r="V439" i="16" s="1"/>
  <c r="AL440" i="16"/>
  <c r="S440" i="16" s="1"/>
  <c r="AM440" i="16"/>
  <c r="T440" i="16" s="1"/>
  <c r="AN440" i="16"/>
  <c r="U440" i="16" s="1"/>
  <c r="AO440" i="16"/>
  <c r="V440" i="16" s="1"/>
  <c r="AL441" i="16"/>
  <c r="S441" i="16" s="1"/>
  <c r="AM441" i="16"/>
  <c r="T441" i="16" s="1"/>
  <c r="AN441" i="16"/>
  <c r="U441" i="16" s="1"/>
  <c r="AO441" i="16"/>
  <c r="V441" i="16" s="1"/>
  <c r="AL442" i="16"/>
  <c r="S442" i="16" s="1"/>
  <c r="AM442" i="16"/>
  <c r="T442" i="16" s="1"/>
  <c r="AN442" i="16"/>
  <c r="U442" i="16" s="1"/>
  <c r="AO442" i="16"/>
  <c r="V442" i="16" s="1"/>
  <c r="AL443" i="16"/>
  <c r="S443" i="16" s="1"/>
  <c r="AM443" i="16"/>
  <c r="T443" i="16" s="1"/>
  <c r="AN443" i="16"/>
  <c r="U443" i="16" s="1"/>
  <c r="AO443" i="16"/>
  <c r="V443" i="16" s="1"/>
  <c r="AL444" i="16"/>
  <c r="S444" i="16" s="1"/>
  <c r="AM444" i="16"/>
  <c r="T444" i="16" s="1"/>
  <c r="AN444" i="16"/>
  <c r="U444" i="16" s="1"/>
  <c r="AO444" i="16"/>
  <c r="V444" i="16" s="1"/>
  <c r="AL445" i="16"/>
  <c r="S445" i="16" s="1"/>
  <c r="AM445" i="16"/>
  <c r="T445" i="16" s="1"/>
  <c r="AN445" i="16"/>
  <c r="U445" i="16" s="1"/>
  <c r="AO445" i="16"/>
  <c r="V445" i="16" s="1"/>
  <c r="AL446" i="16"/>
  <c r="S446" i="16" s="1"/>
  <c r="AM446" i="16"/>
  <c r="T446" i="16" s="1"/>
  <c r="AN446" i="16"/>
  <c r="U446" i="16" s="1"/>
  <c r="AO446" i="16"/>
  <c r="V446" i="16" s="1"/>
  <c r="AL447" i="16"/>
  <c r="S447" i="16" s="1"/>
  <c r="AM447" i="16"/>
  <c r="T447" i="16" s="1"/>
  <c r="AN447" i="16"/>
  <c r="U447" i="16" s="1"/>
  <c r="AO447" i="16"/>
  <c r="V447" i="16" s="1"/>
  <c r="AL448" i="16"/>
  <c r="S448" i="16" s="1"/>
  <c r="AM448" i="16"/>
  <c r="T448" i="16" s="1"/>
  <c r="AN448" i="16"/>
  <c r="U448" i="16" s="1"/>
  <c r="AO448" i="16"/>
  <c r="V448" i="16" s="1"/>
  <c r="AL449" i="16"/>
  <c r="S449" i="16" s="1"/>
  <c r="AM449" i="16"/>
  <c r="T449" i="16" s="1"/>
  <c r="AN449" i="16"/>
  <c r="U449" i="16" s="1"/>
  <c r="AO449" i="16"/>
  <c r="V449" i="16" s="1"/>
  <c r="AL450" i="16"/>
  <c r="S450" i="16" s="1"/>
  <c r="AM450" i="16"/>
  <c r="T450" i="16" s="1"/>
  <c r="AN450" i="16"/>
  <c r="U450" i="16" s="1"/>
  <c r="AO450" i="16"/>
  <c r="V450" i="16" s="1"/>
  <c r="AL451" i="16"/>
  <c r="S451" i="16" s="1"/>
  <c r="AM451" i="16"/>
  <c r="T451" i="16" s="1"/>
  <c r="AN451" i="16"/>
  <c r="U451" i="16" s="1"/>
  <c r="AO451" i="16"/>
  <c r="V451" i="16" s="1"/>
  <c r="AL452" i="16"/>
  <c r="S452" i="16" s="1"/>
  <c r="AM452" i="16"/>
  <c r="T452" i="16" s="1"/>
  <c r="AN452" i="16"/>
  <c r="U452" i="16" s="1"/>
  <c r="AO452" i="16"/>
  <c r="V452" i="16" s="1"/>
  <c r="AL453" i="16"/>
  <c r="S453" i="16" s="1"/>
  <c r="AM453" i="16"/>
  <c r="T453" i="16" s="1"/>
  <c r="AN453" i="16"/>
  <c r="U453" i="16" s="1"/>
  <c r="AO453" i="16"/>
  <c r="V453" i="16" s="1"/>
  <c r="AL454" i="16"/>
  <c r="S454" i="16" s="1"/>
  <c r="AM454" i="16"/>
  <c r="T454" i="16" s="1"/>
  <c r="AN454" i="16"/>
  <c r="U454" i="16" s="1"/>
  <c r="AO454" i="16"/>
  <c r="V454" i="16" s="1"/>
  <c r="AL455" i="16"/>
  <c r="S455" i="16" s="1"/>
  <c r="AM455" i="16"/>
  <c r="T455" i="16" s="1"/>
  <c r="AN455" i="16"/>
  <c r="U455" i="16" s="1"/>
  <c r="AO455" i="16"/>
  <c r="V455" i="16" s="1"/>
  <c r="AL456" i="16"/>
  <c r="S456" i="16" s="1"/>
  <c r="AM456" i="16"/>
  <c r="T456" i="16" s="1"/>
  <c r="AN456" i="16"/>
  <c r="U456" i="16" s="1"/>
  <c r="AO456" i="16"/>
  <c r="V456" i="16" s="1"/>
  <c r="AL457" i="16"/>
  <c r="S457" i="16" s="1"/>
  <c r="AM457" i="16"/>
  <c r="T457" i="16" s="1"/>
  <c r="AN457" i="16"/>
  <c r="U457" i="16" s="1"/>
  <c r="AO457" i="16"/>
  <c r="V457" i="16" s="1"/>
  <c r="AL458" i="16"/>
  <c r="S458" i="16" s="1"/>
  <c r="AM458" i="16"/>
  <c r="T458" i="16" s="1"/>
  <c r="AN458" i="16"/>
  <c r="U458" i="16" s="1"/>
  <c r="AO458" i="16"/>
  <c r="V458" i="16" s="1"/>
  <c r="AL459" i="16"/>
  <c r="S459" i="16" s="1"/>
  <c r="AM459" i="16"/>
  <c r="T459" i="16" s="1"/>
  <c r="AN459" i="16"/>
  <c r="U459" i="16" s="1"/>
  <c r="AO459" i="16"/>
  <c r="V459" i="16" s="1"/>
  <c r="AL460" i="16"/>
  <c r="S460" i="16" s="1"/>
  <c r="AM460" i="16"/>
  <c r="T460" i="16" s="1"/>
  <c r="AN460" i="16"/>
  <c r="U460" i="16" s="1"/>
  <c r="AO460" i="16"/>
  <c r="V460" i="16" s="1"/>
  <c r="AL461" i="16"/>
  <c r="S461" i="16" s="1"/>
  <c r="AM461" i="16"/>
  <c r="T461" i="16" s="1"/>
  <c r="AN461" i="16"/>
  <c r="U461" i="16" s="1"/>
  <c r="AO461" i="16"/>
  <c r="V461" i="16" s="1"/>
  <c r="AL462" i="16"/>
  <c r="S462" i="16" s="1"/>
  <c r="AM462" i="16"/>
  <c r="T462" i="16" s="1"/>
  <c r="AN462" i="16"/>
  <c r="U462" i="16" s="1"/>
  <c r="AO462" i="16"/>
  <c r="V462" i="16" s="1"/>
  <c r="AL463" i="16"/>
  <c r="S463" i="16" s="1"/>
  <c r="AM463" i="16"/>
  <c r="T463" i="16" s="1"/>
  <c r="AN463" i="16"/>
  <c r="U463" i="16" s="1"/>
  <c r="AO463" i="16"/>
  <c r="V463" i="16" s="1"/>
  <c r="AL464" i="16"/>
  <c r="S464" i="16" s="1"/>
  <c r="AM464" i="16"/>
  <c r="T464" i="16" s="1"/>
  <c r="AN464" i="16"/>
  <c r="U464" i="16" s="1"/>
  <c r="AO464" i="16"/>
  <c r="V464" i="16" s="1"/>
  <c r="AL465" i="16"/>
  <c r="S465" i="16" s="1"/>
  <c r="AM465" i="16"/>
  <c r="T465" i="16" s="1"/>
  <c r="AN465" i="16"/>
  <c r="U465" i="16" s="1"/>
  <c r="AO465" i="16"/>
  <c r="V465" i="16" s="1"/>
  <c r="AL466" i="16"/>
  <c r="S466" i="16" s="1"/>
  <c r="AM466" i="16"/>
  <c r="T466" i="16" s="1"/>
  <c r="AN466" i="16"/>
  <c r="U466" i="16" s="1"/>
  <c r="AO466" i="16"/>
  <c r="V466" i="16" s="1"/>
  <c r="AL467" i="16"/>
  <c r="S467" i="16" s="1"/>
  <c r="AM467" i="16"/>
  <c r="T467" i="16" s="1"/>
  <c r="AN467" i="16"/>
  <c r="U467" i="16" s="1"/>
  <c r="AO467" i="16"/>
  <c r="V467" i="16" s="1"/>
  <c r="AL468" i="16"/>
  <c r="S468" i="16" s="1"/>
  <c r="AM468" i="16"/>
  <c r="T468" i="16" s="1"/>
  <c r="AN468" i="16"/>
  <c r="U468" i="16" s="1"/>
  <c r="AO468" i="16"/>
  <c r="V468" i="16" s="1"/>
  <c r="AL469" i="16"/>
  <c r="S469" i="16" s="1"/>
  <c r="AM469" i="16"/>
  <c r="T469" i="16" s="1"/>
  <c r="AN469" i="16"/>
  <c r="U469" i="16" s="1"/>
  <c r="AO469" i="16"/>
  <c r="V469" i="16" s="1"/>
  <c r="AL470" i="16"/>
  <c r="S470" i="16" s="1"/>
  <c r="AM470" i="16"/>
  <c r="T470" i="16" s="1"/>
  <c r="AN470" i="16"/>
  <c r="U470" i="16" s="1"/>
  <c r="AO470" i="16"/>
  <c r="V470" i="16" s="1"/>
  <c r="AL471" i="16"/>
  <c r="S471" i="16" s="1"/>
  <c r="AM471" i="16"/>
  <c r="T471" i="16" s="1"/>
  <c r="AN471" i="16"/>
  <c r="U471" i="16" s="1"/>
  <c r="AO471" i="16"/>
  <c r="V471" i="16" s="1"/>
  <c r="AL472" i="16"/>
  <c r="S472" i="16" s="1"/>
  <c r="AM472" i="16"/>
  <c r="T472" i="16" s="1"/>
  <c r="AN472" i="16"/>
  <c r="U472" i="16" s="1"/>
  <c r="AO472" i="16"/>
  <c r="V472" i="16" s="1"/>
  <c r="AL473" i="16"/>
  <c r="S473" i="16" s="1"/>
  <c r="AM473" i="16"/>
  <c r="T473" i="16" s="1"/>
  <c r="AN473" i="16"/>
  <c r="U473" i="16" s="1"/>
  <c r="AO473" i="16"/>
  <c r="V473" i="16" s="1"/>
  <c r="AL474" i="16"/>
  <c r="S474" i="16" s="1"/>
  <c r="AM474" i="16"/>
  <c r="T474" i="16" s="1"/>
  <c r="AN474" i="16"/>
  <c r="U474" i="16" s="1"/>
  <c r="AO474" i="16"/>
  <c r="V474" i="16" s="1"/>
  <c r="AL475" i="16"/>
  <c r="S475" i="16" s="1"/>
  <c r="AM475" i="16"/>
  <c r="T475" i="16" s="1"/>
  <c r="AN475" i="16"/>
  <c r="U475" i="16" s="1"/>
  <c r="AO475" i="16"/>
  <c r="V475" i="16" s="1"/>
  <c r="AL476" i="16"/>
  <c r="S476" i="16" s="1"/>
  <c r="AM476" i="16"/>
  <c r="T476" i="16" s="1"/>
  <c r="AN476" i="16"/>
  <c r="U476" i="16" s="1"/>
  <c r="AO476" i="16"/>
  <c r="V476" i="16" s="1"/>
  <c r="AL477" i="16"/>
  <c r="S477" i="16" s="1"/>
  <c r="AM477" i="16"/>
  <c r="T477" i="16" s="1"/>
  <c r="AN477" i="16"/>
  <c r="U477" i="16" s="1"/>
  <c r="AO477" i="16"/>
  <c r="V477" i="16" s="1"/>
  <c r="AL478" i="16"/>
  <c r="S478" i="16" s="1"/>
  <c r="AM478" i="16"/>
  <c r="T478" i="16" s="1"/>
  <c r="AN478" i="16"/>
  <c r="U478" i="16" s="1"/>
  <c r="AO478" i="16"/>
  <c r="V478" i="16" s="1"/>
  <c r="AL479" i="16"/>
  <c r="S479" i="16" s="1"/>
  <c r="AM479" i="16"/>
  <c r="T479" i="16" s="1"/>
  <c r="AN479" i="16"/>
  <c r="U479" i="16" s="1"/>
  <c r="AO479" i="16"/>
  <c r="V479" i="16" s="1"/>
  <c r="AL480" i="16"/>
  <c r="S480" i="16" s="1"/>
  <c r="AM480" i="16"/>
  <c r="T480" i="16" s="1"/>
  <c r="AN480" i="16"/>
  <c r="U480" i="16" s="1"/>
  <c r="AO480" i="16"/>
  <c r="V480" i="16" s="1"/>
  <c r="AL481" i="16"/>
  <c r="S481" i="16" s="1"/>
  <c r="AM481" i="16"/>
  <c r="T481" i="16" s="1"/>
  <c r="AN481" i="16"/>
  <c r="U481" i="16" s="1"/>
  <c r="AO481" i="16"/>
  <c r="V481" i="16" s="1"/>
  <c r="AL482" i="16"/>
  <c r="S482" i="16" s="1"/>
  <c r="AM482" i="16"/>
  <c r="T482" i="16" s="1"/>
  <c r="AN482" i="16"/>
  <c r="U482" i="16" s="1"/>
  <c r="AO482" i="16"/>
  <c r="V482" i="16" s="1"/>
  <c r="AL483" i="16"/>
  <c r="S483" i="16" s="1"/>
  <c r="AM483" i="16"/>
  <c r="T483" i="16" s="1"/>
  <c r="AN483" i="16"/>
  <c r="U483" i="16" s="1"/>
  <c r="AO483" i="16"/>
  <c r="V483" i="16" s="1"/>
  <c r="AL484" i="16"/>
  <c r="S484" i="16" s="1"/>
  <c r="AM484" i="16"/>
  <c r="T484" i="16" s="1"/>
  <c r="AN484" i="16"/>
  <c r="U484" i="16" s="1"/>
  <c r="AO484" i="16"/>
  <c r="V484" i="16" s="1"/>
  <c r="AL485" i="16"/>
  <c r="AM485" i="16"/>
  <c r="AN485" i="16"/>
  <c r="AO485" i="16"/>
  <c r="AL486" i="16"/>
  <c r="AM486" i="16"/>
  <c r="AN486" i="16"/>
  <c r="AO486" i="16"/>
  <c r="AL487" i="16"/>
  <c r="AM487" i="16"/>
  <c r="AN487" i="16"/>
  <c r="AO487" i="16"/>
  <c r="AL488" i="16"/>
  <c r="AM488" i="16"/>
  <c r="AN488" i="16"/>
  <c r="AO488" i="16"/>
  <c r="AL489" i="16"/>
  <c r="AM489" i="16"/>
  <c r="AN489" i="16"/>
  <c r="AO489" i="16"/>
  <c r="AL490" i="16"/>
  <c r="AM490" i="16"/>
  <c r="AN490" i="16"/>
  <c r="AO490" i="16"/>
  <c r="AL491" i="16"/>
  <c r="AM491" i="16"/>
  <c r="AN491" i="16"/>
  <c r="AO491" i="16"/>
  <c r="AL492" i="16"/>
  <c r="AM492" i="16"/>
  <c r="AN492" i="16"/>
  <c r="AO492" i="16"/>
  <c r="AL493" i="16"/>
  <c r="AM493" i="16"/>
  <c r="AN493" i="16"/>
  <c r="AO493" i="16"/>
  <c r="AL494" i="16"/>
  <c r="AM494" i="16"/>
  <c r="AN494" i="16"/>
  <c r="AO494" i="16"/>
  <c r="AL495" i="16"/>
  <c r="AM495" i="16"/>
  <c r="AN495" i="16"/>
  <c r="AO495" i="16"/>
  <c r="AL496" i="16"/>
  <c r="AM496" i="16"/>
  <c r="AN496" i="16"/>
  <c r="AO496" i="16"/>
  <c r="AL497" i="16"/>
  <c r="AM497" i="16"/>
  <c r="AN497" i="16"/>
  <c r="AO497" i="16"/>
  <c r="AL498" i="16"/>
  <c r="AM498" i="16"/>
  <c r="AN498" i="16"/>
  <c r="AO498" i="16"/>
  <c r="AL499" i="16"/>
  <c r="AM499" i="16"/>
  <c r="AN499" i="16"/>
  <c r="AO499" i="16"/>
  <c r="AL500" i="16"/>
  <c r="AM500" i="16"/>
  <c r="AN500" i="16"/>
  <c r="AO500" i="16"/>
  <c r="AL501" i="16"/>
  <c r="AM501" i="16"/>
  <c r="AN501" i="16"/>
  <c r="AO501" i="16"/>
  <c r="AL502" i="16"/>
  <c r="AM502" i="16"/>
  <c r="AN502" i="16"/>
  <c r="AO502" i="16"/>
  <c r="AL503" i="16"/>
  <c r="AM503" i="16"/>
  <c r="AN503" i="16"/>
  <c r="AO503" i="16"/>
  <c r="AL504" i="16"/>
  <c r="AM504" i="16"/>
  <c r="AN504" i="16"/>
  <c r="AO504" i="16"/>
  <c r="AL505" i="16"/>
  <c r="AM505" i="16"/>
  <c r="AN505" i="16"/>
  <c r="AO505" i="16"/>
  <c r="AL506" i="16"/>
  <c r="S506" i="16" s="1"/>
  <c r="AM506" i="16"/>
  <c r="T506" i="16" s="1"/>
  <c r="AN506" i="16"/>
  <c r="U506" i="16" s="1"/>
  <c r="AO506" i="16"/>
  <c r="V506" i="16" s="1"/>
  <c r="AL507" i="16"/>
  <c r="S507" i="16" s="1"/>
  <c r="AM507" i="16"/>
  <c r="T507" i="16" s="1"/>
  <c r="AN507" i="16"/>
  <c r="U507" i="16" s="1"/>
  <c r="AO507" i="16"/>
  <c r="V507" i="16" s="1"/>
  <c r="AL508" i="16"/>
  <c r="S508" i="16" s="1"/>
  <c r="AM508" i="16"/>
  <c r="T508" i="16" s="1"/>
  <c r="AN508" i="16"/>
  <c r="U508" i="16" s="1"/>
  <c r="AO508" i="16"/>
  <c r="V508" i="16" s="1"/>
  <c r="AL509" i="16"/>
  <c r="S509" i="16" s="1"/>
  <c r="AM509" i="16"/>
  <c r="T509" i="16" s="1"/>
  <c r="AN509" i="16"/>
  <c r="U509" i="16" s="1"/>
  <c r="AO509" i="16"/>
  <c r="V509" i="16" s="1"/>
  <c r="AL510" i="16"/>
  <c r="S510" i="16" s="1"/>
  <c r="AM510" i="16"/>
  <c r="T510" i="16" s="1"/>
  <c r="AN510" i="16"/>
  <c r="U510" i="16" s="1"/>
  <c r="AO510" i="16"/>
  <c r="V510" i="16" s="1"/>
  <c r="AL511" i="16"/>
  <c r="S511" i="16" s="1"/>
  <c r="AM511" i="16"/>
  <c r="T511" i="16" s="1"/>
  <c r="AN511" i="16"/>
  <c r="U511" i="16" s="1"/>
  <c r="AO511" i="16"/>
  <c r="V511" i="16" s="1"/>
  <c r="AL512" i="16"/>
  <c r="S512" i="16" s="1"/>
  <c r="AM512" i="16"/>
  <c r="T512" i="16" s="1"/>
  <c r="AN512" i="16"/>
  <c r="U512" i="16" s="1"/>
  <c r="AO512" i="16"/>
  <c r="V512" i="16" s="1"/>
  <c r="AL513" i="16"/>
  <c r="S513" i="16" s="1"/>
  <c r="AM513" i="16"/>
  <c r="T513" i="16" s="1"/>
  <c r="AN513" i="16"/>
  <c r="U513" i="16" s="1"/>
  <c r="AO513" i="16"/>
  <c r="V513" i="16" s="1"/>
  <c r="AL514" i="16"/>
  <c r="S514" i="16" s="1"/>
  <c r="AM514" i="16"/>
  <c r="T514" i="16" s="1"/>
  <c r="AN514" i="16"/>
  <c r="U514" i="16" s="1"/>
  <c r="AO514" i="16"/>
  <c r="V514" i="16" s="1"/>
  <c r="AL515" i="16"/>
  <c r="S515" i="16" s="1"/>
  <c r="AM515" i="16"/>
  <c r="T515" i="16" s="1"/>
  <c r="AN515" i="16"/>
  <c r="U515" i="16" s="1"/>
  <c r="AO515" i="16"/>
  <c r="V515" i="16" s="1"/>
  <c r="AL516" i="16"/>
  <c r="S516" i="16" s="1"/>
  <c r="AM516" i="16"/>
  <c r="T516" i="16" s="1"/>
  <c r="AN516" i="16"/>
  <c r="U516" i="16" s="1"/>
  <c r="AO516" i="16"/>
  <c r="V516" i="16" s="1"/>
  <c r="AL517" i="16"/>
  <c r="S517" i="16" s="1"/>
  <c r="AM517" i="16"/>
  <c r="T517" i="16" s="1"/>
  <c r="AN517" i="16"/>
  <c r="U517" i="16" s="1"/>
  <c r="AO517" i="16"/>
  <c r="V517" i="16" s="1"/>
  <c r="AL518" i="16"/>
  <c r="S518" i="16" s="1"/>
  <c r="AM518" i="16"/>
  <c r="T518" i="16" s="1"/>
  <c r="AN518" i="16"/>
  <c r="U518" i="16" s="1"/>
  <c r="AO518" i="16"/>
  <c r="V518" i="16" s="1"/>
  <c r="AL519" i="16"/>
  <c r="S519" i="16" s="1"/>
  <c r="AM519" i="16"/>
  <c r="T519" i="16" s="1"/>
  <c r="AN519" i="16"/>
  <c r="U519" i="16" s="1"/>
  <c r="AO519" i="16"/>
  <c r="V519" i="16" s="1"/>
  <c r="AL520" i="16"/>
  <c r="S520" i="16" s="1"/>
  <c r="AM520" i="16"/>
  <c r="T520" i="16" s="1"/>
  <c r="AN520" i="16"/>
  <c r="U520" i="16" s="1"/>
  <c r="AO520" i="16"/>
  <c r="V520" i="16" s="1"/>
  <c r="AL521" i="16"/>
  <c r="S521" i="16" s="1"/>
  <c r="AM521" i="16"/>
  <c r="T521" i="16" s="1"/>
  <c r="AN521" i="16"/>
  <c r="U521" i="16" s="1"/>
  <c r="AO521" i="16"/>
  <c r="V521" i="16" s="1"/>
  <c r="AL522" i="16"/>
  <c r="S522" i="16" s="1"/>
  <c r="AM522" i="16"/>
  <c r="T522" i="16" s="1"/>
  <c r="AN522" i="16"/>
  <c r="U522" i="16" s="1"/>
  <c r="AO522" i="16"/>
  <c r="V522" i="16" s="1"/>
  <c r="AL523" i="16"/>
  <c r="S523" i="16" s="1"/>
  <c r="AM523" i="16"/>
  <c r="T523" i="16" s="1"/>
  <c r="AN523" i="16"/>
  <c r="U523" i="16" s="1"/>
  <c r="AO523" i="16"/>
  <c r="V523" i="16" s="1"/>
  <c r="AL524" i="16"/>
  <c r="S524" i="16" s="1"/>
  <c r="AM524" i="16"/>
  <c r="T524" i="16" s="1"/>
  <c r="AN524" i="16"/>
  <c r="U524" i="16" s="1"/>
  <c r="AO524" i="16"/>
  <c r="V524" i="16" s="1"/>
  <c r="AL525" i="16"/>
  <c r="S525" i="16" s="1"/>
  <c r="AM525" i="16"/>
  <c r="T525" i="16" s="1"/>
  <c r="AN525" i="16"/>
  <c r="U525" i="16" s="1"/>
  <c r="AO525" i="16"/>
  <c r="V525" i="16" s="1"/>
  <c r="AL526" i="16"/>
  <c r="S526" i="16" s="1"/>
  <c r="AM526" i="16"/>
  <c r="T526" i="16" s="1"/>
  <c r="AN526" i="16"/>
  <c r="U526" i="16" s="1"/>
  <c r="AO526" i="16"/>
  <c r="V526" i="16" s="1"/>
  <c r="AL527" i="16"/>
  <c r="S527" i="16" s="1"/>
  <c r="AM527" i="16"/>
  <c r="T527" i="16" s="1"/>
  <c r="AN527" i="16"/>
  <c r="U527" i="16" s="1"/>
  <c r="AO527" i="16"/>
  <c r="V527" i="16" s="1"/>
  <c r="AL528" i="16"/>
  <c r="S528" i="16" s="1"/>
  <c r="AM528" i="16"/>
  <c r="T528" i="16" s="1"/>
  <c r="AN528" i="16"/>
  <c r="U528" i="16" s="1"/>
  <c r="AO528" i="16"/>
  <c r="V528" i="16" s="1"/>
  <c r="AL529" i="16"/>
  <c r="S529" i="16" s="1"/>
  <c r="AM529" i="16"/>
  <c r="T529" i="16" s="1"/>
  <c r="AN529" i="16"/>
  <c r="U529" i="16" s="1"/>
  <c r="AO529" i="16"/>
  <c r="V529" i="16" s="1"/>
  <c r="AL530" i="16"/>
  <c r="S530" i="16" s="1"/>
  <c r="AM530" i="16"/>
  <c r="T530" i="16" s="1"/>
  <c r="AN530" i="16"/>
  <c r="U530" i="16" s="1"/>
  <c r="AO530" i="16"/>
  <c r="V530" i="16" s="1"/>
  <c r="AL531" i="16"/>
  <c r="S531" i="16" s="1"/>
  <c r="AM531" i="16"/>
  <c r="T531" i="16" s="1"/>
  <c r="AN531" i="16"/>
  <c r="U531" i="16" s="1"/>
  <c r="AO531" i="16"/>
  <c r="V531" i="16" s="1"/>
  <c r="AL532" i="16"/>
  <c r="S532" i="16" s="1"/>
  <c r="AM532" i="16"/>
  <c r="T532" i="16" s="1"/>
  <c r="AN532" i="16"/>
  <c r="U532" i="16" s="1"/>
  <c r="AO532" i="16"/>
  <c r="V532" i="16" s="1"/>
  <c r="AL533" i="16"/>
  <c r="S533" i="16" s="1"/>
  <c r="AM533" i="16"/>
  <c r="T533" i="16" s="1"/>
  <c r="AN533" i="16"/>
  <c r="U533" i="16" s="1"/>
  <c r="AO533" i="16"/>
  <c r="V533" i="16" s="1"/>
  <c r="AL534" i="16"/>
  <c r="S534" i="16" s="1"/>
  <c r="AM534" i="16"/>
  <c r="T534" i="16" s="1"/>
  <c r="AN534" i="16"/>
  <c r="U534" i="16" s="1"/>
  <c r="AO534" i="16"/>
  <c r="V534" i="16" s="1"/>
  <c r="AL535" i="16"/>
  <c r="S535" i="16" s="1"/>
  <c r="AM535" i="16"/>
  <c r="T535" i="16" s="1"/>
  <c r="AN535" i="16"/>
  <c r="U535" i="16" s="1"/>
  <c r="AO535" i="16"/>
  <c r="V535" i="16" s="1"/>
  <c r="AL536" i="16"/>
  <c r="S536" i="16" s="1"/>
  <c r="AM536" i="16"/>
  <c r="T536" i="16" s="1"/>
  <c r="AN536" i="16"/>
  <c r="U536" i="16" s="1"/>
  <c r="AO536" i="16"/>
  <c r="V536" i="16" s="1"/>
  <c r="AL537" i="16"/>
  <c r="S537" i="16" s="1"/>
  <c r="AM537" i="16"/>
  <c r="T537" i="16" s="1"/>
  <c r="AN537" i="16"/>
  <c r="U537" i="16" s="1"/>
  <c r="AO537" i="16"/>
  <c r="V537" i="16" s="1"/>
  <c r="AL538" i="16"/>
  <c r="S538" i="16" s="1"/>
  <c r="AM538" i="16"/>
  <c r="T538" i="16" s="1"/>
  <c r="AN538" i="16"/>
  <c r="U538" i="16" s="1"/>
  <c r="AO538" i="16"/>
  <c r="V538" i="16" s="1"/>
  <c r="AL539" i="16"/>
  <c r="S539" i="16" s="1"/>
  <c r="AM539" i="16"/>
  <c r="T539" i="16" s="1"/>
  <c r="AN539" i="16"/>
  <c r="U539" i="16" s="1"/>
  <c r="AO539" i="16"/>
  <c r="V539" i="16" s="1"/>
  <c r="AL540" i="16"/>
  <c r="S540" i="16" s="1"/>
  <c r="AM540" i="16"/>
  <c r="T540" i="16" s="1"/>
  <c r="AN540" i="16"/>
  <c r="U540" i="16" s="1"/>
  <c r="AO540" i="16"/>
  <c r="V540" i="16" s="1"/>
  <c r="AL541" i="16"/>
  <c r="S541" i="16" s="1"/>
  <c r="AM541" i="16"/>
  <c r="T541" i="16" s="1"/>
  <c r="AN541" i="16"/>
  <c r="U541" i="16" s="1"/>
  <c r="AO541" i="16"/>
  <c r="V541" i="16" s="1"/>
  <c r="AL542" i="16"/>
  <c r="S542" i="16" s="1"/>
  <c r="AM542" i="16"/>
  <c r="T542" i="16" s="1"/>
  <c r="AN542" i="16"/>
  <c r="U542" i="16" s="1"/>
  <c r="AO542" i="16"/>
  <c r="V542" i="16" s="1"/>
  <c r="AL543" i="16"/>
  <c r="S543" i="16" s="1"/>
  <c r="AM543" i="16"/>
  <c r="T543" i="16" s="1"/>
  <c r="AN543" i="16"/>
  <c r="U543" i="16" s="1"/>
  <c r="AO543" i="16"/>
  <c r="V543" i="16" s="1"/>
  <c r="AL544" i="16"/>
  <c r="S544" i="16" s="1"/>
  <c r="AM544" i="16"/>
  <c r="T544" i="16" s="1"/>
  <c r="AN544" i="16"/>
  <c r="U544" i="16" s="1"/>
  <c r="AO544" i="16"/>
  <c r="V544" i="16" s="1"/>
  <c r="AL545" i="16"/>
  <c r="S545" i="16" s="1"/>
  <c r="AM545" i="16"/>
  <c r="T545" i="16" s="1"/>
  <c r="AN545" i="16"/>
  <c r="U545" i="16" s="1"/>
  <c r="AO545" i="16"/>
  <c r="V545" i="16" s="1"/>
  <c r="AL546" i="16"/>
  <c r="S546" i="16" s="1"/>
  <c r="AM546" i="16"/>
  <c r="T546" i="16" s="1"/>
  <c r="AN546" i="16"/>
  <c r="U546" i="16" s="1"/>
  <c r="AO546" i="16"/>
  <c r="V546" i="16" s="1"/>
  <c r="AL547" i="16"/>
  <c r="S547" i="16" s="1"/>
  <c r="AM547" i="16"/>
  <c r="T547" i="16" s="1"/>
  <c r="AN547" i="16"/>
  <c r="U547" i="16" s="1"/>
  <c r="AO547" i="16"/>
  <c r="V547" i="16" s="1"/>
  <c r="AL548" i="16"/>
  <c r="AM548" i="16"/>
  <c r="AN548" i="16"/>
  <c r="AO548" i="16"/>
  <c r="AL549" i="16"/>
  <c r="AM549" i="16"/>
  <c r="AN549" i="16"/>
  <c r="AO549" i="16"/>
  <c r="AL550" i="16"/>
  <c r="AM550" i="16"/>
  <c r="AN550" i="16"/>
  <c r="AO550" i="16"/>
  <c r="AL551" i="16"/>
  <c r="AM551" i="16"/>
  <c r="AN551" i="16"/>
  <c r="AO551" i="16"/>
  <c r="AL552" i="16"/>
  <c r="AM552" i="16"/>
  <c r="AN552" i="16"/>
  <c r="AO552" i="16"/>
  <c r="AL553" i="16"/>
  <c r="AM553" i="16"/>
  <c r="AN553" i="16"/>
  <c r="AO553" i="16"/>
  <c r="AL554" i="16"/>
  <c r="AM554" i="16"/>
  <c r="AN554" i="16"/>
  <c r="AO554" i="16"/>
  <c r="AL555" i="16"/>
  <c r="AM555" i="16"/>
  <c r="AN555" i="16"/>
  <c r="AO555" i="16"/>
  <c r="AL556" i="16"/>
  <c r="AM556" i="16"/>
  <c r="AN556" i="16"/>
  <c r="AO556" i="16"/>
  <c r="AL557" i="16"/>
  <c r="AM557" i="16"/>
  <c r="AN557" i="16"/>
  <c r="AO557" i="16"/>
  <c r="AL558" i="16"/>
  <c r="AM558" i="16"/>
  <c r="AN558" i="16"/>
  <c r="AO558" i="16"/>
  <c r="AL559" i="16"/>
  <c r="AM559" i="16"/>
  <c r="AN559" i="16"/>
  <c r="AO559" i="16"/>
  <c r="AL560" i="16"/>
  <c r="AM560" i="16"/>
  <c r="AN560" i="16"/>
  <c r="AO560" i="16"/>
  <c r="AL561" i="16"/>
  <c r="AM561" i="16"/>
  <c r="AN561" i="16"/>
  <c r="AO561" i="16"/>
  <c r="AL562" i="16"/>
  <c r="AM562" i="16"/>
  <c r="AN562" i="16"/>
  <c r="AO562" i="16"/>
  <c r="AL563" i="16"/>
  <c r="AM563" i="16"/>
  <c r="AN563" i="16"/>
  <c r="AO563" i="16"/>
  <c r="AL564" i="16"/>
  <c r="AM564" i="16"/>
  <c r="AN564" i="16"/>
  <c r="AO564" i="16"/>
  <c r="AL565" i="16"/>
  <c r="AM565" i="16"/>
  <c r="AN565" i="16"/>
  <c r="AO565" i="16"/>
  <c r="AL566" i="16"/>
  <c r="AM566" i="16"/>
  <c r="AN566" i="16"/>
  <c r="AO566" i="16"/>
  <c r="AL567" i="16"/>
  <c r="AM567" i="16"/>
  <c r="AN567" i="16"/>
  <c r="AO567" i="16"/>
  <c r="AL568" i="16"/>
  <c r="AM568" i="16"/>
  <c r="AN568" i="16"/>
  <c r="AO568" i="16"/>
  <c r="AL569" i="16"/>
  <c r="AM569" i="16"/>
  <c r="AN569" i="16"/>
  <c r="AO569" i="16"/>
  <c r="AL570" i="16"/>
  <c r="AM570" i="16"/>
  <c r="AN570" i="16"/>
  <c r="AO570" i="16"/>
  <c r="AL571" i="16"/>
  <c r="AM571" i="16"/>
  <c r="AN571" i="16"/>
  <c r="AO571" i="16"/>
  <c r="AL572" i="16"/>
  <c r="AM572" i="16"/>
  <c r="AN572" i="16"/>
  <c r="AO572" i="16"/>
  <c r="AL573" i="16"/>
  <c r="AM573" i="16"/>
  <c r="AN573" i="16"/>
  <c r="AO573" i="16"/>
  <c r="AL574" i="16"/>
  <c r="AM574" i="16"/>
  <c r="AN574" i="16"/>
  <c r="AO574" i="16"/>
  <c r="AL575" i="16"/>
  <c r="AM575" i="16"/>
  <c r="AN575" i="16"/>
  <c r="AO575" i="16"/>
  <c r="AL576" i="16"/>
  <c r="AM576" i="16"/>
  <c r="AN576" i="16"/>
  <c r="AO576" i="16"/>
  <c r="AL577" i="16"/>
  <c r="AM577" i="16"/>
  <c r="AN577" i="16"/>
  <c r="AO577" i="16"/>
  <c r="AL578" i="16"/>
  <c r="AM578" i="16"/>
  <c r="AN578" i="16"/>
  <c r="AO578" i="16"/>
  <c r="AL579" i="16"/>
  <c r="AM579" i="16"/>
  <c r="AN579" i="16"/>
  <c r="AO579" i="16"/>
  <c r="AL580" i="16"/>
  <c r="AM580" i="16"/>
  <c r="AN580" i="16"/>
  <c r="AO580" i="16"/>
  <c r="AL581" i="16"/>
  <c r="AM581" i="16"/>
  <c r="AN581" i="16"/>
  <c r="AO581" i="16"/>
  <c r="AL582" i="16"/>
  <c r="AM582" i="16"/>
  <c r="AN582" i="16"/>
  <c r="AO582" i="16"/>
  <c r="AL583" i="16"/>
  <c r="AM583" i="16"/>
  <c r="AN583" i="16"/>
  <c r="AO583" i="16"/>
  <c r="AL584" i="16"/>
  <c r="AM584" i="16"/>
  <c r="AN584" i="16"/>
  <c r="AO584" i="16"/>
  <c r="AL585" i="16"/>
  <c r="AM585" i="16"/>
  <c r="AN585" i="16"/>
  <c r="AO585" i="16"/>
  <c r="AL586" i="16"/>
  <c r="AM586" i="16"/>
  <c r="AN586" i="16"/>
  <c r="AO586" i="16"/>
  <c r="AL587" i="16"/>
  <c r="AM587" i="16"/>
  <c r="AN587" i="16"/>
  <c r="AO587" i="16"/>
  <c r="AL588" i="16"/>
  <c r="AM588" i="16"/>
  <c r="AN588" i="16"/>
  <c r="AO588" i="16"/>
  <c r="AL589" i="16"/>
  <c r="AM589" i="16"/>
  <c r="AN589" i="16"/>
  <c r="AO589" i="16"/>
  <c r="AL590" i="16"/>
  <c r="AM590" i="16"/>
  <c r="AN590" i="16"/>
  <c r="AO590" i="16"/>
  <c r="AL591" i="16"/>
  <c r="AM591" i="16"/>
  <c r="AN591" i="16"/>
  <c r="AO591" i="16"/>
  <c r="AL592" i="16"/>
  <c r="AM592" i="16"/>
  <c r="AN592" i="16"/>
  <c r="AO592" i="16"/>
  <c r="AL593" i="16"/>
  <c r="AM593" i="16"/>
  <c r="AN593" i="16"/>
  <c r="AO593" i="16"/>
  <c r="AL594" i="16"/>
  <c r="AM594" i="16"/>
  <c r="AN594" i="16"/>
  <c r="AO594" i="16"/>
  <c r="AL595" i="16"/>
  <c r="AM595" i="16"/>
  <c r="AN595" i="16"/>
  <c r="AO595" i="16"/>
  <c r="AL596" i="16"/>
  <c r="AM596" i="16"/>
  <c r="AN596" i="16"/>
  <c r="AO596" i="16"/>
  <c r="AL597" i="16"/>
  <c r="AM597" i="16"/>
  <c r="AN597" i="16"/>
  <c r="AO597" i="16"/>
  <c r="AL598" i="16"/>
  <c r="AM598" i="16"/>
  <c r="AN598" i="16"/>
  <c r="AO598" i="16"/>
  <c r="AL599" i="16"/>
  <c r="AM599" i="16"/>
  <c r="AN599" i="16"/>
  <c r="AO599" i="16"/>
  <c r="AL600" i="16"/>
  <c r="AM600" i="16"/>
  <c r="AN600" i="16"/>
  <c r="AO600" i="16"/>
  <c r="AL601" i="16"/>
  <c r="AM601" i="16"/>
  <c r="AN601" i="16"/>
  <c r="AO601" i="16"/>
  <c r="AL602" i="16"/>
  <c r="AM602" i="16"/>
  <c r="AN602" i="16"/>
  <c r="AO602" i="16"/>
  <c r="AL603" i="16"/>
  <c r="AM603" i="16"/>
  <c r="AN603" i="16"/>
  <c r="AO603" i="16"/>
  <c r="AL604" i="16"/>
  <c r="AM604" i="16"/>
  <c r="AN604" i="16"/>
  <c r="AO604" i="16"/>
  <c r="AL605" i="16"/>
  <c r="AM605" i="16"/>
  <c r="AN605" i="16"/>
  <c r="AO605" i="16"/>
  <c r="AL606" i="16"/>
  <c r="AM606" i="16"/>
  <c r="AN606" i="16"/>
  <c r="AO606" i="16"/>
  <c r="AL607" i="16"/>
  <c r="AM607" i="16"/>
  <c r="AN607" i="16"/>
  <c r="AO607" i="16"/>
  <c r="AL608" i="16"/>
  <c r="AM608" i="16"/>
  <c r="AN608" i="16"/>
  <c r="AO608" i="16"/>
  <c r="AL609" i="16"/>
  <c r="AM609" i="16"/>
  <c r="AN609" i="16"/>
  <c r="AO609" i="16"/>
  <c r="AL610" i="16"/>
  <c r="AM610" i="16"/>
  <c r="AN610" i="16"/>
  <c r="AO610" i="16"/>
  <c r="AL611" i="16"/>
  <c r="AM611" i="16"/>
  <c r="AN611" i="16"/>
  <c r="AO611" i="16"/>
  <c r="AL612" i="16"/>
  <c r="AM612" i="16"/>
  <c r="AN612" i="16"/>
  <c r="AO612" i="16"/>
  <c r="AL613" i="16"/>
  <c r="AM613" i="16"/>
  <c r="AN613" i="16"/>
  <c r="AO613" i="16"/>
  <c r="AL614" i="16"/>
  <c r="AM614" i="16"/>
  <c r="AN614" i="16"/>
  <c r="AO614" i="16"/>
  <c r="AL615" i="16"/>
  <c r="AM615" i="16"/>
  <c r="AN615" i="16"/>
  <c r="AO615" i="16"/>
  <c r="AL616" i="16"/>
  <c r="AM616" i="16"/>
  <c r="AN616" i="16"/>
  <c r="AO616" i="16"/>
  <c r="AL617" i="16"/>
  <c r="AM617" i="16"/>
  <c r="AN617" i="16"/>
  <c r="AO617" i="16"/>
  <c r="AL618" i="16"/>
  <c r="AM618" i="16"/>
  <c r="AN618" i="16"/>
  <c r="AO618" i="16"/>
  <c r="AL619" i="16"/>
  <c r="AM619" i="16"/>
  <c r="AN619" i="16"/>
  <c r="AO619" i="16"/>
  <c r="AL620" i="16"/>
  <c r="AM620" i="16"/>
  <c r="AN620" i="16"/>
  <c r="AO620" i="16"/>
  <c r="AL621" i="16"/>
  <c r="AM621" i="16"/>
  <c r="AN621" i="16"/>
  <c r="AO621" i="16"/>
  <c r="AL622" i="16"/>
  <c r="AM622" i="16"/>
  <c r="AN622" i="16"/>
  <c r="AO622" i="16"/>
  <c r="AL623" i="16"/>
  <c r="AM623" i="16"/>
  <c r="AN623" i="16"/>
  <c r="AO623" i="16"/>
  <c r="AL624" i="16"/>
  <c r="AM624" i="16"/>
  <c r="AN624" i="16"/>
  <c r="AO624" i="16"/>
  <c r="AL625" i="16"/>
  <c r="AM625" i="16"/>
  <c r="AN625" i="16"/>
  <c r="AO625" i="16"/>
  <c r="AL626" i="16"/>
  <c r="AM626" i="16"/>
  <c r="AN626" i="16"/>
  <c r="AO626" i="16"/>
  <c r="AL627" i="16"/>
  <c r="AM627" i="16"/>
  <c r="AN627" i="16"/>
  <c r="AO627" i="16"/>
  <c r="AL628" i="16"/>
  <c r="AM628" i="16"/>
  <c r="AN628" i="16"/>
  <c r="AO628" i="16"/>
  <c r="AL629" i="16"/>
  <c r="AM629" i="16"/>
  <c r="AN629" i="16"/>
  <c r="AO629" i="16"/>
  <c r="AL630" i="16"/>
  <c r="AM630" i="16"/>
  <c r="AN630" i="16"/>
  <c r="AO630" i="16"/>
  <c r="AL631" i="16"/>
  <c r="AM631" i="16"/>
  <c r="AN631" i="16"/>
  <c r="AO631" i="16"/>
  <c r="AL632" i="16"/>
  <c r="AM632" i="16"/>
  <c r="AN632" i="16"/>
  <c r="AO632" i="16"/>
  <c r="AL633" i="16"/>
  <c r="AM633" i="16"/>
  <c r="AN633" i="16"/>
  <c r="AO633" i="16"/>
  <c r="AL634" i="16"/>
  <c r="AM634" i="16"/>
  <c r="AN634" i="16"/>
  <c r="AO634" i="16"/>
  <c r="AL635" i="16"/>
  <c r="AM635" i="16"/>
  <c r="AN635" i="16"/>
  <c r="AO635" i="16"/>
  <c r="AL636" i="16"/>
  <c r="AM636" i="16"/>
  <c r="AN636" i="16"/>
  <c r="AO636" i="16"/>
  <c r="AL637" i="16"/>
  <c r="AM637" i="16"/>
  <c r="AN637" i="16"/>
  <c r="AO637" i="16"/>
  <c r="AL638" i="16"/>
  <c r="AM638" i="16"/>
  <c r="AN638" i="16"/>
  <c r="AO638" i="16"/>
  <c r="AL639" i="16"/>
  <c r="AM639" i="16"/>
  <c r="AN639" i="16"/>
  <c r="AO639" i="16"/>
  <c r="AL640" i="16"/>
  <c r="AM640" i="16"/>
  <c r="AN640" i="16"/>
  <c r="AO640" i="16"/>
  <c r="AL641" i="16"/>
  <c r="AM641" i="16"/>
  <c r="AN641" i="16"/>
  <c r="AO641" i="16"/>
  <c r="AL642" i="16"/>
  <c r="AM642" i="16"/>
  <c r="AN642" i="16"/>
  <c r="AO642" i="16"/>
  <c r="AL643" i="16"/>
  <c r="AM643" i="16"/>
  <c r="AN643" i="16"/>
  <c r="AO643" i="16"/>
  <c r="AL644" i="16"/>
  <c r="AM644" i="16"/>
  <c r="AN644" i="16"/>
  <c r="AO644" i="16"/>
  <c r="AL645" i="16"/>
  <c r="AM645" i="16"/>
  <c r="AN645" i="16"/>
  <c r="AO645" i="16"/>
  <c r="AL646" i="16"/>
  <c r="AM646" i="16"/>
  <c r="AN646" i="16"/>
  <c r="AO646" i="16"/>
  <c r="AL647" i="16"/>
  <c r="AM647" i="16"/>
  <c r="AN647" i="16"/>
  <c r="AO647" i="16"/>
  <c r="AL648" i="16"/>
  <c r="AM648" i="16"/>
  <c r="AN648" i="16"/>
  <c r="AO648" i="16"/>
  <c r="AL649" i="16"/>
  <c r="AM649" i="16"/>
  <c r="AN649" i="16"/>
  <c r="AO649" i="16"/>
  <c r="AL650" i="16"/>
  <c r="AM650" i="16"/>
  <c r="AN650" i="16"/>
  <c r="AO650" i="16"/>
  <c r="AL651" i="16"/>
  <c r="AM651" i="16"/>
  <c r="AN651" i="16"/>
  <c r="AO651" i="16"/>
  <c r="AL652" i="16"/>
  <c r="AM652" i="16"/>
  <c r="AN652" i="16"/>
  <c r="AO652" i="16"/>
  <c r="AL653" i="16"/>
  <c r="S653" i="16" s="1"/>
  <c r="AM653" i="16"/>
  <c r="T653" i="16" s="1"/>
  <c r="AN653" i="16"/>
  <c r="U653" i="16" s="1"/>
  <c r="AO653" i="16"/>
  <c r="V653" i="16" s="1"/>
  <c r="AL654" i="16"/>
  <c r="S654" i="16" s="1"/>
  <c r="AM654" i="16"/>
  <c r="T654" i="16" s="1"/>
  <c r="AN654" i="16"/>
  <c r="U654" i="16" s="1"/>
  <c r="AO654" i="16"/>
  <c r="V654" i="16" s="1"/>
  <c r="AL655" i="16"/>
  <c r="S655" i="16" s="1"/>
  <c r="AM655" i="16"/>
  <c r="T655" i="16" s="1"/>
  <c r="AN655" i="16"/>
  <c r="U655" i="16" s="1"/>
  <c r="AO655" i="16"/>
  <c r="V655" i="16" s="1"/>
  <c r="AL656" i="16"/>
  <c r="S656" i="16" s="1"/>
  <c r="AM656" i="16"/>
  <c r="T656" i="16" s="1"/>
  <c r="AN656" i="16"/>
  <c r="U656" i="16" s="1"/>
  <c r="AO656" i="16"/>
  <c r="V656" i="16" s="1"/>
  <c r="AL657" i="16"/>
  <c r="S657" i="16" s="1"/>
  <c r="AM657" i="16"/>
  <c r="T657" i="16" s="1"/>
  <c r="AN657" i="16"/>
  <c r="U657" i="16" s="1"/>
  <c r="AO657" i="16"/>
  <c r="V657" i="16" s="1"/>
  <c r="AL658" i="16"/>
  <c r="S658" i="16" s="1"/>
  <c r="AM658" i="16"/>
  <c r="T658" i="16" s="1"/>
  <c r="AN658" i="16"/>
  <c r="U658" i="16" s="1"/>
  <c r="AO658" i="16"/>
  <c r="V658" i="16" s="1"/>
  <c r="AL659" i="16"/>
  <c r="S659" i="16" s="1"/>
  <c r="AM659" i="16"/>
  <c r="T659" i="16" s="1"/>
  <c r="AN659" i="16"/>
  <c r="U659" i="16" s="1"/>
  <c r="AO659" i="16"/>
  <c r="V659" i="16" s="1"/>
  <c r="AL660" i="16"/>
  <c r="S660" i="16" s="1"/>
  <c r="AM660" i="16"/>
  <c r="T660" i="16" s="1"/>
  <c r="AN660" i="16"/>
  <c r="U660" i="16" s="1"/>
  <c r="AO660" i="16"/>
  <c r="V660" i="16" s="1"/>
  <c r="AL661" i="16"/>
  <c r="S661" i="16" s="1"/>
  <c r="AM661" i="16"/>
  <c r="T661" i="16" s="1"/>
  <c r="AN661" i="16"/>
  <c r="U661" i="16" s="1"/>
  <c r="AO661" i="16"/>
  <c r="V661" i="16" s="1"/>
  <c r="AL662" i="16"/>
  <c r="S662" i="16" s="1"/>
  <c r="AM662" i="16"/>
  <c r="T662" i="16" s="1"/>
  <c r="AN662" i="16"/>
  <c r="U662" i="16" s="1"/>
  <c r="AO662" i="16"/>
  <c r="V662" i="16" s="1"/>
  <c r="AL663" i="16"/>
  <c r="S663" i="16" s="1"/>
  <c r="AM663" i="16"/>
  <c r="T663" i="16" s="1"/>
  <c r="AN663" i="16"/>
  <c r="U663" i="16" s="1"/>
  <c r="AO663" i="16"/>
  <c r="V663" i="16" s="1"/>
  <c r="AL664" i="16"/>
  <c r="S664" i="16" s="1"/>
  <c r="AM664" i="16"/>
  <c r="T664" i="16" s="1"/>
  <c r="AN664" i="16"/>
  <c r="U664" i="16" s="1"/>
  <c r="AO664" i="16"/>
  <c r="V664" i="16" s="1"/>
  <c r="AL665" i="16"/>
  <c r="S665" i="16" s="1"/>
  <c r="AM665" i="16"/>
  <c r="T665" i="16" s="1"/>
  <c r="AN665" i="16"/>
  <c r="U665" i="16" s="1"/>
  <c r="AO665" i="16"/>
  <c r="V665" i="16" s="1"/>
  <c r="AL666" i="16"/>
  <c r="S666" i="16" s="1"/>
  <c r="AM666" i="16"/>
  <c r="T666" i="16" s="1"/>
  <c r="AN666" i="16"/>
  <c r="U666" i="16" s="1"/>
  <c r="AO666" i="16"/>
  <c r="V666" i="16" s="1"/>
  <c r="AL667" i="16"/>
  <c r="S667" i="16" s="1"/>
  <c r="AM667" i="16"/>
  <c r="T667" i="16" s="1"/>
  <c r="AN667" i="16"/>
  <c r="U667" i="16" s="1"/>
  <c r="AO667" i="16"/>
  <c r="V667" i="16" s="1"/>
  <c r="AL668" i="16"/>
  <c r="S668" i="16" s="1"/>
  <c r="AM668" i="16"/>
  <c r="T668" i="16" s="1"/>
  <c r="AN668" i="16"/>
  <c r="U668" i="16" s="1"/>
  <c r="AO668" i="16"/>
  <c r="V668" i="16" s="1"/>
  <c r="AL669" i="16"/>
  <c r="S669" i="16" s="1"/>
  <c r="AM669" i="16"/>
  <c r="T669" i="16" s="1"/>
  <c r="AN669" i="16"/>
  <c r="U669" i="16" s="1"/>
  <c r="AO669" i="16"/>
  <c r="V669" i="16" s="1"/>
  <c r="AL670" i="16"/>
  <c r="S670" i="16" s="1"/>
  <c r="AM670" i="16"/>
  <c r="T670" i="16" s="1"/>
  <c r="AN670" i="16"/>
  <c r="U670" i="16" s="1"/>
  <c r="AO670" i="16"/>
  <c r="V670" i="16" s="1"/>
  <c r="AL671" i="16"/>
  <c r="S671" i="16" s="1"/>
  <c r="AM671" i="16"/>
  <c r="T671" i="16" s="1"/>
  <c r="AN671" i="16"/>
  <c r="U671" i="16" s="1"/>
  <c r="AO671" i="16"/>
  <c r="V671" i="16" s="1"/>
  <c r="AL672" i="16"/>
  <c r="S672" i="16" s="1"/>
  <c r="AM672" i="16"/>
  <c r="T672" i="16" s="1"/>
  <c r="AN672" i="16"/>
  <c r="U672" i="16" s="1"/>
  <c r="AO672" i="16"/>
  <c r="V672" i="16" s="1"/>
  <c r="AL673" i="16"/>
  <c r="S673" i="16" s="1"/>
  <c r="AM673" i="16"/>
  <c r="T673" i="16" s="1"/>
  <c r="AN673" i="16"/>
  <c r="U673" i="16" s="1"/>
  <c r="AO673" i="16"/>
  <c r="V673" i="16" s="1"/>
  <c r="AL674" i="16"/>
  <c r="S674" i="16" s="1"/>
  <c r="AM674" i="16"/>
  <c r="T674" i="16" s="1"/>
  <c r="AN674" i="16"/>
  <c r="U674" i="16" s="1"/>
  <c r="AO674" i="16"/>
  <c r="V674" i="16" s="1"/>
  <c r="AL675" i="16"/>
  <c r="S675" i="16" s="1"/>
  <c r="AM675" i="16"/>
  <c r="T675" i="16" s="1"/>
  <c r="AN675" i="16"/>
  <c r="U675" i="16" s="1"/>
  <c r="AO675" i="16"/>
  <c r="V675" i="16" s="1"/>
  <c r="AL676" i="16"/>
  <c r="S676" i="16" s="1"/>
  <c r="AM676" i="16"/>
  <c r="T676" i="16" s="1"/>
  <c r="AN676" i="16"/>
  <c r="U676" i="16" s="1"/>
  <c r="AO676" i="16"/>
  <c r="V676" i="16" s="1"/>
  <c r="AL677" i="16"/>
  <c r="S677" i="16" s="1"/>
  <c r="AM677" i="16"/>
  <c r="T677" i="16" s="1"/>
  <c r="AN677" i="16"/>
  <c r="U677" i="16" s="1"/>
  <c r="AO677" i="16"/>
  <c r="V677" i="16" s="1"/>
  <c r="AL678" i="16"/>
  <c r="S678" i="16" s="1"/>
  <c r="AM678" i="16"/>
  <c r="T678" i="16" s="1"/>
  <c r="AN678" i="16"/>
  <c r="U678" i="16" s="1"/>
  <c r="AO678" i="16"/>
  <c r="V678" i="16" s="1"/>
  <c r="AL679" i="16"/>
  <c r="S679" i="16" s="1"/>
  <c r="AM679" i="16"/>
  <c r="T679" i="16" s="1"/>
  <c r="AN679" i="16"/>
  <c r="U679" i="16" s="1"/>
  <c r="AO679" i="16"/>
  <c r="V679" i="16" s="1"/>
  <c r="AL680" i="16"/>
  <c r="S680" i="16" s="1"/>
  <c r="AM680" i="16"/>
  <c r="T680" i="16" s="1"/>
  <c r="AN680" i="16"/>
  <c r="U680" i="16" s="1"/>
  <c r="AO680" i="16"/>
  <c r="V680" i="16" s="1"/>
  <c r="AL681" i="16"/>
  <c r="S681" i="16" s="1"/>
  <c r="AM681" i="16"/>
  <c r="T681" i="16" s="1"/>
  <c r="AN681" i="16"/>
  <c r="U681" i="16" s="1"/>
  <c r="AO681" i="16"/>
  <c r="V681" i="16" s="1"/>
  <c r="AL682" i="16"/>
  <c r="S682" i="16" s="1"/>
  <c r="AM682" i="16"/>
  <c r="T682" i="16" s="1"/>
  <c r="AN682" i="16"/>
  <c r="U682" i="16" s="1"/>
  <c r="AO682" i="16"/>
  <c r="V682" i="16" s="1"/>
  <c r="AL683" i="16"/>
  <c r="S683" i="16" s="1"/>
  <c r="AM683" i="16"/>
  <c r="T683" i="16" s="1"/>
  <c r="AN683" i="16"/>
  <c r="U683" i="16" s="1"/>
  <c r="AO683" i="16"/>
  <c r="V683" i="16" s="1"/>
  <c r="AL684" i="16"/>
  <c r="S684" i="16" s="1"/>
  <c r="AM684" i="16"/>
  <c r="T684" i="16" s="1"/>
  <c r="AN684" i="16"/>
  <c r="U684" i="16" s="1"/>
  <c r="AO684" i="16"/>
  <c r="V684" i="16" s="1"/>
  <c r="AL685" i="16"/>
  <c r="S685" i="16" s="1"/>
  <c r="AM685" i="16"/>
  <c r="T685" i="16" s="1"/>
  <c r="AN685" i="16"/>
  <c r="U685" i="16" s="1"/>
  <c r="AO685" i="16"/>
  <c r="V685" i="16" s="1"/>
  <c r="AL686" i="16"/>
  <c r="S686" i="16" s="1"/>
  <c r="AM686" i="16"/>
  <c r="T686" i="16" s="1"/>
  <c r="AN686" i="16"/>
  <c r="U686" i="16" s="1"/>
  <c r="AO686" i="16"/>
  <c r="V686" i="16" s="1"/>
  <c r="AL687" i="16"/>
  <c r="S687" i="16" s="1"/>
  <c r="AM687" i="16"/>
  <c r="T687" i="16" s="1"/>
  <c r="AN687" i="16"/>
  <c r="U687" i="16" s="1"/>
  <c r="AO687" i="16"/>
  <c r="V687" i="16" s="1"/>
  <c r="AL688" i="16"/>
  <c r="S688" i="16" s="1"/>
  <c r="AM688" i="16"/>
  <c r="T688" i="16" s="1"/>
  <c r="AN688" i="16"/>
  <c r="U688" i="16" s="1"/>
  <c r="AO688" i="16"/>
  <c r="V688" i="16" s="1"/>
  <c r="AL689" i="16"/>
  <c r="S689" i="16" s="1"/>
  <c r="AM689" i="16"/>
  <c r="T689" i="16" s="1"/>
  <c r="AN689" i="16"/>
  <c r="U689" i="16" s="1"/>
  <c r="AO689" i="16"/>
  <c r="V689" i="16" s="1"/>
  <c r="AL690" i="16"/>
  <c r="S690" i="16" s="1"/>
  <c r="AM690" i="16"/>
  <c r="T690" i="16" s="1"/>
  <c r="AN690" i="16"/>
  <c r="U690" i="16" s="1"/>
  <c r="AO690" i="16"/>
  <c r="V690" i="16" s="1"/>
  <c r="AL691" i="16"/>
  <c r="S691" i="16" s="1"/>
  <c r="AM691" i="16"/>
  <c r="T691" i="16" s="1"/>
  <c r="AN691" i="16"/>
  <c r="U691" i="16" s="1"/>
  <c r="AO691" i="16"/>
  <c r="V691" i="16" s="1"/>
  <c r="AL692" i="16"/>
  <c r="S692" i="16" s="1"/>
  <c r="AM692" i="16"/>
  <c r="T692" i="16" s="1"/>
  <c r="AN692" i="16"/>
  <c r="U692" i="16" s="1"/>
  <c r="AO692" i="16"/>
  <c r="V692" i="16" s="1"/>
  <c r="AL693" i="16"/>
  <c r="S693" i="16" s="1"/>
  <c r="AM693" i="16"/>
  <c r="T693" i="16" s="1"/>
  <c r="AN693" i="16"/>
  <c r="U693" i="16" s="1"/>
  <c r="AO693" i="16"/>
  <c r="V693" i="16" s="1"/>
  <c r="AL694" i="16"/>
  <c r="S694" i="16" s="1"/>
  <c r="AM694" i="16"/>
  <c r="T694" i="16" s="1"/>
  <c r="AN694" i="16"/>
  <c r="U694" i="16" s="1"/>
  <c r="AO694" i="16"/>
  <c r="V694" i="16" s="1"/>
  <c r="AL695" i="16"/>
  <c r="S695" i="16" s="1"/>
  <c r="AM695" i="16"/>
  <c r="T695" i="16" s="1"/>
  <c r="AN695" i="16"/>
  <c r="U695" i="16" s="1"/>
  <c r="AO695" i="16"/>
  <c r="V695" i="16" s="1"/>
  <c r="AL696" i="16"/>
  <c r="S696" i="16" s="1"/>
  <c r="AM696" i="16"/>
  <c r="T696" i="16" s="1"/>
  <c r="AN696" i="16"/>
  <c r="U696" i="16" s="1"/>
  <c r="AO696" i="16"/>
  <c r="V696" i="16" s="1"/>
  <c r="AL697" i="16"/>
  <c r="S697" i="16" s="1"/>
  <c r="AM697" i="16"/>
  <c r="T697" i="16" s="1"/>
  <c r="AN697" i="16"/>
  <c r="U697" i="16" s="1"/>
  <c r="AO697" i="16"/>
  <c r="V697" i="16" s="1"/>
  <c r="AL698" i="16"/>
  <c r="S698" i="16" s="1"/>
  <c r="AM698" i="16"/>
  <c r="T698" i="16" s="1"/>
  <c r="AN698" i="16"/>
  <c r="U698" i="16" s="1"/>
  <c r="AO698" i="16"/>
  <c r="V698" i="16" s="1"/>
  <c r="AL699" i="16"/>
  <c r="S699" i="16" s="1"/>
  <c r="AM699" i="16"/>
  <c r="T699" i="16" s="1"/>
  <c r="AN699" i="16"/>
  <c r="U699" i="16" s="1"/>
  <c r="AO699" i="16"/>
  <c r="V699" i="16" s="1"/>
  <c r="AL700" i="16"/>
  <c r="S700" i="16" s="1"/>
  <c r="AM700" i="16"/>
  <c r="T700" i="16" s="1"/>
  <c r="AN700" i="16"/>
  <c r="U700" i="16" s="1"/>
  <c r="AO700" i="16"/>
  <c r="V700" i="16" s="1"/>
  <c r="AL701" i="16"/>
  <c r="S701" i="16" s="1"/>
  <c r="AM701" i="16"/>
  <c r="T701" i="16" s="1"/>
  <c r="AN701" i="16"/>
  <c r="U701" i="16" s="1"/>
  <c r="AO701" i="16"/>
  <c r="V701" i="16" s="1"/>
  <c r="AL702" i="16"/>
  <c r="S702" i="16" s="1"/>
  <c r="AM702" i="16"/>
  <c r="T702" i="16" s="1"/>
  <c r="AN702" i="16"/>
  <c r="U702" i="16" s="1"/>
  <c r="AO702" i="16"/>
  <c r="V702" i="16" s="1"/>
  <c r="AL703" i="16"/>
  <c r="S703" i="16" s="1"/>
  <c r="AM703" i="16"/>
  <c r="T703" i="16" s="1"/>
  <c r="AN703" i="16"/>
  <c r="U703" i="16" s="1"/>
  <c r="AO703" i="16"/>
  <c r="V703" i="16" s="1"/>
  <c r="AL704" i="16"/>
  <c r="S704" i="16" s="1"/>
  <c r="AM704" i="16"/>
  <c r="T704" i="16" s="1"/>
  <c r="AN704" i="16"/>
  <c r="U704" i="16" s="1"/>
  <c r="AO704" i="16"/>
  <c r="V704" i="16" s="1"/>
  <c r="AL705" i="16"/>
  <c r="S705" i="16" s="1"/>
  <c r="AM705" i="16"/>
  <c r="T705" i="16" s="1"/>
  <c r="AN705" i="16"/>
  <c r="U705" i="16" s="1"/>
  <c r="AO705" i="16"/>
  <c r="V705" i="16" s="1"/>
  <c r="AL706" i="16"/>
  <c r="S706" i="16" s="1"/>
  <c r="AM706" i="16"/>
  <c r="T706" i="16" s="1"/>
  <c r="AN706" i="16"/>
  <c r="U706" i="16" s="1"/>
  <c r="AO706" i="16"/>
  <c r="V706" i="16" s="1"/>
  <c r="AL707" i="16"/>
  <c r="S707" i="16" s="1"/>
  <c r="AM707" i="16"/>
  <c r="T707" i="16" s="1"/>
  <c r="AN707" i="16"/>
  <c r="U707" i="16" s="1"/>
  <c r="AO707" i="16"/>
  <c r="V707" i="16" s="1"/>
  <c r="AL708" i="16"/>
  <c r="S708" i="16" s="1"/>
  <c r="AM708" i="16"/>
  <c r="T708" i="16" s="1"/>
  <c r="AN708" i="16"/>
  <c r="U708" i="16" s="1"/>
  <c r="AO708" i="16"/>
  <c r="V708" i="16" s="1"/>
  <c r="AL709" i="16"/>
  <c r="S709" i="16" s="1"/>
  <c r="AM709" i="16"/>
  <c r="T709" i="16" s="1"/>
  <c r="AN709" i="16"/>
  <c r="U709" i="16" s="1"/>
  <c r="AO709" i="16"/>
  <c r="V709" i="16" s="1"/>
  <c r="AL710" i="16"/>
  <c r="S710" i="16" s="1"/>
  <c r="AM710" i="16"/>
  <c r="T710" i="16" s="1"/>
  <c r="AN710" i="16"/>
  <c r="U710" i="16" s="1"/>
  <c r="AO710" i="16"/>
  <c r="V710" i="16" s="1"/>
  <c r="AL711" i="16"/>
  <c r="S711" i="16" s="1"/>
  <c r="AM711" i="16"/>
  <c r="T711" i="16" s="1"/>
  <c r="AN711" i="16"/>
  <c r="U711" i="16" s="1"/>
  <c r="AO711" i="16"/>
  <c r="V711" i="16" s="1"/>
  <c r="AL712" i="16"/>
  <c r="S712" i="16" s="1"/>
  <c r="AM712" i="16"/>
  <c r="T712" i="16" s="1"/>
  <c r="AN712" i="16"/>
  <c r="U712" i="16" s="1"/>
  <c r="AO712" i="16"/>
  <c r="V712" i="16" s="1"/>
  <c r="AL713" i="16"/>
  <c r="S713" i="16" s="1"/>
  <c r="AM713" i="16"/>
  <c r="T713" i="16" s="1"/>
  <c r="AN713" i="16"/>
  <c r="U713" i="16" s="1"/>
  <c r="AO713" i="16"/>
  <c r="V713" i="16" s="1"/>
  <c r="AL714" i="16"/>
  <c r="S714" i="16" s="1"/>
  <c r="AM714" i="16"/>
  <c r="T714" i="16" s="1"/>
  <c r="AN714" i="16"/>
  <c r="U714" i="16" s="1"/>
  <c r="AO714" i="16"/>
  <c r="V714" i="16" s="1"/>
  <c r="AL715" i="16"/>
  <c r="S715" i="16" s="1"/>
  <c r="AM715" i="16"/>
  <c r="T715" i="16" s="1"/>
  <c r="AN715" i="16"/>
  <c r="U715" i="16" s="1"/>
  <c r="AO715" i="16"/>
  <c r="V715" i="16" s="1"/>
  <c r="AL716" i="16"/>
  <c r="S716" i="16" s="1"/>
  <c r="AM716" i="16"/>
  <c r="T716" i="16" s="1"/>
  <c r="AN716" i="16"/>
  <c r="U716" i="16" s="1"/>
  <c r="AO716" i="16"/>
  <c r="V716" i="16" s="1"/>
  <c r="AL717" i="16"/>
  <c r="S717" i="16" s="1"/>
  <c r="AM717" i="16"/>
  <c r="T717" i="16" s="1"/>
  <c r="AN717" i="16"/>
  <c r="U717" i="16" s="1"/>
  <c r="AO717" i="16"/>
  <c r="V717" i="16" s="1"/>
  <c r="AL718" i="16"/>
  <c r="S718" i="16" s="1"/>
  <c r="AM718" i="16"/>
  <c r="T718" i="16" s="1"/>
  <c r="AN718" i="16"/>
  <c r="U718" i="16" s="1"/>
  <c r="AO718" i="16"/>
  <c r="V718" i="16" s="1"/>
  <c r="AL719" i="16"/>
  <c r="S719" i="16" s="1"/>
  <c r="AM719" i="16"/>
  <c r="T719" i="16" s="1"/>
  <c r="AN719" i="16"/>
  <c r="U719" i="16" s="1"/>
  <c r="AO719" i="16"/>
  <c r="V719" i="16" s="1"/>
  <c r="AL720" i="16"/>
  <c r="S720" i="16" s="1"/>
  <c r="AM720" i="16"/>
  <c r="T720" i="16" s="1"/>
  <c r="AN720" i="16"/>
  <c r="U720" i="16" s="1"/>
  <c r="AO720" i="16"/>
  <c r="V720" i="16" s="1"/>
  <c r="AL721" i="16"/>
  <c r="S721" i="16" s="1"/>
  <c r="AM721" i="16"/>
  <c r="T721" i="16" s="1"/>
  <c r="AN721" i="16"/>
  <c r="U721" i="16" s="1"/>
  <c r="AO721" i="16"/>
  <c r="V721" i="16" s="1"/>
  <c r="AL722" i="16"/>
  <c r="S722" i="16" s="1"/>
  <c r="AM722" i="16"/>
  <c r="T722" i="16" s="1"/>
  <c r="AN722" i="16"/>
  <c r="U722" i="16" s="1"/>
  <c r="AO722" i="16"/>
  <c r="V722" i="16" s="1"/>
  <c r="AL723" i="16"/>
  <c r="S723" i="16" s="1"/>
  <c r="AM723" i="16"/>
  <c r="T723" i="16" s="1"/>
  <c r="AN723" i="16"/>
  <c r="U723" i="16" s="1"/>
  <c r="AO723" i="16"/>
  <c r="V723" i="16" s="1"/>
  <c r="AL724" i="16"/>
  <c r="S724" i="16" s="1"/>
  <c r="AM724" i="16"/>
  <c r="T724" i="16" s="1"/>
  <c r="AN724" i="16"/>
  <c r="U724" i="16" s="1"/>
  <c r="AO724" i="16"/>
  <c r="V724" i="16" s="1"/>
  <c r="AL725" i="16"/>
  <c r="S725" i="16" s="1"/>
  <c r="AM725" i="16"/>
  <c r="T725" i="16" s="1"/>
  <c r="AN725" i="16"/>
  <c r="U725" i="16" s="1"/>
  <c r="AO725" i="16"/>
  <c r="V725" i="16" s="1"/>
  <c r="AL726" i="16"/>
  <c r="S726" i="16" s="1"/>
  <c r="AM726" i="16"/>
  <c r="T726" i="16" s="1"/>
  <c r="AN726" i="16"/>
  <c r="U726" i="16" s="1"/>
  <c r="AO726" i="16"/>
  <c r="V726" i="16" s="1"/>
  <c r="AL727" i="16"/>
  <c r="S727" i="16" s="1"/>
  <c r="AM727" i="16"/>
  <c r="T727" i="16" s="1"/>
  <c r="AN727" i="16"/>
  <c r="U727" i="16" s="1"/>
  <c r="AO727" i="16"/>
  <c r="V727" i="16" s="1"/>
  <c r="AL728" i="16"/>
  <c r="S728" i="16" s="1"/>
  <c r="AM728" i="16"/>
  <c r="T728" i="16" s="1"/>
  <c r="AN728" i="16"/>
  <c r="U728" i="16" s="1"/>
  <c r="AO728" i="16"/>
  <c r="V728" i="16" s="1"/>
  <c r="AL729" i="16"/>
  <c r="S729" i="16" s="1"/>
  <c r="AM729" i="16"/>
  <c r="T729" i="16" s="1"/>
  <c r="AN729" i="16"/>
  <c r="U729" i="16" s="1"/>
  <c r="AO729" i="16"/>
  <c r="V729" i="16" s="1"/>
  <c r="AL730" i="16"/>
  <c r="S730" i="16" s="1"/>
  <c r="AM730" i="16"/>
  <c r="T730" i="16" s="1"/>
  <c r="AN730" i="16"/>
  <c r="U730" i="16" s="1"/>
  <c r="AO730" i="16"/>
  <c r="V730" i="16" s="1"/>
  <c r="AL731" i="16"/>
  <c r="S731" i="16" s="1"/>
  <c r="AM731" i="16"/>
  <c r="T731" i="16" s="1"/>
  <c r="AN731" i="16"/>
  <c r="U731" i="16" s="1"/>
  <c r="AO731" i="16"/>
  <c r="V731" i="16" s="1"/>
  <c r="AL732" i="16"/>
  <c r="S732" i="16" s="1"/>
  <c r="AM732" i="16"/>
  <c r="T732" i="16" s="1"/>
  <c r="AN732" i="16"/>
  <c r="U732" i="16" s="1"/>
  <c r="AO732" i="16"/>
  <c r="V732" i="16" s="1"/>
  <c r="AL733" i="16"/>
  <c r="S733" i="16" s="1"/>
  <c r="AM733" i="16"/>
  <c r="T733" i="16" s="1"/>
  <c r="AN733" i="16"/>
  <c r="U733" i="16" s="1"/>
  <c r="AO733" i="16"/>
  <c r="V733" i="16" s="1"/>
  <c r="AL734" i="16"/>
  <c r="S734" i="16" s="1"/>
  <c r="AM734" i="16"/>
  <c r="T734" i="16" s="1"/>
  <c r="AN734" i="16"/>
  <c r="U734" i="16" s="1"/>
  <c r="AO734" i="16"/>
  <c r="V734" i="16" s="1"/>
  <c r="AL735" i="16"/>
  <c r="S735" i="16" s="1"/>
  <c r="AM735" i="16"/>
  <c r="T735" i="16" s="1"/>
  <c r="AN735" i="16"/>
  <c r="U735" i="16" s="1"/>
  <c r="AO735" i="16"/>
  <c r="V735" i="16" s="1"/>
  <c r="AL736" i="16"/>
  <c r="S736" i="16" s="1"/>
  <c r="AM736" i="16"/>
  <c r="T736" i="16" s="1"/>
  <c r="AN736" i="16"/>
  <c r="U736" i="16" s="1"/>
  <c r="AO736" i="16"/>
  <c r="V736" i="16" s="1"/>
  <c r="AL737" i="16"/>
  <c r="AM737" i="16"/>
  <c r="AN737" i="16"/>
  <c r="AO737" i="16"/>
  <c r="AL738" i="16"/>
  <c r="AM738" i="16"/>
  <c r="AN738" i="16"/>
  <c r="AO738" i="16"/>
  <c r="AL739" i="16"/>
  <c r="AM739" i="16"/>
  <c r="AN739" i="16"/>
  <c r="AO739" i="16"/>
  <c r="AL740" i="16"/>
  <c r="AM740" i="16"/>
  <c r="AN740" i="16"/>
  <c r="AO740" i="16"/>
  <c r="AL741" i="16"/>
  <c r="AM741" i="16"/>
  <c r="AN741" i="16"/>
  <c r="AO741" i="16"/>
  <c r="AL742" i="16"/>
  <c r="AM742" i="16"/>
  <c r="AN742" i="16"/>
  <c r="AO742" i="16"/>
  <c r="AL743" i="16"/>
  <c r="AM743" i="16"/>
  <c r="AN743" i="16"/>
  <c r="AO743" i="16"/>
  <c r="AL744" i="16"/>
  <c r="AM744" i="16"/>
  <c r="AN744" i="16"/>
  <c r="AO744" i="16"/>
  <c r="AL745" i="16"/>
  <c r="AM745" i="16"/>
  <c r="AN745" i="16"/>
  <c r="AO745" i="16"/>
  <c r="AL746" i="16"/>
  <c r="AM746" i="16"/>
  <c r="AN746" i="16"/>
  <c r="AO746" i="16"/>
  <c r="AL747" i="16"/>
  <c r="AM747" i="16"/>
  <c r="AN747" i="16"/>
  <c r="AO747" i="16"/>
  <c r="AL748" i="16"/>
  <c r="AM748" i="16"/>
  <c r="AN748" i="16"/>
  <c r="AO748" i="16"/>
  <c r="AL749" i="16"/>
  <c r="AM749" i="16"/>
  <c r="AN749" i="16"/>
  <c r="AO749" i="16"/>
  <c r="AL750" i="16"/>
  <c r="AM750" i="16"/>
  <c r="AN750" i="16"/>
  <c r="AO750" i="16"/>
  <c r="AL751" i="16"/>
  <c r="AM751" i="16"/>
  <c r="AN751" i="16"/>
  <c r="AO751" i="16"/>
  <c r="AL752" i="16"/>
  <c r="AM752" i="16"/>
  <c r="AN752" i="16"/>
  <c r="AO752" i="16"/>
  <c r="AL753" i="16"/>
  <c r="AM753" i="16"/>
  <c r="AN753" i="16"/>
  <c r="AO753" i="16"/>
  <c r="AL754" i="16"/>
  <c r="AM754" i="16"/>
  <c r="AN754" i="16"/>
  <c r="AO754" i="16"/>
  <c r="AL755" i="16"/>
  <c r="AM755" i="16"/>
  <c r="AN755" i="16"/>
  <c r="AO755" i="16"/>
  <c r="AL756" i="16"/>
  <c r="AM756" i="16"/>
  <c r="AN756" i="16"/>
  <c r="AO756" i="16"/>
  <c r="AL757" i="16"/>
  <c r="AM757" i="16"/>
  <c r="AN757" i="16"/>
  <c r="AO757" i="16"/>
  <c r="AL758" i="16"/>
  <c r="S758" i="16" s="1"/>
  <c r="AM758" i="16"/>
  <c r="T758" i="16" s="1"/>
  <c r="AN758" i="16"/>
  <c r="U758" i="16" s="1"/>
  <c r="AO758" i="16"/>
  <c r="V758" i="16" s="1"/>
  <c r="AL759" i="16"/>
  <c r="S759" i="16" s="1"/>
  <c r="AM759" i="16"/>
  <c r="T759" i="16" s="1"/>
  <c r="AN759" i="16"/>
  <c r="U759" i="16" s="1"/>
  <c r="AO759" i="16"/>
  <c r="V759" i="16" s="1"/>
  <c r="AL760" i="16"/>
  <c r="S760" i="16" s="1"/>
  <c r="AM760" i="16"/>
  <c r="T760" i="16" s="1"/>
  <c r="AN760" i="16"/>
  <c r="U760" i="16" s="1"/>
  <c r="AO760" i="16"/>
  <c r="V760" i="16" s="1"/>
  <c r="AL761" i="16"/>
  <c r="S761" i="16" s="1"/>
  <c r="AM761" i="16"/>
  <c r="T761" i="16" s="1"/>
  <c r="AN761" i="16"/>
  <c r="U761" i="16" s="1"/>
  <c r="AO761" i="16"/>
  <c r="V761" i="16" s="1"/>
  <c r="AL762" i="16"/>
  <c r="S762" i="16" s="1"/>
  <c r="AM762" i="16"/>
  <c r="T762" i="16" s="1"/>
  <c r="AN762" i="16"/>
  <c r="U762" i="16" s="1"/>
  <c r="AO762" i="16"/>
  <c r="V762" i="16" s="1"/>
  <c r="AL763" i="16"/>
  <c r="S763" i="16" s="1"/>
  <c r="AM763" i="16"/>
  <c r="T763" i="16" s="1"/>
  <c r="AN763" i="16"/>
  <c r="U763" i="16" s="1"/>
  <c r="AO763" i="16"/>
  <c r="V763" i="16" s="1"/>
  <c r="AL764" i="16"/>
  <c r="S764" i="16" s="1"/>
  <c r="AM764" i="16"/>
  <c r="T764" i="16" s="1"/>
  <c r="AN764" i="16"/>
  <c r="U764" i="16" s="1"/>
  <c r="AO764" i="16"/>
  <c r="V764" i="16" s="1"/>
  <c r="AL765" i="16"/>
  <c r="S765" i="16" s="1"/>
  <c r="AM765" i="16"/>
  <c r="T765" i="16" s="1"/>
  <c r="AN765" i="16"/>
  <c r="U765" i="16" s="1"/>
  <c r="AO765" i="16"/>
  <c r="V765" i="16" s="1"/>
  <c r="AL766" i="16"/>
  <c r="S766" i="16" s="1"/>
  <c r="AM766" i="16"/>
  <c r="T766" i="16" s="1"/>
  <c r="AN766" i="16"/>
  <c r="U766" i="16" s="1"/>
  <c r="AO766" i="16"/>
  <c r="V766" i="16" s="1"/>
  <c r="AL767" i="16"/>
  <c r="S767" i="16" s="1"/>
  <c r="AM767" i="16"/>
  <c r="T767" i="16" s="1"/>
  <c r="AN767" i="16"/>
  <c r="U767" i="16" s="1"/>
  <c r="AO767" i="16"/>
  <c r="V767" i="16" s="1"/>
  <c r="AL768" i="16"/>
  <c r="S768" i="16" s="1"/>
  <c r="AM768" i="16"/>
  <c r="T768" i="16" s="1"/>
  <c r="AN768" i="16"/>
  <c r="U768" i="16" s="1"/>
  <c r="AO768" i="16"/>
  <c r="V768" i="16" s="1"/>
  <c r="AL769" i="16"/>
  <c r="S769" i="16" s="1"/>
  <c r="AM769" i="16"/>
  <c r="T769" i="16" s="1"/>
  <c r="AN769" i="16"/>
  <c r="U769" i="16" s="1"/>
  <c r="AO769" i="16"/>
  <c r="V769" i="16" s="1"/>
  <c r="AL770" i="16"/>
  <c r="S770" i="16" s="1"/>
  <c r="AM770" i="16"/>
  <c r="T770" i="16" s="1"/>
  <c r="AN770" i="16"/>
  <c r="U770" i="16" s="1"/>
  <c r="AO770" i="16"/>
  <c r="V770" i="16" s="1"/>
  <c r="AL771" i="16"/>
  <c r="S771" i="16" s="1"/>
  <c r="AM771" i="16"/>
  <c r="T771" i="16" s="1"/>
  <c r="AN771" i="16"/>
  <c r="U771" i="16" s="1"/>
  <c r="AO771" i="16"/>
  <c r="V771" i="16" s="1"/>
  <c r="AL772" i="16"/>
  <c r="S772" i="16" s="1"/>
  <c r="AM772" i="16"/>
  <c r="T772" i="16" s="1"/>
  <c r="AN772" i="16"/>
  <c r="U772" i="16" s="1"/>
  <c r="AO772" i="16"/>
  <c r="V772" i="16" s="1"/>
  <c r="AL773" i="16"/>
  <c r="S773" i="16" s="1"/>
  <c r="AM773" i="16"/>
  <c r="T773" i="16" s="1"/>
  <c r="AN773" i="16"/>
  <c r="U773" i="16" s="1"/>
  <c r="AO773" i="16"/>
  <c r="V773" i="16" s="1"/>
  <c r="AL774" i="16"/>
  <c r="S774" i="16" s="1"/>
  <c r="AM774" i="16"/>
  <c r="T774" i="16" s="1"/>
  <c r="AN774" i="16"/>
  <c r="U774" i="16" s="1"/>
  <c r="AO774" i="16"/>
  <c r="V774" i="16" s="1"/>
  <c r="AL775" i="16"/>
  <c r="S775" i="16" s="1"/>
  <c r="AM775" i="16"/>
  <c r="T775" i="16" s="1"/>
  <c r="AN775" i="16"/>
  <c r="U775" i="16" s="1"/>
  <c r="AO775" i="16"/>
  <c r="V775" i="16" s="1"/>
  <c r="AL776" i="16"/>
  <c r="S776" i="16" s="1"/>
  <c r="AM776" i="16"/>
  <c r="T776" i="16" s="1"/>
  <c r="AN776" i="16"/>
  <c r="U776" i="16" s="1"/>
  <c r="AO776" i="16"/>
  <c r="V776" i="16" s="1"/>
  <c r="AL777" i="16"/>
  <c r="S777" i="16" s="1"/>
  <c r="AM777" i="16"/>
  <c r="T777" i="16" s="1"/>
  <c r="AN777" i="16"/>
  <c r="U777" i="16" s="1"/>
  <c r="AO777" i="16"/>
  <c r="V777" i="16" s="1"/>
  <c r="AL778" i="16"/>
  <c r="S778" i="16" s="1"/>
  <c r="AM778" i="16"/>
  <c r="T778" i="16" s="1"/>
  <c r="AN778" i="16"/>
  <c r="U778" i="16" s="1"/>
  <c r="AO778" i="16"/>
  <c r="V778" i="16" s="1"/>
  <c r="AL779" i="16"/>
  <c r="S779" i="16" s="1"/>
  <c r="AM779" i="16"/>
  <c r="T779" i="16" s="1"/>
  <c r="AN779" i="16"/>
  <c r="U779" i="16" s="1"/>
  <c r="AO779" i="16"/>
  <c r="V779" i="16" s="1"/>
  <c r="AL780" i="16"/>
  <c r="S780" i="16" s="1"/>
  <c r="AM780" i="16"/>
  <c r="T780" i="16" s="1"/>
  <c r="AN780" i="16"/>
  <c r="U780" i="16" s="1"/>
  <c r="AO780" i="16"/>
  <c r="V780" i="16" s="1"/>
  <c r="AL781" i="16"/>
  <c r="S781" i="16" s="1"/>
  <c r="AM781" i="16"/>
  <c r="T781" i="16" s="1"/>
  <c r="AN781" i="16"/>
  <c r="U781" i="16" s="1"/>
  <c r="AO781" i="16"/>
  <c r="V781" i="16" s="1"/>
  <c r="AL782" i="16"/>
  <c r="S782" i="16" s="1"/>
  <c r="AM782" i="16"/>
  <c r="T782" i="16" s="1"/>
  <c r="AN782" i="16"/>
  <c r="U782" i="16" s="1"/>
  <c r="AO782" i="16"/>
  <c r="V782" i="16" s="1"/>
  <c r="AL783" i="16"/>
  <c r="S783" i="16" s="1"/>
  <c r="AM783" i="16"/>
  <c r="T783" i="16" s="1"/>
  <c r="AN783" i="16"/>
  <c r="U783" i="16" s="1"/>
  <c r="AO783" i="16"/>
  <c r="V783" i="16" s="1"/>
  <c r="AL784" i="16"/>
  <c r="S784" i="16" s="1"/>
  <c r="AM784" i="16"/>
  <c r="T784" i="16" s="1"/>
  <c r="AN784" i="16"/>
  <c r="U784" i="16" s="1"/>
  <c r="AO784" i="16"/>
  <c r="V784" i="16" s="1"/>
  <c r="AL785" i="16"/>
  <c r="S785" i="16" s="1"/>
  <c r="AM785" i="16"/>
  <c r="T785" i="16" s="1"/>
  <c r="AN785" i="16"/>
  <c r="U785" i="16" s="1"/>
  <c r="AO785" i="16"/>
  <c r="V785" i="16" s="1"/>
  <c r="AL786" i="16"/>
  <c r="S786" i="16" s="1"/>
  <c r="AM786" i="16"/>
  <c r="T786" i="16" s="1"/>
  <c r="AN786" i="16"/>
  <c r="U786" i="16" s="1"/>
  <c r="AO786" i="16"/>
  <c r="V786" i="16" s="1"/>
  <c r="AL787" i="16"/>
  <c r="S787" i="16" s="1"/>
  <c r="AM787" i="16"/>
  <c r="T787" i="16" s="1"/>
  <c r="AN787" i="16"/>
  <c r="U787" i="16" s="1"/>
  <c r="AO787" i="16"/>
  <c r="V787" i="16" s="1"/>
  <c r="AL788" i="16"/>
  <c r="S788" i="16" s="1"/>
  <c r="AM788" i="16"/>
  <c r="T788" i="16" s="1"/>
  <c r="AN788" i="16"/>
  <c r="U788" i="16" s="1"/>
  <c r="AO788" i="16"/>
  <c r="V788" i="16" s="1"/>
  <c r="AL789" i="16"/>
  <c r="S789" i="16" s="1"/>
  <c r="AM789" i="16"/>
  <c r="T789" i="16" s="1"/>
  <c r="AN789" i="16"/>
  <c r="U789" i="16" s="1"/>
  <c r="AO789" i="16"/>
  <c r="V789" i="16" s="1"/>
  <c r="AL790" i="16"/>
  <c r="S790" i="16" s="1"/>
  <c r="AM790" i="16"/>
  <c r="T790" i="16" s="1"/>
  <c r="AN790" i="16"/>
  <c r="U790" i="16" s="1"/>
  <c r="AO790" i="16"/>
  <c r="V790" i="16" s="1"/>
  <c r="AL791" i="16"/>
  <c r="S791" i="16" s="1"/>
  <c r="AM791" i="16"/>
  <c r="T791" i="16" s="1"/>
  <c r="AN791" i="16"/>
  <c r="U791" i="16" s="1"/>
  <c r="AO791" i="16"/>
  <c r="V791" i="16" s="1"/>
  <c r="AL792" i="16"/>
  <c r="S792" i="16" s="1"/>
  <c r="AM792" i="16"/>
  <c r="T792" i="16" s="1"/>
  <c r="AN792" i="16"/>
  <c r="U792" i="16" s="1"/>
  <c r="AO792" i="16"/>
  <c r="V792" i="16" s="1"/>
  <c r="AL793" i="16"/>
  <c r="S793" i="16" s="1"/>
  <c r="AM793" i="16"/>
  <c r="T793" i="16" s="1"/>
  <c r="AN793" i="16"/>
  <c r="U793" i="16" s="1"/>
  <c r="AO793" i="16"/>
  <c r="V793" i="16" s="1"/>
  <c r="AL794" i="16"/>
  <c r="S794" i="16" s="1"/>
  <c r="AM794" i="16"/>
  <c r="T794" i="16" s="1"/>
  <c r="AN794" i="16"/>
  <c r="U794" i="16" s="1"/>
  <c r="AO794" i="16"/>
  <c r="V794" i="16" s="1"/>
  <c r="AL795" i="16"/>
  <c r="S795" i="16" s="1"/>
  <c r="AM795" i="16"/>
  <c r="T795" i="16" s="1"/>
  <c r="AN795" i="16"/>
  <c r="U795" i="16" s="1"/>
  <c r="AO795" i="16"/>
  <c r="V795" i="16" s="1"/>
  <c r="AL796" i="16"/>
  <c r="S796" i="16" s="1"/>
  <c r="AM796" i="16"/>
  <c r="T796" i="16" s="1"/>
  <c r="AN796" i="16"/>
  <c r="U796" i="16" s="1"/>
  <c r="AO796" i="16"/>
  <c r="V796" i="16" s="1"/>
  <c r="AL797" i="16"/>
  <c r="S797" i="16" s="1"/>
  <c r="AM797" i="16"/>
  <c r="T797" i="16" s="1"/>
  <c r="AN797" i="16"/>
  <c r="U797" i="16" s="1"/>
  <c r="AO797" i="16"/>
  <c r="V797" i="16" s="1"/>
  <c r="AL798" i="16"/>
  <c r="S798" i="16" s="1"/>
  <c r="AM798" i="16"/>
  <c r="T798" i="16" s="1"/>
  <c r="AN798" i="16"/>
  <c r="U798" i="16" s="1"/>
  <c r="AO798" i="16"/>
  <c r="V798" i="16" s="1"/>
  <c r="AL799" i="16"/>
  <c r="S799" i="16" s="1"/>
  <c r="AM799" i="16"/>
  <c r="T799" i="16" s="1"/>
  <c r="AN799" i="16"/>
  <c r="U799" i="16" s="1"/>
  <c r="AO799" i="16"/>
  <c r="V799" i="16" s="1"/>
  <c r="AL800" i="16"/>
  <c r="AM800" i="16"/>
  <c r="AN800" i="16"/>
  <c r="AO800" i="16"/>
  <c r="AL801" i="16"/>
  <c r="AM801" i="16"/>
  <c r="AN801" i="16"/>
  <c r="AO801" i="16"/>
  <c r="AL802" i="16"/>
  <c r="AM802" i="16"/>
  <c r="AN802" i="16"/>
  <c r="AO802" i="16"/>
  <c r="AL803" i="16"/>
  <c r="AM803" i="16"/>
  <c r="AN803" i="16"/>
  <c r="AO803" i="16"/>
  <c r="AL804" i="16"/>
  <c r="AM804" i="16"/>
  <c r="AN804" i="16"/>
  <c r="AO804" i="16"/>
  <c r="AL805" i="16"/>
  <c r="AM805" i="16"/>
  <c r="AN805" i="16"/>
  <c r="AO805" i="16"/>
  <c r="AL806" i="16"/>
  <c r="AM806" i="16"/>
  <c r="AN806" i="16"/>
  <c r="AO806" i="16"/>
  <c r="AL807" i="16"/>
  <c r="AM807" i="16"/>
  <c r="AN807" i="16"/>
  <c r="AO807" i="16"/>
  <c r="AL808" i="16"/>
  <c r="AM808" i="16"/>
  <c r="AN808" i="16"/>
  <c r="AO808" i="16"/>
  <c r="AL809" i="16"/>
  <c r="AM809" i="16"/>
  <c r="AN809" i="16"/>
  <c r="AO809" i="16"/>
  <c r="AL810" i="16"/>
  <c r="AM810" i="16"/>
  <c r="AN810" i="16"/>
  <c r="AO810" i="16"/>
  <c r="AL811" i="16"/>
  <c r="AM811" i="16"/>
  <c r="AN811" i="16"/>
  <c r="AO811" i="16"/>
  <c r="AL812" i="16"/>
  <c r="AM812" i="16"/>
  <c r="AN812" i="16"/>
  <c r="AO812" i="16"/>
  <c r="AL813" i="16"/>
  <c r="AM813" i="16"/>
  <c r="AN813" i="16"/>
  <c r="AO813" i="16"/>
  <c r="AL814" i="16"/>
  <c r="AM814" i="16"/>
  <c r="AN814" i="16"/>
  <c r="AO814" i="16"/>
  <c r="AL815" i="16"/>
  <c r="AM815" i="16"/>
  <c r="AN815" i="16"/>
  <c r="AO815" i="16"/>
  <c r="AL816" i="16"/>
  <c r="AM816" i="16"/>
  <c r="AN816" i="16"/>
  <c r="AO816" i="16"/>
  <c r="AL817" i="16"/>
  <c r="AM817" i="16"/>
  <c r="AN817" i="16"/>
  <c r="AO817" i="16"/>
  <c r="AL818" i="16"/>
  <c r="AM818" i="16"/>
  <c r="AN818" i="16"/>
  <c r="AO818" i="16"/>
  <c r="AL819" i="16"/>
  <c r="AM819" i="16"/>
  <c r="AN819" i="16"/>
  <c r="AO819" i="16"/>
  <c r="AL820" i="16"/>
  <c r="AM820" i="16"/>
  <c r="AN820" i="16"/>
  <c r="AO820" i="16"/>
  <c r="AL821" i="16"/>
  <c r="AM821" i="16"/>
  <c r="AN821" i="16"/>
  <c r="AO821" i="16"/>
  <c r="AL822" i="16"/>
  <c r="AM822" i="16"/>
  <c r="AN822" i="16"/>
  <c r="AO822" i="16"/>
  <c r="AL823" i="16"/>
  <c r="AM823" i="16"/>
  <c r="AN823" i="16"/>
  <c r="AO823" i="16"/>
  <c r="AL824" i="16"/>
  <c r="AM824" i="16"/>
  <c r="AN824" i="16"/>
  <c r="AO824" i="16"/>
  <c r="AL825" i="16"/>
  <c r="AM825" i="16"/>
  <c r="AN825" i="16"/>
  <c r="AO825" i="16"/>
  <c r="AL826" i="16"/>
  <c r="AM826" i="16"/>
  <c r="AN826" i="16"/>
  <c r="AO826" i="16"/>
  <c r="AL827" i="16"/>
  <c r="AM827" i="16"/>
  <c r="AN827" i="16"/>
  <c r="AO827" i="16"/>
  <c r="AL828" i="16"/>
  <c r="AM828" i="16"/>
  <c r="AN828" i="16"/>
  <c r="AO828" i="16"/>
  <c r="AL829" i="16"/>
  <c r="AM829" i="16"/>
  <c r="AN829" i="16"/>
  <c r="AO829" i="16"/>
  <c r="AL830" i="16"/>
  <c r="AM830" i="16"/>
  <c r="AN830" i="16"/>
  <c r="AO830" i="16"/>
  <c r="AL831" i="16"/>
  <c r="AM831" i="16"/>
  <c r="AN831" i="16"/>
  <c r="AO831" i="16"/>
  <c r="AL832" i="16"/>
  <c r="AM832" i="16"/>
  <c r="AN832" i="16"/>
  <c r="AO832" i="16"/>
  <c r="AL833" i="16"/>
  <c r="AM833" i="16"/>
  <c r="AN833" i="16"/>
  <c r="AO833" i="16"/>
  <c r="AL834" i="16"/>
  <c r="AM834" i="16"/>
  <c r="AN834" i="16"/>
  <c r="AO834" i="16"/>
  <c r="AL835" i="16"/>
  <c r="AM835" i="16"/>
  <c r="AN835" i="16"/>
  <c r="AO835" i="16"/>
  <c r="AL836" i="16"/>
  <c r="AM836" i="16"/>
  <c r="AN836" i="16"/>
  <c r="AO836" i="16"/>
  <c r="AL837" i="16"/>
  <c r="AM837" i="16"/>
  <c r="AN837" i="16"/>
  <c r="AO837" i="16"/>
  <c r="AL838" i="16"/>
  <c r="AM838" i="16"/>
  <c r="AN838" i="16"/>
  <c r="AO838" i="16"/>
  <c r="AL839" i="16"/>
  <c r="AM839" i="16"/>
  <c r="AN839" i="16"/>
  <c r="AO839" i="16"/>
  <c r="AL840" i="16"/>
  <c r="AM840" i="16"/>
  <c r="AN840" i="16"/>
  <c r="AO840" i="16"/>
  <c r="AL841" i="16"/>
  <c r="AM841" i="16"/>
  <c r="AN841" i="16"/>
  <c r="AO841" i="16"/>
  <c r="AL842" i="16"/>
  <c r="AM842" i="16"/>
  <c r="AN842" i="16"/>
  <c r="AO842" i="16"/>
  <c r="AL843" i="16"/>
  <c r="AM843" i="16"/>
  <c r="AN843" i="16"/>
  <c r="AO843" i="16"/>
  <c r="AL844" i="16"/>
  <c r="AM844" i="16"/>
  <c r="AN844" i="16"/>
  <c r="AO844" i="16"/>
  <c r="AL845" i="16"/>
  <c r="AM845" i="16"/>
  <c r="AN845" i="16"/>
  <c r="AO845" i="16"/>
  <c r="AL846" i="16"/>
  <c r="AM846" i="16"/>
  <c r="AN846" i="16"/>
  <c r="AO846" i="16"/>
  <c r="AL847" i="16"/>
  <c r="AM847" i="16"/>
  <c r="AN847" i="16"/>
  <c r="AO847" i="16"/>
  <c r="AL848" i="16"/>
  <c r="AM848" i="16"/>
  <c r="AN848" i="16"/>
  <c r="AO848" i="16"/>
  <c r="AL849" i="16"/>
  <c r="AM849" i="16"/>
  <c r="AN849" i="16"/>
  <c r="AO849" i="16"/>
  <c r="AL850" i="16"/>
  <c r="AM850" i="16"/>
  <c r="AN850" i="16"/>
  <c r="AO850" i="16"/>
  <c r="AL851" i="16"/>
  <c r="AM851" i="16"/>
  <c r="AN851" i="16"/>
  <c r="AO851" i="16"/>
  <c r="AL852" i="16"/>
  <c r="AM852" i="16"/>
  <c r="AN852" i="16"/>
  <c r="AO852" i="16"/>
  <c r="AL853" i="16"/>
  <c r="AM853" i="16"/>
  <c r="AN853" i="16"/>
  <c r="AO853" i="16"/>
  <c r="AL854" i="16"/>
  <c r="AM854" i="16"/>
  <c r="AN854" i="16"/>
  <c r="AO854" i="16"/>
  <c r="AL855" i="16"/>
  <c r="AM855" i="16"/>
  <c r="AN855" i="16"/>
  <c r="AO855" i="16"/>
  <c r="AL856" i="16"/>
  <c r="AM856" i="16"/>
  <c r="AN856" i="16"/>
  <c r="AO856" i="16"/>
  <c r="AL857" i="16"/>
  <c r="AM857" i="16"/>
  <c r="AN857" i="16"/>
  <c r="AO857" i="16"/>
  <c r="AL858" i="16"/>
  <c r="AM858" i="16"/>
  <c r="AN858" i="16"/>
  <c r="AO858" i="16"/>
  <c r="AL859" i="16"/>
  <c r="AM859" i="16"/>
  <c r="AN859" i="16"/>
  <c r="AO859" i="16"/>
  <c r="AL860" i="16"/>
  <c r="AM860" i="16"/>
  <c r="AN860" i="16"/>
  <c r="AO860" i="16"/>
  <c r="AL861" i="16"/>
  <c r="AM861" i="16"/>
  <c r="AN861" i="16"/>
  <c r="AO861" i="16"/>
  <c r="AL862" i="16"/>
  <c r="AM862" i="16"/>
  <c r="AN862" i="16"/>
  <c r="AO862" i="16"/>
  <c r="AL863" i="16"/>
  <c r="AM863" i="16"/>
  <c r="AN863" i="16"/>
  <c r="AO863" i="16"/>
  <c r="AL864" i="16"/>
  <c r="AM864" i="16"/>
  <c r="AN864" i="16"/>
  <c r="AO864" i="16"/>
  <c r="AL865" i="16"/>
  <c r="AM865" i="16"/>
  <c r="AN865" i="16"/>
  <c r="AO865" i="16"/>
  <c r="AL866" i="16"/>
  <c r="AM866" i="16"/>
  <c r="AN866" i="16"/>
  <c r="AO866" i="16"/>
  <c r="AL867" i="16"/>
  <c r="AM867" i="16"/>
  <c r="AN867" i="16"/>
  <c r="AO867" i="16"/>
  <c r="AL868" i="16"/>
  <c r="AM868" i="16"/>
  <c r="AN868" i="16"/>
  <c r="AO868" i="16"/>
  <c r="AL869" i="16"/>
  <c r="AM869" i="16"/>
  <c r="AN869" i="16"/>
  <c r="AO869" i="16"/>
  <c r="AL870" i="16"/>
  <c r="AM870" i="16"/>
  <c r="AN870" i="16"/>
  <c r="AO870" i="16"/>
  <c r="AL871" i="16"/>
  <c r="AM871" i="16"/>
  <c r="AN871" i="16"/>
  <c r="AO871" i="16"/>
  <c r="AL872" i="16"/>
  <c r="AM872" i="16"/>
  <c r="AN872" i="16"/>
  <c r="AO872" i="16"/>
  <c r="AL873" i="16"/>
  <c r="AM873" i="16"/>
  <c r="AN873" i="16"/>
  <c r="AO873" i="16"/>
  <c r="AL874" i="16"/>
  <c r="AM874" i="16"/>
  <c r="AN874" i="16"/>
  <c r="AO874" i="16"/>
  <c r="AL875" i="16"/>
  <c r="AM875" i="16"/>
  <c r="AN875" i="16"/>
  <c r="AO875" i="16"/>
  <c r="AL876" i="16"/>
  <c r="AM876" i="16"/>
  <c r="AN876" i="16"/>
  <c r="AO876" i="16"/>
  <c r="AL877" i="16"/>
  <c r="AM877" i="16"/>
  <c r="AN877" i="16"/>
  <c r="AO877" i="16"/>
  <c r="AL878" i="16"/>
  <c r="AM878" i="16"/>
  <c r="AN878" i="16"/>
  <c r="AO878" i="16"/>
  <c r="AL879" i="16"/>
  <c r="AM879" i="16"/>
  <c r="AN879" i="16"/>
  <c r="AO879" i="16"/>
  <c r="AL880" i="16"/>
  <c r="AM880" i="16"/>
  <c r="AN880" i="16"/>
  <c r="AO880" i="16"/>
  <c r="AL881" i="16"/>
  <c r="AM881" i="16"/>
  <c r="AN881" i="16"/>
  <c r="AO881" i="16"/>
  <c r="AL882" i="16"/>
  <c r="AM882" i="16"/>
  <c r="AN882" i="16"/>
  <c r="AO882" i="16"/>
  <c r="AL883" i="16"/>
  <c r="AM883" i="16"/>
  <c r="AN883" i="16"/>
  <c r="AO883" i="16"/>
  <c r="AL884" i="16"/>
  <c r="AM884" i="16"/>
  <c r="AN884" i="16"/>
  <c r="AO884" i="16"/>
  <c r="AL885" i="16"/>
  <c r="AM885" i="16"/>
  <c r="AN885" i="16"/>
  <c r="AO885" i="16"/>
  <c r="AL886" i="16"/>
  <c r="AM886" i="16"/>
  <c r="AN886" i="16"/>
  <c r="AO886" i="16"/>
  <c r="AL887" i="16"/>
  <c r="AM887" i="16"/>
  <c r="AN887" i="16"/>
  <c r="AO887" i="16"/>
  <c r="AL888" i="16"/>
  <c r="AM888" i="16"/>
  <c r="AN888" i="16"/>
  <c r="AO888" i="16"/>
  <c r="AL889" i="16"/>
  <c r="AM889" i="16"/>
  <c r="AN889" i="16"/>
  <c r="AO889" i="16"/>
  <c r="AL890" i="16"/>
  <c r="AM890" i="16"/>
  <c r="AN890" i="16"/>
  <c r="AO890" i="16"/>
  <c r="AL891" i="16"/>
  <c r="AM891" i="16"/>
  <c r="AN891" i="16"/>
  <c r="AO891" i="16"/>
  <c r="AL892" i="16"/>
  <c r="AM892" i="16"/>
  <c r="AN892" i="16"/>
  <c r="AO892" i="16"/>
  <c r="AL893" i="16"/>
  <c r="AM893" i="16"/>
  <c r="AN893" i="16"/>
  <c r="AO893" i="16"/>
  <c r="AL894" i="16"/>
  <c r="AM894" i="16"/>
  <c r="AN894" i="16"/>
  <c r="AO894" i="16"/>
  <c r="AL895" i="16"/>
  <c r="AM895" i="16"/>
  <c r="AN895" i="16"/>
  <c r="AO895" i="16"/>
  <c r="AL896" i="16"/>
  <c r="AM896" i="16"/>
  <c r="AN896" i="16"/>
  <c r="AO896" i="16"/>
  <c r="AL897" i="16"/>
  <c r="AM897" i="16"/>
  <c r="AN897" i="16"/>
  <c r="AO897" i="16"/>
  <c r="AL898" i="16"/>
  <c r="AM898" i="16"/>
  <c r="AN898" i="16"/>
  <c r="AO898" i="16"/>
  <c r="AL899" i="16"/>
  <c r="AM899" i="16"/>
  <c r="AN899" i="16"/>
  <c r="AO899" i="16"/>
  <c r="AL900" i="16"/>
  <c r="AM900" i="16"/>
  <c r="AN900" i="16"/>
  <c r="AO900" i="16"/>
  <c r="AL901" i="16"/>
  <c r="AM901" i="16"/>
  <c r="AN901" i="16"/>
  <c r="AO901" i="16"/>
  <c r="AL902" i="16"/>
  <c r="AM902" i="16"/>
  <c r="AN902" i="16"/>
  <c r="AO902" i="16"/>
  <c r="AL903" i="16"/>
  <c r="AM903" i="16"/>
  <c r="AN903" i="16"/>
  <c r="AO903" i="16"/>
  <c r="AL904" i="16"/>
  <c r="AM904" i="16"/>
  <c r="AN904" i="16"/>
  <c r="AO904" i="16"/>
  <c r="AL905" i="16"/>
  <c r="S905" i="16" s="1"/>
  <c r="AM905" i="16"/>
  <c r="T905" i="16" s="1"/>
  <c r="AN905" i="16"/>
  <c r="U905" i="16" s="1"/>
  <c r="AO905" i="16"/>
  <c r="V905" i="16" s="1"/>
  <c r="AL906" i="16"/>
  <c r="S906" i="16" s="1"/>
  <c r="AM906" i="16"/>
  <c r="T906" i="16" s="1"/>
  <c r="AN906" i="16"/>
  <c r="U906" i="16" s="1"/>
  <c r="AO906" i="16"/>
  <c r="V906" i="16" s="1"/>
  <c r="AL907" i="16"/>
  <c r="S907" i="16" s="1"/>
  <c r="AM907" i="16"/>
  <c r="T907" i="16" s="1"/>
  <c r="AN907" i="16"/>
  <c r="U907" i="16" s="1"/>
  <c r="AO907" i="16"/>
  <c r="V907" i="16" s="1"/>
  <c r="AL908" i="16"/>
  <c r="S908" i="16" s="1"/>
  <c r="AM908" i="16"/>
  <c r="T908" i="16" s="1"/>
  <c r="AN908" i="16"/>
  <c r="U908" i="16" s="1"/>
  <c r="AO908" i="16"/>
  <c r="V908" i="16" s="1"/>
  <c r="AL909" i="16"/>
  <c r="S909" i="16" s="1"/>
  <c r="AM909" i="16"/>
  <c r="T909" i="16" s="1"/>
  <c r="AN909" i="16"/>
  <c r="U909" i="16" s="1"/>
  <c r="AO909" i="16"/>
  <c r="V909" i="16" s="1"/>
  <c r="AL910" i="16"/>
  <c r="S910" i="16" s="1"/>
  <c r="AM910" i="16"/>
  <c r="T910" i="16" s="1"/>
  <c r="AN910" i="16"/>
  <c r="U910" i="16" s="1"/>
  <c r="AO910" i="16"/>
  <c r="V910" i="16" s="1"/>
  <c r="AL911" i="16"/>
  <c r="S911" i="16" s="1"/>
  <c r="AM911" i="16"/>
  <c r="T911" i="16" s="1"/>
  <c r="AN911" i="16"/>
  <c r="U911" i="16" s="1"/>
  <c r="AO911" i="16"/>
  <c r="V911" i="16" s="1"/>
  <c r="AL912" i="16"/>
  <c r="S912" i="16" s="1"/>
  <c r="AM912" i="16"/>
  <c r="T912" i="16" s="1"/>
  <c r="AN912" i="16"/>
  <c r="U912" i="16" s="1"/>
  <c r="AO912" i="16"/>
  <c r="V912" i="16" s="1"/>
  <c r="AL913" i="16"/>
  <c r="S913" i="16" s="1"/>
  <c r="AM913" i="16"/>
  <c r="T913" i="16" s="1"/>
  <c r="AN913" i="16"/>
  <c r="U913" i="16" s="1"/>
  <c r="AO913" i="16"/>
  <c r="V913" i="16" s="1"/>
  <c r="AL914" i="16"/>
  <c r="S914" i="16" s="1"/>
  <c r="AM914" i="16"/>
  <c r="T914" i="16" s="1"/>
  <c r="AN914" i="16"/>
  <c r="U914" i="16" s="1"/>
  <c r="AO914" i="16"/>
  <c r="V914" i="16" s="1"/>
  <c r="AL915" i="16"/>
  <c r="S915" i="16" s="1"/>
  <c r="AM915" i="16"/>
  <c r="T915" i="16" s="1"/>
  <c r="AN915" i="16"/>
  <c r="U915" i="16" s="1"/>
  <c r="AO915" i="16"/>
  <c r="V915" i="16" s="1"/>
  <c r="AL916" i="16"/>
  <c r="S916" i="16" s="1"/>
  <c r="AM916" i="16"/>
  <c r="T916" i="16" s="1"/>
  <c r="AN916" i="16"/>
  <c r="U916" i="16" s="1"/>
  <c r="AO916" i="16"/>
  <c r="V916" i="16" s="1"/>
  <c r="AL917" i="16"/>
  <c r="S917" i="16" s="1"/>
  <c r="AM917" i="16"/>
  <c r="T917" i="16" s="1"/>
  <c r="AN917" i="16"/>
  <c r="U917" i="16" s="1"/>
  <c r="AO917" i="16"/>
  <c r="V917" i="16" s="1"/>
  <c r="AL918" i="16"/>
  <c r="S918" i="16" s="1"/>
  <c r="AM918" i="16"/>
  <c r="T918" i="16" s="1"/>
  <c r="AN918" i="16"/>
  <c r="U918" i="16" s="1"/>
  <c r="AO918" i="16"/>
  <c r="V918" i="16" s="1"/>
  <c r="AL919" i="16"/>
  <c r="S919" i="16" s="1"/>
  <c r="AM919" i="16"/>
  <c r="T919" i="16" s="1"/>
  <c r="AN919" i="16"/>
  <c r="U919" i="16" s="1"/>
  <c r="AO919" i="16"/>
  <c r="V919" i="16" s="1"/>
  <c r="AL920" i="16"/>
  <c r="S920" i="16" s="1"/>
  <c r="AM920" i="16"/>
  <c r="T920" i="16" s="1"/>
  <c r="AN920" i="16"/>
  <c r="U920" i="16" s="1"/>
  <c r="AO920" i="16"/>
  <c r="V920" i="16" s="1"/>
  <c r="AL921" i="16"/>
  <c r="S921" i="16" s="1"/>
  <c r="AM921" i="16"/>
  <c r="T921" i="16" s="1"/>
  <c r="AN921" i="16"/>
  <c r="U921" i="16" s="1"/>
  <c r="AO921" i="16"/>
  <c r="V921" i="16" s="1"/>
  <c r="AL922" i="16"/>
  <c r="S922" i="16" s="1"/>
  <c r="AM922" i="16"/>
  <c r="T922" i="16" s="1"/>
  <c r="AN922" i="16"/>
  <c r="U922" i="16" s="1"/>
  <c r="AO922" i="16"/>
  <c r="V922" i="16" s="1"/>
  <c r="AL923" i="16"/>
  <c r="S923" i="16" s="1"/>
  <c r="AM923" i="16"/>
  <c r="T923" i="16" s="1"/>
  <c r="AN923" i="16"/>
  <c r="U923" i="16" s="1"/>
  <c r="AO923" i="16"/>
  <c r="V923" i="16" s="1"/>
  <c r="AL924" i="16"/>
  <c r="S924" i="16" s="1"/>
  <c r="AM924" i="16"/>
  <c r="T924" i="16" s="1"/>
  <c r="AN924" i="16"/>
  <c r="U924" i="16" s="1"/>
  <c r="AO924" i="16"/>
  <c r="V924" i="16" s="1"/>
  <c r="AL925" i="16"/>
  <c r="S925" i="16" s="1"/>
  <c r="AM925" i="16"/>
  <c r="T925" i="16" s="1"/>
  <c r="AN925" i="16"/>
  <c r="U925" i="16" s="1"/>
  <c r="AO925" i="16"/>
  <c r="V925" i="16" s="1"/>
  <c r="AL926" i="16"/>
  <c r="S926" i="16" s="1"/>
  <c r="AM926" i="16"/>
  <c r="T926" i="16" s="1"/>
  <c r="AN926" i="16"/>
  <c r="U926" i="16" s="1"/>
  <c r="AO926" i="16"/>
  <c r="V926" i="16" s="1"/>
  <c r="AL927" i="16"/>
  <c r="S927" i="16" s="1"/>
  <c r="AM927" i="16"/>
  <c r="T927" i="16" s="1"/>
  <c r="AN927" i="16"/>
  <c r="U927" i="16" s="1"/>
  <c r="AO927" i="16"/>
  <c r="V927" i="16" s="1"/>
  <c r="AL928" i="16"/>
  <c r="S928" i="16" s="1"/>
  <c r="AM928" i="16"/>
  <c r="T928" i="16" s="1"/>
  <c r="AN928" i="16"/>
  <c r="U928" i="16" s="1"/>
  <c r="AO928" i="16"/>
  <c r="V928" i="16" s="1"/>
  <c r="AL929" i="16"/>
  <c r="S929" i="16" s="1"/>
  <c r="AM929" i="16"/>
  <c r="T929" i="16" s="1"/>
  <c r="AN929" i="16"/>
  <c r="U929" i="16" s="1"/>
  <c r="AO929" i="16"/>
  <c r="V929" i="16" s="1"/>
  <c r="AL930" i="16"/>
  <c r="S930" i="16" s="1"/>
  <c r="AM930" i="16"/>
  <c r="T930" i="16" s="1"/>
  <c r="AN930" i="16"/>
  <c r="U930" i="16" s="1"/>
  <c r="AO930" i="16"/>
  <c r="V930" i="16" s="1"/>
  <c r="AL931" i="16"/>
  <c r="S931" i="16" s="1"/>
  <c r="AM931" i="16"/>
  <c r="T931" i="16" s="1"/>
  <c r="AN931" i="16"/>
  <c r="U931" i="16" s="1"/>
  <c r="AO931" i="16"/>
  <c r="V931" i="16" s="1"/>
  <c r="AL932" i="16"/>
  <c r="S932" i="16" s="1"/>
  <c r="AM932" i="16"/>
  <c r="T932" i="16" s="1"/>
  <c r="AN932" i="16"/>
  <c r="U932" i="16" s="1"/>
  <c r="AO932" i="16"/>
  <c r="V932" i="16" s="1"/>
  <c r="AL933" i="16"/>
  <c r="S933" i="16" s="1"/>
  <c r="AM933" i="16"/>
  <c r="T933" i="16" s="1"/>
  <c r="AN933" i="16"/>
  <c r="U933" i="16" s="1"/>
  <c r="AO933" i="16"/>
  <c r="V933" i="16" s="1"/>
  <c r="AL934" i="16"/>
  <c r="S934" i="16" s="1"/>
  <c r="AM934" i="16"/>
  <c r="T934" i="16" s="1"/>
  <c r="AN934" i="16"/>
  <c r="U934" i="16" s="1"/>
  <c r="AO934" i="16"/>
  <c r="V934" i="16" s="1"/>
  <c r="AL935" i="16"/>
  <c r="S935" i="16" s="1"/>
  <c r="AM935" i="16"/>
  <c r="T935" i="16" s="1"/>
  <c r="AN935" i="16"/>
  <c r="U935" i="16" s="1"/>
  <c r="AO935" i="16"/>
  <c r="V935" i="16" s="1"/>
  <c r="AL936" i="16"/>
  <c r="S936" i="16" s="1"/>
  <c r="AM936" i="16"/>
  <c r="T936" i="16" s="1"/>
  <c r="AN936" i="16"/>
  <c r="U936" i="16" s="1"/>
  <c r="AO936" i="16"/>
  <c r="V936" i="16" s="1"/>
  <c r="AL937" i="16"/>
  <c r="S937" i="16" s="1"/>
  <c r="AM937" i="16"/>
  <c r="T937" i="16" s="1"/>
  <c r="AN937" i="16"/>
  <c r="U937" i="16" s="1"/>
  <c r="AO937" i="16"/>
  <c r="V937" i="16" s="1"/>
  <c r="AL938" i="16"/>
  <c r="S938" i="16" s="1"/>
  <c r="AM938" i="16"/>
  <c r="T938" i="16" s="1"/>
  <c r="AN938" i="16"/>
  <c r="U938" i="16" s="1"/>
  <c r="AO938" i="16"/>
  <c r="V938" i="16" s="1"/>
  <c r="AL939" i="16"/>
  <c r="S939" i="16" s="1"/>
  <c r="AM939" i="16"/>
  <c r="T939" i="16" s="1"/>
  <c r="AN939" i="16"/>
  <c r="U939" i="16" s="1"/>
  <c r="AO939" i="16"/>
  <c r="V939" i="16" s="1"/>
  <c r="AL940" i="16"/>
  <c r="S940" i="16" s="1"/>
  <c r="AM940" i="16"/>
  <c r="T940" i="16" s="1"/>
  <c r="AN940" i="16"/>
  <c r="U940" i="16" s="1"/>
  <c r="AO940" i="16"/>
  <c r="V940" i="16" s="1"/>
  <c r="AL941" i="16"/>
  <c r="S941" i="16" s="1"/>
  <c r="AM941" i="16"/>
  <c r="T941" i="16" s="1"/>
  <c r="AN941" i="16"/>
  <c r="U941" i="16" s="1"/>
  <c r="AO941" i="16"/>
  <c r="V941" i="16" s="1"/>
  <c r="AL942" i="16"/>
  <c r="S942" i="16" s="1"/>
  <c r="AM942" i="16"/>
  <c r="T942" i="16" s="1"/>
  <c r="AN942" i="16"/>
  <c r="U942" i="16" s="1"/>
  <c r="AO942" i="16"/>
  <c r="V942" i="16" s="1"/>
  <c r="AL943" i="16"/>
  <c r="S943" i="16" s="1"/>
  <c r="AM943" i="16"/>
  <c r="T943" i="16" s="1"/>
  <c r="AN943" i="16"/>
  <c r="U943" i="16" s="1"/>
  <c r="AO943" i="16"/>
  <c r="V943" i="16" s="1"/>
  <c r="AL944" i="16"/>
  <c r="S944" i="16" s="1"/>
  <c r="AM944" i="16"/>
  <c r="T944" i="16" s="1"/>
  <c r="AN944" i="16"/>
  <c r="U944" i="16" s="1"/>
  <c r="AO944" i="16"/>
  <c r="V944" i="16" s="1"/>
  <c r="AL945" i="16"/>
  <c r="S945" i="16" s="1"/>
  <c r="AM945" i="16"/>
  <c r="T945" i="16" s="1"/>
  <c r="AN945" i="16"/>
  <c r="U945" i="16" s="1"/>
  <c r="AO945" i="16"/>
  <c r="V945" i="16" s="1"/>
  <c r="AL946" i="16"/>
  <c r="S946" i="16" s="1"/>
  <c r="AM946" i="16"/>
  <c r="T946" i="16" s="1"/>
  <c r="AN946" i="16"/>
  <c r="U946" i="16" s="1"/>
  <c r="AO946" i="16"/>
  <c r="V946" i="16" s="1"/>
  <c r="AL947" i="16"/>
  <c r="S947" i="16" s="1"/>
  <c r="AM947" i="16"/>
  <c r="T947" i="16" s="1"/>
  <c r="AN947" i="16"/>
  <c r="U947" i="16" s="1"/>
  <c r="AO947" i="16"/>
  <c r="V947" i="16" s="1"/>
  <c r="AL948" i="16"/>
  <c r="S948" i="16" s="1"/>
  <c r="AM948" i="16"/>
  <c r="T948" i="16" s="1"/>
  <c r="AN948" i="16"/>
  <c r="U948" i="16" s="1"/>
  <c r="AO948" i="16"/>
  <c r="V948" i="16" s="1"/>
  <c r="AL949" i="16"/>
  <c r="S949" i="16" s="1"/>
  <c r="AM949" i="16"/>
  <c r="T949" i="16" s="1"/>
  <c r="AN949" i="16"/>
  <c r="U949" i="16" s="1"/>
  <c r="AO949" i="16"/>
  <c r="V949" i="16" s="1"/>
  <c r="AL950" i="16"/>
  <c r="S950" i="16" s="1"/>
  <c r="AM950" i="16"/>
  <c r="T950" i="16" s="1"/>
  <c r="AN950" i="16"/>
  <c r="U950" i="16" s="1"/>
  <c r="AO950" i="16"/>
  <c r="V950" i="16" s="1"/>
  <c r="AL951" i="16"/>
  <c r="S951" i="16" s="1"/>
  <c r="AM951" i="16"/>
  <c r="T951" i="16" s="1"/>
  <c r="AN951" i="16"/>
  <c r="U951" i="16" s="1"/>
  <c r="AO951" i="16"/>
  <c r="V951" i="16" s="1"/>
  <c r="AL952" i="16"/>
  <c r="S952" i="16" s="1"/>
  <c r="AM952" i="16"/>
  <c r="T952" i="16" s="1"/>
  <c r="AN952" i="16"/>
  <c r="U952" i="16" s="1"/>
  <c r="AO952" i="16"/>
  <c r="V952" i="16" s="1"/>
  <c r="AL953" i="16"/>
  <c r="S953" i="16" s="1"/>
  <c r="AM953" i="16"/>
  <c r="T953" i="16" s="1"/>
  <c r="AN953" i="16"/>
  <c r="U953" i="16" s="1"/>
  <c r="AO953" i="16"/>
  <c r="V953" i="16" s="1"/>
  <c r="AL954" i="16"/>
  <c r="S954" i="16" s="1"/>
  <c r="AM954" i="16"/>
  <c r="T954" i="16" s="1"/>
  <c r="AN954" i="16"/>
  <c r="U954" i="16" s="1"/>
  <c r="AO954" i="16"/>
  <c r="V954" i="16" s="1"/>
  <c r="AL955" i="16"/>
  <c r="S955" i="16" s="1"/>
  <c r="AM955" i="16"/>
  <c r="T955" i="16" s="1"/>
  <c r="AN955" i="16"/>
  <c r="U955" i="16" s="1"/>
  <c r="AO955" i="16"/>
  <c r="V955" i="16" s="1"/>
  <c r="AL956" i="16"/>
  <c r="S956" i="16" s="1"/>
  <c r="AM956" i="16"/>
  <c r="T956" i="16" s="1"/>
  <c r="AN956" i="16"/>
  <c r="U956" i="16" s="1"/>
  <c r="AO956" i="16"/>
  <c r="V956" i="16" s="1"/>
  <c r="AL957" i="16"/>
  <c r="S957" i="16" s="1"/>
  <c r="AM957" i="16"/>
  <c r="T957" i="16" s="1"/>
  <c r="AN957" i="16"/>
  <c r="U957" i="16" s="1"/>
  <c r="AO957" i="16"/>
  <c r="V957" i="16" s="1"/>
  <c r="AL958" i="16"/>
  <c r="S958" i="16" s="1"/>
  <c r="AM958" i="16"/>
  <c r="T958" i="16" s="1"/>
  <c r="AN958" i="16"/>
  <c r="U958" i="16" s="1"/>
  <c r="AO958" i="16"/>
  <c r="V958" i="16" s="1"/>
  <c r="AL959" i="16"/>
  <c r="S959" i="16" s="1"/>
  <c r="AM959" i="16"/>
  <c r="T959" i="16" s="1"/>
  <c r="AN959" i="16"/>
  <c r="U959" i="16" s="1"/>
  <c r="AO959" i="16"/>
  <c r="V959" i="16" s="1"/>
  <c r="AL960" i="16"/>
  <c r="S960" i="16" s="1"/>
  <c r="AM960" i="16"/>
  <c r="T960" i="16" s="1"/>
  <c r="AN960" i="16"/>
  <c r="U960" i="16" s="1"/>
  <c r="AO960" i="16"/>
  <c r="V960" i="16" s="1"/>
  <c r="AL961" i="16"/>
  <c r="S961" i="16" s="1"/>
  <c r="AM961" i="16"/>
  <c r="T961" i="16" s="1"/>
  <c r="AN961" i="16"/>
  <c r="U961" i="16" s="1"/>
  <c r="AO961" i="16"/>
  <c r="V961" i="16" s="1"/>
  <c r="AL962" i="16"/>
  <c r="S962" i="16" s="1"/>
  <c r="AM962" i="16"/>
  <c r="T962" i="16" s="1"/>
  <c r="AN962" i="16"/>
  <c r="U962" i="16" s="1"/>
  <c r="AO962" i="16"/>
  <c r="V962" i="16" s="1"/>
  <c r="AL963" i="16"/>
  <c r="S963" i="16" s="1"/>
  <c r="AM963" i="16"/>
  <c r="T963" i="16" s="1"/>
  <c r="AN963" i="16"/>
  <c r="U963" i="16" s="1"/>
  <c r="AO963" i="16"/>
  <c r="V963" i="16" s="1"/>
  <c r="AL964" i="16"/>
  <c r="S964" i="16" s="1"/>
  <c r="AM964" i="16"/>
  <c r="T964" i="16" s="1"/>
  <c r="AN964" i="16"/>
  <c r="U964" i="16" s="1"/>
  <c r="AO964" i="16"/>
  <c r="V964" i="16" s="1"/>
  <c r="AL965" i="16"/>
  <c r="S965" i="16" s="1"/>
  <c r="AM965" i="16"/>
  <c r="T965" i="16" s="1"/>
  <c r="AN965" i="16"/>
  <c r="U965" i="16" s="1"/>
  <c r="AO965" i="16"/>
  <c r="V965" i="16" s="1"/>
  <c r="AL966" i="16"/>
  <c r="S966" i="16" s="1"/>
  <c r="AM966" i="16"/>
  <c r="T966" i="16" s="1"/>
  <c r="AN966" i="16"/>
  <c r="U966" i="16" s="1"/>
  <c r="AO966" i="16"/>
  <c r="V966" i="16" s="1"/>
  <c r="AL967" i="16"/>
  <c r="S967" i="16" s="1"/>
  <c r="AM967" i="16"/>
  <c r="T967" i="16" s="1"/>
  <c r="AN967" i="16"/>
  <c r="U967" i="16" s="1"/>
  <c r="AO967" i="16"/>
  <c r="V967" i="16" s="1"/>
  <c r="AL968" i="16"/>
  <c r="S968" i="16" s="1"/>
  <c r="AM968" i="16"/>
  <c r="T968" i="16" s="1"/>
  <c r="AN968" i="16"/>
  <c r="U968" i="16" s="1"/>
  <c r="AO968" i="16"/>
  <c r="V968" i="16" s="1"/>
  <c r="AL969" i="16"/>
  <c r="S969" i="16" s="1"/>
  <c r="AM969" i="16"/>
  <c r="T969" i="16" s="1"/>
  <c r="AN969" i="16"/>
  <c r="U969" i="16" s="1"/>
  <c r="AO969" i="16"/>
  <c r="V969" i="16" s="1"/>
  <c r="AL970" i="16"/>
  <c r="S970" i="16" s="1"/>
  <c r="AM970" i="16"/>
  <c r="T970" i="16" s="1"/>
  <c r="AN970" i="16"/>
  <c r="U970" i="16" s="1"/>
  <c r="AO970" i="16"/>
  <c r="V970" i="16" s="1"/>
  <c r="AL971" i="16"/>
  <c r="S971" i="16" s="1"/>
  <c r="AM971" i="16"/>
  <c r="T971" i="16" s="1"/>
  <c r="AN971" i="16"/>
  <c r="U971" i="16" s="1"/>
  <c r="AO971" i="16"/>
  <c r="V971" i="16" s="1"/>
  <c r="AL972" i="16"/>
  <c r="S972" i="16" s="1"/>
  <c r="AM972" i="16"/>
  <c r="T972" i="16" s="1"/>
  <c r="AN972" i="16"/>
  <c r="U972" i="16" s="1"/>
  <c r="AO972" i="16"/>
  <c r="V972" i="16" s="1"/>
  <c r="AL973" i="16"/>
  <c r="S973" i="16" s="1"/>
  <c r="AM973" i="16"/>
  <c r="T973" i="16" s="1"/>
  <c r="AN973" i="16"/>
  <c r="U973" i="16" s="1"/>
  <c r="AO973" i="16"/>
  <c r="V973" i="16" s="1"/>
  <c r="AL974" i="16"/>
  <c r="S974" i="16" s="1"/>
  <c r="AM974" i="16"/>
  <c r="T974" i="16" s="1"/>
  <c r="AN974" i="16"/>
  <c r="U974" i="16" s="1"/>
  <c r="AO974" i="16"/>
  <c r="V974" i="16" s="1"/>
  <c r="AL975" i="16"/>
  <c r="S975" i="16" s="1"/>
  <c r="AM975" i="16"/>
  <c r="T975" i="16" s="1"/>
  <c r="AN975" i="16"/>
  <c r="U975" i="16" s="1"/>
  <c r="AO975" i="16"/>
  <c r="V975" i="16" s="1"/>
  <c r="AL976" i="16"/>
  <c r="S976" i="16" s="1"/>
  <c r="AM976" i="16"/>
  <c r="T976" i="16" s="1"/>
  <c r="AN976" i="16"/>
  <c r="U976" i="16" s="1"/>
  <c r="AO976" i="16"/>
  <c r="V976" i="16" s="1"/>
  <c r="AL977" i="16"/>
  <c r="S977" i="16" s="1"/>
  <c r="AM977" i="16"/>
  <c r="T977" i="16" s="1"/>
  <c r="AN977" i="16"/>
  <c r="U977" i="16" s="1"/>
  <c r="AO977" i="16"/>
  <c r="V977" i="16" s="1"/>
  <c r="AL978" i="16"/>
  <c r="S978" i="16" s="1"/>
  <c r="AM978" i="16"/>
  <c r="T978" i="16" s="1"/>
  <c r="AN978" i="16"/>
  <c r="U978" i="16" s="1"/>
  <c r="AO978" i="16"/>
  <c r="V978" i="16" s="1"/>
  <c r="AL979" i="16"/>
  <c r="S979" i="16" s="1"/>
  <c r="AM979" i="16"/>
  <c r="T979" i="16" s="1"/>
  <c r="AN979" i="16"/>
  <c r="U979" i="16" s="1"/>
  <c r="AO979" i="16"/>
  <c r="V979" i="16" s="1"/>
  <c r="AL980" i="16"/>
  <c r="S980" i="16" s="1"/>
  <c r="AM980" i="16"/>
  <c r="T980" i="16" s="1"/>
  <c r="AN980" i="16"/>
  <c r="U980" i="16" s="1"/>
  <c r="AO980" i="16"/>
  <c r="V980" i="16" s="1"/>
  <c r="AL981" i="16"/>
  <c r="S981" i="16" s="1"/>
  <c r="AM981" i="16"/>
  <c r="T981" i="16" s="1"/>
  <c r="AN981" i="16"/>
  <c r="U981" i="16" s="1"/>
  <c r="AO981" i="16"/>
  <c r="V981" i="16" s="1"/>
  <c r="AL982" i="16"/>
  <c r="S982" i="16" s="1"/>
  <c r="AM982" i="16"/>
  <c r="T982" i="16" s="1"/>
  <c r="AN982" i="16"/>
  <c r="U982" i="16" s="1"/>
  <c r="AO982" i="16"/>
  <c r="V982" i="16" s="1"/>
  <c r="AL983" i="16"/>
  <c r="S983" i="16" s="1"/>
  <c r="AM983" i="16"/>
  <c r="T983" i="16" s="1"/>
  <c r="AN983" i="16"/>
  <c r="U983" i="16" s="1"/>
  <c r="AO983" i="16"/>
  <c r="V983" i="16" s="1"/>
  <c r="AL984" i="16"/>
  <c r="S984" i="16" s="1"/>
  <c r="AM984" i="16"/>
  <c r="T984" i="16" s="1"/>
  <c r="AN984" i="16"/>
  <c r="U984" i="16" s="1"/>
  <c r="AO984" i="16"/>
  <c r="V984" i="16" s="1"/>
  <c r="AL985" i="16"/>
  <c r="S985" i="16" s="1"/>
  <c r="AM985" i="16"/>
  <c r="T985" i="16" s="1"/>
  <c r="AN985" i="16"/>
  <c r="U985" i="16" s="1"/>
  <c r="AO985" i="16"/>
  <c r="V985" i="16" s="1"/>
  <c r="AL986" i="16"/>
  <c r="S986" i="16" s="1"/>
  <c r="AM986" i="16"/>
  <c r="T986" i="16" s="1"/>
  <c r="AN986" i="16"/>
  <c r="U986" i="16" s="1"/>
  <c r="AO986" i="16"/>
  <c r="V986" i="16" s="1"/>
  <c r="AL987" i="16"/>
  <c r="S987" i="16" s="1"/>
  <c r="AM987" i="16"/>
  <c r="T987" i="16" s="1"/>
  <c r="AN987" i="16"/>
  <c r="U987" i="16" s="1"/>
  <c r="AO987" i="16"/>
  <c r="V987" i="16" s="1"/>
  <c r="AL988" i="16"/>
  <c r="S988" i="16" s="1"/>
  <c r="AM988" i="16"/>
  <c r="T988" i="16" s="1"/>
  <c r="AN988" i="16"/>
  <c r="U988" i="16" s="1"/>
  <c r="AO988" i="16"/>
  <c r="V988" i="16" s="1"/>
  <c r="AL989" i="16"/>
  <c r="AM989" i="16"/>
  <c r="AN989" i="16"/>
  <c r="AO989" i="16"/>
  <c r="AL990" i="16"/>
  <c r="AM990" i="16"/>
  <c r="AN990" i="16"/>
  <c r="AO990" i="16"/>
  <c r="AL991" i="16"/>
  <c r="AM991" i="16"/>
  <c r="AN991" i="16"/>
  <c r="AO991" i="16"/>
  <c r="AL992" i="16"/>
  <c r="AM992" i="16"/>
  <c r="AN992" i="16"/>
  <c r="AO992" i="16"/>
  <c r="AL993" i="16"/>
  <c r="AM993" i="16"/>
  <c r="AN993" i="16"/>
  <c r="AO993" i="16"/>
  <c r="AL994" i="16"/>
  <c r="AM994" i="16"/>
  <c r="AN994" i="16"/>
  <c r="AO994" i="16"/>
  <c r="AL995" i="16"/>
  <c r="AM995" i="16"/>
  <c r="AN995" i="16"/>
  <c r="AO995" i="16"/>
  <c r="AL996" i="16"/>
  <c r="AM996" i="16"/>
  <c r="AN996" i="16"/>
  <c r="AO996" i="16"/>
  <c r="AL997" i="16"/>
  <c r="AM997" i="16"/>
  <c r="AN997" i="16"/>
  <c r="AO997" i="16"/>
  <c r="AL998" i="16"/>
  <c r="AM998" i="16"/>
  <c r="AN998" i="16"/>
  <c r="AO998" i="16"/>
  <c r="AL999" i="16"/>
  <c r="AM999" i="16"/>
  <c r="AN999" i="16"/>
  <c r="AO999" i="16"/>
  <c r="AL1000" i="16"/>
  <c r="AM1000" i="16"/>
  <c r="AN1000" i="16"/>
  <c r="AO1000" i="16"/>
  <c r="AL1001" i="16"/>
  <c r="AM1001" i="16"/>
  <c r="AN1001" i="16"/>
  <c r="AO1001" i="16"/>
  <c r="AL1002" i="16"/>
  <c r="AM1002" i="16"/>
  <c r="AN1002" i="16"/>
  <c r="AO1002" i="16"/>
  <c r="AL1003" i="16"/>
  <c r="AM1003" i="16"/>
  <c r="AN1003" i="16"/>
  <c r="AO1003" i="16"/>
  <c r="AL1004" i="16"/>
  <c r="AM1004" i="16"/>
  <c r="AN1004" i="16"/>
  <c r="AO1004" i="16"/>
  <c r="AL1005" i="16"/>
  <c r="AM1005" i="16"/>
  <c r="AN1005" i="16"/>
  <c r="AO1005" i="16"/>
  <c r="AL1006" i="16"/>
  <c r="AM1006" i="16"/>
  <c r="AN1006" i="16"/>
  <c r="AO1006" i="16"/>
  <c r="AL1007" i="16"/>
  <c r="AM1007" i="16"/>
  <c r="AN1007" i="16"/>
  <c r="AO1007" i="16"/>
  <c r="AL1008" i="16"/>
  <c r="AM1008" i="16"/>
  <c r="AN1008" i="16"/>
  <c r="AO1008" i="16"/>
  <c r="AL1009" i="16"/>
  <c r="AM1009" i="16"/>
  <c r="AN1009" i="16"/>
  <c r="AO1009" i="16"/>
  <c r="AN2" i="16"/>
  <c r="U2" i="16" s="1"/>
  <c r="AO2" i="16"/>
  <c r="V2" i="16" s="1"/>
  <c r="AM2" i="16"/>
  <c r="T2" i="16" s="1"/>
  <c r="AL2" i="16"/>
  <c r="S2" i="16" s="1"/>
  <c r="H82" i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E82" i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F82" i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G82" i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904" i="16"/>
  <c r="A905" i="16"/>
  <c r="A906" i="16"/>
  <c r="A907" i="16"/>
  <c r="A908" i="16"/>
  <c r="A909" i="16"/>
  <c r="A910" i="16"/>
  <c r="A911" i="16"/>
  <c r="A912" i="16"/>
  <c r="A913" i="16"/>
  <c r="A914" i="16"/>
  <c r="A915" i="16"/>
  <c r="A916" i="16"/>
  <c r="A917" i="16"/>
  <c r="A918" i="16"/>
  <c r="A919" i="16"/>
  <c r="A920" i="16"/>
  <c r="A921" i="16"/>
  <c r="A922" i="16"/>
  <c r="A923" i="16"/>
  <c r="A924" i="16"/>
  <c r="A925" i="16"/>
  <c r="A926" i="16"/>
  <c r="A927" i="16"/>
  <c r="A928" i="16"/>
  <c r="A929" i="16"/>
  <c r="A930" i="16"/>
  <c r="A931" i="16"/>
  <c r="A932" i="16"/>
  <c r="A933" i="16"/>
  <c r="A934" i="16"/>
  <c r="A935" i="16"/>
  <c r="A936" i="16"/>
  <c r="A937" i="16"/>
  <c r="A938" i="16"/>
  <c r="A939" i="16"/>
  <c r="A940" i="16"/>
  <c r="A941" i="16"/>
  <c r="A942" i="16"/>
  <c r="A943" i="16"/>
  <c r="A944" i="16"/>
  <c r="A945" i="16"/>
  <c r="A946" i="16"/>
  <c r="A947" i="16"/>
  <c r="A948" i="16"/>
  <c r="A949" i="16"/>
  <c r="A950" i="16"/>
  <c r="A951" i="16"/>
  <c r="A952" i="16"/>
  <c r="A953" i="16"/>
  <c r="A954" i="16"/>
  <c r="A955" i="16"/>
  <c r="A956" i="16"/>
  <c r="A957" i="16"/>
  <c r="A958" i="16"/>
  <c r="A959" i="16"/>
  <c r="A960" i="16"/>
  <c r="A961" i="16"/>
  <c r="A962" i="16"/>
  <c r="A963" i="16"/>
  <c r="A964" i="16"/>
  <c r="A965" i="16"/>
  <c r="A966" i="16"/>
  <c r="A967" i="16"/>
  <c r="A968" i="16"/>
  <c r="A969" i="16"/>
  <c r="A970" i="16"/>
  <c r="A971" i="16"/>
  <c r="A972" i="16"/>
  <c r="A973" i="16"/>
  <c r="A974" i="16"/>
  <c r="A975" i="16"/>
  <c r="A976" i="16"/>
  <c r="A977" i="16"/>
  <c r="A978" i="16"/>
  <c r="A979" i="16"/>
  <c r="A980" i="16"/>
  <c r="A981" i="16"/>
  <c r="A982" i="16"/>
  <c r="A983" i="16"/>
  <c r="A984" i="16"/>
  <c r="A985" i="16"/>
  <c r="A986" i="16"/>
  <c r="A987" i="16"/>
  <c r="A988" i="16"/>
  <c r="A989" i="16"/>
  <c r="A990" i="16"/>
  <c r="A991" i="16"/>
  <c r="A992" i="16"/>
  <c r="A993" i="16"/>
  <c r="A994" i="16"/>
  <c r="A995" i="16"/>
  <c r="A996" i="16"/>
  <c r="A997" i="16"/>
  <c r="A998" i="16"/>
  <c r="A999" i="16"/>
  <c r="A1000" i="16"/>
  <c r="A1001" i="16"/>
  <c r="A1002" i="16"/>
  <c r="A1003" i="16"/>
  <c r="A1004" i="16"/>
  <c r="A1005" i="16"/>
  <c r="A1006" i="16"/>
  <c r="A1007" i="16"/>
  <c r="A1008" i="16"/>
  <c r="A1009" i="16"/>
  <c r="A758" i="16"/>
  <c r="AG988" i="16"/>
  <c r="AA988" i="16"/>
  <c r="AG987" i="16"/>
  <c r="AA987" i="16"/>
  <c r="AG986" i="16"/>
  <c r="AA986" i="16"/>
  <c r="AG985" i="16"/>
  <c r="AA985" i="16"/>
  <c r="AG984" i="16"/>
  <c r="AA984" i="16"/>
  <c r="AG983" i="16"/>
  <c r="AA983" i="16"/>
  <c r="AG982" i="16"/>
  <c r="AA982" i="16"/>
  <c r="AG981" i="16"/>
  <c r="AA981" i="16"/>
  <c r="AG980" i="16"/>
  <c r="AA980" i="16"/>
  <c r="AG979" i="16"/>
  <c r="AA979" i="16"/>
  <c r="AG978" i="16"/>
  <c r="AA978" i="16"/>
  <c r="AG977" i="16"/>
  <c r="AA977" i="16"/>
  <c r="AG976" i="16"/>
  <c r="AA976" i="16"/>
  <c r="AG975" i="16"/>
  <c r="AA975" i="16"/>
  <c r="AG974" i="16"/>
  <c r="AA974" i="16"/>
  <c r="AG973" i="16"/>
  <c r="AA973" i="16"/>
  <c r="AG972" i="16"/>
  <c r="AA972" i="16"/>
  <c r="AG971" i="16"/>
  <c r="AA971" i="16"/>
  <c r="AG970" i="16"/>
  <c r="AA970" i="16"/>
  <c r="AG969" i="16"/>
  <c r="AA969" i="16"/>
  <c r="AG968" i="16"/>
  <c r="AA968" i="16"/>
  <c r="AG967" i="16"/>
  <c r="AA967" i="16"/>
  <c r="AG966" i="16"/>
  <c r="AA966" i="16"/>
  <c r="AG965" i="16"/>
  <c r="AA965" i="16"/>
  <c r="AG964" i="16"/>
  <c r="AA964" i="16"/>
  <c r="AG963" i="16"/>
  <c r="AA963" i="16"/>
  <c r="AG962" i="16"/>
  <c r="AA962" i="16"/>
  <c r="AG961" i="16"/>
  <c r="AA961" i="16"/>
  <c r="AG960" i="16"/>
  <c r="AA960" i="16"/>
  <c r="AG959" i="16"/>
  <c r="AA959" i="16"/>
  <c r="AG958" i="16"/>
  <c r="AA958" i="16"/>
  <c r="AG957" i="16"/>
  <c r="AA957" i="16"/>
  <c r="AG956" i="16"/>
  <c r="AA956" i="16"/>
  <c r="AG955" i="16"/>
  <c r="AA955" i="16"/>
  <c r="AG954" i="16"/>
  <c r="AA954" i="16"/>
  <c r="AG953" i="16"/>
  <c r="AA953" i="16"/>
  <c r="AG952" i="16"/>
  <c r="AA952" i="16"/>
  <c r="AG951" i="16"/>
  <c r="AA951" i="16"/>
  <c r="AG950" i="16"/>
  <c r="AA950" i="16"/>
  <c r="AG949" i="16"/>
  <c r="AA949" i="16"/>
  <c r="AG948" i="16"/>
  <c r="AA948" i="16"/>
  <c r="AG947" i="16"/>
  <c r="AA947" i="16"/>
  <c r="AG946" i="16"/>
  <c r="AA946" i="16"/>
  <c r="AG945" i="16"/>
  <c r="AA945" i="16"/>
  <c r="AG944" i="16"/>
  <c r="AA944" i="16"/>
  <c r="AG943" i="16"/>
  <c r="AA943" i="16"/>
  <c r="AG942" i="16"/>
  <c r="AA942" i="16"/>
  <c r="AG941" i="16"/>
  <c r="AA941" i="16"/>
  <c r="AG940" i="16"/>
  <c r="AA940" i="16"/>
  <c r="AG939" i="16"/>
  <c r="AA939" i="16"/>
  <c r="AG938" i="16"/>
  <c r="AA938" i="16"/>
  <c r="AG937" i="16"/>
  <c r="AA937" i="16"/>
  <c r="AG936" i="16"/>
  <c r="AA936" i="16"/>
  <c r="AG935" i="16"/>
  <c r="AA935" i="16"/>
  <c r="AG934" i="16"/>
  <c r="AA934" i="16"/>
  <c r="AG933" i="16"/>
  <c r="AA933" i="16"/>
  <c r="AG932" i="16"/>
  <c r="AA932" i="16"/>
  <c r="AG931" i="16"/>
  <c r="AA931" i="16"/>
  <c r="AG930" i="16"/>
  <c r="AA930" i="16"/>
  <c r="AG929" i="16"/>
  <c r="AA929" i="16"/>
  <c r="AG928" i="16"/>
  <c r="AA928" i="16"/>
  <c r="AG927" i="16"/>
  <c r="AA927" i="16"/>
  <c r="AG926" i="16"/>
  <c r="AA926" i="16"/>
  <c r="AG925" i="16"/>
  <c r="AA925" i="16"/>
  <c r="AG924" i="16"/>
  <c r="AA924" i="16"/>
  <c r="AG923" i="16"/>
  <c r="AA923" i="16"/>
  <c r="AG922" i="16"/>
  <c r="AA922" i="16"/>
  <c r="AG921" i="16"/>
  <c r="AA921" i="16"/>
  <c r="AG920" i="16"/>
  <c r="AA920" i="16"/>
  <c r="AG919" i="16"/>
  <c r="AA919" i="16"/>
  <c r="AG918" i="16"/>
  <c r="AA918" i="16"/>
  <c r="AG917" i="16"/>
  <c r="AA917" i="16"/>
  <c r="AG916" i="16"/>
  <c r="AA916" i="16"/>
  <c r="AG915" i="16"/>
  <c r="AA915" i="16"/>
  <c r="AG914" i="16"/>
  <c r="AA914" i="16"/>
  <c r="AG913" i="16"/>
  <c r="AA913" i="16"/>
  <c r="AG912" i="16"/>
  <c r="AA912" i="16"/>
  <c r="AG911" i="16"/>
  <c r="AA911" i="16"/>
  <c r="AG910" i="16"/>
  <c r="AA910" i="16"/>
  <c r="AG909" i="16"/>
  <c r="AA909" i="16"/>
  <c r="AG908" i="16"/>
  <c r="AA908" i="16"/>
  <c r="AG907" i="16"/>
  <c r="AA907" i="16"/>
  <c r="AG906" i="16"/>
  <c r="AA906" i="16"/>
  <c r="AG905" i="16"/>
  <c r="AA905" i="16"/>
  <c r="AG904" i="16"/>
  <c r="AF904" i="16"/>
  <c r="AE904" i="16"/>
  <c r="AD904" i="16"/>
  <c r="AG903" i="16"/>
  <c r="AF903" i="16"/>
  <c r="AE903" i="16"/>
  <c r="AD903" i="16"/>
  <c r="AG902" i="16"/>
  <c r="AF902" i="16"/>
  <c r="AE902" i="16"/>
  <c r="AD902" i="16"/>
  <c r="AG901" i="16"/>
  <c r="AF901" i="16"/>
  <c r="AE901" i="16"/>
  <c r="AD901" i="16"/>
  <c r="AG900" i="16"/>
  <c r="AF900" i="16"/>
  <c r="AE900" i="16"/>
  <c r="AD900" i="16"/>
  <c r="AG899" i="16"/>
  <c r="AF899" i="16"/>
  <c r="AE899" i="16"/>
  <c r="AD899" i="16"/>
  <c r="AG898" i="16"/>
  <c r="AF898" i="16"/>
  <c r="AE898" i="16"/>
  <c r="AD898" i="16"/>
  <c r="AG897" i="16"/>
  <c r="AF897" i="16"/>
  <c r="AE897" i="16"/>
  <c r="AD897" i="16"/>
  <c r="AG896" i="16"/>
  <c r="AF896" i="16"/>
  <c r="AE896" i="16"/>
  <c r="AD896" i="16"/>
  <c r="AG895" i="16"/>
  <c r="AF895" i="16"/>
  <c r="AE895" i="16"/>
  <c r="AD895" i="16"/>
  <c r="AG894" i="16"/>
  <c r="AF894" i="16"/>
  <c r="AE894" i="16"/>
  <c r="AD894" i="16"/>
  <c r="AG893" i="16"/>
  <c r="AF893" i="16"/>
  <c r="AE893" i="16"/>
  <c r="AD893" i="16"/>
  <c r="AG892" i="16"/>
  <c r="AF892" i="16"/>
  <c r="AE892" i="16"/>
  <c r="AD892" i="16"/>
  <c r="AG891" i="16"/>
  <c r="AF891" i="16"/>
  <c r="AE891" i="16"/>
  <c r="AD891" i="16"/>
  <c r="AG890" i="16"/>
  <c r="AF890" i="16"/>
  <c r="AE890" i="16"/>
  <c r="AD890" i="16"/>
  <c r="AG889" i="16"/>
  <c r="AF889" i="16"/>
  <c r="AE889" i="16"/>
  <c r="AD889" i="16"/>
  <c r="AG888" i="16"/>
  <c r="AF888" i="16"/>
  <c r="AE888" i="16"/>
  <c r="AD888" i="16"/>
  <c r="AG887" i="16"/>
  <c r="AF887" i="16"/>
  <c r="AE887" i="16"/>
  <c r="AD887" i="16"/>
  <c r="AG886" i="16"/>
  <c r="AF886" i="16"/>
  <c r="AE886" i="16"/>
  <c r="AD886" i="16"/>
  <c r="AG885" i="16"/>
  <c r="AF885" i="16"/>
  <c r="AE885" i="16"/>
  <c r="AD885" i="16"/>
  <c r="AG884" i="16"/>
  <c r="AF884" i="16"/>
  <c r="AE884" i="16"/>
  <c r="AD884" i="16"/>
  <c r="AG883" i="16"/>
  <c r="AF883" i="16"/>
  <c r="AE883" i="16"/>
  <c r="AD883" i="16"/>
  <c r="AG882" i="16"/>
  <c r="AF882" i="16"/>
  <c r="AE882" i="16"/>
  <c r="AD882" i="16"/>
  <c r="AG881" i="16"/>
  <c r="AF881" i="16"/>
  <c r="AE881" i="16"/>
  <c r="AD881" i="16"/>
  <c r="AG880" i="16"/>
  <c r="AF880" i="16"/>
  <c r="AE880" i="16"/>
  <c r="AD880" i="16"/>
  <c r="AG879" i="16"/>
  <c r="AF879" i="16"/>
  <c r="AE879" i="16"/>
  <c r="AD879" i="16"/>
  <c r="AG878" i="16"/>
  <c r="AF878" i="16"/>
  <c r="AE878" i="16"/>
  <c r="AD878" i="16"/>
  <c r="AG877" i="16"/>
  <c r="AF877" i="16"/>
  <c r="AE877" i="16"/>
  <c r="AD877" i="16"/>
  <c r="AG876" i="16"/>
  <c r="AF876" i="16"/>
  <c r="AE876" i="16"/>
  <c r="AD876" i="16"/>
  <c r="AG875" i="16"/>
  <c r="AF875" i="16"/>
  <c r="AE875" i="16"/>
  <c r="AD875" i="16"/>
  <c r="AG874" i="16"/>
  <c r="AF874" i="16"/>
  <c r="AE874" i="16"/>
  <c r="AD874" i="16"/>
  <c r="AG873" i="16"/>
  <c r="AF873" i="16"/>
  <c r="AE873" i="16"/>
  <c r="AD873" i="16"/>
  <c r="AG872" i="16"/>
  <c r="AF872" i="16"/>
  <c r="AE872" i="16"/>
  <c r="AD872" i="16"/>
  <c r="AG871" i="16"/>
  <c r="AF871" i="16"/>
  <c r="AE871" i="16"/>
  <c r="AD871" i="16"/>
  <c r="AG870" i="16"/>
  <c r="AF870" i="16"/>
  <c r="AE870" i="16"/>
  <c r="AD870" i="16"/>
  <c r="AG869" i="16"/>
  <c r="AF869" i="16"/>
  <c r="AE869" i="16"/>
  <c r="AD869" i="16"/>
  <c r="AG868" i="16"/>
  <c r="AF868" i="16"/>
  <c r="AE868" i="16"/>
  <c r="AD868" i="16"/>
  <c r="AG867" i="16"/>
  <c r="AF867" i="16"/>
  <c r="AE867" i="16"/>
  <c r="AD867" i="16"/>
  <c r="AG866" i="16"/>
  <c r="AF866" i="16"/>
  <c r="AE866" i="16"/>
  <c r="AD866" i="16"/>
  <c r="AG865" i="16"/>
  <c r="AF865" i="16"/>
  <c r="AE865" i="16"/>
  <c r="AD865" i="16"/>
  <c r="AG864" i="16"/>
  <c r="AF864" i="16"/>
  <c r="AE864" i="16"/>
  <c r="AD864" i="16"/>
  <c r="AG863" i="16"/>
  <c r="AF863" i="16"/>
  <c r="AE863" i="16"/>
  <c r="AD863" i="16"/>
  <c r="AG862" i="16"/>
  <c r="AF862" i="16"/>
  <c r="AE862" i="16"/>
  <c r="AD862" i="16"/>
  <c r="AG861" i="16"/>
  <c r="AF861" i="16"/>
  <c r="AE861" i="16"/>
  <c r="AD861" i="16"/>
  <c r="AG860" i="16"/>
  <c r="AF860" i="16"/>
  <c r="AE860" i="16"/>
  <c r="AD860" i="16"/>
  <c r="AG859" i="16"/>
  <c r="AF859" i="16"/>
  <c r="AE859" i="16"/>
  <c r="AD859" i="16"/>
  <c r="AG858" i="16"/>
  <c r="AF858" i="16"/>
  <c r="AE858" i="16"/>
  <c r="AD858" i="16"/>
  <c r="AG857" i="16"/>
  <c r="AF857" i="16"/>
  <c r="AE857" i="16"/>
  <c r="AD857" i="16"/>
  <c r="AG856" i="16"/>
  <c r="AF856" i="16"/>
  <c r="AE856" i="16"/>
  <c r="AD856" i="16"/>
  <c r="AG855" i="16"/>
  <c r="AF855" i="16"/>
  <c r="AE855" i="16"/>
  <c r="AD855" i="16"/>
  <c r="AG854" i="16"/>
  <c r="AF854" i="16"/>
  <c r="AE854" i="16"/>
  <c r="AD854" i="16"/>
  <c r="AG853" i="16"/>
  <c r="AF853" i="16"/>
  <c r="AE853" i="16"/>
  <c r="AD853" i="16"/>
  <c r="AG852" i="16"/>
  <c r="AF852" i="16"/>
  <c r="AE852" i="16"/>
  <c r="AD852" i="16"/>
  <c r="AG851" i="16"/>
  <c r="AF851" i="16"/>
  <c r="AE851" i="16"/>
  <c r="AD851" i="16"/>
  <c r="AG850" i="16"/>
  <c r="AF850" i="16"/>
  <c r="AE850" i="16"/>
  <c r="AD850" i="16"/>
  <c r="AG849" i="16"/>
  <c r="AF849" i="16"/>
  <c r="AE849" i="16"/>
  <c r="AD849" i="16"/>
  <c r="AG848" i="16"/>
  <c r="AF848" i="16"/>
  <c r="AE848" i="16"/>
  <c r="AD848" i="16"/>
  <c r="AG847" i="16"/>
  <c r="AF847" i="16"/>
  <c r="AE847" i="16"/>
  <c r="AD847" i="16"/>
  <c r="AG846" i="16"/>
  <c r="AF846" i="16"/>
  <c r="AE846" i="16"/>
  <c r="AD846" i="16"/>
  <c r="AG845" i="16"/>
  <c r="AF845" i="16"/>
  <c r="AE845" i="16"/>
  <c r="AD845" i="16"/>
  <c r="AG844" i="16"/>
  <c r="AF844" i="16"/>
  <c r="AE844" i="16"/>
  <c r="AD844" i="16"/>
  <c r="AG843" i="16"/>
  <c r="AF843" i="16"/>
  <c r="AE843" i="16"/>
  <c r="AD843" i="16"/>
  <c r="AG842" i="16"/>
  <c r="AF842" i="16"/>
  <c r="AE842" i="16"/>
  <c r="AD842" i="16"/>
  <c r="AG841" i="16"/>
  <c r="AF841" i="16"/>
  <c r="AE841" i="16"/>
  <c r="AD841" i="16"/>
  <c r="AG840" i="16"/>
  <c r="AF840" i="16"/>
  <c r="AE840" i="16"/>
  <c r="AD840" i="16"/>
  <c r="AG839" i="16"/>
  <c r="AF839" i="16"/>
  <c r="AE839" i="16"/>
  <c r="AD839" i="16"/>
  <c r="AG838" i="16"/>
  <c r="AF838" i="16"/>
  <c r="AE838" i="16"/>
  <c r="AD838" i="16"/>
  <c r="AG837" i="16"/>
  <c r="AF837" i="16"/>
  <c r="AE837" i="16"/>
  <c r="AD837" i="16"/>
  <c r="AG836" i="16"/>
  <c r="AF836" i="16"/>
  <c r="AE836" i="16"/>
  <c r="AD836" i="16"/>
  <c r="AG835" i="16"/>
  <c r="AF835" i="16"/>
  <c r="AE835" i="16"/>
  <c r="AD835" i="16"/>
  <c r="AG834" i="16"/>
  <c r="AF834" i="16"/>
  <c r="AE834" i="16"/>
  <c r="AD834" i="16"/>
  <c r="AG833" i="16"/>
  <c r="AF833" i="16"/>
  <c r="AE833" i="16"/>
  <c r="AD833" i="16"/>
  <c r="AG832" i="16"/>
  <c r="AF832" i="16"/>
  <c r="AE832" i="16"/>
  <c r="AD832" i="16"/>
  <c r="AG831" i="16"/>
  <c r="AF831" i="16"/>
  <c r="AE831" i="16"/>
  <c r="AD831" i="16"/>
  <c r="AG830" i="16"/>
  <c r="AF830" i="16"/>
  <c r="AE830" i="16"/>
  <c r="AD830" i="16"/>
  <c r="AG829" i="16"/>
  <c r="AF829" i="16"/>
  <c r="AE829" i="16"/>
  <c r="AD829" i="16"/>
  <c r="AG828" i="16"/>
  <c r="AF828" i="16"/>
  <c r="AE828" i="16"/>
  <c r="AD828" i="16"/>
  <c r="AG827" i="16"/>
  <c r="AF827" i="16"/>
  <c r="AE827" i="16"/>
  <c r="AD827" i="16"/>
  <c r="AG826" i="16"/>
  <c r="AF826" i="16"/>
  <c r="AE826" i="16"/>
  <c r="AD826" i="16"/>
  <c r="AG825" i="16"/>
  <c r="AF825" i="16"/>
  <c r="AE825" i="16"/>
  <c r="AD825" i="16"/>
  <c r="AG824" i="16"/>
  <c r="AF824" i="16"/>
  <c r="AE824" i="16"/>
  <c r="AD824" i="16"/>
  <c r="AG823" i="16"/>
  <c r="AF823" i="16"/>
  <c r="AE823" i="16"/>
  <c r="AD823" i="16"/>
  <c r="AG822" i="16"/>
  <c r="AF822" i="16"/>
  <c r="AE822" i="16"/>
  <c r="AD822" i="16"/>
  <c r="AG821" i="16"/>
  <c r="AF821" i="16"/>
  <c r="AE821" i="16"/>
  <c r="AD821" i="16"/>
  <c r="AG820" i="16"/>
  <c r="AF820" i="16"/>
  <c r="AE820" i="16"/>
  <c r="AD820" i="16"/>
  <c r="AG819" i="16"/>
  <c r="AF819" i="16"/>
  <c r="AE819" i="16"/>
  <c r="AD819" i="16"/>
  <c r="AG818" i="16"/>
  <c r="AF818" i="16"/>
  <c r="AE818" i="16"/>
  <c r="AD818" i="16"/>
  <c r="AG817" i="16"/>
  <c r="AF817" i="16"/>
  <c r="AE817" i="16"/>
  <c r="AD817" i="16"/>
  <c r="AG816" i="16"/>
  <c r="AF816" i="16"/>
  <c r="AE816" i="16"/>
  <c r="AD816" i="16"/>
  <c r="AG815" i="16"/>
  <c r="AF815" i="16"/>
  <c r="AE815" i="16"/>
  <c r="AD815" i="16"/>
  <c r="AG814" i="16"/>
  <c r="AF814" i="16"/>
  <c r="AE814" i="16"/>
  <c r="AD814" i="16"/>
  <c r="AG813" i="16"/>
  <c r="AF813" i="16"/>
  <c r="AE813" i="16"/>
  <c r="AD813" i="16"/>
  <c r="AG812" i="16"/>
  <c r="AF812" i="16"/>
  <c r="AE812" i="16"/>
  <c r="AD812" i="16"/>
  <c r="AG811" i="16"/>
  <c r="AF811" i="16"/>
  <c r="AE811" i="16"/>
  <c r="AD811" i="16"/>
  <c r="AG810" i="16"/>
  <c r="AF810" i="16"/>
  <c r="AE810" i="16"/>
  <c r="AD810" i="16"/>
  <c r="AG809" i="16"/>
  <c r="AF809" i="16"/>
  <c r="AE809" i="16"/>
  <c r="AD809" i="16"/>
  <c r="AG808" i="16"/>
  <c r="AF808" i="16"/>
  <c r="AE808" i="16"/>
  <c r="AD808" i="16"/>
  <c r="AG807" i="16"/>
  <c r="AF807" i="16"/>
  <c r="AE807" i="16"/>
  <c r="AD807" i="16"/>
  <c r="AG806" i="16"/>
  <c r="AF806" i="16"/>
  <c r="AE806" i="16"/>
  <c r="AD806" i="16"/>
  <c r="AG805" i="16"/>
  <c r="AF805" i="16"/>
  <c r="AE805" i="16"/>
  <c r="AD805" i="16"/>
  <c r="AG804" i="16"/>
  <c r="AF804" i="16"/>
  <c r="AE804" i="16"/>
  <c r="AD804" i="16"/>
  <c r="AG803" i="16"/>
  <c r="AF803" i="16"/>
  <c r="AE803" i="16"/>
  <c r="AD803" i="16"/>
  <c r="AG802" i="16"/>
  <c r="AF802" i="16"/>
  <c r="AE802" i="16"/>
  <c r="AD802" i="16"/>
  <c r="AG801" i="16"/>
  <c r="AF801" i="16"/>
  <c r="AE801" i="16"/>
  <c r="AD801" i="16"/>
  <c r="AG800" i="16"/>
  <c r="AF800" i="16"/>
  <c r="AE800" i="16"/>
  <c r="AD800" i="16"/>
  <c r="AG799" i="16"/>
  <c r="AB799" i="16"/>
  <c r="AA799" i="16"/>
  <c r="AG798" i="16"/>
  <c r="AB798" i="16"/>
  <c r="AA798" i="16"/>
  <c r="AG797" i="16"/>
  <c r="AB797" i="16"/>
  <c r="AA797" i="16"/>
  <c r="AG796" i="16"/>
  <c r="AB796" i="16"/>
  <c r="AA796" i="16"/>
  <c r="AG795" i="16"/>
  <c r="AB795" i="16"/>
  <c r="AA795" i="16"/>
  <c r="AG794" i="16"/>
  <c r="AB794" i="16"/>
  <c r="AA794" i="16"/>
  <c r="AG793" i="16"/>
  <c r="AB793" i="16"/>
  <c r="AA793" i="16"/>
  <c r="AG792" i="16"/>
  <c r="AB792" i="16"/>
  <c r="AA792" i="16"/>
  <c r="AG791" i="16"/>
  <c r="AB791" i="16"/>
  <c r="AA791" i="16"/>
  <c r="AG790" i="16"/>
  <c r="AB790" i="16"/>
  <c r="AA790" i="16"/>
  <c r="AG789" i="16"/>
  <c r="AB789" i="16"/>
  <c r="AA789" i="16"/>
  <c r="AG788" i="16"/>
  <c r="AB788" i="16"/>
  <c r="AA788" i="16"/>
  <c r="AG787" i="16"/>
  <c r="AB787" i="16"/>
  <c r="AA787" i="16"/>
  <c r="AG786" i="16"/>
  <c r="AB786" i="16"/>
  <c r="AA786" i="16"/>
  <c r="AG785" i="16"/>
  <c r="AB785" i="16"/>
  <c r="AA785" i="16"/>
  <c r="AG784" i="16"/>
  <c r="AB784" i="16"/>
  <c r="AA784" i="16"/>
  <c r="AG783" i="16"/>
  <c r="AB783" i="16"/>
  <c r="AA783" i="16"/>
  <c r="AG782" i="16"/>
  <c r="AB782" i="16"/>
  <c r="AA782" i="16"/>
  <c r="AG781" i="16"/>
  <c r="AB781" i="16"/>
  <c r="AA781" i="16"/>
  <c r="AG780" i="16"/>
  <c r="AB780" i="16"/>
  <c r="AA780" i="16"/>
  <c r="AG779" i="16"/>
  <c r="AB779" i="16"/>
  <c r="AA779" i="16"/>
  <c r="AG778" i="16"/>
  <c r="AB778" i="16"/>
  <c r="AA778" i="16"/>
  <c r="AG777" i="16"/>
  <c r="AB777" i="16"/>
  <c r="AA777" i="16"/>
  <c r="AG776" i="16"/>
  <c r="AB776" i="16"/>
  <c r="AA776" i="16"/>
  <c r="AG775" i="16"/>
  <c r="AB775" i="16"/>
  <c r="AA775" i="16"/>
  <c r="AG774" i="16"/>
  <c r="AB774" i="16"/>
  <c r="AA774" i="16"/>
  <c r="AG773" i="16"/>
  <c r="AB773" i="16"/>
  <c r="AA773" i="16"/>
  <c r="AG772" i="16"/>
  <c r="AB772" i="16"/>
  <c r="AA772" i="16"/>
  <c r="AG771" i="16"/>
  <c r="AB771" i="16"/>
  <c r="AA771" i="16"/>
  <c r="AG770" i="16"/>
  <c r="AB770" i="16"/>
  <c r="AA770" i="16"/>
  <c r="AG769" i="16"/>
  <c r="AB769" i="16"/>
  <c r="AA769" i="16"/>
  <c r="AG768" i="16"/>
  <c r="AB768" i="16"/>
  <c r="AA768" i="16"/>
  <c r="AG767" i="16"/>
  <c r="AB767" i="16"/>
  <c r="AA767" i="16"/>
  <c r="AG766" i="16"/>
  <c r="AB766" i="16"/>
  <c r="AA766" i="16"/>
  <c r="AG765" i="16"/>
  <c r="AB765" i="16"/>
  <c r="AA765" i="16"/>
  <c r="AG764" i="16"/>
  <c r="AB764" i="16"/>
  <c r="AA764" i="16"/>
  <c r="AG763" i="16"/>
  <c r="AB763" i="16"/>
  <c r="AA763" i="16"/>
  <c r="AG762" i="16"/>
  <c r="AB762" i="16"/>
  <c r="AA762" i="16"/>
  <c r="AG761" i="16"/>
  <c r="AB761" i="16"/>
  <c r="AA761" i="16"/>
  <c r="AG760" i="16"/>
  <c r="AB760" i="16"/>
  <c r="AA760" i="16"/>
  <c r="AG759" i="16"/>
  <c r="AB759" i="16"/>
  <c r="AA759" i="16"/>
  <c r="AG758" i="16"/>
  <c r="AB758" i="16"/>
  <c r="AA758" i="16"/>
  <c r="AF652" i="16"/>
  <c r="AE652" i="16"/>
  <c r="AD652" i="16"/>
  <c r="AF651" i="16"/>
  <c r="AE651" i="16"/>
  <c r="AD651" i="16"/>
  <c r="AF650" i="16"/>
  <c r="AE650" i="16"/>
  <c r="AD650" i="16"/>
  <c r="AF649" i="16"/>
  <c r="AE649" i="16"/>
  <c r="AD649" i="16"/>
  <c r="AF648" i="16"/>
  <c r="AE648" i="16"/>
  <c r="AD648" i="16"/>
  <c r="AF647" i="16"/>
  <c r="AE647" i="16"/>
  <c r="AD647" i="16"/>
  <c r="AF646" i="16"/>
  <c r="AE646" i="16"/>
  <c r="AD646" i="16"/>
  <c r="AF645" i="16"/>
  <c r="AE645" i="16"/>
  <c r="AD645" i="16"/>
  <c r="AF644" i="16"/>
  <c r="AE644" i="16"/>
  <c r="AD644" i="16"/>
  <c r="AF643" i="16"/>
  <c r="AE643" i="16"/>
  <c r="AD643" i="16"/>
  <c r="AF642" i="16"/>
  <c r="AE642" i="16"/>
  <c r="AD642" i="16"/>
  <c r="AF641" i="16"/>
  <c r="AE641" i="16"/>
  <c r="AD641" i="16"/>
  <c r="AF640" i="16"/>
  <c r="AE640" i="16"/>
  <c r="AD640" i="16"/>
  <c r="AF639" i="16"/>
  <c r="AE639" i="16"/>
  <c r="AD639" i="16"/>
  <c r="AF638" i="16"/>
  <c r="AE638" i="16"/>
  <c r="AD638" i="16"/>
  <c r="AF637" i="16"/>
  <c r="AE637" i="16"/>
  <c r="AD637" i="16"/>
  <c r="AF636" i="16"/>
  <c r="AE636" i="16"/>
  <c r="AD636" i="16"/>
  <c r="AF635" i="16"/>
  <c r="AE635" i="16"/>
  <c r="AD635" i="16"/>
  <c r="AF634" i="16"/>
  <c r="AE634" i="16"/>
  <c r="AD634" i="16"/>
  <c r="AF633" i="16"/>
  <c r="AE633" i="16"/>
  <c r="AD633" i="16"/>
  <c r="AF632" i="16"/>
  <c r="AE632" i="16"/>
  <c r="AD632" i="16"/>
  <c r="AF631" i="16"/>
  <c r="AE631" i="16"/>
  <c r="AD631" i="16"/>
  <c r="AF630" i="16"/>
  <c r="AE630" i="16"/>
  <c r="AD630" i="16"/>
  <c r="AF629" i="16"/>
  <c r="AE629" i="16"/>
  <c r="AD629" i="16"/>
  <c r="AF628" i="16"/>
  <c r="AE628" i="16"/>
  <c r="AD628" i="16"/>
  <c r="AF627" i="16"/>
  <c r="AE627" i="16"/>
  <c r="AD627" i="16"/>
  <c r="AF626" i="16"/>
  <c r="AE626" i="16"/>
  <c r="AD626" i="16"/>
  <c r="AF625" i="16"/>
  <c r="AE625" i="16"/>
  <c r="AD625" i="16"/>
  <c r="AF624" i="16"/>
  <c r="AE624" i="16"/>
  <c r="AD624" i="16"/>
  <c r="AF623" i="16"/>
  <c r="AE623" i="16"/>
  <c r="AD623" i="16"/>
  <c r="AF622" i="16"/>
  <c r="AE622" i="16"/>
  <c r="AD622" i="16"/>
  <c r="AF621" i="16"/>
  <c r="AE621" i="16"/>
  <c r="AD621" i="16"/>
  <c r="AF620" i="16"/>
  <c r="AE620" i="16"/>
  <c r="AD620" i="16"/>
  <c r="AF619" i="16"/>
  <c r="AE619" i="16"/>
  <c r="AD619" i="16"/>
  <c r="AF618" i="16"/>
  <c r="AE618" i="16"/>
  <c r="AD618" i="16"/>
  <c r="AF617" i="16"/>
  <c r="AE617" i="16"/>
  <c r="AD617" i="16"/>
  <c r="AF616" i="16"/>
  <c r="AE616" i="16"/>
  <c r="AD616" i="16"/>
  <c r="AF615" i="16"/>
  <c r="AE615" i="16"/>
  <c r="AD615" i="16"/>
  <c r="AF614" i="16"/>
  <c r="AE614" i="16"/>
  <c r="AD614" i="16"/>
  <c r="AF613" i="16"/>
  <c r="AE613" i="16"/>
  <c r="AD613" i="16"/>
  <c r="AF612" i="16"/>
  <c r="AE612" i="16"/>
  <c r="AD612" i="16"/>
  <c r="AF611" i="16"/>
  <c r="AE611" i="16"/>
  <c r="AD611" i="16"/>
  <c r="AF610" i="16"/>
  <c r="AE610" i="16"/>
  <c r="AD610" i="16"/>
  <c r="AF609" i="16"/>
  <c r="AE609" i="16"/>
  <c r="AD609" i="16"/>
  <c r="AF608" i="16"/>
  <c r="AE608" i="16"/>
  <c r="AD608" i="16"/>
  <c r="AF607" i="16"/>
  <c r="AE607" i="16"/>
  <c r="AD607" i="16"/>
  <c r="AF606" i="16"/>
  <c r="AE606" i="16"/>
  <c r="AD606" i="16"/>
  <c r="AF605" i="16"/>
  <c r="AE605" i="16"/>
  <c r="AD605" i="16"/>
  <c r="AF604" i="16"/>
  <c r="AE604" i="16"/>
  <c r="AD604" i="16"/>
  <c r="AF603" i="16"/>
  <c r="AE603" i="16"/>
  <c r="AD603" i="16"/>
  <c r="AF602" i="16"/>
  <c r="AE602" i="16"/>
  <c r="AD602" i="16"/>
  <c r="AF601" i="16"/>
  <c r="AE601" i="16"/>
  <c r="AD601" i="16"/>
  <c r="AF600" i="16"/>
  <c r="AE600" i="16"/>
  <c r="AD600" i="16"/>
  <c r="AF599" i="16"/>
  <c r="AE599" i="16"/>
  <c r="AD599" i="16"/>
  <c r="AF598" i="16"/>
  <c r="AE598" i="16"/>
  <c r="AD598" i="16"/>
  <c r="AF597" i="16"/>
  <c r="AE597" i="16"/>
  <c r="AD597" i="16"/>
  <c r="AF596" i="16"/>
  <c r="AE596" i="16"/>
  <c r="AD596" i="16"/>
  <c r="AF595" i="16"/>
  <c r="AE595" i="16"/>
  <c r="AD595" i="16"/>
  <c r="AF594" i="16"/>
  <c r="AE594" i="16"/>
  <c r="AD594" i="16"/>
  <c r="AF593" i="16"/>
  <c r="AE593" i="16"/>
  <c r="AD593" i="16"/>
  <c r="AF592" i="16"/>
  <c r="AE592" i="16"/>
  <c r="AD592" i="16"/>
  <c r="AF591" i="16"/>
  <c r="AE591" i="16"/>
  <c r="AD591" i="16"/>
  <c r="AF590" i="16"/>
  <c r="AE590" i="16"/>
  <c r="AD590" i="16"/>
  <c r="AF589" i="16"/>
  <c r="AE589" i="16"/>
  <c r="AD589" i="16"/>
  <c r="AF588" i="16"/>
  <c r="AE588" i="16"/>
  <c r="AD588" i="16"/>
  <c r="AF587" i="16"/>
  <c r="AE587" i="16"/>
  <c r="AD587" i="16"/>
  <c r="AF586" i="16"/>
  <c r="AE586" i="16"/>
  <c r="AD586" i="16"/>
  <c r="AF585" i="16"/>
  <c r="AE585" i="16"/>
  <c r="AD585" i="16"/>
  <c r="AF584" i="16"/>
  <c r="AE584" i="16"/>
  <c r="AD584" i="16"/>
  <c r="AF583" i="16"/>
  <c r="AE583" i="16"/>
  <c r="AD583" i="16"/>
  <c r="AF582" i="16"/>
  <c r="AE582" i="16"/>
  <c r="AD582" i="16"/>
  <c r="AF581" i="16"/>
  <c r="AE581" i="16"/>
  <c r="AD581" i="16"/>
  <c r="AF580" i="16"/>
  <c r="AE580" i="16"/>
  <c r="AD580" i="16"/>
  <c r="AF579" i="16"/>
  <c r="AE579" i="16"/>
  <c r="AD579" i="16"/>
  <c r="AF578" i="16"/>
  <c r="AE578" i="16"/>
  <c r="AD578" i="16"/>
  <c r="AF577" i="16"/>
  <c r="AE577" i="16"/>
  <c r="AD577" i="16"/>
  <c r="AF576" i="16"/>
  <c r="AE576" i="16"/>
  <c r="AD576" i="16"/>
  <c r="AF575" i="16"/>
  <c r="AE575" i="16"/>
  <c r="AD575" i="16"/>
  <c r="AF574" i="16"/>
  <c r="AE574" i="16"/>
  <c r="AD574" i="16"/>
  <c r="AF573" i="16"/>
  <c r="AE573" i="16"/>
  <c r="AD573" i="16"/>
  <c r="AF572" i="16"/>
  <c r="AE572" i="16"/>
  <c r="AD572" i="16"/>
  <c r="AF571" i="16"/>
  <c r="AE571" i="16"/>
  <c r="AD571" i="16"/>
  <c r="AF570" i="16"/>
  <c r="AE570" i="16"/>
  <c r="AD570" i="16"/>
  <c r="AF569" i="16"/>
  <c r="AE569" i="16"/>
  <c r="AD569" i="16"/>
  <c r="AF568" i="16"/>
  <c r="AE568" i="16"/>
  <c r="AD568" i="16"/>
  <c r="AF567" i="16"/>
  <c r="AE567" i="16"/>
  <c r="AD567" i="16"/>
  <c r="AF566" i="16"/>
  <c r="AE566" i="16"/>
  <c r="AD566" i="16"/>
  <c r="AF565" i="16"/>
  <c r="AE565" i="16"/>
  <c r="AD565" i="16"/>
  <c r="AF564" i="16"/>
  <c r="AE564" i="16"/>
  <c r="AD564" i="16"/>
  <c r="AF563" i="16"/>
  <c r="AE563" i="16"/>
  <c r="AD563" i="16"/>
  <c r="AF562" i="16"/>
  <c r="AE562" i="16"/>
  <c r="AD562" i="16"/>
  <c r="AF561" i="16"/>
  <c r="AE561" i="16"/>
  <c r="AD561" i="16"/>
  <c r="AF560" i="16"/>
  <c r="AE560" i="16"/>
  <c r="AD560" i="16"/>
  <c r="AF559" i="16"/>
  <c r="AE559" i="16"/>
  <c r="AD559" i="16"/>
  <c r="AF558" i="16"/>
  <c r="AE558" i="16"/>
  <c r="AD558" i="16"/>
  <c r="AF557" i="16"/>
  <c r="AE557" i="16"/>
  <c r="AD557" i="16"/>
  <c r="AF556" i="16"/>
  <c r="AE556" i="16"/>
  <c r="AD556" i="16"/>
  <c r="AF555" i="16"/>
  <c r="AE555" i="16"/>
  <c r="AD555" i="16"/>
  <c r="AF554" i="16"/>
  <c r="AE554" i="16"/>
  <c r="AD554" i="16"/>
  <c r="AF553" i="16"/>
  <c r="AE553" i="16"/>
  <c r="AD553" i="16"/>
  <c r="AF552" i="16"/>
  <c r="AE552" i="16"/>
  <c r="AD552" i="16"/>
  <c r="AF551" i="16"/>
  <c r="AE551" i="16"/>
  <c r="AD551" i="16"/>
  <c r="AF550" i="16"/>
  <c r="AE550" i="16"/>
  <c r="AD550" i="16"/>
  <c r="AF549" i="16"/>
  <c r="AE549" i="16"/>
  <c r="AD549" i="16"/>
  <c r="AF548" i="16"/>
  <c r="AE548" i="16"/>
  <c r="AD548" i="16"/>
  <c r="AF400" i="16"/>
  <c r="AE400" i="16"/>
  <c r="AD400" i="16"/>
  <c r="AF399" i="16"/>
  <c r="AE399" i="16"/>
  <c r="AD399" i="16"/>
  <c r="AF398" i="16"/>
  <c r="AE398" i="16"/>
  <c r="AD398" i="16"/>
  <c r="AF397" i="16"/>
  <c r="AE397" i="16"/>
  <c r="AD397" i="16"/>
  <c r="AF396" i="16"/>
  <c r="AE396" i="16"/>
  <c r="AD396" i="16"/>
  <c r="AF395" i="16"/>
  <c r="AE395" i="16"/>
  <c r="AD395" i="16"/>
  <c r="AF394" i="16"/>
  <c r="AE394" i="16"/>
  <c r="AD394" i="16"/>
  <c r="AF393" i="16"/>
  <c r="AE393" i="16"/>
  <c r="AD393" i="16"/>
  <c r="AF392" i="16"/>
  <c r="AE392" i="16"/>
  <c r="AD392" i="16"/>
  <c r="AF391" i="16"/>
  <c r="AE391" i="16"/>
  <c r="AD391" i="16"/>
  <c r="AF390" i="16"/>
  <c r="AE390" i="16"/>
  <c r="AD390" i="16"/>
  <c r="AF389" i="16"/>
  <c r="AE389" i="16"/>
  <c r="AD389" i="16"/>
  <c r="AF388" i="16"/>
  <c r="AE388" i="16"/>
  <c r="AD388" i="16"/>
  <c r="AF387" i="16"/>
  <c r="AE387" i="16"/>
  <c r="AD387" i="16"/>
  <c r="AF386" i="16"/>
  <c r="AE386" i="16"/>
  <c r="AD386" i="16"/>
  <c r="AF385" i="16"/>
  <c r="AE385" i="16"/>
  <c r="AD385" i="16"/>
  <c r="AF384" i="16"/>
  <c r="AE384" i="16"/>
  <c r="AD384" i="16"/>
  <c r="AF383" i="16"/>
  <c r="AE383" i="16"/>
  <c r="AD383" i="16"/>
  <c r="AF382" i="16"/>
  <c r="AE382" i="16"/>
  <c r="AD382" i="16"/>
  <c r="AF381" i="16"/>
  <c r="AE381" i="16"/>
  <c r="AD381" i="16"/>
  <c r="AF380" i="16"/>
  <c r="AE380" i="16"/>
  <c r="AD380" i="16"/>
  <c r="AF379" i="16"/>
  <c r="AE379" i="16"/>
  <c r="AD379" i="16"/>
  <c r="AF378" i="16"/>
  <c r="AE378" i="16"/>
  <c r="AD378" i="16"/>
  <c r="AF377" i="16"/>
  <c r="AE377" i="16"/>
  <c r="AD377" i="16"/>
  <c r="AF376" i="16"/>
  <c r="AE376" i="16"/>
  <c r="AD376" i="16"/>
  <c r="AF375" i="16"/>
  <c r="AE375" i="16"/>
  <c r="AD375" i="16"/>
  <c r="AF374" i="16"/>
  <c r="AE374" i="16"/>
  <c r="AD374" i="16"/>
  <c r="AF373" i="16"/>
  <c r="AE373" i="16"/>
  <c r="AD373" i="16"/>
  <c r="AF372" i="16"/>
  <c r="AE372" i="16"/>
  <c r="AD372" i="16"/>
  <c r="AF371" i="16"/>
  <c r="AE371" i="16"/>
  <c r="AD371" i="16"/>
  <c r="AF370" i="16"/>
  <c r="AE370" i="16"/>
  <c r="AD370" i="16"/>
  <c r="AF369" i="16"/>
  <c r="AE369" i="16"/>
  <c r="AD369" i="16"/>
  <c r="AF368" i="16"/>
  <c r="AE368" i="16"/>
  <c r="AD368" i="16"/>
  <c r="AF367" i="16"/>
  <c r="AE367" i="16"/>
  <c r="AD367" i="16"/>
  <c r="AF366" i="16"/>
  <c r="AE366" i="16"/>
  <c r="AD366" i="16"/>
  <c r="AF365" i="16"/>
  <c r="AE365" i="16"/>
  <c r="AD365" i="16"/>
  <c r="AF364" i="16"/>
  <c r="AE364" i="16"/>
  <c r="AD364" i="16"/>
  <c r="AF363" i="16"/>
  <c r="AE363" i="16"/>
  <c r="AD363" i="16"/>
  <c r="AF362" i="16"/>
  <c r="AE362" i="16"/>
  <c r="AD362" i="16"/>
  <c r="AF361" i="16"/>
  <c r="AE361" i="16"/>
  <c r="AD361" i="16"/>
  <c r="AF360" i="16"/>
  <c r="AE360" i="16"/>
  <c r="AD360" i="16"/>
  <c r="AF359" i="16"/>
  <c r="AE359" i="16"/>
  <c r="AD359" i="16"/>
  <c r="AF358" i="16"/>
  <c r="AE358" i="16"/>
  <c r="AD358" i="16"/>
  <c r="AF357" i="16"/>
  <c r="AE357" i="16"/>
  <c r="AD357" i="16"/>
  <c r="AF356" i="16"/>
  <c r="AE356" i="16"/>
  <c r="AD356" i="16"/>
  <c r="AF355" i="16"/>
  <c r="AE355" i="16"/>
  <c r="AD355" i="16"/>
  <c r="AF354" i="16"/>
  <c r="AE354" i="16"/>
  <c r="AD354" i="16"/>
  <c r="AF353" i="16"/>
  <c r="AE353" i="16"/>
  <c r="AD353" i="16"/>
  <c r="AF352" i="16"/>
  <c r="AE352" i="16"/>
  <c r="AD352" i="16"/>
  <c r="AF351" i="16"/>
  <c r="AE351" i="16"/>
  <c r="AD351" i="16"/>
  <c r="AF350" i="16"/>
  <c r="AE350" i="16"/>
  <c r="AD350" i="16"/>
  <c r="AF349" i="16"/>
  <c r="AE349" i="16"/>
  <c r="AD349" i="16"/>
  <c r="AF348" i="16"/>
  <c r="AE348" i="16"/>
  <c r="AD348" i="16"/>
  <c r="AF347" i="16"/>
  <c r="AE347" i="16"/>
  <c r="AD347" i="16"/>
  <c r="AF346" i="16"/>
  <c r="AE346" i="16"/>
  <c r="AD346" i="16"/>
  <c r="AF345" i="16"/>
  <c r="AE345" i="16"/>
  <c r="AD345" i="16"/>
  <c r="AF344" i="16"/>
  <c r="AE344" i="16"/>
  <c r="AD344" i="16"/>
  <c r="AF343" i="16"/>
  <c r="AE343" i="16"/>
  <c r="AD343" i="16"/>
  <c r="AF342" i="16"/>
  <c r="AE342" i="16"/>
  <c r="AD342" i="16"/>
  <c r="AF341" i="16"/>
  <c r="AE341" i="16"/>
  <c r="AD341" i="16"/>
  <c r="AF340" i="16"/>
  <c r="AE340" i="16"/>
  <c r="AD340" i="16"/>
  <c r="AF339" i="16"/>
  <c r="AE339" i="16"/>
  <c r="AD339" i="16"/>
  <c r="AF338" i="16"/>
  <c r="AE338" i="16"/>
  <c r="AD338" i="16"/>
  <c r="AF337" i="16"/>
  <c r="AE337" i="16"/>
  <c r="AD337" i="16"/>
  <c r="AF336" i="16"/>
  <c r="AE336" i="16"/>
  <c r="AD336" i="16"/>
  <c r="AF335" i="16"/>
  <c r="AE335" i="16"/>
  <c r="AD335" i="16"/>
  <c r="AF334" i="16"/>
  <c r="AE334" i="16"/>
  <c r="AD334" i="16"/>
  <c r="AF333" i="16"/>
  <c r="AE333" i="16"/>
  <c r="AD333" i="16"/>
  <c r="AF332" i="16"/>
  <c r="AE332" i="16"/>
  <c r="AD332" i="16"/>
  <c r="AF331" i="16"/>
  <c r="AE331" i="16"/>
  <c r="AD331" i="16"/>
  <c r="AF330" i="16"/>
  <c r="AE330" i="16"/>
  <c r="AD330" i="16"/>
  <c r="AF329" i="16"/>
  <c r="AE329" i="16"/>
  <c r="AD329" i="16"/>
  <c r="AF328" i="16"/>
  <c r="AE328" i="16"/>
  <c r="AD328" i="16"/>
  <c r="AF327" i="16"/>
  <c r="AE327" i="16"/>
  <c r="AD327" i="16"/>
  <c r="AF326" i="16"/>
  <c r="AE326" i="16"/>
  <c r="AD326" i="16"/>
  <c r="AF325" i="16"/>
  <c r="AE325" i="16"/>
  <c r="AD325" i="16"/>
  <c r="AF324" i="16"/>
  <c r="AE324" i="16"/>
  <c r="AD324" i="16"/>
  <c r="AF323" i="16"/>
  <c r="AE323" i="16"/>
  <c r="AD323" i="16"/>
  <c r="AF322" i="16"/>
  <c r="AE322" i="16"/>
  <c r="AD322" i="16"/>
  <c r="AF321" i="16"/>
  <c r="AE321" i="16"/>
  <c r="AD321" i="16"/>
  <c r="AF320" i="16"/>
  <c r="AE320" i="16"/>
  <c r="AD320" i="16"/>
  <c r="AF319" i="16"/>
  <c r="AE319" i="16"/>
  <c r="AD319" i="16"/>
  <c r="AF318" i="16"/>
  <c r="AE318" i="16"/>
  <c r="AD318" i="16"/>
  <c r="AF317" i="16"/>
  <c r="AE317" i="16"/>
  <c r="AD317" i="16"/>
  <c r="AF316" i="16"/>
  <c r="AE316" i="16"/>
  <c r="AD316" i="16"/>
  <c r="AF315" i="16"/>
  <c r="AE315" i="16"/>
  <c r="AD315" i="16"/>
  <c r="AF314" i="16"/>
  <c r="AE314" i="16"/>
  <c r="AD314" i="16"/>
  <c r="AF313" i="16"/>
  <c r="AE313" i="16"/>
  <c r="AD313" i="16"/>
  <c r="AF312" i="16"/>
  <c r="AE312" i="16"/>
  <c r="AD312" i="16"/>
  <c r="AF311" i="16"/>
  <c r="AE311" i="16"/>
  <c r="AD311" i="16"/>
  <c r="AF310" i="16"/>
  <c r="AE310" i="16"/>
  <c r="AD310" i="16"/>
  <c r="AF309" i="16"/>
  <c r="AE309" i="16"/>
  <c r="AD309" i="16"/>
  <c r="AF308" i="16"/>
  <c r="AE308" i="16"/>
  <c r="AD308" i="16"/>
  <c r="AF307" i="16"/>
  <c r="AE307" i="16"/>
  <c r="AD307" i="16"/>
  <c r="AF306" i="16"/>
  <c r="AE306" i="16"/>
  <c r="AD306" i="16"/>
  <c r="AF305" i="16"/>
  <c r="AE305" i="16"/>
  <c r="AD305" i="16"/>
  <c r="AF304" i="16"/>
  <c r="AE304" i="16"/>
  <c r="AD304" i="16"/>
  <c r="AF303" i="16"/>
  <c r="AE303" i="16"/>
  <c r="AD303" i="16"/>
  <c r="AF302" i="16"/>
  <c r="AE302" i="16"/>
  <c r="AD302" i="16"/>
  <c r="AF301" i="16"/>
  <c r="AE301" i="16"/>
  <c r="AD301" i="16"/>
  <c r="AF300" i="16"/>
  <c r="AE300" i="16"/>
  <c r="AD300" i="16"/>
  <c r="AF299" i="16"/>
  <c r="AE299" i="16"/>
  <c r="AD299" i="16"/>
  <c r="AF298" i="16"/>
  <c r="AE298" i="16"/>
  <c r="AD298" i="16"/>
  <c r="AF297" i="16"/>
  <c r="AE297" i="16"/>
  <c r="AD297" i="16"/>
  <c r="AF296" i="16"/>
  <c r="AE296" i="16"/>
  <c r="AD296" i="16"/>
  <c r="AD65" i="16"/>
  <c r="AE65" i="16"/>
  <c r="AF65" i="16"/>
  <c r="AD66" i="16"/>
  <c r="AE66" i="16"/>
  <c r="AF66" i="16"/>
  <c r="AD67" i="16"/>
  <c r="AE67" i="16"/>
  <c r="AF67" i="16"/>
  <c r="AD68" i="16"/>
  <c r="AE68" i="16"/>
  <c r="AF68" i="16"/>
  <c r="AD69" i="16"/>
  <c r="AE69" i="16"/>
  <c r="AF69" i="16"/>
  <c r="AD70" i="16"/>
  <c r="AE70" i="16"/>
  <c r="AF70" i="16"/>
  <c r="AD71" i="16"/>
  <c r="AE71" i="16"/>
  <c r="AF71" i="16"/>
  <c r="AD72" i="16"/>
  <c r="AE72" i="16"/>
  <c r="AF72" i="16"/>
  <c r="AD73" i="16"/>
  <c r="AE73" i="16"/>
  <c r="AF73" i="16"/>
  <c r="AD74" i="16"/>
  <c r="AE74" i="16"/>
  <c r="AF74" i="16"/>
  <c r="AD75" i="16"/>
  <c r="AE75" i="16"/>
  <c r="AF75" i="16"/>
  <c r="AD76" i="16"/>
  <c r="AE76" i="16"/>
  <c r="AF76" i="16"/>
  <c r="AD77" i="16"/>
  <c r="AE77" i="16"/>
  <c r="AF77" i="16"/>
  <c r="AD78" i="16"/>
  <c r="AE78" i="16"/>
  <c r="AF78" i="16"/>
  <c r="AD79" i="16"/>
  <c r="AE79" i="16"/>
  <c r="AF79" i="16"/>
  <c r="AD80" i="16"/>
  <c r="AE80" i="16"/>
  <c r="AF80" i="16"/>
  <c r="AD81" i="16"/>
  <c r="AE81" i="16"/>
  <c r="AF81" i="16"/>
  <c r="AD82" i="16"/>
  <c r="AE82" i="16"/>
  <c r="AF82" i="16"/>
  <c r="AD83" i="16"/>
  <c r="AE83" i="16"/>
  <c r="AF83" i="16"/>
  <c r="AD84" i="16"/>
  <c r="AE84" i="16"/>
  <c r="AF84" i="16"/>
  <c r="AD85" i="16"/>
  <c r="AE85" i="16"/>
  <c r="AF85" i="16"/>
  <c r="AD86" i="16"/>
  <c r="AE86" i="16"/>
  <c r="AF86" i="16"/>
  <c r="AD87" i="16"/>
  <c r="AE87" i="16"/>
  <c r="AF87" i="16"/>
  <c r="AD88" i="16"/>
  <c r="AE88" i="16"/>
  <c r="AF88" i="16"/>
  <c r="AD89" i="16"/>
  <c r="AE89" i="16"/>
  <c r="AF89" i="16"/>
  <c r="AD90" i="16"/>
  <c r="AE90" i="16"/>
  <c r="AF90" i="16"/>
  <c r="AD91" i="16"/>
  <c r="AE91" i="16"/>
  <c r="AF91" i="16"/>
  <c r="AD92" i="16"/>
  <c r="AE92" i="16"/>
  <c r="AF92" i="16"/>
  <c r="AD93" i="16"/>
  <c r="AE93" i="16"/>
  <c r="AF93" i="16"/>
  <c r="AD94" i="16"/>
  <c r="AE94" i="16"/>
  <c r="AF94" i="16"/>
  <c r="AD95" i="16"/>
  <c r="AE95" i="16"/>
  <c r="AF95" i="16"/>
  <c r="AD96" i="16"/>
  <c r="AE96" i="16"/>
  <c r="AF96" i="16"/>
  <c r="AD97" i="16"/>
  <c r="AE97" i="16"/>
  <c r="AF97" i="16"/>
  <c r="AD98" i="16"/>
  <c r="AE98" i="16"/>
  <c r="AF98" i="16"/>
  <c r="AD99" i="16"/>
  <c r="AE99" i="16"/>
  <c r="AF99" i="16"/>
  <c r="AD100" i="16"/>
  <c r="AE100" i="16"/>
  <c r="AF100" i="16"/>
  <c r="AD101" i="16"/>
  <c r="AE101" i="16"/>
  <c r="AF101" i="16"/>
  <c r="AD102" i="16"/>
  <c r="AE102" i="16"/>
  <c r="AF102" i="16"/>
  <c r="AD103" i="16"/>
  <c r="AE103" i="16"/>
  <c r="AF103" i="16"/>
  <c r="AD104" i="16"/>
  <c r="AE104" i="16"/>
  <c r="AF104" i="16"/>
  <c r="AD105" i="16"/>
  <c r="AE105" i="16"/>
  <c r="AF105" i="16"/>
  <c r="AD106" i="16"/>
  <c r="AE106" i="16"/>
  <c r="AF106" i="16"/>
  <c r="AD107" i="16"/>
  <c r="AE107" i="16"/>
  <c r="AF107" i="16"/>
  <c r="AD108" i="16"/>
  <c r="AE108" i="16"/>
  <c r="AF108" i="16"/>
  <c r="AD109" i="16"/>
  <c r="AE109" i="16"/>
  <c r="AF109" i="16"/>
  <c r="AD110" i="16"/>
  <c r="AE110" i="16"/>
  <c r="AF110" i="16"/>
  <c r="AD111" i="16"/>
  <c r="AE111" i="16"/>
  <c r="AF111" i="16"/>
  <c r="AD112" i="16"/>
  <c r="AE112" i="16"/>
  <c r="AF112" i="16"/>
  <c r="AD113" i="16"/>
  <c r="AE113" i="16"/>
  <c r="AF113" i="16"/>
  <c r="AD114" i="16"/>
  <c r="AE114" i="16"/>
  <c r="AF114" i="16"/>
  <c r="AD115" i="16"/>
  <c r="AE115" i="16"/>
  <c r="AF115" i="16"/>
  <c r="AD116" i="16"/>
  <c r="AE116" i="16"/>
  <c r="AF116" i="16"/>
  <c r="AD117" i="16"/>
  <c r="AE117" i="16"/>
  <c r="AF117" i="16"/>
  <c r="AD118" i="16"/>
  <c r="AE118" i="16"/>
  <c r="AF118" i="16"/>
  <c r="AD119" i="16"/>
  <c r="AE119" i="16"/>
  <c r="AF119" i="16"/>
  <c r="AD120" i="16"/>
  <c r="AE120" i="16"/>
  <c r="AF120" i="16"/>
  <c r="AD121" i="16"/>
  <c r="AE121" i="16"/>
  <c r="AF121" i="16"/>
  <c r="AD122" i="16"/>
  <c r="AE122" i="16"/>
  <c r="AF122" i="16"/>
  <c r="AD123" i="16"/>
  <c r="AE123" i="16"/>
  <c r="AF123" i="16"/>
  <c r="AD124" i="16"/>
  <c r="AE124" i="16"/>
  <c r="AF124" i="16"/>
  <c r="AD125" i="16"/>
  <c r="AE125" i="16"/>
  <c r="AF125" i="16"/>
  <c r="AD126" i="16"/>
  <c r="AE126" i="16"/>
  <c r="AF126" i="16"/>
  <c r="AD127" i="16"/>
  <c r="AE127" i="16"/>
  <c r="AF127" i="16"/>
  <c r="AD128" i="16"/>
  <c r="AE128" i="16"/>
  <c r="AF128" i="16"/>
  <c r="AD129" i="16"/>
  <c r="AE129" i="16"/>
  <c r="AF129" i="16"/>
  <c r="AD130" i="16"/>
  <c r="AE130" i="16"/>
  <c r="AF130" i="16"/>
  <c r="AD131" i="16"/>
  <c r="AE131" i="16"/>
  <c r="AF131" i="16"/>
  <c r="AD132" i="16"/>
  <c r="AE132" i="16"/>
  <c r="AF132" i="16"/>
  <c r="AD133" i="16"/>
  <c r="AE133" i="16"/>
  <c r="AF133" i="16"/>
  <c r="AD134" i="16"/>
  <c r="AE134" i="16"/>
  <c r="AF134" i="16"/>
  <c r="AD135" i="16"/>
  <c r="AE135" i="16"/>
  <c r="AF135" i="16"/>
  <c r="AD136" i="16"/>
  <c r="AE136" i="16"/>
  <c r="AF136" i="16"/>
  <c r="AD137" i="16"/>
  <c r="AE137" i="16"/>
  <c r="AF137" i="16"/>
  <c r="AD138" i="16"/>
  <c r="AE138" i="16"/>
  <c r="AF138" i="16"/>
  <c r="AD139" i="16"/>
  <c r="AE139" i="16"/>
  <c r="AF139" i="16"/>
  <c r="AD140" i="16"/>
  <c r="AE140" i="16"/>
  <c r="AF140" i="16"/>
  <c r="AD141" i="16"/>
  <c r="AE141" i="16"/>
  <c r="AF141" i="16"/>
  <c r="AD142" i="16"/>
  <c r="AE142" i="16"/>
  <c r="AF142" i="16"/>
  <c r="AD143" i="16"/>
  <c r="AE143" i="16"/>
  <c r="AF143" i="16"/>
  <c r="AD144" i="16"/>
  <c r="AE144" i="16"/>
  <c r="AF144" i="16"/>
  <c r="AD145" i="16"/>
  <c r="AE145" i="16"/>
  <c r="AF145" i="16"/>
  <c r="AD146" i="16"/>
  <c r="AE146" i="16"/>
  <c r="AF146" i="16"/>
  <c r="AD147" i="16"/>
  <c r="AE147" i="16"/>
  <c r="AF147" i="16"/>
  <c r="AD148" i="16"/>
  <c r="AE148" i="16"/>
  <c r="AF148" i="16"/>
  <c r="AD45" i="16"/>
  <c r="AE45" i="16"/>
  <c r="AF45" i="16"/>
  <c r="AD46" i="16"/>
  <c r="AE46" i="16"/>
  <c r="AF46" i="16"/>
  <c r="AD47" i="16"/>
  <c r="AE47" i="16"/>
  <c r="AF47" i="16"/>
  <c r="AD48" i="16"/>
  <c r="AE48" i="16"/>
  <c r="AF48" i="16"/>
  <c r="AD49" i="16"/>
  <c r="AE49" i="16"/>
  <c r="AF49" i="16"/>
  <c r="AD50" i="16"/>
  <c r="AE50" i="16"/>
  <c r="AF50" i="16"/>
  <c r="AD51" i="16"/>
  <c r="AE51" i="16"/>
  <c r="AF51" i="16"/>
  <c r="AD52" i="16"/>
  <c r="AE52" i="16"/>
  <c r="AF52" i="16"/>
  <c r="AD53" i="16"/>
  <c r="AE53" i="16"/>
  <c r="AF53" i="16"/>
  <c r="AD54" i="16"/>
  <c r="AE54" i="16"/>
  <c r="AF54" i="16"/>
  <c r="AD55" i="16"/>
  <c r="AE55" i="16"/>
  <c r="AF55" i="16"/>
  <c r="AD56" i="16"/>
  <c r="AE56" i="16"/>
  <c r="AF56" i="16"/>
  <c r="AD57" i="16"/>
  <c r="AE57" i="16"/>
  <c r="AF57" i="16"/>
  <c r="AD58" i="16"/>
  <c r="AE58" i="16"/>
  <c r="AF58" i="16"/>
  <c r="AD59" i="16"/>
  <c r="AE59" i="16"/>
  <c r="AF59" i="16"/>
  <c r="AD60" i="16"/>
  <c r="AE60" i="16"/>
  <c r="AF60" i="16"/>
  <c r="AD61" i="16"/>
  <c r="AE61" i="16"/>
  <c r="AF61" i="16"/>
  <c r="AD62" i="16"/>
  <c r="AE62" i="16"/>
  <c r="AF62" i="16"/>
  <c r="AD63" i="16"/>
  <c r="AE63" i="16"/>
  <c r="AF63" i="16"/>
  <c r="AD64" i="16"/>
  <c r="AE64" i="16"/>
  <c r="AF64" i="16"/>
  <c r="AE44" i="16"/>
  <c r="AF44" i="16"/>
  <c r="AD44" i="16"/>
  <c r="M83" i="1"/>
  <c r="M84" i="1"/>
  <c r="C83" i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D82" i="1"/>
  <c r="D83" i="1" s="1"/>
  <c r="J82" i="1"/>
  <c r="K82" i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L82" i="1"/>
  <c r="M82" i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C82" i="1"/>
  <c r="D84" i="1" l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L83" i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J83" i="1"/>
  <c r="AF3" i="3"/>
  <c r="AF4" i="3"/>
  <c r="AG4" i="3"/>
  <c r="AG3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H4" i="9"/>
  <c r="V67" i="9" s="1"/>
  <c r="AH5" i="9"/>
  <c r="X5" i="9" s="1"/>
  <c r="AH6" i="9"/>
  <c r="V69" i="9" s="1"/>
  <c r="AH7" i="9"/>
  <c r="V70" i="9" s="1"/>
  <c r="AH8" i="9"/>
  <c r="W8" i="9" s="1"/>
  <c r="AH9" i="9"/>
  <c r="V72" i="9" s="1"/>
  <c r="AH10" i="9"/>
  <c r="V73" i="9" s="1"/>
  <c r="AH11" i="9"/>
  <c r="V11" i="9" s="1"/>
  <c r="AH12" i="9"/>
  <c r="V75" i="9" s="1"/>
  <c r="AH13" i="9"/>
  <c r="X13" i="9" s="1"/>
  <c r="AH14" i="9"/>
  <c r="V77" i="9" s="1"/>
  <c r="AH15" i="9"/>
  <c r="V78" i="9" s="1"/>
  <c r="AH16" i="9"/>
  <c r="W16" i="9" s="1"/>
  <c r="AH17" i="9"/>
  <c r="V80" i="9" s="1"/>
  <c r="AH18" i="9"/>
  <c r="V81" i="9" s="1"/>
  <c r="AH19" i="9"/>
  <c r="V19" i="9" s="1"/>
  <c r="AH20" i="9"/>
  <c r="V83" i="9" s="1"/>
  <c r="AH21" i="9"/>
  <c r="X21" i="9" s="1"/>
  <c r="AH22" i="9"/>
  <c r="V85" i="9" s="1"/>
  <c r="AH23" i="9"/>
  <c r="V86" i="9" s="1"/>
  <c r="AH24" i="9"/>
  <c r="AH3" i="9"/>
  <c r="W66" i="9" s="1"/>
  <c r="D113" i="7"/>
  <c r="E113" i="7"/>
  <c r="X46" i="9" s="1"/>
  <c r="C113" i="7"/>
  <c r="V52" i="9" s="1"/>
  <c r="D112" i="7"/>
  <c r="W25" i="9" s="1"/>
  <c r="E112" i="7"/>
  <c r="X30" i="9" s="1"/>
  <c r="C112" i="7"/>
  <c r="V28" i="9" s="1"/>
  <c r="D111" i="7"/>
  <c r="E111" i="7"/>
  <c r="C111" i="7"/>
  <c r="D110" i="7"/>
  <c r="E110" i="7"/>
  <c r="C110" i="7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40" i="10"/>
  <c r="AN41" i="10"/>
  <c r="AN42" i="10"/>
  <c r="AN43" i="10"/>
  <c r="AN44" i="10"/>
  <c r="AN4" i="10"/>
  <c r="AN5" i="10"/>
  <c r="AN6" i="10"/>
  <c r="AN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3" i="10"/>
  <c r="Q27" i="13"/>
  <c r="Q28" i="13"/>
  <c r="Q29" i="13"/>
  <c r="Q30" i="13"/>
  <c r="Q31" i="13"/>
  <c r="G120" i="7" s="1"/>
  <c r="Q32" i="13"/>
  <c r="G121" i="7" s="1"/>
  <c r="Q33" i="13"/>
  <c r="G122" i="7" s="1"/>
  <c r="AF948" i="16" s="1"/>
  <c r="Q34" i="13"/>
  <c r="G123" i="7" s="1"/>
  <c r="AF949" i="16" s="1"/>
  <c r="Q35" i="13"/>
  <c r="G124" i="7" s="1"/>
  <c r="AF950" i="16" s="1"/>
  <c r="Q36" i="13"/>
  <c r="G125" i="7" s="1"/>
  <c r="AF951" i="16" s="1"/>
  <c r="Q37" i="13"/>
  <c r="G126" i="7" s="1"/>
  <c r="AF952" i="16" s="1"/>
  <c r="Q38" i="13"/>
  <c r="G127" i="7" s="1"/>
  <c r="AF953" i="16" s="1"/>
  <c r="Q39" i="13"/>
  <c r="G128" i="7" s="1"/>
  <c r="AF954" i="16" s="1"/>
  <c r="Q40" i="13"/>
  <c r="G129" i="7" s="1"/>
  <c r="AF955" i="16" s="1"/>
  <c r="Q41" i="13"/>
  <c r="G130" i="7" s="1"/>
  <c r="AF956" i="16" s="1"/>
  <c r="Q42" i="13"/>
  <c r="G131" i="7" s="1"/>
  <c r="AF957" i="16" s="1"/>
  <c r="Q43" i="13"/>
  <c r="G132" i="7" s="1"/>
  <c r="AF958" i="16" s="1"/>
  <c r="Q44" i="13"/>
  <c r="G133" i="7" s="1"/>
  <c r="AF959" i="16" s="1"/>
  <c r="Q45" i="13"/>
  <c r="G134" i="7" s="1"/>
  <c r="AF960" i="16" s="1"/>
  <c r="Q46" i="13"/>
  <c r="G135" i="7" s="1"/>
  <c r="AF961" i="16" s="1"/>
  <c r="Q47" i="13"/>
  <c r="G136" i="7" s="1"/>
  <c r="AF962" i="16" s="1"/>
  <c r="Q48" i="13"/>
  <c r="G137" i="7" s="1"/>
  <c r="AF963" i="16" s="1"/>
  <c r="Q49" i="13"/>
  <c r="G138" i="7" s="1"/>
  <c r="AF964" i="16" s="1"/>
  <c r="Q50" i="13"/>
  <c r="G139" i="7" s="1"/>
  <c r="AF965" i="16" s="1"/>
  <c r="Q51" i="13"/>
  <c r="G140" i="7" s="1"/>
  <c r="AF966" i="16" s="1"/>
  <c r="Q52" i="13"/>
  <c r="G141" i="7" s="1"/>
  <c r="AF967" i="16" s="1"/>
  <c r="Q26" i="13"/>
  <c r="P27" i="13"/>
  <c r="P28" i="13"/>
  <c r="P29" i="13"/>
  <c r="P30" i="13"/>
  <c r="P31" i="13"/>
  <c r="F120" i="7" s="1"/>
  <c r="P32" i="13"/>
  <c r="F121" i="7" s="1"/>
  <c r="P33" i="13"/>
  <c r="F122" i="7" s="1"/>
  <c r="AE948" i="16" s="1"/>
  <c r="P34" i="13"/>
  <c r="F123" i="7" s="1"/>
  <c r="AE949" i="16" s="1"/>
  <c r="P35" i="13"/>
  <c r="F124" i="7" s="1"/>
  <c r="AE950" i="16" s="1"/>
  <c r="P36" i="13"/>
  <c r="F125" i="7" s="1"/>
  <c r="AE951" i="16" s="1"/>
  <c r="P37" i="13"/>
  <c r="F126" i="7" s="1"/>
  <c r="AE952" i="16" s="1"/>
  <c r="P38" i="13"/>
  <c r="F127" i="7" s="1"/>
  <c r="AE953" i="16" s="1"/>
  <c r="P39" i="13"/>
  <c r="F128" i="7" s="1"/>
  <c r="AE954" i="16" s="1"/>
  <c r="P40" i="13"/>
  <c r="F129" i="7" s="1"/>
  <c r="AE955" i="16" s="1"/>
  <c r="P41" i="13"/>
  <c r="F130" i="7" s="1"/>
  <c r="AE956" i="16" s="1"/>
  <c r="P42" i="13"/>
  <c r="F131" i="7" s="1"/>
  <c r="AE957" i="16" s="1"/>
  <c r="P43" i="13"/>
  <c r="F132" i="7" s="1"/>
  <c r="AE958" i="16" s="1"/>
  <c r="P44" i="13"/>
  <c r="F133" i="7" s="1"/>
  <c r="AE959" i="16" s="1"/>
  <c r="P45" i="13"/>
  <c r="F134" i="7" s="1"/>
  <c r="AE960" i="16" s="1"/>
  <c r="P46" i="13"/>
  <c r="F135" i="7" s="1"/>
  <c r="AE961" i="16" s="1"/>
  <c r="P47" i="13"/>
  <c r="F136" i="7" s="1"/>
  <c r="AE962" i="16" s="1"/>
  <c r="P48" i="13"/>
  <c r="F137" i="7" s="1"/>
  <c r="AE963" i="16" s="1"/>
  <c r="P49" i="13"/>
  <c r="F138" i="7" s="1"/>
  <c r="AE964" i="16" s="1"/>
  <c r="P50" i="13"/>
  <c r="F139" i="7" s="1"/>
  <c r="AE965" i="16" s="1"/>
  <c r="P51" i="13"/>
  <c r="F140" i="7" s="1"/>
  <c r="AE966" i="16" s="1"/>
  <c r="P52" i="13"/>
  <c r="F141" i="7" s="1"/>
  <c r="AE967" i="16" s="1"/>
  <c r="P26" i="13"/>
  <c r="L13" i="13"/>
  <c r="O52" i="13"/>
  <c r="E141" i="7" s="1"/>
  <c r="AD967" i="16" s="1"/>
  <c r="O51" i="13"/>
  <c r="E140" i="7" s="1"/>
  <c r="AD966" i="16" s="1"/>
  <c r="O50" i="13"/>
  <c r="E139" i="7" s="1"/>
  <c r="AD965" i="16" s="1"/>
  <c r="O49" i="13"/>
  <c r="E138" i="7" s="1"/>
  <c r="AD964" i="16" s="1"/>
  <c r="O48" i="13"/>
  <c r="E137" i="7" s="1"/>
  <c r="AD963" i="16" s="1"/>
  <c r="O47" i="13"/>
  <c r="E136" i="7" s="1"/>
  <c r="AD962" i="16" s="1"/>
  <c r="O46" i="13"/>
  <c r="E135" i="7" s="1"/>
  <c r="AD961" i="16" s="1"/>
  <c r="O45" i="13"/>
  <c r="E134" i="7" s="1"/>
  <c r="AD960" i="16" s="1"/>
  <c r="O44" i="13"/>
  <c r="E133" i="7" s="1"/>
  <c r="AD959" i="16" s="1"/>
  <c r="O43" i="13"/>
  <c r="E132" i="7" s="1"/>
  <c r="AD958" i="16" s="1"/>
  <c r="O42" i="13"/>
  <c r="E131" i="7" s="1"/>
  <c r="AD957" i="16" s="1"/>
  <c r="O41" i="13"/>
  <c r="E130" i="7" s="1"/>
  <c r="AD956" i="16" s="1"/>
  <c r="O40" i="13"/>
  <c r="E129" i="7" s="1"/>
  <c r="AD955" i="16" s="1"/>
  <c r="O39" i="13"/>
  <c r="E128" i="7" s="1"/>
  <c r="AD954" i="16" s="1"/>
  <c r="O38" i="13"/>
  <c r="E127" i="7" s="1"/>
  <c r="AD953" i="16" s="1"/>
  <c r="O37" i="13"/>
  <c r="E126" i="7" s="1"/>
  <c r="AD952" i="16" s="1"/>
  <c r="O36" i="13"/>
  <c r="E125" i="7" s="1"/>
  <c r="AD951" i="16" s="1"/>
  <c r="O35" i="13"/>
  <c r="E124" i="7" s="1"/>
  <c r="AD950" i="16" s="1"/>
  <c r="O34" i="13"/>
  <c r="E123" i="7" s="1"/>
  <c r="AD949" i="16" s="1"/>
  <c r="O33" i="13"/>
  <c r="E122" i="7" s="1"/>
  <c r="AD948" i="16" s="1"/>
  <c r="O32" i="13"/>
  <c r="E121" i="7" s="1"/>
  <c r="O31" i="13"/>
  <c r="E120" i="7" s="1"/>
  <c r="O30" i="13"/>
  <c r="O29" i="13"/>
  <c r="O28" i="13"/>
  <c r="O27" i="13"/>
  <c r="O26" i="13"/>
  <c r="K64" i="13"/>
  <c r="B146" i="7" s="1"/>
  <c r="L64" i="13"/>
  <c r="C146" i="7" s="1"/>
  <c r="M64" i="13"/>
  <c r="D146" i="7" s="1"/>
  <c r="L63" i="13"/>
  <c r="C145" i="7" s="1"/>
  <c r="M63" i="13"/>
  <c r="D145" i="7" s="1"/>
  <c r="K63" i="13"/>
  <c r="B145" i="7" s="1"/>
  <c r="L52" i="13"/>
  <c r="B141" i="7" s="1"/>
  <c r="M52" i="13"/>
  <c r="C141" i="7" s="1"/>
  <c r="N52" i="13"/>
  <c r="D141" i="7" s="1"/>
  <c r="L48" i="13"/>
  <c r="B137" i="7" s="1"/>
  <c r="AD985" i="16" s="1"/>
  <c r="M48" i="13"/>
  <c r="C137" i="7" s="1"/>
  <c r="AE985" i="16" s="1"/>
  <c r="N48" i="13"/>
  <c r="D137" i="7" s="1"/>
  <c r="AF985" i="16" s="1"/>
  <c r="L49" i="13"/>
  <c r="B138" i="7" s="1"/>
  <c r="AD986" i="16" s="1"/>
  <c r="M49" i="13"/>
  <c r="C138" i="7" s="1"/>
  <c r="AE986" i="16" s="1"/>
  <c r="N49" i="13"/>
  <c r="D138" i="7" s="1"/>
  <c r="AF986" i="16" s="1"/>
  <c r="L50" i="13"/>
  <c r="B139" i="7" s="1"/>
  <c r="AD987" i="16" s="1"/>
  <c r="M50" i="13"/>
  <c r="C139" i="7" s="1"/>
  <c r="AE987" i="16" s="1"/>
  <c r="N50" i="13"/>
  <c r="D139" i="7" s="1"/>
  <c r="AF987" i="16" s="1"/>
  <c r="L51" i="13"/>
  <c r="B140" i="7" s="1"/>
  <c r="AD988" i="16" s="1"/>
  <c r="M51" i="13"/>
  <c r="C140" i="7" s="1"/>
  <c r="AE988" i="16" s="1"/>
  <c r="N51" i="13"/>
  <c r="D140" i="7" s="1"/>
  <c r="AF988" i="16" s="1"/>
  <c r="L27" i="13"/>
  <c r="M27" i="13"/>
  <c r="N27" i="13"/>
  <c r="L28" i="13"/>
  <c r="M28" i="13"/>
  <c r="N28" i="13"/>
  <c r="L29" i="13"/>
  <c r="M29" i="13"/>
  <c r="N29" i="13"/>
  <c r="L30" i="13"/>
  <c r="M30" i="13"/>
  <c r="N30" i="13"/>
  <c r="L31" i="13"/>
  <c r="B120" i="7" s="1"/>
  <c r="M31" i="13"/>
  <c r="C120" i="7" s="1"/>
  <c r="N31" i="13"/>
  <c r="D120" i="7" s="1"/>
  <c r="L32" i="13"/>
  <c r="B121" i="7" s="1"/>
  <c r="AD969" i="16" s="1"/>
  <c r="M32" i="13"/>
  <c r="C121" i="7" s="1"/>
  <c r="AE969" i="16" s="1"/>
  <c r="N32" i="13"/>
  <c r="D121" i="7" s="1"/>
  <c r="AF969" i="16" s="1"/>
  <c r="L33" i="13"/>
  <c r="B122" i="7" s="1"/>
  <c r="AD970" i="16" s="1"/>
  <c r="M33" i="13"/>
  <c r="C122" i="7" s="1"/>
  <c r="AE970" i="16" s="1"/>
  <c r="N33" i="13"/>
  <c r="D122" i="7" s="1"/>
  <c r="AF970" i="16" s="1"/>
  <c r="L34" i="13"/>
  <c r="B123" i="7" s="1"/>
  <c r="AD971" i="16" s="1"/>
  <c r="M34" i="13"/>
  <c r="C123" i="7" s="1"/>
  <c r="AE971" i="16" s="1"/>
  <c r="N34" i="13"/>
  <c r="D123" i="7" s="1"/>
  <c r="AF971" i="16" s="1"/>
  <c r="L35" i="13"/>
  <c r="B124" i="7" s="1"/>
  <c r="AD972" i="16" s="1"/>
  <c r="M35" i="13"/>
  <c r="C124" i="7" s="1"/>
  <c r="AE972" i="16" s="1"/>
  <c r="N35" i="13"/>
  <c r="D124" i="7" s="1"/>
  <c r="AF972" i="16" s="1"/>
  <c r="L36" i="13"/>
  <c r="B125" i="7" s="1"/>
  <c r="AD973" i="16" s="1"/>
  <c r="M36" i="13"/>
  <c r="C125" i="7" s="1"/>
  <c r="AE973" i="16" s="1"/>
  <c r="N36" i="13"/>
  <c r="D125" i="7" s="1"/>
  <c r="AF973" i="16" s="1"/>
  <c r="L37" i="13"/>
  <c r="B126" i="7" s="1"/>
  <c r="AD974" i="16" s="1"/>
  <c r="M37" i="13"/>
  <c r="C126" i="7" s="1"/>
  <c r="AE974" i="16" s="1"/>
  <c r="N37" i="13"/>
  <c r="D126" i="7" s="1"/>
  <c r="AF974" i="16" s="1"/>
  <c r="L38" i="13"/>
  <c r="B127" i="7" s="1"/>
  <c r="AD975" i="16" s="1"/>
  <c r="M38" i="13"/>
  <c r="C127" i="7" s="1"/>
  <c r="AE975" i="16" s="1"/>
  <c r="N38" i="13"/>
  <c r="D127" i="7" s="1"/>
  <c r="AF975" i="16" s="1"/>
  <c r="L39" i="13"/>
  <c r="B128" i="7" s="1"/>
  <c r="AD976" i="16" s="1"/>
  <c r="M39" i="13"/>
  <c r="C128" i="7" s="1"/>
  <c r="AE976" i="16" s="1"/>
  <c r="N39" i="13"/>
  <c r="D128" i="7" s="1"/>
  <c r="AF976" i="16" s="1"/>
  <c r="L40" i="13"/>
  <c r="B129" i="7" s="1"/>
  <c r="AD977" i="16" s="1"/>
  <c r="M40" i="13"/>
  <c r="C129" i="7" s="1"/>
  <c r="AE977" i="16" s="1"/>
  <c r="N40" i="13"/>
  <c r="D129" i="7" s="1"/>
  <c r="AF977" i="16" s="1"/>
  <c r="L41" i="13"/>
  <c r="B130" i="7" s="1"/>
  <c r="AD978" i="16" s="1"/>
  <c r="M41" i="13"/>
  <c r="C130" i="7" s="1"/>
  <c r="AE978" i="16" s="1"/>
  <c r="N41" i="13"/>
  <c r="D130" i="7" s="1"/>
  <c r="AF978" i="16" s="1"/>
  <c r="L42" i="13"/>
  <c r="B131" i="7" s="1"/>
  <c r="AD979" i="16" s="1"/>
  <c r="M42" i="13"/>
  <c r="C131" i="7" s="1"/>
  <c r="AE979" i="16" s="1"/>
  <c r="N42" i="13"/>
  <c r="D131" i="7" s="1"/>
  <c r="AF979" i="16" s="1"/>
  <c r="L43" i="13"/>
  <c r="B132" i="7" s="1"/>
  <c r="AD980" i="16" s="1"/>
  <c r="M43" i="13"/>
  <c r="C132" i="7" s="1"/>
  <c r="AE980" i="16" s="1"/>
  <c r="N43" i="13"/>
  <c r="D132" i="7" s="1"/>
  <c r="AF980" i="16" s="1"/>
  <c r="L44" i="13"/>
  <c r="B133" i="7" s="1"/>
  <c r="AD981" i="16" s="1"/>
  <c r="M44" i="13"/>
  <c r="C133" i="7" s="1"/>
  <c r="AE981" i="16" s="1"/>
  <c r="N44" i="13"/>
  <c r="D133" i="7" s="1"/>
  <c r="AF981" i="16" s="1"/>
  <c r="L45" i="13"/>
  <c r="B134" i="7" s="1"/>
  <c r="AD982" i="16" s="1"/>
  <c r="M45" i="13"/>
  <c r="C134" i="7" s="1"/>
  <c r="AE982" i="16" s="1"/>
  <c r="N45" i="13"/>
  <c r="D134" i="7" s="1"/>
  <c r="AF982" i="16" s="1"/>
  <c r="L46" i="13"/>
  <c r="B135" i="7" s="1"/>
  <c r="AD983" i="16" s="1"/>
  <c r="M46" i="13"/>
  <c r="C135" i="7" s="1"/>
  <c r="AE983" i="16" s="1"/>
  <c r="N46" i="13"/>
  <c r="D135" i="7" s="1"/>
  <c r="AF983" i="16" s="1"/>
  <c r="L47" i="13"/>
  <c r="B136" i="7" s="1"/>
  <c r="AD984" i="16" s="1"/>
  <c r="M47" i="13"/>
  <c r="C136" i="7" s="1"/>
  <c r="AE984" i="16" s="1"/>
  <c r="N47" i="13"/>
  <c r="D136" i="7" s="1"/>
  <c r="AF984" i="16" s="1"/>
  <c r="M26" i="13"/>
  <c r="N26" i="13"/>
  <c r="L26" i="13"/>
  <c r="L12" i="13"/>
  <c r="B78" i="7"/>
  <c r="B76" i="7"/>
  <c r="D72" i="7"/>
  <c r="C72" i="7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506" i="16"/>
  <c r="AG736" i="16"/>
  <c r="AA736" i="16"/>
  <c r="AG735" i="16"/>
  <c r="AA735" i="16"/>
  <c r="AG734" i="16"/>
  <c r="AA734" i="16"/>
  <c r="AG733" i="16"/>
  <c r="AA733" i="16"/>
  <c r="AG732" i="16"/>
  <c r="AA732" i="16"/>
  <c r="AG731" i="16"/>
  <c r="AA731" i="16"/>
  <c r="AG730" i="16"/>
  <c r="AA730" i="16"/>
  <c r="AG729" i="16"/>
  <c r="AA729" i="16"/>
  <c r="AG728" i="16"/>
  <c r="AA728" i="16"/>
  <c r="AG727" i="16"/>
  <c r="AA727" i="16"/>
  <c r="AG726" i="16"/>
  <c r="AA726" i="16"/>
  <c r="AG725" i="16"/>
  <c r="AA725" i="16"/>
  <c r="AG724" i="16"/>
  <c r="AA724" i="16"/>
  <c r="AG723" i="16"/>
  <c r="AA723" i="16"/>
  <c r="AG722" i="16"/>
  <c r="AA722" i="16"/>
  <c r="AG721" i="16"/>
  <c r="AA721" i="16"/>
  <c r="AG720" i="16"/>
  <c r="AA720" i="16"/>
  <c r="AG719" i="16"/>
  <c r="AA719" i="16"/>
  <c r="AG718" i="16"/>
  <c r="AA718" i="16"/>
  <c r="AG717" i="16"/>
  <c r="AA717" i="16"/>
  <c r="AG716" i="16"/>
  <c r="AA716" i="16"/>
  <c r="AG715" i="16"/>
  <c r="AA715" i="16"/>
  <c r="AG714" i="16"/>
  <c r="AA714" i="16"/>
  <c r="AG713" i="16"/>
  <c r="AA713" i="16"/>
  <c r="AG712" i="16"/>
  <c r="AA712" i="16"/>
  <c r="AG711" i="16"/>
  <c r="AA711" i="16"/>
  <c r="AG710" i="16"/>
  <c r="AA710" i="16"/>
  <c r="AG709" i="16"/>
  <c r="AA709" i="16"/>
  <c r="AG708" i="16"/>
  <c r="AA708" i="16"/>
  <c r="AG707" i="16"/>
  <c r="AA707" i="16"/>
  <c r="AG706" i="16"/>
  <c r="AA706" i="16"/>
  <c r="AG705" i="16"/>
  <c r="AA705" i="16"/>
  <c r="AG704" i="16"/>
  <c r="AA704" i="16"/>
  <c r="AG703" i="16"/>
  <c r="AA703" i="16"/>
  <c r="AG702" i="16"/>
  <c r="AA702" i="16"/>
  <c r="AG701" i="16"/>
  <c r="AA701" i="16"/>
  <c r="AG700" i="16"/>
  <c r="AA700" i="16"/>
  <c r="AG699" i="16"/>
  <c r="AA699" i="16"/>
  <c r="AG698" i="16"/>
  <c r="AA698" i="16"/>
  <c r="AG697" i="16"/>
  <c r="AA697" i="16"/>
  <c r="AG696" i="16"/>
  <c r="AA696" i="16"/>
  <c r="AG695" i="16"/>
  <c r="AA695" i="16"/>
  <c r="AG694" i="16"/>
  <c r="AA694" i="16"/>
  <c r="AG693" i="16"/>
  <c r="AA693" i="16"/>
  <c r="AG692" i="16"/>
  <c r="AA692" i="16"/>
  <c r="AG691" i="16"/>
  <c r="AA691" i="16"/>
  <c r="AG690" i="16"/>
  <c r="AA690" i="16"/>
  <c r="AG689" i="16"/>
  <c r="AA689" i="16"/>
  <c r="AG688" i="16"/>
  <c r="AA688" i="16"/>
  <c r="AG687" i="16"/>
  <c r="AA687" i="16"/>
  <c r="AG686" i="16"/>
  <c r="AA686" i="16"/>
  <c r="AG685" i="16"/>
  <c r="AA685" i="16"/>
  <c r="AG684" i="16"/>
  <c r="AA684" i="16"/>
  <c r="AG683" i="16"/>
  <c r="AA683" i="16"/>
  <c r="AG682" i="16"/>
  <c r="AA682" i="16"/>
  <c r="AG681" i="16"/>
  <c r="AA681" i="16"/>
  <c r="AG680" i="16"/>
  <c r="AA680" i="16"/>
  <c r="AG679" i="16"/>
  <c r="AA679" i="16"/>
  <c r="AG678" i="16"/>
  <c r="AA678" i="16"/>
  <c r="AG677" i="16"/>
  <c r="AA677" i="16"/>
  <c r="AG676" i="16"/>
  <c r="AA676" i="16"/>
  <c r="AG675" i="16"/>
  <c r="AA675" i="16"/>
  <c r="AG674" i="16"/>
  <c r="AA674" i="16"/>
  <c r="AG673" i="16"/>
  <c r="AA673" i="16"/>
  <c r="AG672" i="16"/>
  <c r="AA672" i="16"/>
  <c r="AG671" i="16"/>
  <c r="AA671" i="16"/>
  <c r="AG670" i="16"/>
  <c r="AA670" i="16"/>
  <c r="AG669" i="16"/>
  <c r="AA669" i="16"/>
  <c r="AG668" i="16"/>
  <c r="AA668" i="16"/>
  <c r="AG667" i="16"/>
  <c r="AA667" i="16"/>
  <c r="AG666" i="16"/>
  <c r="AA666" i="16"/>
  <c r="AG665" i="16"/>
  <c r="AA665" i="16"/>
  <c r="AG664" i="16"/>
  <c r="AA664" i="16"/>
  <c r="AG663" i="16"/>
  <c r="AA663" i="16"/>
  <c r="AG662" i="16"/>
  <c r="AA662" i="16"/>
  <c r="AG661" i="16"/>
  <c r="AA661" i="16"/>
  <c r="AG660" i="16"/>
  <c r="AA660" i="16"/>
  <c r="AG659" i="16"/>
  <c r="AA659" i="16"/>
  <c r="AG658" i="16"/>
  <c r="AA658" i="16"/>
  <c r="AG657" i="16"/>
  <c r="AA657" i="16"/>
  <c r="AG656" i="16"/>
  <c r="AA656" i="16"/>
  <c r="AG655" i="16"/>
  <c r="AA655" i="16"/>
  <c r="AG654" i="16"/>
  <c r="AA654" i="16"/>
  <c r="AG653" i="16"/>
  <c r="AA653" i="16"/>
  <c r="AG652" i="16"/>
  <c r="AG651" i="16"/>
  <c r="AG650" i="16"/>
  <c r="AG649" i="16"/>
  <c r="AG648" i="16"/>
  <c r="AG647" i="16"/>
  <c r="AG646" i="16"/>
  <c r="AG645" i="16"/>
  <c r="AG644" i="16"/>
  <c r="AG643" i="16"/>
  <c r="AG642" i="16"/>
  <c r="AG641" i="16"/>
  <c r="AG640" i="16"/>
  <c r="AG639" i="16"/>
  <c r="AG638" i="16"/>
  <c r="AG637" i="16"/>
  <c r="AG636" i="16"/>
  <c r="AG635" i="16"/>
  <c r="AG634" i="16"/>
  <c r="AG633" i="16"/>
  <c r="AG632" i="16"/>
  <c r="AG631" i="16"/>
  <c r="AG630" i="16"/>
  <c r="AG629" i="16"/>
  <c r="AG628" i="16"/>
  <c r="AG627" i="16"/>
  <c r="AG626" i="16"/>
  <c r="AG625" i="16"/>
  <c r="AG624" i="16"/>
  <c r="AG623" i="16"/>
  <c r="AG622" i="16"/>
  <c r="AG621" i="16"/>
  <c r="AG620" i="16"/>
  <c r="AG619" i="16"/>
  <c r="AG618" i="16"/>
  <c r="AG617" i="16"/>
  <c r="AG616" i="16"/>
  <c r="AG615" i="16"/>
  <c r="AG614" i="16"/>
  <c r="AG613" i="16"/>
  <c r="AG612" i="16"/>
  <c r="AG611" i="16"/>
  <c r="AG610" i="16"/>
  <c r="AG609" i="16"/>
  <c r="AG608" i="16"/>
  <c r="AG607" i="16"/>
  <c r="AG606" i="16"/>
  <c r="AG605" i="16"/>
  <c r="AG604" i="16"/>
  <c r="AG603" i="16"/>
  <c r="AG602" i="16"/>
  <c r="AG601" i="16"/>
  <c r="AG600" i="16"/>
  <c r="AG599" i="16"/>
  <c r="AG598" i="16"/>
  <c r="AG597" i="16"/>
  <c r="AG596" i="16"/>
  <c r="AG595" i="16"/>
  <c r="AG594" i="16"/>
  <c r="AG593" i="16"/>
  <c r="AG592" i="16"/>
  <c r="AG591" i="16"/>
  <c r="AG590" i="16"/>
  <c r="AG589" i="16"/>
  <c r="AG588" i="16"/>
  <c r="AG587" i="16"/>
  <c r="AG586" i="16"/>
  <c r="AG585" i="16"/>
  <c r="AG584" i="16"/>
  <c r="AG583" i="16"/>
  <c r="AG582" i="16"/>
  <c r="AG581" i="16"/>
  <c r="AG580" i="16"/>
  <c r="AG579" i="16"/>
  <c r="AG578" i="16"/>
  <c r="AG577" i="16"/>
  <c r="AG576" i="16"/>
  <c r="AG575" i="16"/>
  <c r="AG574" i="16"/>
  <c r="AG573" i="16"/>
  <c r="AG572" i="16"/>
  <c r="AG571" i="16"/>
  <c r="AG570" i="16"/>
  <c r="AG569" i="16"/>
  <c r="AG568" i="16"/>
  <c r="AG567" i="16"/>
  <c r="AG566" i="16"/>
  <c r="AG565" i="16"/>
  <c r="AG564" i="16"/>
  <c r="AG563" i="16"/>
  <c r="AG562" i="16"/>
  <c r="AG561" i="16"/>
  <c r="AG560" i="16"/>
  <c r="AG559" i="16"/>
  <c r="AG558" i="16"/>
  <c r="AG557" i="16"/>
  <c r="AG556" i="16"/>
  <c r="AG555" i="16"/>
  <c r="AG554" i="16"/>
  <c r="AG553" i="16"/>
  <c r="AG552" i="16"/>
  <c r="AG551" i="16"/>
  <c r="AG550" i="16"/>
  <c r="AG549" i="16"/>
  <c r="AG548" i="16"/>
  <c r="AG547" i="16"/>
  <c r="AB547" i="16"/>
  <c r="AA547" i="16"/>
  <c r="AG546" i="16"/>
  <c r="AB546" i="16"/>
  <c r="AA546" i="16"/>
  <c r="AG545" i="16"/>
  <c r="AB545" i="16"/>
  <c r="AA545" i="16"/>
  <c r="AG544" i="16"/>
  <c r="AB544" i="16"/>
  <c r="AA544" i="16"/>
  <c r="AG543" i="16"/>
  <c r="AB543" i="16"/>
  <c r="AA543" i="16"/>
  <c r="AG542" i="16"/>
  <c r="AB542" i="16"/>
  <c r="AA542" i="16"/>
  <c r="AG541" i="16"/>
  <c r="AB541" i="16"/>
  <c r="AA541" i="16"/>
  <c r="AG540" i="16"/>
  <c r="AB540" i="16"/>
  <c r="AA540" i="16"/>
  <c r="AG539" i="16"/>
  <c r="AB539" i="16"/>
  <c r="AA539" i="16"/>
  <c r="AG538" i="16"/>
  <c r="AB538" i="16"/>
  <c r="AA538" i="16"/>
  <c r="AG537" i="16"/>
  <c r="AB537" i="16"/>
  <c r="AA537" i="16"/>
  <c r="AG536" i="16"/>
  <c r="AB536" i="16"/>
  <c r="AA536" i="16"/>
  <c r="AG535" i="16"/>
  <c r="AB535" i="16"/>
  <c r="AA535" i="16"/>
  <c r="AG534" i="16"/>
  <c r="AB534" i="16"/>
  <c r="AA534" i="16"/>
  <c r="AG533" i="16"/>
  <c r="AB533" i="16"/>
  <c r="AA533" i="16"/>
  <c r="AG532" i="16"/>
  <c r="AB532" i="16"/>
  <c r="AA532" i="16"/>
  <c r="AG531" i="16"/>
  <c r="AB531" i="16"/>
  <c r="AA531" i="16"/>
  <c r="AG530" i="16"/>
  <c r="AB530" i="16"/>
  <c r="AA530" i="16"/>
  <c r="AG529" i="16"/>
  <c r="AB529" i="16"/>
  <c r="AA529" i="16"/>
  <c r="AG528" i="16"/>
  <c r="AB528" i="16"/>
  <c r="AA528" i="16"/>
  <c r="AG527" i="16"/>
  <c r="AB527" i="16"/>
  <c r="AA527" i="16"/>
  <c r="AG526" i="16"/>
  <c r="AB526" i="16"/>
  <c r="AA526" i="16"/>
  <c r="AG525" i="16"/>
  <c r="AB525" i="16"/>
  <c r="AA525" i="16"/>
  <c r="AG524" i="16"/>
  <c r="AB524" i="16"/>
  <c r="AA524" i="16"/>
  <c r="AG523" i="16"/>
  <c r="AB523" i="16"/>
  <c r="AA523" i="16"/>
  <c r="AG522" i="16"/>
  <c r="AB522" i="16"/>
  <c r="AA522" i="16"/>
  <c r="AG521" i="16"/>
  <c r="AB521" i="16"/>
  <c r="AA521" i="16"/>
  <c r="AG520" i="16"/>
  <c r="AB520" i="16"/>
  <c r="AA520" i="16"/>
  <c r="AG519" i="16"/>
  <c r="AB519" i="16"/>
  <c r="AA519" i="16"/>
  <c r="AG518" i="16"/>
  <c r="AB518" i="16"/>
  <c r="AA518" i="16"/>
  <c r="AG517" i="16"/>
  <c r="AB517" i="16"/>
  <c r="AA517" i="16"/>
  <c r="AG516" i="16"/>
  <c r="AB516" i="16"/>
  <c r="AA516" i="16"/>
  <c r="AG515" i="16"/>
  <c r="AB515" i="16"/>
  <c r="AA515" i="16"/>
  <c r="AG514" i="16"/>
  <c r="AB514" i="16"/>
  <c r="AA514" i="16"/>
  <c r="AG513" i="16"/>
  <c r="AB513" i="16"/>
  <c r="AA513" i="16"/>
  <c r="AG512" i="16"/>
  <c r="AB512" i="16"/>
  <c r="AA512" i="16"/>
  <c r="AG511" i="16"/>
  <c r="AB511" i="16"/>
  <c r="AA511" i="16"/>
  <c r="AG510" i="16"/>
  <c r="AB510" i="16"/>
  <c r="AA510" i="16"/>
  <c r="AG509" i="16"/>
  <c r="AB509" i="16"/>
  <c r="AA509" i="16"/>
  <c r="AG508" i="16"/>
  <c r="AB508" i="16"/>
  <c r="AA508" i="16"/>
  <c r="AG507" i="16"/>
  <c r="AB507" i="16"/>
  <c r="AA507" i="16"/>
  <c r="AG506" i="16"/>
  <c r="AB506" i="16"/>
  <c r="AA506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254" i="16"/>
  <c r="AG484" i="16"/>
  <c r="AA484" i="16"/>
  <c r="AG483" i="16"/>
  <c r="AA483" i="16"/>
  <c r="AG482" i="16"/>
  <c r="AA482" i="16"/>
  <c r="AG481" i="16"/>
  <c r="AA481" i="16"/>
  <c r="AG480" i="16"/>
  <c r="AA480" i="16"/>
  <c r="AG479" i="16"/>
  <c r="AA479" i="16"/>
  <c r="AG478" i="16"/>
  <c r="AA478" i="16"/>
  <c r="AG477" i="16"/>
  <c r="AA477" i="16"/>
  <c r="AG476" i="16"/>
  <c r="AA476" i="16"/>
  <c r="AG475" i="16"/>
  <c r="AA475" i="16"/>
  <c r="AG474" i="16"/>
  <c r="AA474" i="16"/>
  <c r="AG473" i="16"/>
  <c r="AA473" i="16"/>
  <c r="AG472" i="16"/>
  <c r="AA472" i="16"/>
  <c r="AG471" i="16"/>
  <c r="AA471" i="16"/>
  <c r="AG470" i="16"/>
  <c r="AA470" i="16"/>
  <c r="AG469" i="16"/>
  <c r="AA469" i="16"/>
  <c r="AG468" i="16"/>
  <c r="AA468" i="16"/>
  <c r="AG467" i="16"/>
  <c r="AA467" i="16"/>
  <c r="AG466" i="16"/>
  <c r="AA466" i="16"/>
  <c r="AG465" i="16"/>
  <c r="AA465" i="16"/>
  <c r="AG464" i="16"/>
  <c r="AA464" i="16"/>
  <c r="AG463" i="16"/>
  <c r="AA463" i="16"/>
  <c r="AG462" i="16"/>
  <c r="AA462" i="16"/>
  <c r="AG461" i="16"/>
  <c r="AA461" i="16"/>
  <c r="AG460" i="16"/>
  <c r="AA460" i="16"/>
  <c r="AG459" i="16"/>
  <c r="AA459" i="16"/>
  <c r="AG458" i="16"/>
  <c r="AA458" i="16"/>
  <c r="AG457" i="16"/>
  <c r="AA457" i="16"/>
  <c r="AG456" i="16"/>
  <c r="AA456" i="16"/>
  <c r="AG455" i="16"/>
  <c r="AA455" i="16"/>
  <c r="AG454" i="16"/>
  <c r="AA454" i="16"/>
  <c r="AG453" i="16"/>
  <c r="AA453" i="16"/>
  <c r="AG452" i="16"/>
  <c r="AA452" i="16"/>
  <c r="AG451" i="16"/>
  <c r="AA451" i="16"/>
  <c r="AG450" i="16"/>
  <c r="AA450" i="16"/>
  <c r="AG449" i="16"/>
  <c r="AA449" i="16"/>
  <c r="AG448" i="16"/>
  <c r="AA448" i="16"/>
  <c r="AG447" i="16"/>
  <c r="AA447" i="16"/>
  <c r="AG446" i="16"/>
  <c r="AA446" i="16"/>
  <c r="AG445" i="16"/>
  <c r="AA445" i="16"/>
  <c r="AG444" i="16"/>
  <c r="AA444" i="16"/>
  <c r="AG443" i="16"/>
  <c r="AA443" i="16"/>
  <c r="AG442" i="16"/>
  <c r="AA442" i="16"/>
  <c r="AG441" i="16"/>
  <c r="AA441" i="16"/>
  <c r="AG440" i="16"/>
  <c r="AA440" i="16"/>
  <c r="AG439" i="16"/>
  <c r="AA439" i="16"/>
  <c r="AG438" i="16"/>
  <c r="AA438" i="16"/>
  <c r="AG437" i="16"/>
  <c r="AA437" i="16"/>
  <c r="AG436" i="16"/>
  <c r="AA436" i="16"/>
  <c r="AG435" i="16"/>
  <c r="AA435" i="16"/>
  <c r="AG434" i="16"/>
  <c r="AA434" i="16"/>
  <c r="AG433" i="16"/>
  <c r="AA433" i="16"/>
  <c r="AG432" i="16"/>
  <c r="AA432" i="16"/>
  <c r="AG431" i="16"/>
  <c r="AA431" i="16"/>
  <c r="AG430" i="16"/>
  <c r="AA430" i="16"/>
  <c r="AG429" i="16"/>
  <c r="AA429" i="16"/>
  <c r="AG428" i="16"/>
  <c r="AA428" i="16"/>
  <c r="AG427" i="16"/>
  <c r="AA427" i="16"/>
  <c r="AG426" i="16"/>
  <c r="AA426" i="16"/>
  <c r="AG425" i="16"/>
  <c r="AA425" i="16"/>
  <c r="AG424" i="16"/>
  <c r="AA424" i="16"/>
  <c r="AG423" i="16"/>
  <c r="AA423" i="16"/>
  <c r="AG422" i="16"/>
  <c r="AA422" i="16"/>
  <c r="AG421" i="16"/>
  <c r="AA421" i="16"/>
  <c r="AG420" i="16"/>
  <c r="AA420" i="16"/>
  <c r="AG419" i="16"/>
  <c r="AA419" i="16"/>
  <c r="AG418" i="16"/>
  <c r="AA418" i="16"/>
  <c r="AG417" i="16"/>
  <c r="AA417" i="16"/>
  <c r="AG416" i="16"/>
  <c r="AA416" i="16"/>
  <c r="AG415" i="16"/>
  <c r="AA415" i="16"/>
  <c r="AG414" i="16"/>
  <c r="AA414" i="16"/>
  <c r="AG413" i="16"/>
  <c r="AA413" i="16"/>
  <c r="AG412" i="16"/>
  <c r="AA412" i="16"/>
  <c r="AG411" i="16"/>
  <c r="AA411" i="16"/>
  <c r="AG410" i="16"/>
  <c r="AA410" i="16"/>
  <c r="AG409" i="16"/>
  <c r="AA409" i="16"/>
  <c r="AG408" i="16"/>
  <c r="AA408" i="16"/>
  <c r="AG407" i="16"/>
  <c r="AA407" i="16"/>
  <c r="AG406" i="16"/>
  <c r="AA406" i="16"/>
  <c r="AG405" i="16"/>
  <c r="AA405" i="16"/>
  <c r="AG404" i="16"/>
  <c r="AA404" i="16"/>
  <c r="AG403" i="16"/>
  <c r="AA403" i="16"/>
  <c r="AG402" i="16"/>
  <c r="AA402" i="16"/>
  <c r="AG401" i="16"/>
  <c r="AA401" i="16"/>
  <c r="AG400" i="16"/>
  <c r="AG399" i="16"/>
  <c r="AG398" i="16"/>
  <c r="AG397" i="16"/>
  <c r="AG396" i="16"/>
  <c r="AG395" i="16"/>
  <c r="AG394" i="16"/>
  <c r="AG393" i="16"/>
  <c r="AG392" i="16"/>
  <c r="AG391" i="16"/>
  <c r="AG390" i="16"/>
  <c r="AG389" i="16"/>
  <c r="AG388" i="16"/>
  <c r="AG387" i="16"/>
  <c r="AG386" i="16"/>
  <c r="AG385" i="16"/>
  <c r="AG384" i="16"/>
  <c r="AG383" i="16"/>
  <c r="AG382" i="16"/>
  <c r="AG381" i="16"/>
  <c r="AG380" i="16"/>
  <c r="AG379" i="16"/>
  <c r="AG378" i="16"/>
  <c r="AG377" i="16"/>
  <c r="AG376" i="16"/>
  <c r="AG375" i="16"/>
  <c r="AG374" i="16"/>
  <c r="AG373" i="16"/>
  <c r="AG372" i="16"/>
  <c r="AG371" i="16"/>
  <c r="AG370" i="16"/>
  <c r="AG369" i="16"/>
  <c r="AG368" i="16"/>
  <c r="AG367" i="16"/>
  <c r="AG366" i="16"/>
  <c r="AG365" i="16"/>
  <c r="AG364" i="16"/>
  <c r="AG363" i="16"/>
  <c r="AG362" i="16"/>
  <c r="AG361" i="16"/>
  <c r="AG360" i="16"/>
  <c r="AG359" i="16"/>
  <c r="AG358" i="16"/>
  <c r="AG357" i="16"/>
  <c r="AG356" i="16"/>
  <c r="AG355" i="16"/>
  <c r="AG354" i="16"/>
  <c r="AG353" i="16"/>
  <c r="AG352" i="16"/>
  <c r="AG351" i="16"/>
  <c r="AG350" i="16"/>
  <c r="AG349" i="16"/>
  <c r="AG348" i="16"/>
  <c r="AG347" i="16"/>
  <c r="AG346" i="16"/>
  <c r="AG345" i="16"/>
  <c r="AG344" i="16"/>
  <c r="AG343" i="16"/>
  <c r="AG342" i="16"/>
  <c r="AG341" i="16"/>
  <c r="AG340" i="16"/>
  <c r="AG339" i="16"/>
  <c r="AG338" i="16"/>
  <c r="AG337" i="16"/>
  <c r="AG336" i="16"/>
  <c r="AG335" i="16"/>
  <c r="AG334" i="16"/>
  <c r="AG333" i="16"/>
  <c r="AG332" i="16"/>
  <c r="AG331" i="16"/>
  <c r="AG330" i="16"/>
  <c r="AG329" i="16"/>
  <c r="AG328" i="16"/>
  <c r="AG327" i="16"/>
  <c r="AG326" i="16"/>
  <c r="AG325" i="16"/>
  <c r="AG324" i="16"/>
  <c r="AG323" i="16"/>
  <c r="AG322" i="16"/>
  <c r="AG321" i="16"/>
  <c r="AG320" i="16"/>
  <c r="AG319" i="16"/>
  <c r="AG318" i="16"/>
  <c r="AG317" i="16"/>
  <c r="AG316" i="16"/>
  <c r="AG315" i="16"/>
  <c r="AG314" i="16"/>
  <c r="AG313" i="16"/>
  <c r="AG312" i="16"/>
  <c r="AG311" i="16"/>
  <c r="AG310" i="16"/>
  <c r="AG309" i="16"/>
  <c r="AG308" i="16"/>
  <c r="AG307" i="16"/>
  <c r="AG306" i="16"/>
  <c r="AG305" i="16"/>
  <c r="AG304" i="16"/>
  <c r="AG303" i="16"/>
  <c r="AG302" i="16"/>
  <c r="AG301" i="16"/>
  <c r="AG300" i="16"/>
  <c r="AG299" i="16"/>
  <c r="AG298" i="16"/>
  <c r="AG297" i="16"/>
  <c r="AG296" i="16"/>
  <c r="AG295" i="16"/>
  <c r="AB295" i="16"/>
  <c r="AA295" i="16"/>
  <c r="AG294" i="16"/>
  <c r="AB294" i="16"/>
  <c r="AA294" i="16"/>
  <c r="AG293" i="16"/>
  <c r="AB293" i="16"/>
  <c r="AA293" i="16"/>
  <c r="AG292" i="16"/>
  <c r="AB292" i="16"/>
  <c r="AA292" i="16"/>
  <c r="AG291" i="16"/>
  <c r="AB291" i="16"/>
  <c r="AA291" i="16"/>
  <c r="AG290" i="16"/>
  <c r="AB290" i="16"/>
  <c r="AA290" i="16"/>
  <c r="AG289" i="16"/>
  <c r="AB289" i="16"/>
  <c r="AA289" i="16"/>
  <c r="AG288" i="16"/>
  <c r="AB288" i="16"/>
  <c r="AA288" i="16"/>
  <c r="AG287" i="16"/>
  <c r="AB287" i="16"/>
  <c r="AA287" i="16"/>
  <c r="AG286" i="16"/>
  <c r="AB286" i="16"/>
  <c r="AA286" i="16"/>
  <c r="AG285" i="16"/>
  <c r="AB285" i="16"/>
  <c r="AA285" i="16"/>
  <c r="AG284" i="16"/>
  <c r="AB284" i="16"/>
  <c r="AA284" i="16"/>
  <c r="AG283" i="16"/>
  <c r="AB283" i="16"/>
  <c r="AA283" i="16"/>
  <c r="AG282" i="16"/>
  <c r="AB282" i="16"/>
  <c r="AA282" i="16"/>
  <c r="AG281" i="16"/>
  <c r="AB281" i="16"/>
  <c r="AA281" i="16"/>
  <c r="AG280" i="16"/>
  <c r="AB280" i="16"/>
  <c r="AA280" i="16"/>
  <c r="AG279" i="16"/>
  <c r="AB279" i="16"/>
  <c r="AA279" i="16"/>
  <c r="AG278" i="16"/>
  <c r="AB278" i="16"/>
  <c r="AA278" i="16"/>
  <c r="AG277" i="16"/>
  <c r="AB277" i="16"/>
  <c r="AA277" i="16"/>
  <c r="AG276" i="16"/>
  <c r="AB276" i="16"/>
  <c r="AA276" i="16"/>
  <c r="AG275" i="16"/>
  <c r="AB275" i="16"/>
  <c r="AA275" i="16"/>
  <c r="AG274" i="16"/>
  <c r="AB274" i="16"/>
  <c r="AA274" i="16"/>
  <c r="AG273" i="16"/>
  <c r="AB273" i="16"/>
  <c r="AA273" i="16"/>
  <c r="AG272" i="16"/>
  <c r="AB272" i="16"/>
  <c r="AA272" i="16"/>
  <c r="AG271" i="16"/>
  <c r="AB271" i="16"/>
  <c r="AA271" i="16"/>
  <c r="AG270" i="16"/>
  <c r="AB270" i="16"/>
  <c r="AA270" i="16"/>
  <c r="AG269" i="16"/>
  <c r="AB269" i="16"/>
  <c r="AA269" i="16"/>
  <c r="AG268" i="16"/>
  <c r="AB268" i="16"/>
  <c r="AA268" i="16"/>
  <c r="AG267" i="16"/>
  <c r="AB267" i="16"/>
  <c r="AA267" i="16"/>
  <c r="AG266" i="16"/>
  <c r="AB266" i="16"/>
  <c r="AA266" i="16"/>
  <c r="AG265" i="16"/>
  <c r="AB265" i="16"/>
  <c r="AA265" i="16"/>
  <c r="AG264" i="16"/>
  <c r="AB264" i="16"/>
  <c r="AA264" i="16"/>
  <c r="AG263" i="16"/>
  <c r="AB263" i="16"/>
  <c r="AA263" i="16"/>
  <c r="AG262" i="16"/>
  <c r="AB262" i="16"/>
  <c r="AA262" i="16"/>
  <c r="AG261" i="16"/>
  <c r="AB261" i="16"/>
  <c r="AA261" i="16"/>
  <c r="AG260" i="16"/>
  <c r="AB260" i="16"/>
  <c r="AA260" i="16"/>
  <c r="AG259" i="16"/>
  <c r="AB259" i="16"/>
  <c r="AA259" i="16"/>
  <c r="AG258" i="16"/>
  <c r="AB258" i="16"/>
  <c r="AA258" i="16"/>
  <c r="AG257" i="16"/>
  <c r="AB257" i="16"/>
  <c r="AA257" i="16"/>
  <c r="AG256" i="16"/>
  <c r="AB256" i="16"/>
  <c r="AA256" i="16"/>
  <c r="AG255" i="16"/>
  <c r="AB255" i="16"/>
  <c r="AA255" i="16"/>
  <c r="AG254" i="16"/>
  <c r="AB254" i="16"/>
  <c r="AA254" i="16"/>
  <c r="D77" i="1"/>
  <c r="C77" i="1"/>
  <c r="D51" i="1"/>
  <c r="C51" i="1"/>
  <c r="AF968" i="16" l="1"/>
  <c r="AF947" i="16"/>
  <c r="AE925" i="16"/>
  <c r="AE924" i="16"/>
  <c r="AE923" i="16"/>
  <c r="AE922" i="16"/>
  <c r="AE921" i="16"/>
  <c r="AE920" i="16"/>
  <c r="AE919" i="16"/>
  <c r="AE916" i="16"/>
  <c r="AE908" i="16"/>
  <c r="AE917" i="16"/>
  <c r="AE909" i="16"/>
  <c r="AE918" i="16"/>
  <c r="AE910" i="16"/>
  <c r="AE911" i="16"/>
  <c r="AE912" i="16"/>
  <c r="AE913" i="16"/>
  <c r="AE905" i="16"/>
  <c r="AE914" i="16"/>
  <c r="AE906" i="16"/>
  <c r="AE915" i="16"/>
  <c r="AE907" i="16"/>
  <c r="AD968" i="16"/>
  <c r="AD947" i="16"/>
  <c r="AF917" i="16"/>
  <c r="AF909" i="16"/>
  <c r="AF922" i="16"/>
  <c r="AF918" i="16"/>
  <c r="AF910" i="16"/>
  <c r="AF911" i="16"/>
  <c r="AF923" i="16"/>
  <c r="AF919" i="16"/>
  <c r="AF912" i="16"/>
  <c r="AF913" i="16"/>
  <c r="AF905" i="16"/>
  <c r="AF924" i="16"/>
  <c r="AF920" i="16"/>
  <c r="AF914" i="16"/>
  <c r="AF906" i="16"/>
  <c r="AF915" i="16"/>
  <c r="AF907" i="16"/>
  <c r="AF925" i="16"/>
  <c r="AF921" i="16"/>
  <c r="AF916" i="16"/>
  <c r="AF908" i="16"/>
  <c r="AD925" i="16"/>
  <c r="AD924" i="16"/>
  <c r="AD923" i="16"/>
  <c r="AD922" i="16"/>
  <c r="AD921" i="16"/>
  <c r="AD920" i="16"/>
  <c r="AD919" i="16"/>
  <c r="AD918" i="16"/>
  <c r="AD917" i="16"/>
  <c r="AD916" i="16"/>
  <c r="AD915" i="16"/>
  <c r="AD914" i="16"/>
  <c r="AD913" i="16"/>
  <c r="AD912" i="16"/>
  <c r="AD911" i="16"/>
  <c r="AD910" i="16"/>
  <c r="AD909" i="16"/>
  <c r="AD908" i="16"/>
  <c r="AD907" i="16"/>
  <c r="AD906" i="16"/>
  <c r="AD905" i="16"/>
  <c r="AE968" i="16"/>
  <c r="AE947" i="16"/>
  <c r="AD946" i="16"/>
  <c r="AD945" i="16"/>
  <c r="AD944" i="16"/>
  <c r="AD943" i="16"/>
  <c r="AD942" i="16"/>
  <c r="AD941" i="16"/>
  <c r="AD940" i="16"/>
  <c r="AD939" i="16"/>
  <c r="AD938" i="16"/>
  <c r="AD937" i="16"/>
  <c r="AD936" i="16"/>
  <c r="AD935" i="16"/>
  <c r="AD934" i="16"/>
  <c r="AD933" i="16"/>
  <c r="AD932" i="16"/>
  <c r="AD931" i="16"/>
  <c r="AD930" i="16"/>
  <c r="AD929" i="16"/>
  <c r="AD928" i="16"/>
  <c r="AD927" i="16"/>
  <c r="AD926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F946" i="16"/>
  <c r="AF942" i="16"/>
  <c r="AF938" i="16"/>
  <c r="AF934" i="16"/>
  <c r="AF930" i="16"/>
  <c r="AF926" i="16"/>
  <c r="AF943" i="16"/>
  <c r="AF939" i="16"/>
  <c r="AF935" i="16"/>
  <c r="AF931" i="16"/>
  <c r="AF927" i="16"/>
  <c r="AF944" i="16"/>
  <c r="AF940" i="16"/>
  <c r="AF936" i="16"/>
  <c r="AF932" i="16"/>
  <c r="AF928" i="16"/>
  <c r="AF945" i="16"/>
  <c r="AF941" i="16"/>
  <c r="AF937" i="16"/>
  <c r="AF933" i="16"/>
  <c r="AF929" i="16"/>
  <c r="E906" i="16"/>
  <c r="J84" i="1"/>
  <c r="E843" i="16"/>
  <c r="W49" i="9"/>
  <c r="AF478" i="16"/>
  <c r="AF730" i="16"/>
  <c r="AF226" i="16"/>
  <c r="AD476" i="16"/>
  <c r="AD728" i="16"/>
  <c r="AD224" i="16"/>
  <c r="AE473" i="16"/>
  <c r="AE725" i="16"/>
  <c r="AE221" i="16"/>
  <c r="AF470" i="16"/>
  <c r="AF722" i="16"/>
  <c r="AF218" i="16"/>
  <c r="AD468" i="16"/>
  <c r="AD720" i="16"/>
  <c r="AD216" i="16"/>
  <c r="AE465" i="16"/>
  <c r="AE213" i="16"/>
  <c r="AE717" i="16"/>
  <c r="AE482" i="16"/>
  <c r="AE230" i="16"/>
  <c r="AE734" i="16"/>
  <c r="AD694" i="16"/>
  <c r="AD686" i="16"/>
  <c r="AD678" i="16"/>
  <c r="AD436" i="16"/>
  <c r="AD428" i="16"/>
  <c r="AD691" i="16"/>
  <c r="AD683" i="16"/>
  <c r="AD675" i="16"/>
  <c r="AD441" i="16"/>
  <c r="AD433" i="16"/>
  <c r="AD425" i="16"/>
  <c r="AD688" i="16"/>
  <c r="AD680" i="16"/>
  <c r="AD438" i="16"/>
  <c r="AD430" i="16"/>
  <c r="AD422" i="16"/>
  <c r="AD693" i="16"/>
  <c r="AD685" i="16"/>
  <c r="AD677" i="16"/>
  <c r="AD435" i="16"/>
  <c r="AD427" i="16"/>
  <c r="AD690" i="16"/>
  <c r="AD682" i="16"/>
  <c r="AD674" i="16"/>
  <c r="AD440" i="16"/>
  <c r="AD432" i="16"/>
  <c r="AD424" i="16"/>
  <c r="AD687" i="16"/>
  <c r="AD679" i="16"/>
  <c r="AD437" i="16"/>
  <c r="AD429" i="16"/>
  <c r="AD692" i="16"/>
  <c r="AD684" i="16"/>
  <c r="AD676" i="16"/>
  <c r="AD442" i="16"/>
  <c r="AD434" i="16"/>
  <c r="AD426" i="16"/>
  <c r="AD689" i="16"/>
  <c r="AD681" i="16"/>
  <c r="AD439" i="16"/>
  <c r="AD431" i="16"/>
  <c r="AD423" i="16"/>
  <c r="AD173" i="16"/>
  <c r="AD181" i="16"/>
  <c r="AD189" i="16"/>
  <c r="AD176" i="16"/>
  <c r="AD184" i="16"/>
  <c r="AD171" i="16"/>
  <c r="AD179" i="16"/>
  <c r="AD187" i="16"/>
  <c r="AD174" i="16"/>
  <c r="AD182" i="16"/>
  <c r="AD190" i="16"/>
  <c r="AD177" i="16"/>
  <c r="AD185" i="16"/>
  <c r="AD172" i="16"/>
  <c r="AD180" i="16"/>
  <c r="AD188" i="16"/>
  <c r="AD175" i="16"/>
  <c r="AD183" i="16"/>
  <c r="AD170" i="16"/>
  <c r="AD178" i="16"/>
  <c r="AD186" i="16"/>
  <c r="AD195" i="16"/>
  <c r="AD447" i="16"/>
  <c r="AD699" i="16"/>
  <c r="AD203" i="16"/>
  <c r="AD455" i="16"/>
  <c r="AD707" i="16"/>
  <c r="AD211" i="16"/>
  <c r="AD463" i="16"/>
  <c r="AD715" i="16"/>
  <c r="AE458" i="16"/>
  <c r="AE206" i="16"/>
  <c r="AE710" i="16"/>
  <c r="AE450" i="16"/>
  <c r="AE198" i="16"/>
  <c r="AE702" i="16"/>
  <c r="AF713" i="16"/>
  <c r="AF209" i="16"/>
  <c r="AF461" i="16"/>
  <c r="AF705" i="16"/>
  <c r="AF201" i="16"/>
  <c r="AF453" i="16"/>
  <c r="AF697" i="16"/>
  <c r="AF193" i="16"/>
  <c r="AF445" i="16"/>
  <c r="AE478" i="16"/>
  <c r="AE226" i="16"/>
  <c r="AE730" i="16"/>
  <c r="AF475" i="16"/>
  <c r="AF223" i="16"/>
  <c r="AF727" i="16"/>
  <c r="AD473" i="16"/>
  <c r="AD221" i="16"/>
  <c r="AD725" i="16"/>
  <c r="AE470" i="16"/>
  <c r="AE218" i="16"/>
  <c r="AE722" i="16"/>
  <c r="AF467" i="16"/>
  <c r="AF215" i="16"/>
  <c r="AF719" i="16"/>
  <c r="AD213" i="16"/>
  <c r="AD465" i="16"/>
  <c r="AD717" i="16"/>
  <c r="AF232" i="16"/>
  <c r="AF484" i="16"/>
  <c r="AF736" i="16"/>
  <c r="AD230" i="16"/>
  <c r="AD482" i="16"/>
  <c r="AD734" i="16"/>
  <c r="AF688" i="16"/>
  <c r="AF680" i="16"/>
  <c r="AF438" i="16"/>
  <c r="AF430" i="16"/>
  <c r="AF422" i="16"/>
  <c r="AF693" i="16"/>
  <c r="AF685" i="16"/>
  <c r="AF677" i="16"/>
  <c r="AF435" i="16"/>
  <c r="AF427" i="16"/>
  <c r="AF690" i="16"/>
  <c r="AF682" i="16"/>
  <c r="AF674" i="16"/>
  <c r="AF440" i="16"/>
  <c r="AF432" i="16"/>
  <c r="AF424" i="16"/>
  <c r="AF687" i="16"/>
  <c r="AF679" i="16"/>
  <c r="AF437" i="16"/>
  <c r="AF429" i="16"/>
  <c r="AF692" i="16"/>
  <c r="AF684" i="16"/>
  <c r="AF676" i="16"/>
  <c r="AF442" i="16"/>
  <c r="AF434" i="16"/>
  <c r="AF426" i="16"/>
  <c r="AF689" i="16"/>
  <c r="AF681" i="16"/>
  <c r="AF439" i="16"/>
  <c r="AF431" i="16"/>
  <c r="AF423" i="16"/>
  <c r="AF694" i="16"/>
  <c r="AF686" i="16"/>
  <c r="AF678" i="16"/>
  <c r="AF436" i="16"/>
  <c r="AF428" i="16"/>
  <c r="AF691" i="16"/>
  <c r="AF683" i="16"/>
  <c r="AF675" i="16"/>
  <c r="AF441" i="16"/>
  <c r="AF433" i="16"/>
  <c r="AF425" i="16"/>
  <c r="AF175" i="16"/>
  <c r="AF183" i="16"/>
  <c r="AF170" i="16"/>
  <c r="AF178" i="16"/>
  <c r="AF186" i="16"/>
  <c r="AF173" i="16"/>
  <c r="AF181" i="16"/>
  <c r="AF189" i="16"/>
  <c r="AF176" i="16"/>
  <c r="AF184" i="16"/>
  <c r="AF171" i="16"/>
  <c r="AF179" i="16"/>
  <c r="AF187" i="16"/>
  <c r="AF174" i="16"/>
  <c r="AF182" i="16"/>
  <c r="AF190" i="16"/>
  <c r="AF177" i="16"/>
  <c r="AF185" i="16"/>
  <c r="AF172" i="16"/>
  <c r="AF180" i="16"/>
  <c r="AF188" i="16"/>
  <c r="AD448" i="16"/>
  <c r="AD700" i="16"/>
  <c r="AD196" i="16"/>
  <c r="AD456" i="16"/>
  <c r="AD708" i="16"/>
  <c r="AD204" i="16"/>
  <c r="AE457" i="16"/>
  <c r="AE709" i="16"/>
  <c r="AE205" i="16"/>
  <c r="AE449" i="16"/>
  <c r="AE701" i="16"/>
  <c r="AE197" i="16"/>
  <c r="AF208" i="16"/>
  <c r="AF460" i="16"/>
  <c r="AF712" i="16"/>
  <c r="AF200" i="16"/>
  <c r="AF452" i="16"/>
  <c r="AF704" i="16"/>
  <c r="AF192" i="16"/>
  <c r="AF444" i="16"/>
  <c r="AF696" i="16"/>
  <c r="AF732" i="16"/>
  <c r="AF228" i="16"/>
  <c r="AF480" i="16"/>
  <c r="AD730" i="16"/>
  <c r="AD226" i="16"/>
  <c r="AD478" i="16"/>
  <c r="AE727" i="16"/>
  <c r="AE223" i="16"/>
  <c r="AE475" i="16"/>
  <c r="AF724" i="16"/>
  <c r="AF220" i="16"/>
  <c r="AF472" i="16"/>
  <c r="AD722" i="16"/>
  <c r="AD218" i="16"/>
  <c r="AD470" i="16"/>
  <c r="AE719" i="16"/>
  <c r="AE215" i="16"/>
  <c r="AE467" i="16"/>
  <c r="AE484" i="16"/>
  <c r="AE736" i="16"/>
  <c r="AE232" i="16"/>
  <c r="AF481" i="16"/>
  <c r="AF733" i="16"/>
  <c r="AF229" i="16"/>
  <c r="AE691" i="16"/>
  <c r="AE683" i="16"/>
  <c r="AE675" i="16"/>
  <c r="AE441" i="16"/>
  <c r="AE433" i="16"/>
  <c r="AE425" i="16"/>
  <c r="AE688" i="16"/>
  <c r="AE680" i="16"/>
  <c r="AE438" i="16"/>
  <c r="AE430" i="16"/>
  <c r="AE422" i="16"/>
  <c r="AE693" i="16"/>
  <c r="AE685" i="16"/>
  <c r="AE677" i="16"/>
  <c r="AE435" i="16"/>
  <c r="AE427" i="16"/>
  <c r="AE690" i="16"/>
  <c r="AE682" i="16"/>
  <c r="AE674" i="16"/>
  <c r="AE440" i="16"/>
  <c r="AE432" i="16"/>
  <c r="AE424" i="16"/>
  <c r="AE687" i="16"/>
  <c r="AE679" i="16"/>
  <c r="AE437" i="16"/>
  <c r="AE429" i="16"/>
  <c r="AE692" i="16"/>
  <c r="AE684" i="16"/>
  <c r="AE676" i="16"/>
  <c r="AE442" i="16"/>
  <c r="AE434" i="16"/>
  <c r="AE426" i="16"/>
  <c r="AE689" i="16"/>
  <c r="AE681" i="16"/>
  <c r="AE439" i="16"/>
  <c r="AE431" i="16"/>
  <c r="AE423" i="16"/>
  <c r="AE694" i="16"/>
  <c r="AE686" i="16"/>
  <c r="AE678" i="16"/>
  <c r="AE436" i="16"/>
  <c r="AE428" i="16"/>
  <c r="AE170" i="16"/>
  <c r="AE178" i="16"/>
  <c r="AE186" i="16"/>
  <c r="AE173" i="16"/>
  <c r="AE181" i="16"/>
  <c r="AE189" i="16"/>
  <c r="AE176" i="16"/>
  <c r="AE184" i="16"/>
  <c r="AE171" i="16"/>
  <c r="AE179" i="16"/>
  <c r="AE187" i="16"/>
  <c r="AE174" i="16"/>
  <c r="AE182" i="16"/>
  <c r="AE190" i="16"/>
  <c r="AE177" i="16"/>
  <c r="AE185" i="16"/>
  <c r="AE172" i="16"/>
  <c r="AE180" i="16"/>
  <c r="AE188" i="16"/>
  <c r="AE175" i="16"/>
  <c r="AE183" i="16"/>
  <c r="AD449" i="16"/>
  <c r="AD197" i="16"/>
  <c r="AD701" i="16"/>
  <c r="AD457" i="16"/>
  <c r="AD205" i="16"/>
  <c r="AD709" i="16"/>
  <c r="AE708" i="16"/>
  <c r="AE204" i="16"/>
  <c r="AE456" i="16"/>
  <c r="AE700" i="16"/>
  <c r="AE196" i="16"/>
  <c r="AE448" i="16"/>
  <c r="AF459" i="16"/>
  <c r="AF207" i="16"/>
  <c r="AF711" i="16"/>
  <c r="AF451" i="16"/>
  <c r="AF199" i="16"/>
  <c r="AF703" i="16"/>
  <c r="AF716" i="16"/>
  <c r="AF212" i="16"/>
  <c r="AF191" i="16"/>
  <c r="AF443" i="16"/>
  <c r="AF464" i="16"/>
  <c r="AF695" i="16"/>
  <c r="AE732" i="16"/>
  <c r="AE228" i="16"/>
  <c r="AE480" i="16"/>
  <c r="AF729" i="16"/>
  <c r="AF225" i="16"/>
  <c r="AF477" i="16"/>
  <c r="AD727" i="16"/>
  <c r="AD223" i="16"/>
  <c r="AD475" i="16"/>
  <c r="AE724" i="16"/>
  <c r="AE220" i="16"/>
  <c r="AE472" i="16"/>
  <c r="AF721" i="16"/>
  <c r="AF217" i="16"/>
  <c r="AF469" i="16"/>
  <c r="AD719" i="16"/>
  <c r="AD215" i="16"/>
  <c r="AD467" i="16"/>
  <c r="AD484" i="16"/>
  <c r="AD736" i="16"/>
  <c r="AD232" i="16"/>
  <c r="AE481" i="16"/>
  <c r="AE733" i="16"/>
  <c r="AE229" i="16"/>
  <c r="AF672" i="16"/>
  <c r="AF664" i="16"/>
  <c r="AF656" i="16"/>
  <c r="AF414" i="16"/>
  <c r="AF406" i="16"/>
  <c r="AF154" i="16"/>
  <c r="AF162" i="16"/>
  <c r="AF669" i="16"/>
  <c r="AF661" i="16"/>
  <c r="AF653" i="16"/>
  <c r="AF419" i="16"/>
  <c r="AF411" i="16"/>
  <c r="AF403" i="16"/>
  <c r="AF157" i="16"/>
  <c r="AF165" i="16"/>
  <c r="AF666" i="16"/>
  <c r="AF658" i="16"/>
  <c r="AF416" i="16"/>
  <c r="AF408" i="16"/>
  <c r="AF152" i="16"/>
  <c r="AF160" i="16"/>
  <c r="AF671" i="16"/>
  <c r="AF663" i="16"/>
  <c r="AF655" i="16"/>
  <c r="AF421" i="16"/>
  <c r="AF413" i="16"/>
  <c r="AF405" i="16"/>
  <c r="AF155" i="16"/>
  <c r="AF163" i="16"/>
  <c r="AF668" i="16"/>
  <c r="AF660" i="16"/>
  <c r="AF418" i="16"/>
  <c r="AF410" i="16"/>
  <c r="AF402" i="16"/>
  <c r="AF150" i="16"/>
  <c r="AF158" i="16"/>
  <c r="AF673" i="16"/>
  <c r="AF665" i="16"/>
  <c r="AF657" i="16"/>
  <c r="AF415" i="16"/>
  <c r="AF407" i="16"/>
  <c r="AF153" i="16"/>
  <c r="AF161" i="16"/>
  <c r="AF670" i="16"/>
  <c r="AF662" i="16"/>
  <c r="AF654" i="16"/>
  <c r="AF420" i="16"/>
  <c r="AF412" i="16"/>
  <c r="AF404" i="16"/>
  <c r="AF156" i="16"/>
  <c r="AF164" i="16"/>
  <c r="AF667" i="16"/>
  <c r="AF659" i="16"/>
  <c r="AF417" i="16"/>
  <c r="AF409" i="16"/>
  <c r="AF401" i="16"/>
  <c r="AF151" i="16"/>
  <c r="AF159" i="16"/>
  <c r="AF167" i="16"/>
  <c r="AF168" i="16"/>
  <c r="AF166" i="16"/>
  <c r="AF169" i="16"/>
  <c r="AF149" i="16"/>
  <c r="AD198" i="16"/>
  <c r="AD450" i="16"/>
  <c r="AD702" i="16"/>
  <c r="AD206" i="16"/>
  <c r="AD458" i="16"/>
  <c r="AD710" i="16"/>
  <c r="AE211" i="16"/>
  <c r="AE463" i="16"/>
  <c r="AE715" i="16"/>
  <c r="AE203" i="16"/>
  <c r="AE455" i="16"/>
  <c r="AE707" i="16"/>
  <c r="AE195" i="16"/>
  <c r="AE447" i="16"/>
  <c r="AE699" i="16"/>
  <c r="AF458" i="16"/>
  <c r="AF710" i="16"/>
  <c r="AF206" i="16"/>
  <c r="AF450" i="16"/>
  <c r="AF702" i="16"/>
  <c r="AF198" i="16"/>
  <c r="AD480" i="16"/>
  <c r="AD732" i="16"/>
  <c r="AD228" i="16"/>
  <c r="AE477" i="16"/>
  <c r="AE729" i="16"/>
  <c r="AE225" i="16"/>
  <c r="AF474" i="16"/>
  <c r="AF726" i="16"/>
  <c r="AF222" i="16"/>
  <c r="AD472" i="16"/>
  <c r="AD724" i="16"/>
  <c r="AD220" i="16"/>
  <c r="AE469" i="16"/>
  <c r="AE721" i="16"/>
  <c r="AE217" i="16"/>
  <c r="AF466" i="16"/>
  <c r="AF718" i="16"/>
  <c r="AF214" i="16"/>
  <c r="AF483" i="16"/>
  <c r="AF231" i="16"/>
  <c r="AF735" i="16"/>
  <c r="AD481" i="16"/>
  <c r="AD229" i="16"/>
  <c r="AD733" i="16"/>
  <c r="AE667" i="16"/>
  <c r="AE659" i="16"/>
  <c r="AE417" i="16"/>
  <c r="AE409" i="16"/>
  <c r="AE401" i="16"/>
  <c r="AE157" i="16"/>
  <c r="AE165" i="16"/>
  <c r="AE672" i="16"/>
  <c r="AE664" i="16"/>
  <c r="AE656" i="16"/>
  <c r="AE414" i="16"/>
  <c r="AE406" i="16"/>
  <c r="AE152" i="16"/>
  <c r="AE160" i="16"/>
  <c r="AE669" i="16"/>
  <c r="AE661" i="16"/>
  <c r="AE653" i="16"/>
  <c r="AE419" i="16"/>
  <c r="AE411" i="16"/>
  <c r="AE403" i="16"/>
  <c r="AE155" i="16"/>
  <c r="AE163" i="16"/>
  <c r="AE666" i="16"/>
  <c r="AE658" i="16"/>
  <c r="AE416" i="16"/>
  <c r="AE408" i="16"/>
  <c r="AE150" i="16"/>
  <c r="AE158" i="16"/>
  <c r="AE166" i="16"/>
  <c r="AE671" i="16"/>
  <c r="AE663" i="16"/>
  <c r="AE655" i="16"/>
  <c r="AE421" i="16"/>
  <c r="AE413" i="16"/>
  <c r="AE405" i="16"/>
  <c r="AE153" i="16"/>
  <c r="AE161" i="16"/>
  <c r="AE668" i="16"/>
  <c r="AE660" i="16"/>
  <c r="AE418" i="16"/>
  <c r="AE410" i="16"/>
  <c r="AE402" i="16"/>
  <c r="AE156" i="16"/>
  <c r="AE164" i="16"/>
  <c r="AE673" i="16"/>
  <c r="AE665" i="16"/>
  <c r="AE657" i="16"/>
  <c r="AE415" i="16"/>
  <c r="AE407" i="16"/>
  <c r="AE151" i="16"/>
  <c r="AE159" i="16"/>
  <c r="AE670" i="16"/>
  <c r="AE662" i="16"/>
  <c r="AE654" i="16"/>
  <c r="AE420" i="16"/>
  <c r="AE412" i="16"/>
  <c r="AE404" i="16"/>
  <c r="AE154" i="16"/>
  <c r="AE162" i="16"/>
  <c r="AE168" i="16"/>
  <c r="AE169" i="16"/>
  <c r="AE149" i="16"/>
  <c r="AE167" i="16"/>
  <c r="AD464" i="16"/>
  <c r="AD695" i="16"/>
  <c r="AD212" i="16"/>
  <c r="AD716" i="16"/>
  <c r="AD191" i="16"/>
  <c r="AD443" i="16"/>
  <c r="AD703" i="16"/>
  <c r="AD199" i="16"/>
  <c r="AD451" i="16"/>
  <c r="AD711" i="16"/>
  <c r="AD207" i="16"/>
  <c r="AD459" i="16"/>
  <c r="AE462" i="16"/>
  <c r="AE210" i="16"/>
  <c r="AE714" i="16"/>
  <c r="AE454" i="16"/>
  <c r="AE202" i="16"/>
  <c r="AE706" i="16"/>
  <c r="AE446" i="16"/>
  <c r="AE194" i="16"/>
  <c r="AE698" i="16"/>
  <c r="AF205" i="16"/>
  <c r="AF457" i="16"/>
  <c r="AF709" i="16"/>
  <c r="AF197" i="16"/>
  <c r="AF449" i="16"/>
  <c r="AF701" i="16"/>
  <c r="AF479" i="16"/>
  <c r="AF227" i="16"/>
  <c r="AF731" i="16"/>
  <c r="AD477" i="16"/>
  <c r="AD225" i="16"/>
  <c r="AD729" i="16"/>
  <c r="AE474" i="16"/>
  <c r="AE222" i="16"/>
  <c r="AE726" i="16"/>
  <c r="AF471" i="16"/>
  <c r="AF219" i="16"/>
  <c r="AF723" i="16"/>
  <c r="AD469" i="16"/>
  <c r="AD217" i="16"/>
  <c r="AD721" i="16"/>
  <c r="AE466" i="16"/>
  <c r="AE214" i="16"/>
  <c r="AE718" i="16"/>
  <c r="AE735" i="16"/>
  <c r="AE231" i="16"/>
  <c r="AE483" i="16"/>
  <c r="AD670" i="16"/>
  <c r="AD662" i="16"/>
  <c r="AD654" i="16"/>
  <c r="AD420" i="16"/>
  <c r="AD412" i="16"/>
  <c r="AD404" i="16"/>
  <c r="AD152" i="16"/>
  <c r="AD160" i="16"/>
  <c r="AD667" i="16"/>
  <c r="AD659" i="16"/>
  <c r="AD417" i="16"/>
  <c r="AD409" i="16"/>
  <c r="AD401" i="16"/>
  <c r="AD155" i="16"/>
  <c r="AD163" i="16"/>
  <c r="AD672" i="16"/>
  <c r="AD664" i="16"/>
  <c r="AD656" i="16"/>
  <c r="AD414" i="16"/>
  <c r="AD406" i="16"/>
  <c r="AD150" i="16"/>
  <c r="AD158" i="16"/>
  <c r="AD669" i="16"/>
  <c r="AD661" i="16"/>
  <c r="AD653" i="16"/>
  <c r="AD419" i="16"/>
  <c r="AD411" i="16"/>
  <c r="AD403" i="16"/>
  <c r="AD153" i="16"/>
  <c r="AD161" i="16"/>
  <c r="AD666" i="16"/>
  <c r="AD658" i="16"/>
  <c r="AD416" i="16"/>
  <c r="AD408" i="16"/>
  <c r="AD156" i="16"/>
  <c r="AD164" i="16"/>
  <c r="AD671" i="16"/>
  <c r="AD663" i="16"/>
  <c r="AD655" i="16"/>
  <c r="AD421" i="16"/>
  <c r="AD413" i="16"/>
  <c r="AD405" i="16"/>
  <c r="AD151" i="16"/>
  <c r="AD159" i="16"/>
  <c r="AD668" i="16"/>
  <c r="AD660" i="16"/>
  <c r="AD418" i="16"/>
  <c r="AD410" i="16"/>
  <c r="AD402" i="16"/>
  <c r="AD154" i="16"/>
  <c r="AD162" i="16"/>
  <c r="AD673" i="16"/>
  <c r="AD665" i="16"/>
  <c r="AD657" i="16"/>
  <c r="AD415" i="16"/>
  <c r="AD407" i="16"/>
  <c r="AD157" i="16"/>
  <c r="AD165" i="16"/>
  <c r="AD149" i="16"/>
  <c r="AD168" i="16"/>
  <c r="AD166" i="16"/>
  <c r="AD169" i="16"/>
  <c r="AD167" i="16"/>
  <c r="AD444" i="16"/>
  <c r="AD696" i="16"/>
  <c r="AD192" i="16"/>
  <c r="AD452" i="16"/>
  <c r="AD704" i="16"/>
  <c r="AD200" i="16"/>
  <c r="AD460" i="16"/>
  <c r="AD712" i="16"/>
  <c r="AD208" i="16"/>
  <c r="AE461" i="16"/>
  <c r="AE713" i="16"/>
  <c r="AE209" i="16"/>
  <c r="AE453" i="16"/>
  <c r="AE705" i="16"/>
  <c r="AE201" i="16"/>
  <c r="AE445" i="16"/>
  <c r="AE697" i="16"/>
  <c r="AE193" i="16"/>
  <c r="AF708" i="16"/>
  <c r="AF204" i="16"/>
  <c r="AF456" i="16"/>
  <c r="AF700" i="16"/>
  <c r="AF196" i="16"/>
  <c r="AF448" i="16"/>
  <c r="AE227" i="16"/>
  <c r="AE479" i="16"/>
  <c r="AE731" i="16"/>
  <c r="AF224" i="16"/>
  <c r="AF476" i="16"/>
  <c r="AF728" i="16"/>
  <c r="AD222" i="16"/>
  <c r="AD474" i="16"/>
  <c r="AD726" i="16"/>
  <c r="AE219" i="16"/>
  <c r="AE471" i="16"/>
  <c r="AE723" i="16"/>
  <c r="AF216" i="16"/>
  <c r="AF468" i="16"/>
  <c r="AF720" i="16"/>
  <c r="AD214" i="16"/>
  <c r="AD466" i="16"/>
  <c r="AD718" i="16"/>
  <c r="AD735" i="16"/>
  <c r="AD231" i="16"/>
  <c r="AD483" i="16"/>
  <c r="AD445" i="16"/>
  <c r="AD193" i="16"/>
  <c r="AD697" i="16"/>
  <c r="AD453" i="16"/>
  <c r="AD201" i="16"/>
  <c r="AD705" i="16"/>
  <c r="AD461" i="16"/>
  <c r="AD209" i="16"/>
  <c r="AD713" i="16"/>
  <c r="AE208" i="16"/>
  <c r="AE460" i="16"/>
  <c r="AE712" i="16"/>
  <c r="AE200" i="16"/>
  <c r="AE452" i="16"/>
  <c r="AE704" i="16"/>
  <c r="AE192" i="16"/>
  <c r="AE444" i="16"/>
  <c r="AE696" i="16"/>
  <c r="AF463" i="16"/>
  <c r="AF211" i="16"/>
  <c r="AF715" i="16"/>
  <c r="AF455" i="16"/>
  <c r="AF203" i="16"/>
  <c r="AF707" i="16"/>
  <c r="AF447" i="16"/>
  <c r="AF195" i="16"/>
  <c r="AF699" i="16"/>
  <c r="AD479" i="16"/>
  <c r="AD731" i="16"/>
  <c r="AD227" i="16"/>
  <c r="AE476" i="16"/>
  <c r="AE728" i="16"/>
  <c r="AE224" i="16"/>
  <c r="AF473" i="16"/>
  <c r="AF725" i="16"/>
  <c r="AF221" i="16"/>
  <c r="AD471" i="16"/>
  <c r="AD723" i="16"/>
  <c r="AD219" i="16"/>
  <c r="AE468" i="16"/>
  <c r="AE720" i="16"/>
  <c r="AE216" i="16"/>
  <c r="AF465" i="16"/>
  <c r="AF717" i="16"/>
  <c r="AF213" i="16"/>
  <c r="AF482" i="16"/>
  <c r="AF734" i="16"/>
  <c r="AF230" i="16"/>
  <c r="AD698" i="16"/>
  <c r="AD194" i="16"/>
  <c r="AD446" i="16"/>
  <c r="AD706" i="16"/>
  <c r="AD202" i="16"/>
  <c r="AD454" i="16"/>
  <c r="AD714" i="16"/>
  <c r="AD210" i="16"/>
  <c r="AD462" i="16"/>
  <c r="AE711" i="16"/>
  <c r="AE207" i="16"/>
  <c r="AE459" i="16"/>
  <c r="AE703" i="16"/>
  <c r="AE199" i="16"/>
  <c r="AE451" i="16"/>
  <c r="AE695" i="16"/>
  <c r="AE716" i="16"/>
  <c r="AE212" i="16"/>
  <c r="AE191" i="16"/>
  <c r="AE443" i="16"/>
  <c r="AE464" i="16"/>
  <c r="AF462" i="16"/>
  <c r="AF714" i="16"/>
  <c r="AF210" i="16"/>
  <c r="AF454" i="16"/>
  <c r="AF706" i="16"/>
  <c r="AF202" i="16"/>
  <c r="AF446" i="16"/>
  <c r="AF698" i="16"/>
  <c r="AF194" i="16"/>
  <c r="X3" i="9"/>
  <c r="X84" i="9"/>
  <c r="V82" i="9"/>
  <c r="W79" i="9"/>
  <c r="X76" i="9"/>
  <c r="V74" i="9"/>
  <c r="W71" i="9"/>
  <c r="X68" i="9"/>
  <c r="V66" i="9"/>
  <c r="W21" i="9"/>
  <c r="X18" i="9"/>
  <c r="V16" i="9"/>
  <c r="W13" i="9"/>
  <c r="X10" i="9"/>
  <c r="V8" i="9"/>
  <c r="W5" i="9"/>
  <c r="W3" i="9"/>
  <c r="W84" i="9"/>
  <c r="X81" i="9"/>
  <c r="V79" i="9"/>
  <c r="W76" i="9"/>
  <c r="X73" i="9"/>
  <c r="V71" i="9"/>
  <c r="W68" i="9"/>
  <c r="X23" i="9"/>
  <c r="V21" i="9"/>
  <c r="W18" i="9"/>
  <c r="X15" i="9"/>
  <c r="V13" i="9"/>
  <c r="W10" i="9"/>
  <c r="X7" i="9"/>
  <c r="V5" i="9"/>
  <c r="X86" i="9"/>
  <c r="V84" i="9"/>
  <c r="W81" i="9"/>
  <c r="X78" i="9"/>
  <c r="V76" i="9"/>
  <c r="W73" i="9"/>
  <c r="X70" i="9"/>
  <c r="V68" i="9"/>
  <c r="W23" i="9"/>
  <c r="X20" i="9"/>
  <c r="V18" i="9"/>
  <c r="W15" i="9"/>
  <c r="X12" i="9"/>
  <c r="V10" i="9"/>
  <c r="W7" i="9"/>
  <c r="X4" i="9"/>
  <c r="W86" i="9"/>
  <c r="X83" i="9"/>
  <c r="W78" i="9"/>
  <c r="X75" i="9"/>
  <c r="W70" i="9"/>
  <c r="X67" i="9"/>
  <c r="V23" i="9"/>
  <c r="W20" i="9"/>
  <c r="X17" i="9"/>
  <c r="V15" i="9"/>
  <c r="W12" i="9"/>
  <c r="X9" i="9"/>
  <c r="V7" i="9"/>
  <c r="W4" i="9"/>
  <c r="W83" i="9"/>
  <c r="X80" i="9"/>
  <c r="W75" i="9"/>
  <c r="X72" i="9"/>
  <c r="W67" i="9"/>
  <c r="X22" i="9"/>
  <c r="V20" i="9"/>
  <c r="W17" i="9"/>
  <c r="X14" i="9"/>
  <c r="V12" i="9"/>
  <c r="W9" i="9"/>
  <c r="X6" i="9"/>
  <c r="V4" i="9"/>
  <c r="X85" i="9"/>
  <c r="W80" i="9"/>
  <c r="X77" i="9"/>
  <c r="W72" i="9"/>
  <c r="X69" i="9"/>
  <c r="W22" i="9"/>
  <c r="X19" i="9"/>
  <c r="V17" i="9"/>
  <c r="W14" i="9"/>
  <c r="X11" i="9"/>
  <c r="V9" i="9"/>
  <c r="W6" i="9"/>
  <c r="W85" i="9"/>
  <c r="X82" i="9"/>
  <c r="W77" i="9"/>
  <c r="X74" i="9"/>
  <c r="W69" i="9"/>
  <c r="X66" i="9"/>
  <c r="V22" i="9"/>
  <c r="W19" i="9"/>
  <c r="X16" i="9"/>
  <c r="V14" i="9"/>
  <c r="W11" i="9"/>
  <c r="X8" i="9"/>
  <c r="V6" i="9"/>
  <c r="V3" i="9"/>
  <c r="W82" i="9"/>
  <c r="X79" i="9"/>
  <c r="W74" i="9"/>
  <c r="X71" i="9"/>
  <c r="X109" i="9"/>
  <c r="X125" i="9"/>
  <c r="V115" i="9"/>
  <c r="V105" i="9"/>
  <c r="V97" i="9"/>
  <c r="X93" i="9"/>
  <c r="X51" i="9"/>
  <c r="W48" i="9"/>
  <c r="X43" i="9"/>
  <c r="X101" i="9"/>
  <c r="X27" i="9"/>
  <c r="V123" i="9"/>
  <c r="V89" i="9"/>
  <c r="V65" i="9"/>
  <c r="X117" i="9"/>
  <c r="V59" i="9"/>
  <c r="V124" i="9"/>
  <c r="V116" i="9"/>
  <c r="V108" i="9"/>
  <c r="W95" i="9"/>
  <c r="V57" i="9"/>
  <c r="W46" i="9"/>
  <c r="W30" i="9"/>
  <c r="W102" i="9"/>
  <c r="W96" i="9"/>
  <c r="W89" i="9"/>
  <c r="W32" i="9"/>
  <c r="X123" i="9"/>
  <c r="X115" i="9"/>
  <c r="X107" i="9"/>
  <c r="W101" i="9"/>
  <c r="W94" i="9"/>
  <c r="W88" i="9"/>
  <c r="W56" i="9"/>
  <c r="X45" i="9"/>
  <c r="X29" i="9"/>
  <c r="W87" i="9"/>
  <c r="V121" i="9"/>
  <c r="V113" i="9"/>
  <c r="W105" i="9"/>
  <c r="X99" i="9"/>
  <c r="W93" i="9"/>
  <c r="W64" i="9"/>
  <c r="X53" i="9"/>
  <c r="W40" i="9"/>
  <c r="W24" i="9"/>
  <c r="W54" i="9"/>
  <c r="W128" i="9"/>
  <c r="W120" i="9"/>
  <c r="W112" i="9"/>
  <c r="W99" i="9"/>
  <c r="W92" i="9"/>
  <c r="W62" i="9"/>
  <c r="W38" i="9"/>
  <c r="W100" i="9"/>
  <c r="X126" i="9"/>
  <c r="X118" i="9"/>
  <c r="X110" i="9"/>
  <c r="W104" i="9"/>
  <c r="W97" i="9"/>
  <c r="X91" i="9"/>
  <c r="X61" i="9"/>
  <c r="V51" i="9"/>
  <c r="X37" i="9"/>
  <c r="W107" i="9"/>
  <c r="W126" i="9"/>
  <c r="W118" i="9"/>
  <c r="W110" i="9"/>
  <c r="W103" i="9"/>
  <c r="W91" i="9"/>
  <c r="X59" i="9"/>
  <c r="V49" i="9"/>
  <c r="X35" i="9"/>
  <c r="V41" i="9"/>
  <c r="V33" i="9"/>
  <c r="V25" i="9"/>
  <c r="X128" i="9"/>
  <c r="V126" i="9"/>
  <c r="W123" i="9"/>
  <c r="X120" i="9"/>
  <c r="V118" i="9"/>
  <c r="W115" i="9"/>
  <c r="X112" i="9"/>
  <c r="V110" i="9"/>
  <c r="X104" i="9"/>
  <c r="V102" i="9"/>
  <c r="X96" i="9"/>
  <c r="V94" i="9"/>
  <c r="X88" i="9"/>
  <c r="X64" i="9"/>
  <c r="V62" i="9"/>
  <c r="W59" i="9"/>
  <c r="X56" i="9"/>
  <c r="V54" i="9"/>
  <c r="W51" i="9"/>
  <c r="X48" i="9"/>
  <c r="V46" i="9"/>
  <c r="W43" i="9"/>
  <c r="X40" i="9"/>
  <c r="V38" i="9"/>
  <c r="W35" i="9"/>
  <c r="X32" i="9"/>
  <c r="V30" i="9"/>
  <c r="W27" i="9"/>
  <c r="X24" i="9"/>
  <c r="V107" i="9"/>
  <c r="V99" i="9"/>
  <c r="V43" i="9"/>
  <c r="V27" i="9"/>
  <c r="V128" i="9"/>
  <c r="W125" i="9"/>
  <c r="X122" i="9"/>
  <c r="V120" i="9"/>
  <c r="W117" i="9"/>
  <c r="X114" i="9"/>
  <c r="V112" i="9"/>
  <c r="W109" i="9"/>
  <c r="X106" i="9"/>
  <c r="V104" i="9"/>
  <c r="X98" i="9"/>
  <c r="V96" i="9"/>
  <c r="X90" i="9"/>
  <c r="V88" i="9"/>
  <c r="V64" i="9"/>
  <c r="W61" i="9"/>
  <c r="X58" i="9"/>
  <c r="V56" i="9"/>
  <c r="W53" i="9"/>
  <c r="X50" i="9"/>
  <c r="V48" i="9"/>
  <c r="W45" i="9"/>
  <c r="X42" i="9"/>
  <c r="V40" i="9"/>
  <c r="W37" i="9"/>
  <c r="X34" i="9"/>
  <c r="V32" i="9"/>
  <c r="W29" i="9"/>
  <c r="X26" i="9"/>
  <c r="V24" i="9"/>
  <c r="V91" i="9"/>
  <c r="X127" i="9"/>
  <c r="V125" i="9"/>
  <c r="W122" i="9"/>
  <c r="X119" i="9"/>
  <c r="V117" i="9"/>
  <c r="W114" i="9"/>
  <c r="X111" i="9"/>
  <c r="V109" i="9"/>
  <c r="W106" i="9"/>
  <c r="X103" i="9"/>
  <c r="V101" i="9"/>
  <c r="W98" i="9"/>
  <c r="X95" i="9"/>
  <c r="V93" i="9"/>
  <c r="W90" i="9"/>
  <c r="X87" i="9"/>
  <c r="X63" i="9"/>
  <c r="V61" i="9"/>
  <c r="W58" i="9"/>
  <c r="X55" i="9"/>
  <c r="V53" i="9"/>
  <c r="W50" i="9"/>
  <c r="X47" i="9"/>
  <c r="V45" i="9"/>
  <c r="W42" i="9"/>
  <c r="X39" i="9"/>
  <c r="V37" i="9"/>
  <c r="W34" i="9"/>
  <c r="X31" i="9"/>
  <c r="V29" i="9"/>
  <c r="W26" i="9"/>
  <c r="V35" i="9"/>
  <c r="W127" i="9"/>
  <c r="X124" i="9"/>
  <c r="V122" i="9"/>
  <c r="W119" i="9"/>
  <c r="X116" i="9"/>
  <c r="V114" i="9"/>
  <c r="W111" i="9"/>
  <c r="X108" i="9"/>
  <c r="V106" i="9"/>
  <c r="X100" i="9"/>
  <c r="V98" i="9"/>
  <c r="X92" i="9"/>
  <c r="V90" i="9"/>
  <c r="W63" i="9"/>
  <c r="X60" i="9"/>
  <c r="V58" i="9"/>
  <c r="W55" i="9"/>
  <c r="X52" i="9"/>
  <c r="V50" i="9"/>
  <c r="W47" i="9"/>
  <c r="X44" i="9"/>
  <c r="V42" i="9"/>
  <c r="W39" i="9"/>
  <c r="X36" i="9"/>
  <c r="V34" i="9"/>
  <c r="W31" i="9"/>
  <c r="X28" i="9"/>
  <c r="V26" i="9"/>
  <c r="V127" i="9"/>
  <c r="W124" i="9"/>
  <c r="X121" i="9"/>
  <c r="V119" i="9"/>
  <c r="W116" i="9"/>
  <c r="X113" i="9"/>
  <c r="V111" i="9"/>
  <c r="W108" i="9"/>
  <c r="X105" i="9"/>
  <c r="V103" i="9"/>
  <c r="X97" i="9"/>
  <c r="V95" i="9"/>
  <c r="X89" i="9"/>
  <c r="V87" i="9"/>
  <c r="X65" i="9"/>
  <c r="V63" i="9"/>
  <c r="W60" i="9"/>
  <c r="X57" i="9"/>
  <c r="V55" i="9"/>
  <c r="W52" i="9"/>
  <c r="X49" i="9"/>
  <c r="V47" i="9"/>
  <c r="W44" i="9"/>
  <c r="X41" i="9"/>
  <c r="V39" i="9"/>
  <c r="W36" i="9"/>
  <c r="X33" i="9"/>
  <c r="V31" i="9"/>
  <c r="W28" i="9"/>
  <c r="X25" i="9"/>
  <c r="E72" i="7"/>
  <c r="W121" i="9"/>
  <c r="W113" i="9"/>
  <c r="X102" i="9"/>
  <c r="V100" i="9"/>
  <c r="X94" i="9"/>
  <c r="V92" i="9"/>
  <c r="W65" i="9"/>
  <c r="X62" i="9"/>
  <c r="V60" i="9"/>
  <c r="W57" i="9"/>
  <c r="X54" i="9"/>
  <c r="V44" i="9"/>
  <c r="W41" i="9"/>
  <c r="X38" i="9"/>
  <c r="V36" i="9"/>
  <c r="W33" i="9"/>
  <c r="E213" i="11"/>
  <c r="O213" i="11" s="1"/>
  <c r="H213" i="11"/>
  <c r="P213" i="11"/>
  <c r="Q213" i="11"/>
  <c r="R213" i="11"/>
  <c r="S213" i="11" s="1"/>
  <c r="E214" i="11"/>
  <c r="H214" i="11" s="1"/>
  <c r="R214" i="11"/>
  <c r="E215" i="11"/>
  <c r="H215" i="11"/>
  <c r="O215" i="11"/>
  <c r="P215" i="11"/>
  <c r="R215" i="11"/>
  <c r="E216" i="11"/>
  <c r="O216" i="11" s="1"/>
  <c r="Q216" i="11"/>
  <c r="R216" i="11"/>
  <c r="E217" i="11"/>
  <c r="O217" i="11" s="1"/>
  <c r="H217" i="11"/>
  <c r="P217" i="11"/>
  <c r="Q217" i="11"/>
  <c r="R217" i="11"/>
  <c r="S217" i="11" s="1"/>
  <c r="E218" i="11"/>
  <c r="H218" i="11" s="1"/>
  <c r="R218" i="11"/>
  <c r="E219" i="11"/>
  <c r="H219" i="11"/>
  <c r="O219" i="11"/>
  <c r="P219" i="11"/>
  <c r="R219" i="11"/>
  <c r="E220" i="11"/>
  <c r="O220" i="11" s="1"/>
  <c r="Q220" i="11"/>
  <c r="R220" i="11"/>
  <c r="E221" i="11"/>
  <c r="O221" i="11" s="1"/>
  <c r="H221" i="11"/>
  <c r="P221" i="11"/>
  <c r="R221" i="11"/>
  <c r="S221" i="11" s="1"/>
  <c r="E222" i="11"/>
  <c r="H222" i="11" s="1"/>
  <c r="R222" i="11"/>
  <c r="E223" i="11"/>
  <c r="H223" i="11"/>
  <c r="O223" i="11"/>
  <c r="P223" i="11"/>
  <c r="R223" i="11"/>
  <c r="E224" i="11"/>
  <c r="O224" i="11" s="1"/>
  <c r="Q224" i="11"/>
  <c r="R224" i="11"/>
  <c r="E225" i="11"/>
  <c r="O225" i="11" s="1"/>
  <c r="H225" i="11"/>
  <c r="P225" i="11"/>
  <c r="R225" i="11"/>
  <c r="S225" i="11" s="1"/>
  <c r="E226" i="11"/>
  <c r="H226" i="11" s="1"/>
  <c r="R226" i="11"/>
  <c r="E227" i="11"/>
  <c r="H227" i="11"/>
  <c r="O227" i="11"/>
  <c r="P227" i="11"/>
  <c r="R227" i="11"/>
  <c r="E228" i="11"/>
  <c r="O228" i="11" s="1"/>
  <c r="Q228" i="11"/>
  <c r="R228" i="11"/>
  <c r="E229" i="11"/>
  <c r="O229" i="11" s="1"/>
  <c r="H229" i="11"/>
  <c r="P229" i="11"/>
  <c r="R229" i="11"/>
  <c r="S229" i="11" s="1"/>
  <c r="E230" i="11"/>
  <c r="H230" i="11" s="1"/>
  <c r="R230" i="11"/>
  <c r="E231" i="11"/>
  <c r="H231" i="11"/>
  <c r="O231" i="11"/>
  <c r="P231" i="11"/>
  <c r="R231" i="11"/>
  <c r="E232" i="11"/>
  <c r="O232" i="11" s="1"/>
  <c r="Q232" i="11"/>
  <c r="R232" i="11"/>
  <c r="E233" i="11"/>
  <c r="O233" i="11" s="1"/>
  <c r="H233" i="11"/>
  <c r="P233" i="11"/>
  <c r="R233" i="11"/>
  <c r="S233" i="11" s="1"/>
  <c r="E234" i="11"/>
  <c r="H234" i="11" s="1"/>
  <c r="R234" i="11"/>
  <c r="E235" i="11"/>
  <c r="H235" i="11"/>
  <c r="O235" i="11"/>
  <c r="P235" i="11"/>
  <c r="R235" i="11"/>
  <c r="E236" i="11"/>
  <c r="O236" i="11" s="1"/>
  <c r="Q236" i="11"/>
  <c r="R236" i="11"/>
  <c r="E237" i="11"/>
  <c r="O237" i="11" s="1"/>
  <c r="H237" i="11"/>
  <c r="P237" i="11"/>
  <c r="R237" i="11"/>
  <c r="S237" i="11" s="1"/>
  <c r="E238" i="11"/>
  <c r="R238" i="11"/>
  <c r="E239" i="11"/>
  <c r="H239" i="11"/>
  <c r="O239" i="11"/>
  <c r="P239" i="11"/>
  <c r="R239" i="11"/>
  <c r="E240" i="11"/>
  <c r="O240" i="11" s="1"/>
  <c r="Q240" i="11"/>
  <c r="R240" i="11"/>
  <c r="E241" i="11"/>
  <c r="O241" i="11" s="1"/>
  <c r="H241" i="11"/>
  <c r="P241" i="11"/>
  <c r="R241" i="11"/>
  <c r="S241" i="11" s="1"/>
  <c r="E242" i="11"/>
  <c r="R242" i="11"/>
  <c r="E243" i="11"/>
  <c r="H243" i="11"/>
  <c r="O243" i="11"/>
  <c r="P243" i="11"/>
  <c r="R243" i="11"/>
  <c r="E244" i="11"/>
  <c r="O244" i="11" s="1"/>
  <c r="Q244" i="11"/>
  <c r="R244" i="11"/>
  <c r="E245" i="11"/>
  <c r="O245" i="11" s="1"/>
  <c r="H245" i="11"/>
  <c r="P245" i="11"/>
  <c r="R245" i="11"/>
  <c r="S245" i="11" s="1"/>
  <c r="E246" i="11"/>
  <c r="R246" i="11"/>
  <c r="E247" i="11"/>
  <c r="H247" i="11"/>
  <c r="O247" i="11"/>
  <c r="P247" i="11"/>
  <c r="R247" i="11"/>
  <c r="E248" i="11"/>
  <c r="O248" i="11" s="1"/>
  <c r="Q248" i="11"/>
  <c r="R248" i="11"/>
  <c r="E249" i="11"/>
  <c r="O249" i="11" s="1"/>
  <c r="H249" i="11"/>
  <c r="P249" i="11"/>
  <c r="R249" i="11"/>
  <c r="S249" i="11" s="1"/>
  <c r="E250" i="11"/>
  <c r="R250" i="11"/>
  <c r="E251" i="11"/>
  <c r="H251" i="11"/>
  <c r="O251" i="11"/>
  <c r="P251" i="11"/>
  <c r="R251" i="11"/>
  <c r="E252" i="11"/>
  <c r="R252" i="11"/>
  <c r="E253" i="11"/>
  <c r="O253" i="11" s="1"/>
  <c r="H253" i="11"/>
  <c r="P253" i="11"/>
  <c r="R253" i="11"/>
  <c r="S253" i="11" s="1"/>
  <c r="E254" i="11"/>
  <c r="R254" i="11"/>
  <c r="E255" i="11"/>
  <c r="H255" i="11"/>
  <c r="O255" i="11"/>
  <c r="P255" i="11"/>
  <c r="R255" i="11"/>
  <c r="E256" i="11"/>
  <c r="Q256" i="11"/>
  <c r="R256" i="11"/>
  <c r="E257" i="11"/>
  <c r="O257" i="11" s="1"/>
  <c r="H257" i="11"/>
  <c r="P257" i="11"/>
  <c r="R257" i="11"/>
  <c r="S257" i="11" s="1"/>
  <c r="E258" i="11"/>
  <c r="R258" i="11"/>
  <c r="E259" i="11"/>
  <c r="H259" i="11"/>
  <c r="O259" i="11"/>
  <c r="P259" i="11"/>
  <c r="R259" i="11"/>
  <c r="E260" i="11"/>
  <c r="Q260" i="11" s="1"/>
  <c r="R260" i="11"/>
  <c r="E261" i="11"/>
  <c r="O261" i="11" s="1"/>
  <c r="H261" i="11"/>
  <c r="P261" i="11"/>
  <c r="R261" i="11"/>
  <c r="S261" i="11" s="1"/>
  <c r="E262" i="11"/>
  <c r="R262" i="11"/>
  <c r="E263" i="11"/>
  <c r="H263" i="11"/>
  <c r="O263" i="11"/>
  <c r="P263" i="11"/>
  <c r="R263" i="11"/>
  <c r="E264" i="11"/>
  <c r="Q264" i="11" s="1"/>
  <c r="R264" i="11"/>
  <c r="E265" i="11"/>
  <c r="O265" i="11" s="1"/>
  <c r="H265" i="11"/>
  <c r="P265" i="11"/>
  <c r="R265" i="11"/>
  <c r="S265" i="11" s="1"/>
  <c r="E266" i="11"/>
  <c r="R266" i="11"/>
  <c r="E267" i="11"/>
  <c r="Q267" i="11" s="1"/>
  <c r="O267" i="11"/>
  <c r="R267" i="11"/>
  <c r="S267" i="11" s="1"/>
  <c r="E268" i="11"/>
  <c r="O268" i="11" s="1"/>
  <c r="H268" i="11"/>
  <c r="P268" i="11"/>
  <c r="Q268" i="11"/>
  <c r="R268" i="11"/>
  <c r="S268" i="11" s="1"/>
  <c r="E269" i="11"/>
  <c r="Q269" i="11" s="1"/>
  <c r="R269" i="11"/>
  <c r="E270" i="11"/>
  <c r="Q270" i="11"/>
  <c r="R270" i="11"/>
  <c r="E271" i="11"/>
  <c r="H271" i="11"/>
  <c r="O271" i="11"/>
  <c r="P271" i="11"/>
  <c r="Q271" i="11"/>
  <c r="R271" i="11"/>
  <c r="S271" i="11" s="1"/>
  <c r="E272" i="11"/>
  <c r="O272" i="11" s="1"/>
  <c r="H272" i="11"/>
  <c r="P272" i="11"/>
  <c r="Q272" i="11"/>
  <c r="R272" i="11"/>
  <c r="E273" i="11"/>
  <c r="R273" i="11"/>
  <c r="E274" i="11"/>
  <c r="Q274" i="11"/>
  <c r="R274" i="11"/>
  <c r="E275" i="11"/>
  <c r="P275" i="11" s="1"/>
  <c r="O275" i="11"/>
  <c r="R275" i="11"/>
  <c r="E276" i="11"/>
  <c r="O276" i="11" s="1"/>
  <c r="H276" i="11"/>
  <c r="P276" i="11"/>
  <c r="Q276" i="11"/>
  <c r="R276" i="11"/>
  <c r="S276" i="11" s="1"/>
  <c r="E277" i="11"/>
  <c r="Q277" i="11" s="1"/>
  <c r="H277" i="11"/>
  <c r="P277" i="11"/>
  <c r="R277" i="11"/>
  <c r="E278" i="11"/>
  <c r="R278" i="11"/>
  <c r="E279" i="11"/>
  <c r="P279" i="11" s="1"/>
  <c r="O279" i="11"/>
  <c r="R279" i="11"/>
  <c r="E280" i="11"/>
  <c r="O280" i="11" s="1"/>
  <c r="P280" i="11"/>
  <c r="R280" i="11"/>
  <c r="S280" i="11" s="1"/>
  <c r="E281" i="11"/>
  <c r="Q281" i="11" s="1"/>
  <c r="H281" i="11"/>
  <c r="P281" i="11"/>
  <c r="R281" i="11"/>
  <c r="S281" i="11" s="1"/>
  <c r="E282" i="11"/>
  <c r="H282" i="11"/>
  <c r="P282" i="11"/>
  <c r="R282" i="11"/>
  <c r="E283" i="11"/>
  <c r="R283" i="11"/>
  <c r="E284" i="11"/>
  <c r="O284" i="11" s="1"/>
  <c r="H284" i="11"/>
  <c r="P284" i="11"/>
  <c r="R284" i="11"/>
  <c r="S284" i="11" s="1"/>
  <c r="E285" i="11"/>
  <c r="H285" i="11" s="1"/>
  <c r="O285" i="11"/>
  <c r="R285" i="11"/>
  <c r="E286" i="11"/>
  <c r="O286" i="11" s="1"/>
  <c r="Q286" i="11"/>
  <c r="R286" i="11"/>
  <c r="E287" i="11"/>
  <c r="R287" i="11"/>
  <c r="E288" i="11"/>
  <c r="O288" i="11" s="1"/>
  <c r="H288" i="11"/>
  <c r="P288" i="11"/>
  <c r="R288" i="11"/>
  <c r="S288" i="11" s="1"/>
  <c r="E289" i="11"/>
  <c r="H289" i="11" s="1"/>
  <c r="O289" i="11"/>
  <c r="R289" i="11"/>
  <c r="E290" i="11"/>
  <c r="O290" i="11" s="1"/>
  <c r="Q290" i="11"/>
  <c r="R290" i="11"/>
  <c r="E291" i="11"/>
  <c r="R291" i="11"/>
  <c r="E292" i="11"/>
  <c r="O292" i="11" s="1"/>
  <c r="H292" i="11"/>
  <c r="P292" i="11"/>
  <c r="R292" i="11"/>
  <c r="S292" i="11" s="1"/>
  <c r="E293" i="11"/>
  <c r="Q293" i="11" s="1"/>
  <c r="H293" i="11"/>
  <c r="O293" i="11"/>
  <c r="P293" i="11"/>
  <c r="R293" i="11"/>
  <c r="E294" i="11"/>
  <c r="O294" i="11" s="1"/>
  <c r="Q294" i="11"/>
  <c r="R294" i="11"/>
  <c r="E295" i="11"/>
  <c r="R295" i="11"/>
  <c r="E296" i="11"/>
  <c r="O296" i="11" s="1"/>
  <c r="H296" i="11"/>
  <c r="P296" i="11"/>
  <c r="R296" i="11"/>
  <c r="S296" i="11" s="1"/>
  <c r="E297" i="11"/>
  <c r="Q297" i="11" s="1"/>
  <c r="H297" i="11"/>
  <c r="O297" i="11"/>
  <c r="P297" i="11"/>
  <c r="R297" i="11"/>
  <c r="E298" i="11"/>
  <c r="O298" i="11" s="1"/>
  <c r="Q298" i="11"/>
  <c r="R298" i="11"/>
  <c r="E299" i="11"/>
  <c r="R299" i="11"/>
  <c r="S299" i="11" s="1"/>
  <c r="E300" i="11"/>
  <c r="O300" i="11" s="1"/>
  <c r="H300" i="11"/>
  <c r="P300" i="11"/>
  <c r="R300" i="11"/>
  <c r="S300" i="11" s="1"/>
  <c r="E301" i="11"/>
  <c r="Q301" i="11" s="1"/>
  <c r="H301" i="11"/>
  <c r="O301" i="11"/>
  <c r="P301" i="11"/>
  <c r="R301" i="11"/>
  <c r="E302" i="11"/>
  <c r="O302" i="11" s="1"/>
  <c r="Q302" i="11"/>
  <c r="R302" i="11"/>
  <c r="E303" i="11"/>
  <c r="R303" i="11"/>
  <c r="E304" i="11"/>
  <c r="O304" i="11" s="1"/>
  <c r="H304" i="11"/>
  <c r="P304" i="11"/>
  <c r="R304" i="11"/>
  <c r="S304" i="11" s="1"/>
  <c r="E305" i="11"/>
  <c r="Q305" i="11" s="1"/>
  <c r="H305" i="11"/>
  <c r="O305" i="11"/>
  <c r="P305" i="11"/>
  <c r="R305" i="11"/>
  <c r="E306" i="11"/>
  <c r="O306" i="11" s="1"/>
  <c r="Q306" i="11"/>
  <c r="R306" i="11"/>
  <c r="E307" i="11"/>
  <c r="R307" i="11"/>
  <c r="E308" i="11"/>
  <c r="H308" i="11"/>
  <c r="P308" i="11"/>
  <c r="R308" i="11"/>
  <c r="E309" i="11"/>
  <c r="Q309" i="11" s="1"/>
  <c r="H309" i="11"/>
  <c r="O309" i="11"/>
  <c r="P309" i="11"/>
  <c r="R309" i="11"/>
  <c r="E310" i="11"/>
  <c r="O310" i="11" s="1"/>
  <c r="Q310" i="11"/>
  <c r="R310" i="11"/>
  <c r="E311" i="11"/>
  <c r="R311" i="11"/>
  <c r="S311" i="11" s="1"/>
  <c r="E312" i="11"/>
  <c r="H312" i="11"/>
  <c r="P312" i="11"/>
  <c r="R312" i="11"/>
  <c r="E313" i="11"/>
  <c r="Q313" i="11" s="1"/>
  <c r="H313" i="11"/>
  <c r="O313" i="11"/>
  <c r="P313" i="11"/>
  <c r="R313" i="11"/>
  <c r="E314" i="11"/>
  <c r="O314" i="11" s="1"/>
  <c r="Q314" i="11"/>
  <c r="R314" i="11"/>
  <c r="E315" i="11"/>
  <c r="O315" i="11" s="1"/>
  <c r="Q315" i="11"/>
  <c r="R315" i="11"/>
  <c r="E316" i="11"/>
  <c r="H316" i="11" s="1"/>
  <c r="R316" i="11"/>
  <c r="E317" i="11"/>
  <c r="Q317" i="11" s="1"/>
  <c r="H317" i="11"/>
  <c r="O317" i="11"/>
  <c r="P317" i="11"/>
  <c r="R317" i="11"/>
  <c r="S317" i="11" s="1"/>
  <c r="E318" i="11"/>
  <c r="O318" i="11" s="1"/>
  <c r="Q318" i="11"/>
  <c r="R318" i="11"/>
  <c r="E319" i="11"/>
  <c r="O319" i="11" s="1"/>
  <c r="H319" i="11"/>
  <c r="Q319" i="11"/>
  <c r="R319" i="11"/>
  <c r="E320" i="11"/>
  <c r="P320" i="11" s="1"/>
  <c r="R320" i="11"/>
  <c r="E321" i="11"/>
  <c r="H321" i="11"/>
  <c r="O321" i="11"/>
  <c r="P321" i="11"/>
  <c r="Q321" i="11"/>
  <c r="R321" i="11"/>
  <c r="S321" i="11" s="1"/>
  <c r="E322" i="11"/>
  <c r="Q322" i="11"/>
  <c r="R322" i="11"/>
  <c r="E323" i="11"/>
  <c r="O323" i="11" s="1"/>
  <c r="R323" i="11"/>
  <c r="E324" i="11"/>
  <c r="H324" i="11" s="1"/>
  <c r="R324" i="11"/>
  <c r="E325" i="11"/>
  <c r="H325" i="11"/>
  <c r="O325" i="11"/>
  <c r="P325" i="11"/>
  <c r="Q325" i="11"/>
  <c r="R325" i="11"/>
  <c r="S325" i="11" s="1"/>
  <c r="E326" i="11"/>
  <c r="O326" i="11"/>
  <c r="Q326" i="11"/>
  <c r="R326" i="11"/>
  <c r="E327" i="11"/>
  <c r="O327" i="11" s="1"/>
  <c r="Q327" i="11"/>
  <c r="R327" i="11"/>
  <c r="E328" i="11"/>
  <c r="O328" i="11" s="1"/>
  <c r="R328" i="11"/>
  <c r="S328" i="11" s="1"/>
  <c r="E329" i="11"/>
  <c r="H329" i="11"/>
  <c r="O329" i="11"/>
  <c r="P329" i="11"/>
  <c r="Q329" i="11"/>
  <c r="R329" i="11"/>
  <c r="S329" i="11" s="1"/>
  <c r="E330" i="11"/>
  <c r="O330" i="11" s="1"/>
  <c r="R330" i="11"/>
  <c r="E331" i="11"/>
  <c r="H331" i="11" s="1"/>
  <c r="O331" i="11"/>
  <c r="R331" i="11"/>
  <c r="E332" i="11"/>
  <c r="Q332" i="11" s="1"/>
  <c r="R332" i="11"/>
  <c r="E333" i="11"/>
  <c r="O333" i="11" s="1"/>
  <c r="H333" i="11"/>
  <c r="P333" i="11"/>
  <c r="R333" i="11"/>
  <c r="E334" i="11"/>
  <c r="Q334" i="11" s="1"/>
  <c r="H334" i="11"/>
  <c r="O334" i="11"/>
  <c r="P334" i="11"/>
  <c r="R334" i="11"/>
  <c r="S334" i="11" s="1"/>
  <c r="E335" i="11"/>
  <c r="H335" i="11" s="1"/>
  <c r="O335" i="11"/>
  <c r="R335" i="11"/>
  <c r="E336" i="11"/>
  <c r="Q336" i="11" s="1"/>
  <c r="R336" i="11"/>
  <c r="E337" i="11"/>
  <c r="O337" i="11" s="1"/>
  <c r="H337" i="11"/>
  <c r="P337" i="11"/>
  <c r="R337" i="11"/>
  <c r="E338" i="11"/>
  <c r="Q338" i="11" s="1"/>
  <c r="H338" i="11"/>
  <c r="O338" i="11"/>
  <c r="P338" i="11"/>
  <c r="R338" i="11"/>
  <c r="S338" i="11" s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149" i="16"/>
  <c r="AA150" i="16"/>
  <c r="AA151" i="16"/>
  <c r="AA152" i="16"/>
  <c r="AA153" i="16"/>
  <c r="AA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AA166" i="16"/>
  <c r="AA167" i="16"/>
  <c r="AA168" i="16"/>
  <c r="AA169" i="16"/>
  <c r="AA170" i="16"/>
  <c r="AA171" i="16"/>
  <c r="AA172" i="16"/>
  <c r="AA173" i="16"/>
  <c r="AA174" i="16"/>
  <c r="AA175" i="16"/>
  <c r="AA176" i="16"/>
  <c r="AA177" i="16"/>
  <c r="AA178" i="16"/>
  <c r="AA179" i="16"/>
  <c r="AA180" i="16"/>
  <c r="AA181" i="16"/>
  <c r="AA182" i="16"/>
  <c r="AA183" i="16"/>
  <c r="AA184" i="16"/>
  <c r="AA185" i="16"/>
  <c r="AA186" i="16"/>
  <c r="AA187" i="16"/>
  <c r="AA188" i="16"/>
  <c r="AA189" i="16"/>
  <c r="AA190" i="16"/>
  <c r="AA191" i="16"/>
  <c r="AA192" i="16"/>
  <c r="AA193" i="16"/>
  <c r="AA194" i="16"/>
  <c r="AA195" i="16"/>
  <c r="AA196" i="16"/>
  <c r="AA197" i="16"/>
  <c r="AA198" i="16"/>
  <c r="AA199" i="16"/>
  <c r="AA200" i="16"/>
  <c r="AA201" i="16"/>
  <c r="AA202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AA229" i="16"/>
  <c r="AA230" i="16"/>
  <c r="AA231" i="16"/>
  <c r="AA232" i="16"/>
  <c r="AA2" i="16"/>
  <c r="AG148" i="16"/>
  <c r="AG147" i="16"/>
  <c r="AG146" i="16"/>
  <c r="AG145" i="16"/>
  <c r="AG144" i="16"/>
  <c r="AG143" i="16"/>
  <c r="AG142" i="16"/>
  <c r="AG141" i="16"/>
  <c r="AG140" i="16"/>
  <c r="AG139" i="16"/>
  <c r="AG138" i="16"/>
  <c r="AG137" i="16"/>
  <c r="AG136" i="16"/>
  <c r="AG135" i="16"/>
  <c r="AG134" i="16"/>
  <c r="AG133" i="16"/>
  <c r="AG132" i="16"/>
  <c r="AG131" i="16"/>
  <c r="AG130" i="16"/>
  <c r="AG129" i="16"/>
  <c r="AG128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G85" i="16"/>
  <c r="AG84" i="16"/>
  <c r="AG83" i="16"/>
  <c r="AG82" i="16"/>
  <c r="AG81" i="16"/>
  <c r="AG80" i="16"/>
  <c r="AG79" i="16"/>
  <c r="AG78" i="16"/>
  <c r="AG77" i="16"/>
  <c r="AG76" i="16"/>
  <c r="AG75" i="16"/>
  <c r="AG74" i="16"/>
  <c r="AG73" i="16"/>
  <c r="AG72" i="16"/>
  <c r="AG71" i="16"/>
  <c r="AG70" i="16"/>
  <c r="AG69" i="16"/>
  <c r="AG68" i="16"/>
  <c r="AG67" i="16"/>
  <c r="AG66" i="16"/>
  <c r="AG65" i="16"/>
  <c r="AG64" i="16"/>
  <c r="AG63" i="16"/>
  <c r="AG62" i="16"/>
  <c r="AG61" i="16"/>
  <c r="AG60" i="16"/>
  <c r="AG59" i="16"/>
  <c r="AG58" i="16"/>
  <c r="AG57" i="16"/>
  <c r="AG56" i="16"/>
  <c r="AG55" i="16"/>
  <c r="AG54" i="16"/>
  <c r="AG53" i="16"/>
  <c r="AG52" i="16"/>
  <c r="AG51" i="16"/>
  <c r="AG50" i="16"/>
  <c r="AG49" i="16"/>
  <c r="AG48" i="16"/>
  <c r="AG47" i="16"/>
  <c r="AG46" i="16"/>
  <c r="AG45" i="16"/>
  <c r="AG44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C152" i="3"/>
  <c r="AC153" i="3"/>
  <c r="AC154" i="3"/>
  <c r="AC155" i="3"/>
  <c r="AD155" i="3" s="1"/>
  <c r="AC151" i="3"/>
  <c r="D25" i="1"/>
  <c r="C25" i="1"/>
  <c r="E885" i="16" s="1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" i="16"/>
  <c r="AB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2" i="16"/>
  <c r="AF1" i="3"/>
  <c r="AD4" i="3"/>
  <c r="E46" i="11" s="1"/>
  <c r="AD5" i="3"/>
  <c r="E47" i="11" s="1"/>
  <c r="AD6" i="3"/>
  <c r="E48" i="11" s="1"/>
  <c r="AD7" i="3"/>
  <c r="E49" i="11" s="1"/>
  <c r="AD8" i="3"/>
  <c r="E50" i="11" s="1"/>
  <c r="AD9" i="3"/>
  <c r="E51" i="11" s="1"/>
  <c r="AD10" i="3"/>
  <c r="E52" i="11" s="1"/>
  <c r="AD11" i="3"/>
  <c r="E53" i="11" s="1"/>
  <c r="AD12" i="3"/>
  <c r="E54" i="11" s="1"/>
  <c r="AD13" i="3"/>
  <c r="E55" i="11" s="1"/>
  <c r="AD14" i="3"/>
  <c r="E56" i="11" s="1"/>
  <c r="AD15" i="3"/>
  <c r="E57" i="11" s="1"/>
  <c r="AD16" i="3"/>
  <c r="E58" i="11" s="1"/>
  <c r="AD17" i="3"/>
  <c r="E59" i="11" s="1"/>
  <c r="AD18" i="3"/>
  <c r="E60" i="11" s="1"/>
  <c r="AD19" i="3"/>
  <c r="E61" i="11" s="1"/>
  <c r="AD20" i="3"/>
  <c r="E62" i="11" s="1"/>
  <c r="AD21" i="3"/>
  <c r="E63" i="11" s="1"/>
  <c r="AD22" i="3"/>
  <c r="E64" i="11" s="1"/>
  <c r="AD23" i="3"/>
  <c r="E65" i="11" s="1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E66" i="11" s="1"/>
  <c r="AD109" i="3"/>
  <c r="E67" i="11" s="1"/>
  <c r="AD110" i="3"/>
  <c r="E68" i="11" s="1"/>
  <c r="AD111" i="3"/>
  <c r="E69" i="11" s="1"/>
  <c r="AD112" i="3"/>
  <c r="E70" i="11" s="1"/>
  <c r="AD113" i="3"/>
  <c r="E71" i="11" s="1"/>
  <c r="AD114" i="3"/>
  <c r="E72" i="11" s="1"/>
  <c r="AD115" i="3"/>
  <c r="E73" i="11" s="1"/>
  <c r="AD116" i="3"/>
  <c r="E74" i="11" s="1"/>
  <c r="AD117" i="3"/>
  <c r="E75" i="11" s="1"/>
  <c r="AD118" i="3"/>
  <c r="E76" i="11" s="1"/>
  <c r="AD119" i="3"/>
  <c r="E77" i="11" s="1"/>
  <c r="AD120" i="3"/>
  <c r="E78" i="11" s="1"/>
  <c r="AD121" i="3"/>
  <c r="E79" i="11" s="1"/>
  <c r="AD122" i="3"/>
  <c r="E80" i="11" s="1"/>
  <c r="AD123" i="3"/>
  <c r="E81" i="11" s="1"/>
  <c r="AD124" i="3"/>
  <c r="E82" i="11" s="1"/>
  <c r="AD125" i="3"/>
  <c r="E83" i="11" s="1"/>
  <c r="AD126" i="3"/>
  <c r="E84" i="11" s="1"/>
  <c r="AD127" i="3"/>
  <c r="E85" i="11" s="1"/>
  <c r="AD128" i="3"/>
  <c r="E86" i="11" s="1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3" i="3"/>
  <c r="E45" i="11" s="1"/>
  <c r="BQ14" i="3"/>
  <c r="BQ12" i="3"/>
  <c r="BQ9" i="3"/>
  <c r="BQ10" i="3" s="1"/>
  <c r="E781" i="16" l="1"/>
  <c r="E789" i="16"/>
  <c r="E797" i="16"/>
  <c r="E862" i="16"/>
  <c r="E930" i="16"/>
  <c r="E938" i="16"/>
  <c r="E946" i="16"/>
  <c r="E954" i="16"/>
  <c r="E962" i="16"/>
  <c r="E970" i="16"/>
  <c r="E978" i="16"/>
  <c r="E986" i="16"/>
  <c r="E764" i="16"/>
  <c r="E772" i="16"/>
  <c r="E782" i="16"/>
  <c r="E790" i="16"/>
  <c r="E798" i="16"/>
  <c r="E883" i="16"/>
  <c r="E931" i="16"/>
  <c r="E939" i="16"/>
  <c r="E947" i="16"/>
  <c r="E955" i="16"/>
  <c r="E963" i="16"/>
  <c r="E971" i="16"/>
  <c r="E979" i="16"/>
  <c r="E987" i="16"/>
  <c r="E765" i="16"/>
  <c r="E773" i="16"/>
  <c r="E969" i="16"/>
  <c r="E783" i="16"/>
  <c r="E791" i="16"/>
  <c r="E799" i="16"/>
  <c r="E904" i="16"/>
  <c r="E932" i="16"/>
  <c r="E940" i="16"/>
  <c r="E948" i="16"/>
  <c r="E956" i="16"/>
  <c r="E964" i="16"/>
  <c r="E972" i="16"/>
  <c r="E980" i="16"/>
  <c r="E988" i="16"/>
  <c r="E766" i="16"/>
  <c r="E774" i="16"/>
  <c r="E771" i="16"/>
  <c r="E784" i="16"/>
  <c r="E792" i="16"/>
  <c r="E800" i="16"/>
  <c r="AP800" i="16" s="1"/>
  <c r="E925" i="16"/>
  <c r="E933" i="16"/>
  <c r="E941" i="16"/>
  <c r="E949" i="16"/>
  <c r="E957" i="16"/>
  <c r="E965" i="16"/>
  <c r="E973" i="16"/>
  <c r="E981" i="16"/>
  <c r="E759" i="16"/>
  <c r="E767" i="16"/>
  <c r="E775" i="16"/>
  <c r="E758" i="16"/>
  <c r="E785" i="16"/>
  <c r="E793" i="16"/>
  <c r="E820" i="16"/>
  <c r="E926" i="16"/>
  <c r="E934" i="16"/>
  <c r="E942" i="16"/>
  <c r="E950" i="16"/>
  <c r="E958" i="16"/>
  <c r="E966" i="16"/>
  <c r="E974" i="16"/>
  <c r="E982" i="16"/>
  <c r="E760" i="16"/>
  <c r="E768" i="16"/>
  <c r="E776" i="16"/>
  <c r="E985" i="16"/>
  <c r="E786" i="16"/>
  <c r="E794" i="16"/>
  <c r="E821" i="16"/>
  <c r="AP821" i="16" s="1"/>
  <c r="E927" i="16"/>
  <c r="E935" i="16"/>
  <c r="E943" i="16"/>
  <c r="E951" i="16"/>
  <c r="E959" i="16"/>
  <c r="E967" i="16"/>
  <c r="E975" i="16"/>
  <c r="E983" i="16"/>
  <c r="E761" i="16"/>
  <c r="E769" i="16"/>
  <c r="E777" i="16"/>
  <c r="E788" i="16"/>
  <c r="E937" i="16"/>
  <c r="E953" i="16"/>
  <c r="E977" i="16"/>
  <c r="E779" i="16"/>
  <c r="E787" i="16"/>
  <c r="E795" i="16"/>
  <c r="E841" i="16"/>
  <c r="E928" i="16"/>
  <c r="E936" i="16"/>
  <c r="E944" i="16"/>
  <c r="E952" i="16"/>
  <c r="E960" i="16"/>
  <c r="E968" i="16"/>
  <c r="E976" i="16"/>
  <c r="E984" i="16"/>
  <c r="E762" i="16"/>
  <c r="E770" i="16"/>
  <c r="E778" i="16"/>
  <c r="E780" i="16"/>
  <c r="E796" i="16"/>
  <c r="E842" i="16"/>
  <c r="AP842" i="16" s="1"/>
  <c r="E929" i="16"/>
  <c r="E945" i="16"/>
  <c r="E961" i="16"/>
  <c r="E763" i="16"/>
  <c r="E905" i="16"/>
  <c r="E863" i="16"/>
  <c r="AP863" i="16" s="1"/>
  <c r="E822" i="16"/>
  <c r="AP822" i="16" s="1"/>
  <c r="E801" i="16"/>
  <c r="E802" i="16"/>
  <c r="E884" i="16"/>
  <c r="AP884" i="16" s="1"/>
  <c r="E864" i="16"/>
  <c r="E823" i="16"/>
  <c r="E81" i="16"/>
  <c r="E907" i="16"/>
  <c r="J85" i="1"/>
  <c r="G906" i="16"/>
  <c r="M906" i="16"/>
  <c r="N906" i="16"/>
  <c r="K906" i="16"/>
  <c r="L906" i="16"/>
  <c r="M843" i="16"/>
  <c r="L843" i="16"/>
  <c r="K843" i="16"/>
  <c r="AA843" i="16"/>
  <c r="N843" i="16"/>
  <c r="E824" i="16"/>
  <c r="E865" i="16"/>
  <c r="AP865" i="16" s="1"/>
  <c r="E803" i="16"/>
  <c r="E886" i="16"/>
  <c r="AP886" i="16" s="1"/>
  <c r="E844" i="16"/>
  <c r="AP844" i="16" s="1"/>
  <c r="N885" i="16"/>
  <c r="M885" i="16"/>
  <c r="L885" i="16"/>
  <c r="AA885" i="16"/>
  <c r="K885" i="16"/>
  <c r="E8" i="16"/>
  <c r="E508" i="16"/>
  <c r="E548" i="16"/>
  <c r="AP548" i="16" s="1"/>
  <c r="E556" i="16"/>
  <c r="E564" i="16"/>
  <c r="E572" i="16"/>
  <c r="E580" i="16"/>
  <c r="E588" i="16"/>
  <c r="E596" i="16"/>
  <c r="E604" i="16"/>
  <c r="E612" i="16"/>
  <c r="E620" i="16"/>
  <c r="E628" i="16"/>
  <c r="E636" i="16"/>
  <c r="E644" i="16"/>
  <c r="E652" i="16"/>
  <c r="E660" i="16"/>
  <c r="E668" i="16"/>
  <c r="E676" i="16"/>
  <c r="E684" i="16"/>
  <c r="E692" i="16"/>
  <c r="E700" i="16"/>
  <c r="E708" i="16"/>
  <c r="E716" i="16"/>
  <c r="E724" i="16"/>
  <c r="E732" i="16"/>
  <c r="E264" i="16"/>
  <c r="E272" i="16"/>
  <c r="E280" i="16"/>
  <c r="E288" i="16"/>
  <c r="E296" i="16"/>
  <c r="AP296" i="16" s="1"/>
  <c r="E304" i="16"/>
  <c r="E312" i="16"/>
  <c r="E320" i="16"/>
  <c r="E328" i="16"/>
  <c r="E336" i="16"/>
  <c r="E344" i="16"/>
  <c r="E352" i="16"/>
  <c r="E360" i="16"/>
  <c r="E368" i="16"/>
  <c r="E376" i="16"/>
  <c r="E384" i="16"/>
  <c r="E392" i="16"/>
  <c r="E400" i="16"/>
  <c r="E408" i="16"/>
  <c r="E416" i="16"/>
  <c r="E424" i="16"/>
  <c r="E432" i="16"/>
  <c r="E440" i="16"/>
  <c r="E448" i="16"/>
  <c r="E456" i="16"/>
  <c r="E464" i="16"/>
  <c r="E472" i="16"/>
  <c r="E480" i="16"/>
  <c r="E258" i="16"/>
  <c r="E563" i="16"/>
  <c r="E611" i="16"/>
  <c r="AP611" i="16" s="1"/>
  <c r="E675" i="16"/>
  <c r="E723" i="16"/>
  <c r="E279" i="16"/>
  <c r="E327" i="16"/>
  <c r="E383" i="16"/>
  <c r="E439" i="16"/>
  <c r="E509" i="16"/>
  <c r="E549" i="16"/>
  <c r="E557" i="16"/>
  <c r="E565" i="16"/>
  <c r="E573" i="16"/>
  <c r="E581" i="16"/>
  <c r="E589" i="16"/>
  <c r="E597" i="16"/>
  <c r="E605" i="16"/>
  <c r="E613" i="16"/>
  <c r="E621" i="16"/>
  <c r="E629" i="16"/>
  <c r="E637" i="16"/>
  <c r="E645" i="16"/>
  <c r="E653" i="16"/>
  <c r="E661" i="16"/>
  <c r="E669" i="16"/>
  <c r="E677" i="16"/>
  <c r="E685" i="16"/>
  <c r="E693" i="16"/>
  <c r="E701" i="16"/>
  <c r="E709" i="16"/>
  <c r="E717" i="16"/>
  <c r="E725" i="16"/>
  <c r="E733" i="16"/>
  <c r="E265" i="16"/>
  <c r="E273" i="16"/>
  <c r="E281" i="16"/>
  <c r="E289" i="16"/>
  <c r="E297" i="16"/>
  <c r="E305" i="16"/>
  <c r="E313" i="16"/>
  <c r="E321" i="16"/>
  <c r="E329" i="16"/>
  <c r="E337" i="16"/>
  <c r="E345" i="16"/>
  <c r="E353" i="16"/>
  <c r="E361" i="16"/>
  <c r="E369" i="16"/>
  <c r="E377" i="16"/>
  <c r="E385" i="16"/>
  <c r="E393" i="16"/>
  <c r="E401" i="16"/>
  <c r="E409" i="16"/>
  <c r="E417" i="16"/>
  <c r="E425" i="16"/>
  <c r="E433" i="16"/>
  <c r="E441" i="16"/>
  <c r="E449" i="16"/>
  <c r="E457" i="16"/>
  <c r="E465" i="16"/>
  <c r="E473" i="16"/>
  <c r="E481" i="16"/>
  <c r="E259" i="16"/>
  <c r="E571" i="16"/>
  <c r="E603" i="16"/>
  <c r="E659" i="16"/>
  <c r="E707" i="16"/>
  <c r="E263" i="16"/>
  <c r="E335" i="16"/>
  <c r="E415" i="16"/>
  <c r="E479" i="16"/>
  <c r="E510" i="16"/>
  <c r="E550" i="16"/>
  <c r="E558" i="16"/>
  <c r="E566" i="16"/>
  <c r="E574" i="16"/>
  <c r="E582" i="16"/>
  <c r="E590" i="16"/>
  <c r="AP590" i="16" s="1"/>
  <c r="E598" i="16"/>
  <c r="E606" i="16"/>
  <c r="E614" i="16"/>
  <c r="E622" i="16"/>
  <c r="E630" i="16"/>
  <c r="E638" i="16"/>
  <c r="E646" i="16"/>
  <c r="E654" i="16"/>
  <c r="E662" i="16"/>
  <c r="E670" i="16"/>
  <c r="E678" i="16"/>
  <c r="E686" i="16"/>
  <c r="E694" i="16"/>
  <c r="E702" i="16"/>
  <c r="E710" i="16"/>
  <c r="E718" i="16"/>
  <c r="E726" i="16"/>
  <c r="E734" i="16"/>
  <c r="E266" i="16"/>
  <c r="E274" i="16"/>
  <c r="E282" i="16"/>
  <c r="E290" i="16"/>
  <c r="E298" i="16"/>
  <c r="E306" i="16"/>
  <c r="E314" i="16"/>
  <c r="E322" i="16"/>
  <c r="E330" i="16"/>
  <c r="E338" i="16"/>
  <c r="AP338" i="16" s="1"/>
  <c r="E346" i="16"/>
  <c r="E354" i="16"/>
  <c r="E362" i="16"/>
  <c r="E370" i="16"/>
  <c r="E378" i="16"/>
  <c r="E386" i="16"/>
  <c r="E394" i="16"/>
  <c r="E402" i="16"/>
  <c r="E410" i="16"/>
  <c r="E418" i="16"/>
  <c r="E426" i="16"/>
  <c r="E434" i="16"/>
  <c r="E442" i="16"/>
  <c r="E450" i="16"/>
  <c r="E458" i="16"/>
  <c r="E466" i="16"/>
  <c r="E474" i="16"/>
  <c r="E482" i="16"/>
  <c r="E260" i="16"/>
  <c r="E507" i="16"/>
  <c r="E587" i="16"/>
  <c r="E651" i="16"/>
  <c r="E699" i="16"/>
  <c r="E311" i="16"/>
  <c r="E359" i="16"/>
  <c r="AP359" i="16" s="1"/>
  <c r="E399" i="16"/>
  <c r="E471" i="16"/>
  <c r="E527" i="16"/>
  <c r="E551" i="16"/>
  <c r="E559" i="16"/>
  <c r="E567" i="16"/>
  <c r="E575" i="16"/>
  <c r="E583" i="16"/>
  <c r="E591" i="16"/>
  <c r="E599" i="16"/>
  <c r="E607" i="16"/>
  <c r="E615" i="16"/>
  <c r="E623" i="16"/>
  <c r="E631" i="16"/>
  <c r="E639" i="16"/>
  <c r="E647" i="16"/>
  <c r="E655" i="16"/>
  <c r="E663" i="16"/>
  <c r="E671" i="16"/>
  <c r="E679" i="16"/>
  <c r="E687" i="16"/>
  <c r="E695" i="16"/>
  <c r="E703" i="16"/>
  <c r="E711" i="16"/>
  <c r="E719" i="16"/>
  <c r="E727" i="16"/>
  <c r="E735" i="16"/>
  <c r="E267" i="16"/>
  <c r="E275" i="16"/>
  <c r="E283" i="16"/>
  <c r="E291" i="16"/>
  <c r="E299" i="16"/>
  <c r="E307" i="16"/>
  <c r="E315" i="16"/>
  <c r="E323" i="16"/>
  <c r="E331" i="16"/>
  <c r="E339" i="16"/>
  <c r="E347" i="16"/>
  <c r="E355" i="16"/>
  <c r="E363" i="16"/>
  <c r="E371" i="16"/>
  <c r="E379" i="16"/>
  <c r="E387" i="16"/>
  <c r="E395" i="16"/>
  <c r="E403" i="16"/>
  <c r="E411" i="16"/>
  <c r="E419" i="16"/>
  <c r="E427" i="16"/>
  <c r="E435" i="16"/>
  <c r="E443" i="16"/>
  <c r="E451" i="16"/>
  <c r="E459" i="16"/>
  <c r="E467" i="16"/>
  <c r="E475" i="16"/>
  <c r="E483" i="16"/>
  <c r="E254" i="16"/>
  <c r="E635" i="16"/>
  <c r="E287" i="16"/>
  <c r="E319" i="16"/>
  <c r="E375" i="16"/>
  <c r="E431" i="16"/>
  <c r="E257" i="16"/>
  <c r="E528" i="16"/>
  <c r="E552" i="16"/>
  <c r="E560" i="16"/>
  <c r="E568" i="16"/>
  <c r="E576" i="16"/>
  <c r="E584" i="16"/>
  <c r="E592" i="16"/>
  <c r="E600" i="16"/>
  <c r="E608" i="16"/>
  <c r="E616" i="16"/>
  <c r="E624" i="16"/>
  <c r="E632" i="16"/>
  <c r="AP632" i="16" s="1"/>
  <c r="E640" i="16"/>
  <c r="E648" i="16"/>
  <c r="E656" i="16"/>
  <c r="E664" i="16"/>
  <c r="E672" i="16"/>
  <c r="E680" i="16"/>
  <c r="E688" i="16"/>
  <c r="E696" i="16"/>
  <c r="E704" i="16"/>
  <c r="E712" i="16"/>
  <c r="E720" i="16"/>
  <c r="E728" i="16"/>
  <c r="E736" i="16"/>
  <c r="E268" i="16"/>
  <c r="E276" i="16"/>
  <c r="E284" i="16"/>
  <c r="E292" i="16"/>
  <c r="E300" i="16"/>
  <c r="E308" i="16"/>
  <c r="E316" i="16"/>
  <c r="E324" i="16"/>
  <c r="E332" i="16"/>
  <c r="E340" i="16"/>
  <c r="E348" i="16"/>
  <c r="E356" i="16"/>
  <c r="E364" i="16"/>
  <c r="E372" i="16"/>
  <c r="E380" i="16"/>
  <c r="AP380" i="16" s="1"/>
  <c r="E388" i="16"/>
  <c r="E396" i="16"/>
  <c r="E404" i="16"/>
  <c r="E412" i="16"/>
  <c r="E420" i="16"/>
  <c r="E428" i="16"/>
  <c r="E436" i="16"/>
  <c r="E444" i="16"/>
  <c r="E452" i="16"/>
  <c r="E460" i="16"/>
  <c r="E468" i="16"/>
  <c r="E476" i="16"/>
  <c r="E484" i="16"/>
  <c r="E555" i="16"/>
  <c r="E619" i="16"/>
  <c r="E667" i="16"/>
  <c r="E715" i="16"/>
  <c r="E271" i="16"/>
  <c r="E351" i="16"/>
  <c r="E407" i="16"/>
  <c r="E455" i="16"/>
  <c r="E511" i="16"/>
  <c r="E529" i="16"/>
  <c r="E553" i="16"/>
  <c r="E561" i="16"/>
  <c r="E569" i="16"/>
  <c r="AP569" i="16" s="1"/>
  <c r="E577" i="16"/>
  <c r="E585" i="16"/>
  <c r="E593" i="16"/>
  <c r="E601" i="16"/>
  <c r="E609" i="16"/>
  <c r="E617" i="16"/>
  <c r="E625" i="16"/>
  <c r="E633" i="16"/>
  <c r="E641" i="16"/>
  <c r="E649" i="16"/>
  <c r="E657" i="16"/>
  <c r="E665" i="16"/>
  <c r="E673" i="16"/>
  <c r="E681" i="16"/>
  <c r="E689" i="16"/>
  <c r="E697" i="16"/>
  <c r="E705" i="16"/>
  <c r="E713" i="16"/>
  <c r="E721" i="16"/>
  <c r="E729" i="16"/>
  <c r="E506" i="16"/>
  <c r="E261" i="16"/>
  <c r="E269" i="16"/>
  <c r="E277" i="16"/>
  <c r="E285" i="16"/>
  <c r="E293" i="16"/>
  <c r="E301" i="16"/>
  <c r="E309" i="16"/>
  <c r="E317" i="16"/>
  <c r="AP317" i="16" s="1"/>
  <c r="E325" i="16"/>
  <c r="E333" i="16"/>
  <c r="E341" i="16"/>
  <c r="E349" i="16"/>
  <c r="E357" i="16"/>
  <c r="E365" i="16"/>
  <c r="E373" i="16"/>
  <c r="E381" i="16"/>
  <c r="E389" i="16"/>
  <c r="E397" i="16"/>
  <c r="E405" i="16"/>
  <c r="E413" i="16"/>
  <c r="E421" i="16"/>
  <c r="E429" i="16"/>
  <c r="E437" i="16"/>
  <c r="E445" i="16"/>
  <c r="E453" i="16"/>
  <c r="E461" i="16"/>
  <c r="E469" i="16"/>
  <c r="E477" i="16"/>
  <c r="E255" i="16"/>
  <c r="E579" i="16"/>
  <c r="E627" i="16"/>
  <c r="E683" i="16"/>
  <c r="E731" i="16"/>
  <c r="E303" i="16"/>
  <c r="E343" i="16"/>
  <c r="E391" i="16"/>
  <c r="E447" i="16"/>
  <c r="E532" i="16"/>
  <c r="E530" i="16"/>
  <c r="E554" i="16"/>
  <c r="E562" i="16"/>
  <c r="E570" i="16"/>
  <c r="E578" i="16"/>
  <c r="E586" i="16"/>
  <c r="E594" i="16"/>
  <c r="E602" i="16"/>
  <c r="E610" i="16"/>
  <c r="E618" i="16"/>
  <c r="E626" i="16"/>
  <c r="E634" i="16"/>
  <c r="E642" i="16"/>
  <c r="E650" i="16"/>
  <c r="E658" i="16"/>
  <c r="E666" i="16"/>
  <c r="E674" i="16"/>
  <c r="E682" i="16"/>
  <c r="E690" i="16"/>
  <c r="E698" i="16"/>
  <c r="E706" i="16"/>
  <c r="E714" i="16"/>
  <c r="E722" i="16"/>
  <c r="E730" i="16"/>
  <c r="E262" i="16"/>
  <c r="E270" i="16"/>
  <c r="E278" i="16"/>
  <c r="E286" i="16"/>
  <c r="E294" i="16"/>
  <c r="E302" i="16"/>
  <c r="E310" i="16"/>
  <c r="E318" i="16"/>
  <c r="E326" i="16"/>
  <c r="E334" i="16"/>
  <c r="E342" i="16"/>
  <c r="E350" i="16"/>
  <c r="E358" i="16"/>
  <c r="E366" i="16"/>
  <c r="E374" i="16"/>
  <c r="E382" i="16"/>
  <c r="E390" i="16"/>
  <c r="E398" i="16"/>
  <c r="E406" i="16"/>
  <c r="E414" i="16"/>
  <c r="E422" i="16"/>
  <c r="E430" i="16"/>
  <c r="E438" i="16"/>
  <c r="E446" i="16"/>
  <c r="E454" i="16"/>
  <c r="E462" i="16"/>
  <c r="E470" i="16"/>
  <c r="E478" i="16"/>
  <c r="E256" i="16"/>
  <c r="E531" i="16"/>
  <c r="E595" i="16"/>
  <c r="AP595" i="16" s="1"/>
  <c r="E643" i="16"/>
  <c r="E691" i="16"/>
  <c r="E295" i="16"/>
  <c r="E367" i="16"/>
  <c r="E423" i="16"/>
  <c r="E463" i="16"/>
  <c r="S282" i="11"/>
  <c r="S274" i="11"/>
  <c r="S270" i="11"/>
  <c r="S251" i="11"/>
  <c r="S308" i="11"/>
  <c r="S255" i="11"/>
  <c r="S307" i="11"/>
  <c r="S259" i="11"/>
  <c r="E512" i="16"/>
  <c r="E533" i="16"/>
  <c r="E45" i="16"/>
  <c r="E85" i="16"/>
  <c r="E73" i="16"/>
  <c r="E140" i="16"/>
  <c r="E77" i="16"/>
  <c r="E65" i="16"/>
  <c r="AP65" i="16" s="1"/>
  <c r="E53" i="16"/>
  <c r="E148" i="16"/>
  <c r="E49" i="16"/>
  <c r="E69" i="16"/>
  <c r="E61" i="16"/>
  <c r="E132" i="16"/>
  <c r="E57" i="16"/>
  <c r="E139" i="16"/>
  <c r="E46" i="16"/>
  <c r="E50" i="16"/>
  <c r="E54" i="16"/>
  <c r="E58" i="16"/>
  <c r="E62" i="16"/>
  <c r="AP62" i="16" s="1"/>
  <c r="E66" i="16"/>
  <c r="E70" i="16"/>
  <c r="E74" i="16"/>
  <c r="E78" i="16"/>
  <c r="E82" i="16"/>
  <c r="AP82" i="16" s="1"/>
  <c r="E146" i="16"/>
  <c r="E138" i="16"/>
  <c r="E130" i="16"/>
  <c r="E147" i="16"/>
  <c r="E18" i="16"/>
  <c r="E145" i="16"/>
  <c r="E137" i="16"/>
  <c r="E129" i="16"/>
  <c r="E131" i="16"/>
  <c r="E13" i="16"/>
  <c r="E47" i="16"/>
  <c r="E51" i="16"/>
  <c r="E55" i="16"/>
  <c r="E59" i="16"/>
  <c r="E63" i="16"/>
  <c r="E67" i="16"/>
  <c r="E71" i="16"/>
  <c r="E75" i="16"/>
  <c r="E79" i="16"/>
  <c r="E83" i="16"/>
  <c r="E144" i="16"/>
  <c r="E136" i="16"/>
  <c r="E128" i="16"/>
  <c r="AP128" i="16" s="1"/>
  <c r="E10" i="16"/>
  <c r="E143" i="16"/>
  <c r="E135" i="16"/>
  <c r="E9" i="16"/>
  <c r="E44" i="16"/>
  <c r="AP44" i="16" s="1"/>
  <c r="E48" i="16"/>
  <c r="E52" i="16"/>
  <c r="E56" i="16"/>
  <c r="E60" i="16"/>
  <c r="E64" i="16"/>
  <c r="E68" i="16"/>
  <c r="E72" i="16"/>
  <c r="E76" i="16"/>
  <c r="E80" i="16"/>
  <c r="E84" i="16"/>
  <c r="E142" i="16"/>
  <c r="E134" i="16"/>
  <c r="E5" i="16"/>
  <c r="E141" i="16"/>
  <c r="E133" i="16"/>
  <c r="S215" i="11"/>
  <c r="S231" i="11"/>
  <c r="S219" i="11"/>
  <c r="S303" i="11"/>
  <c r="S243" i="11"/>
  <c r="S235" i="11"/>
  <c r="S223" i="11"/>
  <c r="S312" i="11"/>
  <c r="S247" i="11"/>
  <c r="S263" i="11"/>
  <c r="S239" i="11"/>
  <c r="S227" i="11"/>
  <c r="S337" i="11"/>
  <c r="H336" i="11"/>
  <c r="P332" i="11"/>
  <c r="H332" i="11"/>
  <c r="P327" i="11"/>
  <c r="P324" i="11"/>
  <c r="S323" i="11"/>
  <c r="P315" i="11"/>
  <c r="Q311" i="11"/>
  <c r="O311" i="11"/>
  <c r="H311" i="11"/>
  <c r="P311" i="11"/>
  <c r="Q299" i="11"/>
  <c r="O299" i="11"/>
  <c r="H299" i="11"/>
  <c r="P299" i="11"/>
  <c r="S333" i="11"/>
  <c r="P336" i="11"/>
  <c r="Q337" i="11"/>
  <c r="O336" i="11"/>
  <c r="Q333" i="11"/>
  <c r="O332" i="11"/>
  <c r="S330" i="11"/>
  <c r="H326" i="11"/>
  <c r="P326" i="11"/>
  <c r="S326" i="11"/>
  <c r="H323" i="11"/>
  <c r="S320" i="11"/>
  <c r="H320" i="11"/>
  <c r="Q287" i="11"/>
  <c r="S287" i="11"/>
  <c r="O287" i="11"/>
  <c r="H287" i="11"/>
  <c r="P287" i="11"/>
  <c r="Q323" i="11"/>
  <c r="Q273" i="11"/>
  <c r="S273" i="11"/>
  <c r="O273" i="11"/>
  <c r="H273" i="11"/>
  <c r="P273" i="11"/>
  <c r="S335" i="11"/>
  <c r="S331" i="11"/>
  <c r="Q330" i="11"/>
  <c r="H328" i="11"/>
  <c r="P323" i="11"/>
  <c r="S319" i="11"/>
  <c r="S316" i="11"/>
  <c r="H322" i="11"/>
  <c r="P322" i="11"/>
  <c r="S322" i="11"/>
  <c r="O316" i="11"/>
  <c r="Q316" i="11"/>
  <c r="Q283" i="11"/>
  <c r="S283" i="11"/>
  <c r="O283" i="11"/>
  <c r="H283" i="11"/>
  <c r="P283" i="11"/>
  <c r="H330" i="11"/>
  <c r="P330" i="11"/>
  <c r="Q335" i="11"/>
  <c r="S332" i="11"/>
  <c r="Q331" i="11"/>
  <c r="P328" i="11"/>
  <c r="S327" i="11"/>
  <c r="O322" i="11"/>
  <c r="P316" i="11"/>
  <c r="S315" i="11"/>
  <c r="O320" i="11"/>
  <c r="Q320" i="11"/>
  <c r="Q328" i="11"/>
  <c r="S336" i="11"/>
  <c r="P335" i="11"/>
  <c r="P331" i="11"/>
  <c r="H327" i="11"/>
  <c r="S324" i="11"/>
  <c r="P319" i="11"/>
  <c r="H315" i="11"/>
  <c r="Q291" i="11"/>
  <c r="S291" i="11"/>
  <c r="O291" i="11"/>
  <c r="H291" i="11"/>
  <c r="P291" i="11"/>
  <c r="O324" i="11"/>
  <c r="Q324" i="11"/>
  <c r="H318" i="11"/>
  <c r="P318" i="11"/>
  <c r="S318" i="11"/>
  <c r="Q307" i="11"/>
  <c r="O307" i="11"/>
  <c r="H307" i="11"/>
  <c r="P307" i="11"/>
  <c r="Q303" i="11"/>
  <c r="O303" i="11"/>
  <c r="H303" i="11"/>
  <c r="P303" i="11"/>
  <c r="Q295" i="11"/>
  <c r="S295" i="11"/>
  <c r="O295" i="11"/>
  <c r="H295" i="11"/>
  <c r="P295" i="11"/>
  <c r="S278" i="11"/>
  <c r="Q278" i="11"/>
  <c r="O278" i="11"/>
  <c r="H278" i="11"/>
  <c r="P278" i="11"/>
  <c r="H254" i="11"/>
  <c r="P254" i="11"/>
  <c r="Q254" i="11"/>
  <c r="S254" i="11"/>
  <c r="O254" i="11"/>
  <c r="O252" i="11"/>
  <c r="H252" i="11"/>
  <c r="P252" i="11"/>
  <c r="S252" i="11"/>
  <c r="H242" i="11"/>
  <c r="P242" i="11"/>
  <c r="Q242" i="11"/>
  <c r="S242" i="11"/>
  <c r="O242" i="11"/>
  <c r="S313" i="11"/>
  <c r="Q312" i="11"/>
  <c r="S309" i="11"/>
  <c r="Q308" i="11"/>
  <c r="S305" i="11"/>
  <c r="Q304" i="11"/>
  <c r="S301" i="11"/>
  <c r="Q300" i="11"/>
  <c r="S297" i="11"/>
  <c r="Q296" i="11"/>
  <c r="S293" i="11"/>
  <c r="Q292" i="11"/>
  <c r="S289" i="11"/>
  <c r="Q288" i="11"/>
  <c r="S285" i="11"/>
  <c r="Q284" i="11"/>
  <c r="S279" i="11"/>
  <c r="S269" i="11"/>
  <c r="H250" i="11"/>
  <c r="P250" i="11"/>
  <c r="Q250" i="11"/>
  <c r="S250" i="11"/>
  <c r="O250" i="11"/>
  <c r="H246" i="11"/>
  <c r="P246" i="11"/>
  <c r="Q246" i="11"/>
  <c r="S246" i="11"/>
  <c r="O246" i="11"/>
  <c r="S314" i="11"/>
  <c r="O312" i="11"/>
  <c r="S310" i="11"/>
  <c r="O308" i="11"/>
  <c r="S306" i="11"/>
  <c r="S302" i="11"/>
  <c r="S298" i="11"/>
  <c r="S294" i="11"/>
  <c r="S290" i="11"/>
  <c r="Q289" i="11"/>
  <c r="S286" i="11"/>
  <c r="Q285" i="11"/>
  <c r="O281" i="11"/>
  <c r="Q279" i="11"/>
  <c r="H279" i="11"/>
  <c r="S277" i="11"/>
  <c r="P274" i="11"/>
  <c r="H274" i="11"/>
  <c r="S272" i="11"/>
  <c r="P269" i="11"/>
  <c r="H269" i="11"/>
  <c r="H267" i="11"/>
  <c r="Q252" i="11"/>
  <c r="P289" i="11"/>
  <c r="P285" i="11"/>
  <c r="Q282" i="11"/>
  <c r="S275" i="11"/>
  <c r="O274" i="11"/>
  <c r="O269" i="11"/>
  <c r="P267" i="11"/>
  <c r="H266" i="11"/>
  <c r="P266" i="11"/>
  <c r="Q266" i="11"/>
  <c r="S266" i="11"/>
  <c r="O266" i="11"/>
  <c r="O264" i="11"/>
  <c r="H264" i="11"/>
  <c r="P264" i="11"/>
  <c r="S264" i="11"/>
  <c r="P314" i="11"/>
  <c r="H314" i="11"/>
  <c r="P310" i="11"/>
  <c r="H310" i="11"/>
  <c r="P306" i="11"/>
  <c r="H306" i="11"/>
  <c r="P302" i="11"/>
  <c r="H302" i="11"/>
  <c r="P298" i="11"/>
  <c r="H298" i="11"/>
  <c r="P294" i="11"/>
  <c r="H294" i="11"/>
  <c r="P290" i="11"/>
  <c r="H290" i="11"/>
  <c r="P286" i="11"/>
  <c r="H286" i="11"/>
  <c r="O282" i="11"/>
  <c r="O277" i="11"/>
  <c r="Q275" i="11"/>
  <c r="H275" i="11"/>
  <c r="P270" i="11"/>
  <c r="H270" i="11"/>
  <c r="H262" i="11"/>
  <c r="P262" i="11"/>
  <c r="Q262" i="11"/>
  <c r="S262" i="11"/>
  <c r="O262" i="11"/>
  <c r="O260" i="11"/>
  <c r="H260" i="11"/>
  <c r="P260" i="11"/>
  <c r="S260" i="11"/>
  <c r="Q280" i="11"/>
  <c r="H280" i="11"/>
  <c r="O270" i="11"/>
  <c r="H258" i="11"/>
  <c r="P258" i="11"/>
  <c r="Q258" i="11"/>
  <c r="S258" i="11"/>
  <c r="O258" i="11"/>
  <c r="O256" i="11"/>
  <c r="H256" i="11"/>
  <c r="P256" i="11"/>
  <c r="S256" i="11"/>
  <c r="H238" i="11"/>
  <c r="P238" i="11"/>
  <c r="Q238" i="11"/>
  <c r="S238" i="11"/>
  <c r="O238" i="11"/>
  <c r="Q263" i="11"/>
  <c r="Q259" i="11"/>
  <c r="Q255" i="11"/>
  <c r="Q251" i="11"/>
  <c r="S248" i="11"/>
  <c r="Q247" i="11"/>
  <c r="S244" i="11"/>
  <c r="Q243" i="11"/>
  <c r="S240" i="11"/>
  <c r="Q239" i="11"/>
  <c r="S236" i="11"/>
  <c r="Q235" i="11"/>
  <c r="O234" i="11"/>
  <c r="S232" i="11"/>
  <c r="Q231" i="11"/>
  <c r="O230" i="11"/>
  <c r="S228" i="11"/>
  <c r="Q227" i="11"/>
  <c r="O226" i="11"/>
  <c r="S224" i="11"/>
  <c r="Q223" i="11"/>
  <c r="O222" i="11"/>
  <c r="S220" i="11"/>
  <c r="Q219" i="11"/>
  <c r="O218" i="11"/>
  <c r="S216" i="11"/>
  <c r="Q215" i="11"/>
  <c r="O214" i="11"/>
  <c r="P248" i="11"/>
  <c r="H248" i="11"/>
  <c r="P244" i="11"/>
  <c r="H244" i="11"/>
  <c r="P240" i="11"/>
  <c r="H240" i="11"/>
  <c r="P236" i="11"/>
  <c r="H236" i="11"/>
  <c r="P232" i="11"/>
  <c r="H232" i="11"/>
  <c r="P228" i="11"/>
  <c r="H228" i="11"/>
  <c r="P224" i="11"/>
  <c r="H224" i="11"/>
  <c r="P220" i="11"/>
  <c r="H220" i="11"/>
  <c r="P216" i="11"/>
  <c r="H216" i="11"/>
  <c r="Q265" i="11"/>
  <c r="Q261" i="11"/>
  <c r="Q257" i="11"/>
  <c r="Q253" i="11"/>
  <c r="Q249" i="11"/>
  <c r="Q245" i="11"/>
  <c r="Q241" i="11"/>
  <c r="Q237" i="11"/>
  <c r="S234" i="11"/>
  <c r="Q233" i="11"/>
  <c r="S230" i="11"/>
  <c r="Q229" i="11"/>
  <c r="S226" i="11"/>
  <c r="Q225" i="11"/>
  <c r="S222" i="11"/>
  <c r="Q221" i="11"/>
  <c r="S218" i="11"/>
  <c r="S214" i="11"/>
  <c r="Q234" i="11"/>
  <c r="Q230" i="11"/>
  <c r="Q226" i="11"/>
  <c r="Q222" i="11"/>
  <c r="Q218" i="11"/>
  <c r="Q214" i="11"/>
  <c r="P234" i="11"/>
  <c r="P230" i="11"/>
  <c r="P226" i="11"/>
  <c r="P222" i="11"/>
  <c r="P218" i="11"/>
  <c r="P214" i="11"/>
  <c r="N81" i="16"/>
  <c r="L81" i="16"/>
  <c r="E30" i="16"/>
  <c r="E17" i="16"/>
  <c r="E2" i="16"/>
  <c r="E21" i="16"/>
  <c r="E14" i="16"/>
  <c r="E22" i="16"/>
  <c r="E6" i="16"/>
  <c r="E29" i="16"/>
  <c r="E42" i="16"/>
  <c r="E25" i="16"/>
  <c r="E26" i="16"/>
  <c r="E41" i="16"/>
  <c r="E38" i="16"/>
  <c r="E37" i="16"/>
  <c r="E34" i="16"/>
  <c r="E33" i="16"/>
  <c r="E108" i="16"/>
  <c r="E39" i="16"/>
  <c r="E31" i="16"/>
  <c r="E23" i="16"/>
  <c r="E15" i="16"/>
  <c r="E7" i="16"/>
  <c r="E36" i="16"/>
  <c r="E28" i="16"/>
  <c r="E20" i="16"/>
  <c r="E12" i="16"/>
  <c r="E4" i="16"/>
  <c r="E43" i="16"/>
  <c r="E35" i="16"/>
  <c r="E27" i="16"/>
  <c r="E19" i="16"/>
  <c r="E11" i="16"/>
  <c r="E3" i="16"/>
  <c r="E40" i="16"/>
  <c r="E32" i="16"/>
  <c r="E24" i="16"/>
  <c r="E16" i="16"/>
  <c r="E101" i="16"/>
  <c r="E106" i="16"/>
  <c r="E100" i="16"/>
  <c r="E86" i="16"/>
  <c r="AP86" i="16" s="1"/>
  <c r="E231" i="16"/>
  <c r="E215" i="16"/>
  <c r="E199" i="16"/>
  <c r="E183" i="16"/>
  <c r="E167" i="16"/>
  <c r="E151" i="16"/>
  <c r="E98" i="16"/>
  <c r="E230" i="16"/>
  <c r="E214" i="16"/>
  <c r="E198" i="16"/>
  <c r="E182" i="16"/>
  <c r="E166" i="16"/>
  <c r="E150" i="16"/>
  <c r="E97" i="16"/>
  <c r="E169" i="16"/>
  <c r="E226" i="16"/>
  <c r="E210" i="16"/>
  <c r="E194" i="16"/>
  <c r="E178" i="16"/>
  <c r="E162" i="16"/>
  <c r="E93" i="16"/>
  <c r="E153" i="16"/>
  <c r="E225" i="16"/>
  <c r="E209" i="16"/>
  <c r="E193" i="16"/>
  <c r="E177" i="16"/>
  <c r="E161" i="16"/>
  <c r="E92" i="16"/>
  <c r="E201" i="16"/>
  <c r="E223" i="16"/>
  <c r="E207" i="16"/>
  <c r="E191" i="16"/>
  <c r="E175" i="16"/>
  <c r="E159" i="16"/>
  <c r="E90" i="16"/>
  <c r="E185" i="16"/>
  <c r="E222" i="16"/>
  <c r="E206" i="16"/>
  <c r="E190" i="16"/>
  <c r="E174" i="16"/>
  <c r="E158" i="16"/>
  <c r="E89" i="16"/>
  <c r="E217" i="16"/>
  <c r="E218" i="16"/>
  <c r="E202" i="16"/>
  <c r="E186" i="16"/>
  <c r="E170" i="16"/>
  <c r="E154" i="16"/>
  <c r="E232" i="16"/>
  <c r="E224" i="16"/>
  <c r="E216" i="16"/>
  <c r="E208" i="16"/>
  <c r="E200" i="16"/>
  <c r="E192" i="16"/>
  <c r="E184" i="16"/>
  <c r="E176" i="16"/>
  <c r="E168" i="16"/>
  <c r="E160" i="16"/>
  <c r="E152" i="16"/>
  <c r="E107" i="16"/>
  <c r="AP107" i="16" s="1"/>
  <c r="E99" i="16"/>
  <c r="E91" i="16"/>
  <c r="E229" i="16"/>
  <c r="E221" i="16"/>
  <c r="E213" i="16"/>
  <c r="E205" i="16"/>
  <c r="E197" i="16"/>
  <c r="E189" i="16"/>
  <c r="E181" i="16"/>
  <c r="E173" i="16"/>
  <c r="E165" i="16"/>
  <c r="E157" i="16"/>
  <c r="E149" i="16"/>
  <c r="E96" i="16"/>
  <c r="E88" i="16"/>
  <c r="E228" i="16"/>
  <c r="E220" i="16"/>
  <c r="E212" i="16"/>
  <c r="E204" i="16"/>
  <c r="E196" i="16"/>
  <c r="E188" i="16"/>
  <c r="E180" i="16"/>
  <c r="E172" i="16"/>
  <c r="E164" i="16"/>
  <c r="E156" i="16"/>
  <c r="E103" i="16"/>
  <c r="E95" i="16"/>
  <c r="E87" i="16"/>
  <c r="AP87" i="16" s="1"/>
  <c r="E227" i="16"/>
  <c r="E219" i="16"/>
  <c r="E211" i="16"/>
  <c r="E203" i="16"/>
  <c r="E195" i="16"/>
  <c r="E187" i="16"/>
  <c r="E179" i="16"/>
  <c r="E171" i="16"/>
  <c r="E163" i="16"/>
  <c r="E155" i="16"/>
  <c r="E102" i="16"/>
  <c r="E94" i="16"/>
  <c r="AP367" i="16" l="1"/>
  <c r="AR367" i="16" s="1"/>
  <c r="X367" i="16" s="1"/>
  <c r="AP605" i="16"/>
  <c r="T605" i="16" s="1"/>
  <c r="AP99" i="16"/>
  <c r="AP640" i="16"/>
  <c r="U640" i="16" s="1"/>
  <c r="AP350" i="16"/>
  <c r="T350" i="16" s="1"/>
  <c r="AP625" i="16"/>
  <c r="AQ625" i="16" s="1"/>
  <c r="W625" i="16" s="1"/>
  <c r="AP561" i="16"/>
  <c r="S561" i="16" s="1"/>
  <c r="AP355" i="16"/>
  <c r="V355" i="16" s="1"/>
  <c r="AP639" i="16"/>
  <c r="AQ639" i="16" s="1"/>
  <c r="W639" i="16" s="1"/>
  <c r="AP575" i="16"/>
  <c r="AQ575" i="16" s="1"/>
  <c r="W575" i="16" s="1"/>
  <c r="AP622" i="16"/>
  <c r="AP558" i="16"/>
  <c r="S558" i="16" s="1"/>
  <c r="AP385" i="16"/>
  <c r="T385" i="16" s="1"/>
  <c r="AP321" i="16"/>
  <c r="AQ321" i="16" s="1"/>
  <c r="W321" i="16" s="1"/>
  <c r="AP102" i="16"/>
  <c r="T102" i="16" s="1"/>
  <c r="AP594" i="16"/>
  <c r="U594" i="16" s="1"/>
  <c r="AP357" i="16"/>
  <c r="AR357" i="16" s="1"/>
  <c r="X357" i="16" s="1"/>
  <c r="AP55" i="16"/>
  <c r="V55" i="16" s="1"/>
  <c r="AP388" i="16"/>
  <c r="AP324" i="16"/>
  <c r="AR324" i="16" s="1"/>
  <c r="X324" i="16" s="1"/>
  <c r="AP608" i="16"/>
  <c r="V608" i="16" s="1"/>
  <c r="AP94" i="16"/>
  <c r="T94" i="16" s="1"/>
  <c r="AP76" i="16"/>
  <c r="S76" i="16" s="1"/>
  <c r="AP626" i="16"/>
  <c r="T626" i="16" s="1"/>
  <c r="AP562" i="16"/>
  <c r="T562" i="16" s="1"/>
  <c r="AP389" i="16"/>
  <c r="V389" i="16" s="1"/>
  <c r="AP325" i="16"/>
  <c r="AP72" i="16"/>
  <c r="V72" i="16" s="1"/>
  <c r="AP564" i="16"/>
  <c r="U564" i="16" s="1"/>
  <c r="AP46" i="16"/>
  <c r="S46" i="16" s="1"/>
  <c r="AP366" i="16"/>
  <c r="S366" i="16" s="1"/>
  <c r="AP302" i="16"/>
  <c r="T302" i="16" s="1"/>
  <c r="AP641" i="16"/>
  <c r="T641" i="16" s="1"/>
  <c r="AP577" i="16"/>
  <c r="V577" i="16" s="1"/>
  <c r="AP371" i="16"/>
  <c r="AP307" i="16"/>
  <c r="AR307" i="16" s="1"/>
  <c r="X307" i="16" s="1"/>
  <c r="AP591" i="16"/>
  <c r="T591" i="16" s="1"/>
  <c r="AP354" i="16"/>
  <c r="U354" i="16" s="1"/>
  <c r="AP638" i="16"/>
  <c r="T638" i="16" s="1"/>
  <c r="AP574" i="16"/>
  <c r="S574" i="16" s="1"/>
  <c r="AP337" i="16"/>
  <c r="S337" i="16" s="1"/>
  <c r="AP621" i="16"/>
  <c r="AR621" i="16" s="1"/>
  <c r="X621" i="16" s="1"/>
  <c r="AP557" i="16"/>
  <c r="S884" i="16"/>
  <c r="T884" i="16"/>
  <c r="U884" i="16"/>
  <c r="V884" i="16"/>
  <c r="S296" i="16"/>
  <c r="T296" i="16"/>
  <c r="V296" i="16"/>
  <c r="U296" i="16"/>
  <c r="V102" i="16"/>
  <c r="S62" i="16"/>
  <c r="T62" i="16"/>
  <c r="U62" i="16"/>
  <c r="V62" i="16"/>
  <c r="AP398" i="16"/>
  <c r="AQ398" i="16" s="1"/>
  <c r="W398" i="16" s="1"/>
  <c r="AP334" i="16"/>
  <c r="AQ334" i="16" s="1"/>
  <c r="W334" i="16" s="1"/>
  <c r="V317" i="16"/>
  <c r="S317" i="16"/>
  <c r="T317" i="16"/>
  <c r="U317" i="16"/>
  <c r="AP609" i="16"/>
  <c r="AQ609" i="16" s="1"/>
  <c r="W609" i="16" s="1"/>
  <c r="AP372" i="16"/>
  <c r="AR372" i="16" s="1"/>
  <c r="X372" i="16" s="1"/>
  <c r="AP308" i="16"/>
  <c r="AQ308" i="16" s="1"/>
  <c r="W308" i="16" s="1"/>
  <c r="AP592" i="16"/>
  <c r="AR592" i="16" s="1"/>
  <c r="X592" i="16" s="1"/>
  <c r="AP339" i="16"/>
  <c r="AQ339" i="16" s="1"/>
  <c r="W339" i="16" s="1"/>
  <c r="AP623" i="16"/>
  <c r="AR623" i="16" s="1"/>
  <c r="X623" i="16" s="1"/>
  <c r="AP559" i="16"/>
  <c r="AQ559" i="16" s="1"/>
  <c r="W559" i="16" s="1"/>
  <c r="AP386" i="16"/>
  <c r="AQ386" i="16" s="1"/>
  <c r="W386" i="16" s="1"/>
  <c r="AP322" i="16"/>
  <c r="AR322" i="16" s="1"/>
  <c r="X322" i="16" s="1"/>
  <c r="AP606" i="16"/>
  <c r="AQ606" i="16" s="1"/>
  <c r="W606" i="16" s="1"/>
  <c r="AP369" i="16"/>
  <c r="AQ369" i="16" s="1"/>
  <c r="W369" i="16" s="1"/>
  <c r="AP305" i="16"/>
  <c r="AR305" i="16" s="1"/>
  <c r="X305" i="16" s="1"/>
  <c r="AP589" i="16"/>
  <c r="AQ589" i="16" s="1"/>
  <c r="W589" i="16" s="1"/>
  <c r="U800" i="16"/>
  <c r="T800" i="16"/>
  <c r="S800" i="16"/>
  <c r="V800" i="16"/>
  <c r="S842" i="16"/>
  <c r="T842" i="16"/>
  <c r="U842" i="16"/>
  <c r="V842" i="16"/>
  <c r="U367" i="16"/>
  <c r="S367" i="16"/>
  <c r="S380" i="16"/>
  <c r="V380" i="16"/>
  <c r="T380" i="16"/>
  <c r="U380" i="16"/>
  <c r="AP356" i="16"/>
  <c r="AQ356" i="16" s="1"/>
  <c r="W356" i="16" s="1"/>
  <c r="AP576" i="16"/>
  <c r="AR576" i="16" s="1"/>
  <c r="X576" i="16" s="1"/>
  <c r="U590" i="16"/>
  <c r="S590" i="16"/>
  <c r="T590" i="16"/>
  <c r="V590" i="16"/>
  <c r="S822" i="16"/>
  <c r="T822" i="16"/>
  <c r="U822" i="16"/>
  <c r="V822" i="16"/>
  <c r="V821" i="16"/>
  <c r="S821" i="16"/>
  <c r="T821" i="16"/>
  <c r="U821" i="16"/>
  <c r="V107" i="16"/>
  <c r="S107" i="16"/>
  <c r="T107" i="16"/>
  <c r="U107" i="16"/>
  <c r="V325" i="16"/>
  <c r="U325" i="16"/>
  <c r="S325" i="16"/>
  <c r="T325" i="16"/>
  <c r="S82" i="16"/>
  <c r="T82" i="16"/>
  <c r="U82" i="16"/>
  <c r="V82" i="16"/>
  <c r="S595" i="16"/>
  <c r="T595" i="16"/>
  <c r="U595" i="16"/>
  <c r="V595" i="16"/>
  <c r="U632" i="16"/>
  <c r="S632" i="16"/>
  <c r="T632" i="16"/>
  <c r="V632" i="16"/>
  <c r="S548" i="16"/>
  <c r="V548" i="16"/>
  <c r="T548" i="16"/>
  <c r="U548" i="16"/>
  <c r="S844" i="16"/>
  <c r="T844" i="16"/>
  <c r="U844" i="16"/>
  <c r="V844" i="16"/>
  <c r="V863" i="16"/>
  <c r="S863" i="16"/>
  <c r="T863" i="16"/>
  <c r="U863" i="16"/>
  <c r="S44" i="16"/>
  <c r="T44" i="16"/>
  <c r="U44" i="16"/>
  <c r="V44" i="16"/>
  <c r="S86" i="16"/>
  <c r="T86" i="16"/>
  <c r="U86" i="16"/>
  <c r="V86" i="16"/>
  <c r="S128" i="16"/>
  <c r="T128" i="16"/>
  <c r="U128" i="16"/>
  <c r="V128" i="16"/>
  <c r="V371" i="16"/>
  <c r="S371" i="16"/>
  <c r="T371" i="16"/>
  <c r="U371" i="16"/>
  <c r="S557" i="16"/>
  <c r="T557" i="16"/>
  <c r="U557" i="16"/>
  <c r="V557" i="16"/>
  <c r="S886" i="16"/>
  <c r="T886" i="16"/>
  <c r="U886" i="16"/>
  <c r="V886" i="16"/>
  <c r="V87" i="16"/>
  <c r="S87" i="16"/>
  <c r="T87" i="16"/>
  <c r="U87" i="16"/>
  <c r="AP56" i="16"/>
  <c r="AQ56" i="16" s="1"/>
  <c r="W56" i="16" s="1"/>
  <c r="AP78" i="16"/>
  <c r="AQ78" i="16" s="1"/>
  <c r="W78" i="16" s="1"/>
  <c r="V65" i="16"/>
  <c r="S65" i="16"/>
  <c r="T65" i="16"/>
  <c r="U65" i="16"/>
  <c r="AP642" i="16"/>
  <c r="AQ642" i="16" s="1"/>
  <c r="W642" i="16" s="1"/>
  <c r="AP578" i="16"/>
  <c r="AQ578" i="16" s="1"/>
  <c r="W578" i="16" s="1"/>
  <c r="AP341" i="16"/>
  <c r="AQ341" i="16" s="1"/>
  <c r="S569" i="16"/>
  <c r="T569" i="16"/>
  <c r="U569" i="16"/>
  <c r="V569" i="16"/>
  <c r="V359" i="16"/>
  <c r="S359" i="16"/>
  <c r="T359" i="16"/>
  <c r="U359" i="16"/>
  <c r="S611" i="16"/>
  <c r="T611" i="16"/>
  <c r="U611" i="16"/>
  <c r="V611" i="16"/>
  <c r="V99" i="16"/>
  <c r="U99" i="16"/>
  <c r="S99" i="16"/>
  <c r="T99" i="16"/>
  <c r="U350" i="16"/>
  <c r="S388" i="16"/>
  <c r="V388" i="16"/>
  <c r="T388" i="16"/>
  <c r="U388" i="16"/>
  <c r="S338" i="16"/>
  <c r="V338" i="16"/>
  <c r="U338" i="16"/>
  <c r="T338" i="16"/>
  <c r="U622" i="16"/>
  <c r="S622" i="16"/>
  <c r="T622" i="16"/>
  <c r="V622" i="16"/>
  <c r="S385" i="16"/>
  <c r="U385" i="16"/>
  <c r="S605" i="16"/>
  <c r="U605" i="16"/>
  <c r="V605" i="16"/>
  <c r="V865" i="16"/>
  <c r="S865" i="16"/>
  <c r="T865" i="16"/>
  <c r="U865" i="16"/>
  <c r="AP50" i="16"/>
  <c r="AQ50" i="16" s="1"/>
  <c r="W50" i="16" s="1"/>
  <c r="AQ884" i="16"/>
  <c r="W884" i="16" s="1"/>
  <c r="AR884" i="16"/>
  <c r="X884" i="16" s="1"/>
  <c r="AQ317" i="16"/>
  <c r="W317" i="16" s="1"/>
  <c r="AR317" i="16"/>
  <c r="X317" i="16" s="1"/>
  <c r="AP802" i="16"/>
  <c r="AQ800" i="16"/>
  <c r="W800" i="16" s="1"/>
  <c r="AR800" i="16"/>
  <c r="X800" i="16" s="1"/>
  <c r="AQ367" i="16"/>
  <c r="W367" i="16" s="1"/>
  <c r="AP601" i="16"/>
  <c r="AQ842" i="16"/>
  <c r="W842" i="16" s="1"/>
  <c r="AR842" i="16"/>
  <c r="X842" i="16" s="1"/>
  <c r="AR640" i="16"/>
  <c r="X640" i="16" s="1"/>
  <c r="AQ590" i="16"/>
  <c r="W590" i="16" s="1"/>
  <c r="AR590" i="16"/>
  <c r="X590" i="16" s="1"/>
  <c r="AQ822" i="16"/>
  <c r="W822" i="16" s="1"/>
  <c r="AR822" i="16"/>
  <c r="X822" i="16" s="1"/>
  <c r="AQ821" i="16"/>
  <c r="W821" i="16" s="1"/>
  <c r="AR821" i="16"/>
  <c r="X821" i="16" s="1"/>
  <c r="AQ595" i="16"/>
  <c r="W595" i="16" s="1"/>
  <c r="AR595" i="16"/>
  <c r="X595" i="16" s="1"/>
  <c r="AQ357" i="16"/>
  <c r="W357" i="16" s="1"/>
  <c r="AQ632" i="16"/>
  <c r="W632" i="16" s="1"/>
  <c r="AR632" i="16"/>
  <c r="X632" i="16" s="1"/>
  <c r="AQ548" i="16"/>
  <c r="W548" i="16" s="1"/>
  <c r="AR548" i="16"/>
  <c r="X548" i="16" s="1"/>
  <c r="AQ844" i="16"/>
  <c r="W844" i="16" s="1"/>
  <c r="AR844" i="16"/>
  <c r="X844" i="16" s="1"/>
  <c r="AQ863" i="16"/>
  <c r="W863" i="16" s="1"/>
  <c r="AR863" i="16"/>
  <c r="X863" i="16" s="1"/>
  <c r="AQ325" i="16"/>
  <c r="W325" i="16" s="1"/>
  <c r="AR325" i="16"/>
  <c r="X325" i="16" s="1"/>
  <c r="AQ380" i="16"/>
  <c r="W380" i="16" s="1"/>
  <c r="AR380" i="16"/>
  <c r="X380" i="16" s="1"/>
  <c r="AQ371" i="16"/>
  <c r="W371" i="16" s="1"/>
  <c r="AR371" i="16"/>
  <c r="X371" i="16" s="1"/>
  <c r="AQ557" i="16"/>
  <c r="W557" i="16" s="1"/>
  <c r="AR557" i="16"/>
  <c r="X557" i="16" s="1"/>
  <c r="AQ886" i="16"/>
  <c r="W886" i="16" s="1"/>
  <c r="AR886" i="16"/>
  <c r="X886" i="16" s="1"/>
  <c r="AQ296" i="16"/>
  <c r="W296" i="16" s="1"/>
  <c r="AR296" i="16"/>
  <c r="X296" i="16" s="1"/>
  <c r="AQ569" i="16"/>
  <c r="W569" i="16" s="1"/>
  <c r="AR569" i="16"/>
  <c r="X569" i="16" s="1"/>
  <c r="AQ359" i="16"/>
  <c r="W359" i="16" s="1"/>
  <c r="AR359" i="16"/>
  <c r="X359" i="16" s="1"/>
  <c r="AQ611" i="16"/>
  <c r="W611" i="16" s="1"/>
  <c r="AR611" i="16"/>
  <c r="X611" i="16" s="1"/>
  <c r="AP823" i="16"/>
  <c r="AQ350" i="16"/>
  <c r="W350" i="16" s="1"/>
  <c r="AQ388" i="16"/>
  <c r="W388" i="16" s="1"/>
  <c r="AR388" i="16"/>
  <c r="X388" i="16" s="1"/>
  <c r="AQ608" i="16"/>
  <c r="W608" i="16" s="1"/>
  <c r="AR608" i="16"/>
  <c r="X608" i="16" s="1"/>
  <c r="AQ338" i="16"/>
  <c r="W338" i="16" s="1"/>
  <c r="AR338" i="16"/>
  <c r="X338" i="16" s="1"/>
  <c r="AQ622" i="16"/>
  <c r="W622" i="16" s="1"/>
  <c r="AR622" i="16"/>
  <c r="X622" i="16" s="1"/>
  <c r="AQ385" i="16"/>
  <c r="W385" i="16" s="1"/>
  <c r="AQ605" i="16"/>
  <c r="W605" i="16" s="1"/>
  <c r="AR605" i="16"/>
  <c r="X605" i="16" s="1"/>
  <c r="AQ865" i="16"/>
  <c r="W865" i="16" s="1"/>
  <c r="AR865" i="16"/>
  <c r="X865" i="16" s="1"/>
  <c r="AP144" i="16"/>
  <c r="AR144" i="16" s="1"/>
  <c r="X144" i="16" s="1"/>
  <c r="AP147" i="16"/>
  <c r="AR147" i="16" s="1"/>
  <c r="X147" i="16" s="1"/>
  <c r="AQ65" i="16"/>
  <c r="W65" i="16" s="1"/>
  <c r="AR65" i="16"/>
  <c r="X65" i="16" s="1"/>
  <c r="AQ87" i="16"/>
  <c r="W87" i="16" s="1"/>
  <c r="AR87" i="16"/>
  <c r="X87" i="16" s="1"/>
  <c r="AQ86" i="16"/>
  <c r="W86" i="16" s="1"/>
  <c r="AR86" i="16"/>
  <c r="X86" i="16" s="1"/>
  <c r="AP129" i="16"/>
  <c r="AQ82" i="16"/>
  <c r="W82" i="16" s="1"/>
  <c r="AR82" i="16"/>
  <c r="X82" i="16" s="1"/>
  <c r="AQ128" i="16"/>
  <c r="W128" i="16" s="1"/>
  <c r="AR128" i="16"/>
  <c r="X128" i="16" s="1"/>
  <c r="AQ99" i="16"/>
  <c r="W99" i="16" s="1"/>
  <c r="AR99" i="16"/>
  <c r="X99" i="16" s="1"/>
  <c r="AQ107" i="16"/>
  <c r="W107" i="16" s="1"/>
  <c r="AR107" i="16"/>
  <c r="X107" i="16" s="1"/>
  <c r="AQ44" i="16"/>
  <c r="W44" i="16" s="1"/>
  <c r="AR44" i="16"/>
  <c r="X44" i="16" s="1"/>
  <c r="AP132" i="16"/>
  <c r="AQ102" i="16"/>
  <c r="W102" i="16" s="1"/>
  <c r="AR102" i="16"/>
  <c r="X102" i="16" s="1"/>
  <c r="AQ62" i="16"/>
  <c r="W62" i="16" s="1"/>
  <c r="AR62" i="16"/>
  <c r="X62" i="16" s="1"/>
  <c r="AP138" i="16"/>
  <c r="AP58" i="16"/>
  <c r="AP79" i="16"/>
  <c r="AP47" i="16"/>
  <c r="AP60" i="16"/>
  <c r="AP98" i="16"/>
  <c r="AP92" i="16"/>
  <c r="AP66" i="16"/>
  <c r="AP140" i="16"/>
  <c r="AP342" i="16"/>
  <c r="AP617" i="16"/>
  <c r="AP553" i="16"/>
  <c r="AP347" i="16"/>
  <c r="AP631" i="16"/>
  <c r="AP567" i="16"/>
  <c r="AP394" i="16"/>
  <c r="AP330" i="16"/>
  <c r="AP614" i="16"/>
  <c r="AP550" i="16"/>
  <c r="AP377" i="16"/>
  <c r="AP313" i="16"/>
  <c r="AP597" i="16"/>
  <c r="AP824" i="16"/>
  <c r="AP75" i="16"/>
  <c r="AP85" i="16"/>
  <c r="AP364" i="16"/>
  <c r="AP300" i="16"/>
  <c r="AP648" i="16"/>
  <c r="AP584" i="16"/>
  <c r="AP650" i="16"/>
  <c r="AP586" i="16"/>
  <c r="AP349" i="16"/>
  <c r="AP145" i="16"/>
  <c r="AP358" i="16"/>
  <c r="AP633" i="16"/>
  <c r="AP396" i="16"/>
  <c r="AP332" i="16"/>
  <c r="AP616" i="16"/>
  <c r="AP552" i="16"/>
  <c r="AP363" i="16"/>
  <c r="AP299" i="16"/>
  <c r="AP647" i="16"/>
  <c r="AP583" i="16"/>
  <c r="AP346" i="16"/>
  <c r="AP630" i="16"/>
  <c r="AP566" i="16"/>
  <c r="AP393" i="16"/>
  <c r="AP329" i="16"/>
  <c r="AP613" i="16"/>
  <c r="AP549" i="16"/>
  <c r="AP864" i="16"/>
  <c r="AP83" i="16"/>
  <c r="AP51" i="16"/>
  <c r="AP316" i="16"/>
  <c r="AP600" i="16"/>
  <c r="AP603" i="16"/>
  <c r="AP360" i="16"/>
  <c r="AP644" i="16"/>
  <c r="AP580" i="16"/>
  <c r="AP88" i="16"/>
  <c r="AP90" i="16"/>
  <c r="AP130" i="16"/>
  <c r="AP61" i="16"/>
  <c r="AP651" i="16"/>
  <c r="AP571" i="16"/>
  <c r="AP383" i="16"/>
  <c r="AP352" i="16"/>
  <c r="AP636" i="16"/>
  <c r="AP96" i="16"/>
  <c r="AP135" i="16"/>
  <c r="AP68" i="16"/>
  <c r="AP133" i="16"/>
  <c r="AP618" i="16"/>
  <c r="AP95" i="16"/>
  <c r="AP103" i="16"/>
  <c r="AP91" i="16"/>
  <c r="AP97" i="16"/>
  <c r="AP84" i="16"/>
  <c r="AP52" i="16"/>
  <c r="AP136" i="16"/>
  <c r="AP59" i="16"/>
  <c r="AP74" i="16"/>
  <c r="AP139" i="16"/>
  <c r="AP343" i="16"/>
  <c r="AP376" i="16"/>
  <c r="AP312" i="16"/>
  <c r="AP596" i="16"/>
  <c r="AP803" i="16"/>
  <c r="AP554" i="16"/>
  <c r="AP141" i="16"/>
  <c r="AP93" i="16"/>
  <c r="AP101" i="16"/>
  <c r="AP80" i="16"/>
  <c r="AP48" i="16"/>
  <c r="AP70" i="16"/>
  <c r="AP57" i="16"/>
  <c r="AP77" i="16"/>
  <c r="AP634" i="16"/>
  <c r="AP570" i="16"/>
  <c r="AP303" i="16"/>
  <c r="AP397" i="16"/>
  <c r="AP333" i="16"/>
  <c r="AP311" i="16"/>
  <c r="AP563" i="16"/>
  <c r="AP368" i="16"/>
  <c r="AP304" i="16"/>
  <c r="AP652" i="16"/>
  <c r="AP588" i="16"/>
  <c r="AP73" i="16"/>
  <c r="AP381" i="16"/>
  <c r="AP619" i="16"/>
  <c r="AP572" i="16"/>
  <c r="AP555" i="16"/>
  <c r="AP375" i="16"/>
  <c r="AP395" i="16"/>
  <c r="AP331" i="16"/>
  <c r="AP615" i="16"/>
  <c r="AP551" i="16"/>
  <c r="AP587" i="16"/>
  <c r="AP378" i="16"/>
  <c r="AP314" i="16"/>
  <c r="AP598" i="16"/>
  <c r="AP361" i="16"/>
  <c r="AP297" i="16"/>
  <c r="AP645" i="16"/>
  <c r="AP581" i="16"/>
  <c r="AP327" i="16"/>
  <c r="AP344" i="16"/>
  <c r="AP628" i="16"/>
  <c r="AP801" i="16"/>
  <c r="AP69" i="16"/>
  <c r="AP390" i="16"/>
  <c r="AP326" i="16"/>
  <c r="AP610" i="16"/>
  <c r="AP627" i="16"/>
  <c r="AP373" i="16"/>
  <c r="AP309" i="16"/>
  <c r="AP64" i="16"/>
  <c r="AP143" i="16"/>
  <c r="AP71" i="16"/>
  <c r="AP131" i="16"/>
  <c r="AP146" i="16"/>
  <c r="AP54" i="16"/>
  <c r="AP49" i="16"/>
  <c r="AP45" i="16"/>
  <c r="AP643" i="16"/>
  <c r="AP382" i="16"/>
  <c r="AP318" i="16"/>
  <c r="AP602" i="16"/>
  <c r="AP579" i="16"/>
  <c r="AP365" i="16"/>
  <c r="AP301" i="16"/>
  <c r="AP593" i="16"/>
  <c r="AP319" i="16"/>
  <c r="AP387" i="16"/>
  <c r="AP323" i="16"/>
  <c r="AP607" i="16"/>
  <c r="AP370" i="16"/>
  <c r="AP306" i="16"/>
  <c r="AP353" i="16"/>
  <c r="AP637" i="16"/>
  <c r="AP573" i="16"/>
  <c r="AP400" i="16"/>
  <c r="AP336" i="16"/>
  <c r="AP620" i="16"/>
  <c r="AP556" i="16"/>
  <c r="AP89" i="16"/>
  <c r="AP134" i="16"/>
  <c r="AP67" i="16"/>
  <c r="AP148" i="16"/>
  <c r="AP374" i="16"/>
  <c r="AP310" i="16"/>
  <c r="AP649" i="16"/>
  <c r="AP585" i="16"/>
  <c r="AP348" i="16"/>
  <c r="AP568" i="16"/>
  <c r="AP379" i="16"/>
  <c r="AP315" i="16"/>
  <c r="AP599" i="16"/>
  <c r="AP362" i="16"/>
  <c r="AP298" i="16"/>
  <c r="AP646" i="16"/>
  <c r="AP582" i="16"/>
  <c r="AP335" i="16"/>
  <c r="AP345" i="16"/>
  <c r="AP629" i="16"/>
  <c r="AP565" i="16"/>
  <c r="AP392" i="16"/>
  <c r="AP328" i="16"/>
  <c r="AP612" i="16"/>
  <c r="AP885" i="16"/>
  <c r="AP108" i="16"/>
  <c r="AP100" i="16"/>
  <c r="AP142" i="16"/>
  <c r="AP63" i="16"/>
  <c r="AP137" i="16"/>
  <c r="AP53" i="16"/>
  <c r="AP391" i="16"/>
  <c r="AP351" i="16"/>
  <c r="AP340" i="16"/>
  <c r="AP624" i="16"/>
  <c r="AP560" i="16"/>
  <c r="AP635" i="16"/>
  <c r="AP399" i="16"/>
  <c r="AP384" i="16"/>
  <c r="AP320" i="16"/>
  <c r="AP604" i="16"/>
  <c r="AP81" i="16"/>
  <c r="AP843" i="16"/>
  <c r="L72" i="16"/>
  <c r="AA61" i="16"/>
  <c r="H61" i="16" s="1"/>
  <c r="M131" i="16"/>
  <c r="K45" i="16"/>
  <c r="R45" i="16" s="1"/>
  <c r="AA56" i="16"/>
  <c r="I56" i="16" s="1"/>
  <c r="AA128" i="16"/>
  <c r="M78" i="16"/>
  <c r="K46" i="16"/>
  <c r="P46" i="16" s="1"/>
  <c r="N53" i="16"/>
  <c r="E251" i="16"/>
  <c r="AA133" i="16"/>
  <c r="AA73" i="16"/>
  <c r="I73" i="16" s="1"/>
  <c r="M146" i="16"/>
  <c r="E243" i="16"/>
  <c r="M142" i="16"/>
  <c r="AA63" i="16"/>
  <c r="I63" i="16" s="1"/>
  <c r="AA52" i="16"/>
  <c r="I52" i="16" s="1"/>
  <c r="AA136" i="16"/>
  <c r="K145" i="16"/>
  <c r="O145" i="16" s="1"/>
  <c r="AA74" i="16"/>
  <c r="H74" i="16" s="1"/>
  <c r="M139" i="16"/>
  <c r="AA65" i="16"/>
  <c r="H65" i="16" s="1"/>
  <c r="AA81" i="16"/>
  <c r="I81" i="16" s="1"/>
  <c r="AA88" i="16"/>
  <c r="I88" i="16" s="1"/>
  <c r="AA62" i="16"/>
  <c r="H62" i="16" s="1"/>
  <c r="E235" i="16"/>
  <c r="AA71" i="16"/>
  <c r="H71" i="16" s="1"/>
  <c r="AA95" i="16"/>
  <c r="H95" i="16" s="1"/>
  <c r="AA137" i="16"/>
  <c r="AA91" i="16"/>
  <c r="J91" i="16" s="1"/>
  <c r="M84" i="16"/>
  <c r="AA99" i="16"/>
  <c r="H99" i="16" s="1"/>
  <c r="AA80" i="16"/>
  <c r="H80" i="16" s="1"/>
  <c r="K48" i="16"/>
  <c r="O48" i="16" s="1"/>
  <c r="K55" i="16"/>
  <c r="P55" i="16" s="1"/>
  <c r="L70" i="16"/>
  <c r="AA57" i="16"/>
  <c r="I57" i="16" s="1"/>
  <c r="L77" i="16"/>
  <c r="AA47" i="16"/>
  <c r="H47" i="16" s="1"/>
  <c r="K143" i="16"/>
  <c r="O143" i="16" s="1"/>
  <c r="AA107" i="16"/>
  <c r="I107" i="16" s="1"/>
  <c r="E248" i="16"/>
  <c r="K44" i="16"/>
  <c r="O44" i="16" s="1"/>
  <c r="L83" i="16"/>
  <c r="AA51" i="16"/>
  <c r="H51" i="16" s="1"/>
  <c r="M147" i="16"/>
  <c r="AA66" i="16"/>
  <c r="I66" i="16" s="1"/>
  <c r="K132" i="16"/>
  <c r="O132" i="16" s="1"/>
  <c r="M140" i="16"/>
  <c r="N79" i="16"/>
  <c r="AA96" i="16"/>
  <c r="H96" i="16" s="1"/>
  <c r="E242" i="16"/>
  <c r="K141" i="16"/>
  <c r="O141" i="16" s="1"/>
  <c r="N135" i="16"/>
  <c r="M75" i="16"/>
  <c r="AA138" i="16"/>
  <c r="K58" i="16"/>
  <c r="O58" i="16" s="1"/>
  <c r="M69" i="16"/>
  <c r="L85" i="16"/>
  <c r="K64" i="16"/>
  <c r="P64" i="16" s="1"/>
  <c r="AA49" i="16"/>
  <c r="H49" i="16" s="1"/>
  <c r="M134" i="16"/>
  <c r="AA60" i="16"/>
  <c r="I60" i="16" s="1"/>
  <c r="AA67" i="16"/>
  <c r="I67" i="16" s="1"/>
  <c r="M129" i="16"/>
  <c r="L82" i="16"/>
  <c r="AA50" i="16"/>
  <c r="I50" i="16" s="1"/>
  <c r="M148" i="16"/>
  <c r="L864" i="16"/>
  <c r="L823" i="16"/>
  <c r="K864" i="16"/>
  <c r="O864" i="16" s="1"/>
  <c r="M864" i="16"/>
  <c r="N823" i="16"/>
  <c r="M823" i="16"/>
  <c r="N864" i="16"/>
  <c r="AA864" i="16"/>
  <c r="J864" i="16" s="1"/>
  <c r="K823" i="16"/>
  <c r="Q823" i="16" s="1"/>
  <c r="AA823" i="16"/>
  <c r="H823" i="16" s="1"/>
  <c r="M984" i="16"/>
  <c r="G984" i="16"/>
  <c r="K984" i="16"/>
  <c r="N984" i="16"/>
  <c r="L984" i="16"/>
  <c r="K943" i="16"/>
  <c r="G943" i="16"/>
  <c r="M943" i="16"/>
  <c r="L943" i="16"/>
  <c r="N943" i="16"/>
  <c r="L759" i="16"/>
  <c r="N759" i="16"/>
  <c r="M759" i="16"/>
  <c r="G759" i="16"/>
  <c r="K759" i="16"/>
  <c r="N980" i="16"/>
  <c r="M980" i="16"/>
  <c r="K980" i="16"/>
  <c r="G980" i="16"/>
  <c r="L980" i="16"/>
  <c r="N971" i="16"/>
  <c r="L971" i="16"/>
  <c r="M971" i="16"/>
  <c r="G971" i="16"/>
  <c r="K971" i="16"/>
  <c r="G954" i="16"/>
  <c r="M954" i="16"/>
  <c r="N954" i="16"/>
  <c r="L954" i="16"/>
  <c r="K954" i="16"/>
  <c r="L802" i="16"/>
  <c r="AA802" i="16"/>
  <c r="M802" i="16"/>
  <c r="N802" i="16"/>
  <c r="K802" i="16"/>
  <c r="G929" i="16"/>
  <c r="M929" i="16"/>
  <c r="K929" i="16"/>
  <c r="L929" i="16"/>
  <c r="N929" i="16"/>
  <c r="G976" i="16"/>
  <c r="K976" i="16"/>
  <c r="M976" i="16"/>
  <c r="N976" i="16"/>
  <c r="L976" i="16"/>
  <c r="E1005" i="16"/>
  <c r="G795" i="16"/>
  <c r="M795" i="16"/>
  <c r="N795" i="16"/>
  <c r="L795" i="16"/>
  <c r="K795" i="16"/>
  <c r="L769" i="16"/>
  <c r="M769" i="16"/>
  <c r="K769" i="16"/>
  <c r="G769" i="16"/>
  <c r="N769" i="16"/>
  <c r="K935" i="16"/>
  <c r="G935" i="16"/>
  <c r="N935" i="16"/>
  <c r="M935" i="16"/>
  <c r="L935" i="16"/>
  <c r="L760" i="16"/>
  <c r="N760" i="16"/>
  <c r="M760" i="16"/>
  <c r="G760" i="16"/>
  <c r="K760" i="16"/>
  <c r="K926" i="16"/>
  <c r="N926" i="16"/>
  <c r="M926" i="16"/>
  <c r="L926" i="16"/>
  <c r="G926" i="16"/>
  <c r="M981" i="16"/>
  <c r="L981" i="16"/>
  <c r="G981" i="16"/>
  <c r="N981" i="16"/>
  <c r="K981" i="16"/>
  <c r="K800" i="16"/>
  <c r="L800" i="16"/>
  <c r="N800" i="16"/>
  <c r="AA800" i="16"/>
  <c r="M800" i="16"/>
  <c r="N972" i="16"/>
  <c r="M972" i="16"/>
  <c r="K972" i="16"/>
  <c r="G972" i="16"/>
  <c r="L972" i="16"/>
  <c r="E1001" i="16"/>
  <c r="M791" i="16"/>
  <c r="N791" i="16"/>
  <c r="L791" i="16"/>
  <c r="K791" i="16"/>
  <c r="G791" i="16"/>
  <c r="L963" i="16"/>
  <c r="N963" i="16"/>
  <c r="M963" i="16"/>
  <c r="K963" i="16"/>
  <c r="G963" i="16"/>
  <c r="N782" i="16"/>
  <c r="L782" i="16"/>
  <c r="E992" i="16"/>
  <c r="G782" i="16"/>
  <c r="M782" i="16"/>
  <c r="K782" i="16"/>
  <c r="M946" i="16"/>
  <c r="G946" i="16"/>
  <c r="N946" i="16"/>
  <c r="L946" i="16"/>
  <c r="K946" i="16"/>
  <c r="N801" i="16"/>
  <c r="L801" i="16"/>
  <c r="M801" i="16"/>
  <c r="AA801" i="16"/>
  <c r="K801" i="16"/>
  <c r="M842" i="16"/>
  <c r="AA842" i="16"/>
  <c r="K842" i="16"/>
  <c r="L842" i="16"/>
  <c r="N842" i="16"/>
  <c r="G968" i="16"/>
  <c r="K968" i="16"/>
  <c r="N968" i="16"/>
  <c r="M968" i="16"/>
  <c r="L968" i="16"/>
  <c r="E997" i="16"/>
  <c r="K787" i="16"/>
  <c r="L787" i="16"/>
  <c r="N787" i="16"/>
  <c r="G787" i="16"/>
  <c r="M787" i="16"/>
  <c r="L761" i="16"/>
  <c r="G761" i="16"/>
  <c r="N761" i="16"/>
  <c r="K761" i="16"/>
  <c r="M761" i="16"/>
  <c r="G927" i="16"/>
  <c r="M927" i="16"/>
  <c r="K927" i="16"/>
  <c r="N927" i="16"/>
  <c r="L927" i="16"/>
  <c r="M982" i="16"/>
  <c r="L982" i="16"/>
  <c r="N982" i="16"/>
  <c r="G982" i="16"/>
  <c r="K982" i="16"/>
  <c r="N820" i="16"/>
  <c r="M820" i="16"/>
  <c r="L820" i="16"/>
  <c r="K820" i="16"/>
  <c r="AA820" i="16"/>
  <c r="K973" i="16"/>
  <c r="G973" i="16"/>
  <c r="N973" i="16"/>
  <c r="M973" i="16"/>
  <c r="L973" i="16"/>
  <c r="L792" i="16"/>
  <c r="E1002" i="16"/>
  <c r="N792" i="16"/>
  <c r="G792" i="16"/>
  <c r="K792" i="16"/>
  <c r="M792" i="16"/>
  <c r="L964" i="16"/>
  <c r="G964" i="16"/>
  <c r="K964" i="16"/>
  <c r="M964" i="16"/>
  <c r="N964" i="16"/>
  <c r="E993" i="16"/>
  <c r="G783" i="16"/>
  <c r="M783" i="16"/>
  <c r="N783" i="16"/>
  <c r="K783" i="16"/>
  <c r="L783" i="16"/>
  <c r="N955" i="16"/>
  <c r="M955" i="16"/>
  <c r="K955" i="16"/>
  <c r="G955" i="16"/>
  <c r="L955" i="16"/>
  <c r="G772" i="16"/>
  <c r="L772" i="16"/>
  <c r="K772" i="16"/>
  <c r="N772" i="16"/>
  <c r="M772" i="16"/>
  <c r="G938" i="16"/>
  <c r="K938" i="16"/>
  <c r="M938" i="16"/>
  <c r="L938" i="16"/>
  <c r="N938" i="16"/>
  <c r="M884" i="16"/>
  <c r="N884" i="16"/>
  <c r="K884" i="16"/>
  <c r="AA884" i="16"/>
  <c r="L884" i="16"/>
  <c r="L841" i="16"/>
  <c r="K841" i="16"/>
  <c r="M841" i="16"/>
  <c r="N841" i="16"/>
  <c r="AA841" i="16"/>
  <c r="G777" i="16"/>
  <c r="K777" i="16"/>
  <c r="N777" i="16"/>
  <c r="M777" i="16"/>
  <c r="L777" i="16"/>
  <c r="K925" i="16"/>
  <c r="N925" i="16"/>
  <c r="G925" i="16"/>
  <c r="M925" i="16"/>
  <c r="L925" i="16"/>
  <c r="E1009" i="16"/>
  <c r="K799" i="16"/>
  <c r="N799" i="16"/>
  <c r="L799" i="16"/>
  <c r="G799" i="16"/>
  <c r="M799" i="16"/>
  <c r="E1000" i="16"/>
  <c r="L790" i="16"/>
  <c r="N790" i="16"/>
  <c r="G790" i="16"/>
  <c r="K790" i="16"/>
  <c r="M790" i="16"/>
  <c r="K81" i="16"/>
  <c r="O81" i="16" s="1"/>
  <c r="N822" i="16"/>
  <c r="L822" i="16"/>
  <c r="K822" i="16"/>
  <c r="M822" i="16"/>
  <c r="AA822" i="16"/>
  <c r="E1006" i="16"/>
  <c r="G796" i="16"/>
  <c r="L796" i="16"/>
  <c r="K796" i="16"/>
  <c r="M796" i="16"/>
  <c r="N796" i="16"/>
  <c r="L960" i="16"/>
  <c r="N960" i="16"/>
  <c r="G960" i="16"/>
  <c r="K960" i="16"/>
  <c r="M960" i="16"/>
  <c r="E989" i="16"/>
  <c r="AP989" i="16" s="1"/>
  <c r="K779" i="16"/>
  <c r="G779" i="16"/>
  <c r="M779" i="16"/>
  <c r="N779" i="16"/>
  <c r="L779" i="16"/>
  <c r="G983" i="16"/>
  <c r="L983" i="16"/>
  <c r="K983" i="16"/>
  <c r="N983" i="16"/>
  <c r="M983" i="16"/>
  <c r="AA821" i="16"/>
  <c r="L821" i="16"/>
  <c r="M821" i="16"/>
  <c r="K821" i="16"/>
  <c r="N821" i="16"/>
  <c r="K974" i="16"/>
  <c r="L974" i="16"/>
  <c r="G974" i="16"/>
  <c r="N974" i="16"/>
  <c r="M974" i="16"/>
  <c r="E1003" i="16"/>
  <c r="K793" i="16"/>
  <c r="N793" i="16"/>
  <c r="M793" i="16"/>
  <c r="G793" i="16"/>
  <c r="L793" i="16"/>
  <c r="G965" i="16"/>
  <c r="L965" i="16"/>
  <c r="M965" i="16"/>
  <c r="N965" i="16"/>
  <c r="K965" i="16"/>
  <c r="G784" i="16"/>
  <c r="K784" i="16"/>
  <c r="L784" i="16"/>
  <c r="N784" i="16"/>
  <c r="M784" i="16"/>
  <c r="E994" i="16"/>
  <c r="M956" i="16"/>
  <c r="K956" i="16"/>
  <c r="L956" i="16"/>
  <c r="G956" i="16"/>
  <c r="N956" i="16"/>
  <c r="N969" i="16"/>
  <c r="L969" i="16"/>
  <c r="M969" i="16"/>
  <c r="K969" i="16"/>
  <c r="G969" i="16"/>
  <c r="N947" i="16"/>
  <c r="L947" i="16"/>
  <c r="M947" i="16"/>
  <c r="K947" i="16"/>
  <c r="G947" i="16"/>
  <c r="G764" i="16"/>
  <c r="K764" i="16"/>
  <c r="N764" i="16"/>
  <c r="L764" i="16"/>
  <c r="M764" i="16"/>
  <c r="G930" i="16"/>
  <c r="K930" i="16"/>
  <c r="M930" i="16"/>
  <c r="L930" i="16"/>
  <c r="N930" i="16"/>
  <c r="K768" i="16"/>
  <c r="N768" i="16"/>
  <c r="L768" i="16"/>
  <c r="M768" i="16"/>
  <c r="G768" i="16"/>
  <c r="M863" i="16"/>
  <c r="K863" i="16"/>
  <c r="N863" i="16"/>
  <c r="AA863" i="16"/>
  <c r="L863" i="16"/>
  <c r="E990" i="16"/>
  <c r="K780" i="16"/>
  <c r="L780" i="16"/>
  <c r="M780" i="16"/>
  <c r="G780" i="16"/>
  <c r="N780" i="16"/>
  <c r="N952" i="16"/>
  <c r="G952" i="16"/>
  <c r="K952" i="16"/>
  <c r="L952" i="16"/>
  <c r="M952" i="16"/>
  <c r="L977" i="16"/>
  <c r="M977" i="16"/>
  <c r="N977" i="16"/>
  <c r="K977" i="16"/>
  <c r="G977" i="16"/>
  <c r="N975" i="16"/>
  <c r="K975" i="16"/>
  <c r="G975" i="16"/>
  <c r="M975" i="16"/>
  <c r="L975" i="16"/>
  <c r="L794" i="16"/>
  <c r="K794" i="16"/>
  <c r="G794" i="16"/>
  <c r="N794" i="16"/>
  <c r="E1004" i="16"/>
  <c r="M794" i="16"/>
  <c r="M966" i="16"/>
  <c r="K966" i="16"/>
  <c r="L966" i="16"/>
  <c r="N966" i="16"/>
  <c r="G966" i="16"/>
  <c r="E995" i="16"/>
  <c r="L785" i="16"/>
  <c r="G785" i="16"/>
  <c r="M785" i="16"/>
  <c r="N785" i="16"/>
  <c r="K785" i="16"/>
  <c r="K957" i="16"/>
  <c r="M957" i="16"/>
  <c r="G957" i="16"/>
  <c r="L957" i="16"/>
  <c r="N957" i="16"/>
  <c r="L771" i="16"/>
  <c r="M771" i="16"/>
  <c r="K771" i="16"/>
  <c r="N771" i="16"/>
  <c r="G771" i="16"/>
  <c r="G948" i="16"/>
  <c r="L948" i="16"/>
  <c r="M948" i="16"/>
  <c r="K948" i="16"/>
  <c r="N948" i="16"/>
  <c r="N773" i="16"/>
  <c r="L773" i="16"/>
  <c r="G773" i="16"/>
  <c r="K773" i="16"/>
  <c r="M773" i="16"/>
  <c r="L939" i="16"/>
  <c r="M939" i="16"/>
  <c r="N939" i="16"/>
  <c r="G939" i="16"/>
  <c r="K939" i="16"/>
  <c r="N986" i="16"/>
  <c r="G986" i="16"/>
  <c r="M986" i="16"/>
  <c r="K986" i="16"/>
  <c r="L986" i="16"/>
  <c r="M862" i="16"/>
  <c r="K862" i="16"/>
  <c r="AA862" i="16"/>
  <c r="L862" i="16"/>
  <c r="N862" i="16"/>
  <c r="N934" i="16"/>
  <c r="M934" i="16"/>
  <c r="G934" i="16"/>
  <c r="K934" i="16"/>
  <c r="L934" i="16"/>
  <c r="N905" i="16"/>
  <c r="G905" i="16"/>
  <c r="L905" i="16"/>
  <c r="K905" i="16"/>
  <c r="M905" i="16"/>
  <c r="G778" i="16"/>
  <c r="K778" i="16"/>
  <c r="N778" i="16"/>
  <c r="L778" i="16"/>
  <c r="M778" i="16"/>
  <c r="N944" i="16"/>
  <c r="G944" i="16"/>
  <c r="K944" i="16"/>
  <c r="L944" i="16"/>
  <c r="M944" i="16"/>
  <c r="N953" i="16"/>
  <c r="G953" i="16"/>
  <c r="K953" i="16"/>
  <c r="M953" i="16"/>
  <c r="L953" i="16"/>
  <c r="N967" i="16"/>
  <c r="K967" i="16"/>
  <c r="L967" i="16"/>
  <c r="G967" i="16"/>
  <c r="M967" i="16"/>
  <c r="L786" i="16"/>
  <c r="M786" i="16"/>
  <c r="G786" i="16"/>
  <c r="E996" i="16"/>
  <c r="K786" i="16"/>
  <c r="N786" i="16"/>
  <c r="K958" i="16"/>
  <c r="G958" i="16"/>
  <c r="L958" i="16"/>
  <c r="N958" i="16"/>
  <c r="M958" i="16"/>
  <c r="N758" i="16"/>
  <c r="K758" i="16"/>
  <c r="L758" i="16"/>
  <c r="G758" i="16"/>
  <c r="M758" i="16"/>
  <c r="G949" i="16"/>
  <c r="L949" i="16"/>
  <c r="K949" i="16"/>
  <c r="M949" i="16"/>
  <c r="N949" i="16"/>
  <c r="G774" i="16"/>
  <c r="L774" i="16"/>
  <c r="K774" i="16"/>
  <c r="N774" i="16"/>
  <c r="M774" i="16"/>
  <c r="G940" i="16"/>
  <c r="N940" i="16"/>
  <c r="M940" i="16"/>
  <c r="K940" i="16"/>
  <c r="L940" i="16"/>
  <c r="L765" i="16"/>
  <c r="G765" i="16"/>
  <c r="K765" i="16"/>
  <c r="N765" i="16"/>
  <c r="M765" i="16"/>
  <c r="N931" i="16"/>
  <c r="M931" i="16"/>
  <c r="L931" i="16"/>
  <c r="G931" i="16"/>
  <c r="K931" i="16"/>
  <c r="N978" i="16"/>
  <c r="K978" i="16"/>
  <c r="L978" i="16"/>
  <c r="M978" i="16"/>
  <c r="G978" i="16"/>
  <c r="E1007" i="16"/>
  <c r="L797" i="16"/>
  <c r="G797" i="16"/>
  <c r="K797" i="16"/>
  <c r="N797" i="16"/>
  <c r="M797" i="16"/>
  <c r="N945" i="16"/>
  <c r="K945" i="16"/>
  <c r="M945" i="16"/>
  <c r="L945" i="16"/>
  <c r="G945" i="16"/>
  <c r="M81" i="16"/>
  <c r="L763" i="16"/>
  <c r="G763" i="16"/>
  <c r="M763" i="16"/>
  <c r="K763" i="16"/>
  <c r="N763" i="16"/>
  <c r="G770" i="16"/>
  <c r="N770" i="16"/>
  <c r="K770" i="16"/>
  <c r="L770" i="16"/>
  <c r="M770" i="16"/>
  <c r="G936" i="16"/>
  <c r="K936" i="16"/>
  <c r="M936" i="16"/>
  <c r="L936" i="16"/>
  <c r="N936" i="16"/>
  <c r="N937" i="16"/>
  <c r="M937" i="16"/>
  <c r="L937" i="16"/>
  <c r="G937" i="16"/>
  <c r="K937" i="16"/>
  <c r="G959" i="16"/>
  <c r="N959" i="16"/>
  <c r="K959" i="16"/>
  <c r="L959" i="16"/>
  <c r="M959" i="16"/>
  <c r="G985" i="16"/>
  <c r="N985" i="16"/>
  <c r="K985" i="16"/>
  <c r="L985" i="16"/>
  <c r="M985" i="16"/>
  <c r="K950" i="16"/>
  <c r="M950" i="16"/>
  <c r="L950" i="16"/>
  <c r="G950" i="16"/>
  <c r="N950" i="16"/>
  <c r="L775" i="16"/>
  <c r="G775" i="16"/>
  <c r="K775" i="16"/>
  <c r="M775" i="16"/>
  <c r="N775" i="16"/>
  <c r="L941" i="16"/>
  <c r="G941" i="16"/>
  <c r="K941" i="16"/>
  <c r="M941" i="16"/>
  <c r="N941" i="16"/>
  <c r="N766" i="16"/>
  <c r="K766" i="16"/>
  <c r="G766" i="16"/>
  <c r="L766" i="16"/>
  <c r="M766" i="16"/>
  <c r="G932" i="16"/>
  <c r="K932" i="16"/>
  <c r="M932" i="16"/>
  <c r="N932" i="16"/>
  <c r="L932" i="16"/>
  <c r="N987" i="16"/>
  <c r="G987" i="16"/>
  <c r="M987" i="16"/>
  <c r="K987" i="16"/>
  <c r="L987" i="16"/>
  <c r="M883" i="16"/>
  <c r="N883" i="16"/>
  <c r="AA883" i="16"/>
  <c r="L883" i="16"/>
  <c r="K883" i="16"/>
  <c r="G970" i="16"/>
  <c r="L970" i="16"/>
  <c r="N970" i="16"/>
  <c r="K970" i="16"/>
  <c r="M970" i="16"/>
  <c r="M789" i="16"/>
  <c r="N789" i="16"/>
  <c r="G789" i="16"/>
  <c r="K789" i="16"/>
  <c r="L789" i="16"/>
  <c r="E999" i="16"/>
  <c r="N961" i="16"/>
  <c r="L961" i="16"/>
  <c r="K961" i="16"/>
  <c r="G961" i="16"/>
  <c r="M961" i="16"/>
  <c r="N762" i="16"/>
  <c r="K762" i="16"/>
  <c r="M762" i="16"/>
  <c r="G762" i="16"/>
  <c r="L762" i="16"/>
  <c r="L928" i="16"/>
  <c r="N928" i="16"/>
  <c r="G928" i="16"/>
  <c r="M928" i="16"/>
  <c r="K928" i="16"/>
  <c r="E998" i="16"/>
  <c r="G788" i="16"/>
  <c r="N788" i="16"/>
  <c r="L788" i="16"/>
  <c r="K788" i="16"/>
  <c r="M788" i="16"/>
  <c r="M951" i="16"/>
  <c r="N951" i="16"/>
  <c r="K951" i="16"/>
  <c r="G951" i="16"/>
  <c r="L951" i="16"/>
  <c r="N776" i="16"/>
  <c r="L776" i="16"/>
  <c r="G776" i="16"/>
  <c r="M776" i="16"/>
  <c r="K776" i="16"/>
  <c r="K942" i="16"/>
  <c r="L942" i="16"/>
  <c r="N942" i="16"/>
  <c r="M942" i="16"/>
  <c r="G942" i="16"/>
  <c r="L767" i="16"/>
  <c r="M767" i="16"/>
  <c r="N767" i="16"/>
  <c r="G767" i="16"/>
  <c r="K767" i="16"/>
  <c r="K933" i="16"/>
  <c r="N933" i="16"/>
  <c r="G933" i="16"/>
  <c r="L933" i="16"/>
  <c r="M933" i="16"/>
  <c r="G988" i="16"/>
  <c r="L988" i="16"/>
  <c r="M988" i="16"/>
  <c r="N988" i="16"/>
  <c r="K988" i="16"/>
  <c r="L904" i="16"/>
  <c r="K904" i="16"/>
  <c r="M904" i="16"/>
  <c r="N904" i="16"/>
  <c r="AA904" i="16"/>
  <c r="L979" i="16"/>
  <c r="N979" i="16"/>
  <c r="G979" i="16"/>
  <c r="K979" i="16"/>
  <c r="M979" i="16"/>
  <c r="G798" i="16"/>
  <c r="N798" i="16"/>
  <c r="L798" i="16"/>
  <c r="K798" i="16"/>
  <c r="E1008" i="16"/>
  <c r="M798" i="16"/>
  <c r="M962" i="16"/>
  <c r="N962" i="16"/>
  <c r="G962" i="16"/>
  <c r="L962" i="16"/>
  <c r="K962" i="16"/>
  <c r="E991" i="16"/>
  <c r="M781" i="16"/>
  <c r="L781" i="16"/>
  <c r="N781" i="16"/>
  <c r="K781" i="16"/>
  <c r="G781" i="16"/>
  <c r="P906" i="16"/>
  <c r="R906" i="16"/>
  <c r="Q906" i="16"/>
  <c r="O906" i="16"/>
  <c r="L907" i="16"/>
  <c r="G907" i="16"/>
  <c r="M907" i="16"/>
  <c r="N907" i="16"/>
  <c r="K907" i="16"/>
  <c r="I906" i="16"/>
  <c r="J906" i="16"/>
  <c r="H906" i="16"/>
  <c r="E908" i="16"/>
  <c r="J86" i="1"/>
  <c r="J885" i="16"/>
  <c r="H885" i="16"/>
  <c r="I885" i="16"/>
  <c r="P864" i="16"/>
  <c r="E887" i="16"/>
  <c r="AP887" i="16" s="1"/>
  <c r="H843" i="16"/>
  <c r="I843" i="16"/>
  <c r="J843" i="16"/>
  <c r="K865" i="16"/>
  <c r="AA865" i="16"/>
  <c r="M865" i="16"/>
  <c r="L865" i="16"/>
  <c r="N865" i="16"/>
  <c r="AA886" i="16"/>
  <c r="K886" i="16"/>
  <c r="N886" i="16"/>
  <c r="M886" i="16"/>
  <c r="L886" i="16"/>
  <c r="E866" i="16"/>
  <c r="AP866" i="16" s="1"/>
  <c r="Q843" i="16"/>
  <c r="R843" i="16"/>
  <c r="P843" i="16"/>
  <c r="O843" i="16"/>
  <c r="E845" i="16"/>
  <c r="AP845" i="16" s="1"/>
  <c r="E804" i="16"/>
  <c r="AP804" i="16" s="1"/>
  <c r="E825" i="16"/>
  <c r="AP825" i="16" s="1"/>
  <c r="P885" i="16"/>
  <c r="R885" i="16"/>
  <c r="Q885" i="16"/>
  <c r="O885" i="16"/>
  <c r="AA844" i="16"/>
  <c r="N844" i="16"/>
  <c r="L844" i="16"/>
  <c r="K844" i="16"/>
  <c r="M844" i="16"/>
  <c r="N803" i="16"/>
  <c r="K803" i="16"/>
  <c r="AA803" i="16"/>
  <c r="M803" i="16"/>
  <c r="L803" i="16"/>
  <c r="I864" i="16"/>
  <c r="N824" i="16"/>
  <c r="L824" i="16"/>
  <c r="M824" i="16"/>
  <c r="K824" i="16"/>
  <c r="AA824" i="16"/>
  <c r="M423" i="16"/>
  <c r="K423" i="16"/>
  <c r="G423" i="16"/>
  <c r="N423" i="16"/>
  <c r="L423" i="16"/>
  <c r="L478" i="16"/>
  <c r="M478" i="16"/>
  <c r="G478" i="16"/>
  <c r="N478" i="16"/>
  <c r="K478" i="16"/>
  <c r="K414" i="16"/>
  <c r="L414" i="16"/>
  <c r="G414" i="16"/>
  <c r="M414" i="16"/>
  <c r="N414" i="16"/>
  <c r="L350" i="16"/>
  <c r="AA350" i="16"/>
  <c r="H350" i="16" s="1"/>
  <c r="N350" i="16"/>
  <c r="K350" i="16"/>
  <c r="M350" i="16"/>
  <c r="E496" i="16"/>
  <c r="N286" i="16"/>
  <c r="M286" i="16"/>
  <c r="G286" i="16"/>
  <c r="K286" i="16"/>
  <c r="L286" i="16"/>
  <c r="G698" i="16"/>
  <c r="K698" i="16"/>
  <c r="N698" i="16"/>
  <c r="M698" i="16"/>
  <c r="L698" i="16"/>
  <c r="L634" i="16"/>
  <c r="N634" i="16"/>
  <c r="AA634" i="16"/>
  <c r="I634" i="16" s="1"/>
  <c r="M634" i="16"/>
  <c r="K634" i="16"/>
  <c r="M570" i="16"/>
  <c r="K570" i="16"/>
  <c r="N570" i="16"/>
  <c r="L570" i="16"/>
  <c r="AA570" i="16"/>
  <c r="AA303" i="16"/>
  <c r="H303" i="16" s="1"/>
  <c r="N303" i="16"/>
  <c r="L303" i="16"/>
  <c r="K303" i="16"/>
  <c r="M303" i="16"/>
  <c r="M461" i="16"/>
  <c r="K461" i="16"/>
  <c r="L461" i="16"/>
  <c r="G461" i="16"/>
  <c r="N461" i="16"/>
  <c r="L397" i="16"/>
  <c r="K397" i="16"/>
  <c r="N397" i="16"/>
  <c r="AA397" i="16"/>
  <c r="M397" i="16"/>
  <c r="M333" i="16"/>
  <c r="K333" i="16"/>
  <c r="N333" i="16"/>
  <c r="AA333" i="16"/>
  <c r="L333" i="16"/>
  <c r="M269" i="16"/>
  <c r="L269" i="16"/>
  <c r="G269" i="16"/>
  <c r="N269" i="16"/>
  <c r="K269" i="16"/>
  <c r="K689" i="16"/>
  <c r="N689" i="16"/>
  <c r="G689" i="16"/>
  <c r="M689" i="16"/>
  <c r="L689" i="16"/>
  <c r="AA625" i="16"/>
  <c r="H625" i="16" s="1"/>
  <c r="M625" i="16"/>
  <c r="K625" i="16"/>
  <c r="N625" i="16"/>
  <c r="L625" i="16"/>
  <c r="L561" i="16"/>
  <c r="M561" i="16"/>
  <c r="K561" i="16"/>
  <c r="AA561" i="16"/>
  <c r="N561" i="16"/>
  <c r="K715" i="16"/>
  <c r="M715" i="16"/>
  <c r="N715" i="16"/>
  <c r="L715" i="16"/>
  <c r="G715" i="16"/>
  <c r="N452" i="16"/>
  <c r="G452" i="16"/>
  <c r="M452" i="16"/>
  <c r="L452" i="16"/>
  <c r="K452" i="16"/>
  <c r="K388" i="16"/>
  <c r="AA388" i="16"/>
  <c r="N388" i="16"/>
  <c r="M388" i="16"/>
  <c r="L388" i="16"/>
  <c r="M324" i="16"/>
  <c r="AA324" i="16"/>
  <c r="H324" i="16" s="1"/>
  <c r="L324" i="16"/>
  <c r="N324" i="16"/>
  <c r="K324" i="16"/>
  <c r="N736" i="16"/>
  <c r="M736" i="16"/>
  <c r="L736" i="16"/>
  <c r="G736" i="16"/>
  <c r="K736" i="16"/>
  <c r="N672" i="16"/>
  <c r="K672" i="16"/>
  <c r="G672" i="16"/>
  <c r="L672" i="16"/>
  <c r="M672" i="16"/>
  <c r="AA608" i="16"/>
  <c r="L608" i="16"/>
  <c r="M608" i="16"/>
  <c r="K608" i="16"/>
  <c r="N608" i="16"/>
  <c r="E738" i="16"/>
  <c r="N528" i="16"/>
  <c r="K528" i="16"/>
  <c r="G528" i="16"/>
  <c r="L528" i="16"/>
  <c r="M528" i="16"/>
  <c r="N483" i="16"/>
  <c r="M483" i="16"/>
  <c r="G483" i="16"/>
  <c r="L483" i="16"/>
  <c r="K483" i="16"/>
  <c r="L419" i="16"/>
  <c r="N419" i="16"/>
  <c r="M419" i="16"/>
  <c r="K419" i="16"/>
  <c r="G419" i="16"/>
  <c r="M355" i="16"/>
  <c r="AA355" i="16"/>
  <c r="L355" i="16"/>
  <c r="K355" i="16"/>
  <c r="N355" i="16"/>
  <c r="E501" i="16"/>
  <c r="L291" i="16"/>
  <c r="K291" i="16"/>
  <c r="N291" i="16"/>
  <c r="G291" i="16"/>
  <c r="M291" i="16"/>
  <c r="K703" i="16"/>
  <c r="G703" i="16"/>
  <c r="M703" i="16"/>
  <c r="N703" i="16"/>
  <c r="L703" i="16"/>
  <c r="K639" i="16"/>
  <c r="AA639" i="16"/>
  <c r="I639" i="16" s="1"/>
  <c r="M639" i="16"/>
  <c r="L639" i="16"/>
  <c r="N639" i="16"/>
  <c r="L575" i="16"/>
  <c r="AA575" i="16"/>
  <c r="K575" i="16"/>
  <c r="N575" i="16"/>
  <c r="M575" i="16"/>
  <c r="AA311" i="16"/>
  <c r="I311" i="16" s="1"/>
  <c r="N311" i="16"/>
  <c r="K311" i="16"/>
  <c r="L311" i="16"/>
  <c r="M311" i="16"/>
  <c r="N466" i="16"/>
  <c r="K466" i="16"/>
  <c r="L466" i="16"/>
  <c r="G466" i="16"/>
  <c r="M466" i="16"/>
  <c r="G402" i="16"/>
  <c r="N402" i="16"/>
  <c r="L402" i="16"/>
  <c r="K402" i="16"/>
  <c r="M402" i="16"/>
  <c r="K338" i="16"/>
  <c r="L338" i="16"/>
  <c r="AA338" i="16"/>
  <c r="J338" i="16" s="1"/>
  <c r="N338" i="16"/>
  <c r="M338" i="16"/>
  <c r="G274" i="16"/>
  <c r="N274" i="16"/>
  <c r="K274" i="16"/>
  <c r="L274" i="16"/>
  <c r="M274" i="16"/>
  <c r="G686" i="16"/>
  <c r="N686" i="16"/>
  <c r="K686" i="16"/>
  <c r="L686" i="16"/>
  <c r="M686" i="16"/>
  <c r="AA622" i="16"/>
  <c r="L622" i="16"/>
  <c r="K622" i="16"/>
  <c r="M622" i="16"/>
  <c r="N622" i="16"/>
  <c r="L558" i="16"/>
  <c r="AA558" i="16"/>
  <c r="N558" i="16"/>
  <c r="M558" i="16"/>
  <c r="K558" i="16"/>
  <c r="M659" i="16"/>
  <c r="N659" i="16"/>
  <c r="K659" i="16"/>
  <c r="L659" i="16"/>
  <c r="G659" i="16"/>
  <c r="G449" i="16"/>
  <c r="N449" i="16"/>
  <c r="L449" i="16"/>
  <c r="K449" i="16"/>
  <c r="M449" i="16"/>
  <c r="L385" i="16"/>
  <c r="AA385" i="16"/>
  <c r="M385" i="16"/>
  <c r="K385" i="16"/>
  <c r="N385" i="16"/>
  <c r="AA321" i="16"/>
  <c r="J321" i="16" s="1"/>
  <c r="N321" i="16"/>
  <c r="M321" i="16"/>
  <c r="K321" i="16"/>
  <c r="L321" i="16"/>
  <c r="L733" i="16"/>
  <c r="K733" i="16"/>
  <c r="G733" i="16"/>
  <c r="N733" i="16"/>
  <c r="M733" i="16"/>
  <c r="M669" i="16"/>
  <c r="K669" i="16"/>
  <c r="N669" i="16"/>
  <c r="G669" i="16"/>
  <c r="L669" i="16"/>
  <c r="M605" i="16"/>
  <c r="L605" i="16"/>
  <c r="K605" i="16"/>
  <c r="AA605" i="16"/>
  <c r="I605" i="16" s="1"/>
  <c r="N605" i="16"/>
  <c r="N509" i="16"/>
  <c r="K509" i="16"/>
  <c r="G509" i="16"/>
  <c r="M509" i="16"/>
  <c r="L509" i="16"/>
  <c r="AA563" i="16"/>
  <c r="K563" i="16"/>
  <c r="L563" i="16"/>
  <c r="M563" i="16"/>
  <c r="N563" i="16"/>
  <c r="L432" i="16"/>
  <c r="G432" i="16"/>
  <c r="M432" i="16"/>
  <c r="K432" i="16"/>
  <c r="N432" i="16"/>
  <c r="M368" i="16"/>
  <c r="L368" i="16"/>
  <c r="N368" i="16"/>
  <c r="K368" i="16"/>
  <c r="AA368" i="16"/>
  <c r="AA304" i="16"/>
  <c r="H304" i="16" s="1"/>
  <c r="N304" i="16"/>
  <c r="L304" i="16"/>
  <c r="M304" i="16"/>
  <c r="K304" i="16"/>
  <c r="L716" i="16"/>
  <c r="M716" i="16"/>
  <c r="G716" i="16"/>
  <c r="K716" i="16"/>
  <c r="N716" i="16"/>
  <c r="AA652" i="16"/>
  <c r="I652" i="16" s="1"/>
  <c r="N652" i="16"/>
  <c r="L652" i="16"/>
  <c r="K652" i="16"/>
  <c r="M652" i="16"/>
  <c r="M588" i="16"/>
  <c r="L588" i="16"/>
  <c r="K588" i="16"/>
  <c r="N588" i="16"/>
  <c r="AA588" i="16"/>
  <c r="K691" i="16"/>
  <c r="N691" i="16"/>
  <c r="M691" i="16"/>
  <c r="G691" i="16"/>
  <c r="L691" i="16"/>
  <c r="M454" i="16"/>
  <c r="L454" i="16"/>
  <c r="K454" i="16"/>
  <c r="G454" i="16"/>
  <c r="N454" i="16"/>
  <c r="K390" i="16"/>
  <c r="M390" i="16"/>
  <c r="AA390" i="16"/>
  <c r="N390" i="16"/>
  <c r="L390" i="16"/>
  <c r="AA326" i="16"/>
  <c r="I326" i="16" s="1"/>
  <c r="N326" i="16"/>
  <c r="K326" i="16"/>
  <c r="M326" i="16"/>
  <c r="L326" i="16"/>
  <c r="E741" i="16"/>
  <c r="L531" i="16"/>
  <c r="M531" i="16"/>
  <c r="N531" i="16"/>
  <c r="K531" i="16"/>
  <c r="G531" i="16"/>
  <c r="L430" i="16"/>
  <c r="N430" i="16"/>
  <c r="G430" i="16"/>
  <c r="K430" i="16"/>
  <c r="M430" i="16"/>
  <c r="L366" i="16"/>
  <c r="K366" i="16"/>
  <c r="AA366" i="16"/>
  <c r="M366" i="16"/>
  <c r="N366" i="16"/>
  <c r="AA302" i="16"/>
  <c r="H302" i="16" s="1"/>
  <c r="N302" i="16"/>
  <c r="M302" i="16"/>
  <c r="L302" i="16"/>
  <c r="K302" i="16"/>
  <c r="N714" i="16"/>
  <c r="G714" i="16"/>
  <c r="L714" i="16"/>
  <c r="K714" i="16"/>
  <c r="M714" i="16"/>
  <c r="K367" i="16"/>
  <c r="N367" i="16"/>
  <c r="AA367" i="16"/>
  <c r="M367" i="16"/>
  <c r="L367" i="16"/>
  <c r="G470" i="16"/>
  <c r="K470" i="16"/>
  <c r="N470" i="16"/>
  <c r="L470" i="16"/>
  <c r="M470" i="16"/>
  <c r="L406" i="16"/>
  <c r="K406" i="16"/>
  <c r="N406" i="16"/>
  <c r="G406" i="16"/>
  <c r="M406" i="16"/>
  <c r="L342" i="16"/>
  <c r="N342" i="16"/>
  <c r="M342" i="16"/>
  <c r="AA342" i="16"/>
  <c r="I342" i="16" s="1"/>
  <c r="K342" i="16"/>
  <c r="E488" i="16"/>
  <c r="G278" i="16"/>
  <c r="N278" i="16"/>
  <c r="K278" i="16"/>
  <c r="L278" i="16"/>
  <c r="M278" i="16"/>
  <c r="M690" i="16"/>
  <c r="N690" i="16"/>
  <c r="L690" i="16"/>
  <c r="K690" i="16"/>
  <c r="G690" i="16"/>
  <c r="K626" i="16"/>
  <c r="L626" i="16"/>
  <c r="M626" i="16"/>
  <c r="AA626" i="16"/>
  <c r="I626" i="16" s="1"/>
  <c r="N626" i="16"/>
  <c r="M562" i="16"/>
  <c r="L562" i="16"/>
  <c r="N562" i="16"/>
  <c r="K562" i="16"/>
  <c r="AA562" i="16"/>
  <c r="K731" i="16"/>
  <c r="N731" i="16"/>
  <c r="G731" i="16"/>
  <c r="L731" i="16"/>
  <c r="M731" i="16"/>
  <c r="N453" i="16"/>
  <c r="L453" i="16"/>
  <c r="K453" i="16"/>
  <c r="M453" i="16"/>
  <c r="G453" i="16"/>
  <c r="K389" i="16"/>
  <c r="AA389" i="16"/>
  <c r="L389" i="16"/>
  <c r="M389" i="16"/>
  <c r="N389" i="16"/>
  <c r="M325" i="16"/>
  <c r="AA325" i="16"/>
  <c r="H325" i="16" s="1"/>
  <c r="L325" i="16"/>
  <c r="N325" i="16"/>
  <c r="K325" i="16"/>
  <c r="G261" i="16"/>
  <c r="L261" i="16"/>
  <c r="K261" i="16"/>
  <c r="N261" i="16"/>
  <c r="M261" i="16"/>
  <c r="G681" i="16"/>
  <c r="L681" i="16"/>
  <c r="M681" i="16"/>
  <c r="K681" i="16"/>
  <c r="N681" i="16"/>
  <c r="N617" i="16"/>
  <c r="AA617" i="16"/>
  <c r="M617" i="16"/>
  <c r="K617" i="16"/>
  <c r="L617" i="16"/>
  <c r="K553" i="16"/>
  <c r="L553" i="16"/>
  <c r="N553" i="16"/>
  <c r="AA553" i="16"/>
  <c r="M553" i="16"/>
  <c r="G667" i="16"/>
  <c r="K667" i="16"/>
  <c r="N667" i="16"/>
  <c r="M667" i="16"/>
  <c r="L667" i="16"/>
  <c r="N444" i="16"/>
  <c r="K444" i="16"/>
  <c r="G444" i="16"/>
  <c r="M444" i="16"/>
  <c r="L444" i="16"/>
  <c r="K380" i="16"/>
  <c r="N380" i="16"/>
  <c r="AA380" i="16"/>
  <c r="M380" i="16"/>
  <c r="L380" i="16"/>
  <c r="AA316" i="16"/>
  <c r="H316" i="16" s="1"/>
  <c r="L316" i="16"/>
  <c r="M316" i="16"/>
  <c r="N316" i="16"/>
  <c r="K316" i="16"/>
  <c r="N728" i="16"/>
  <c r="M728" i="16"/>
  <c r="L728" i="16"/>
  <c r="G728" i="16"/>
  <c r="K728" i="16"/>
  <c r="N664" i="16"/>
  <c r="M664" i="16"/>
  <c r="K664" i="16"/>
  <c r="G664" i="16"/>
  <c r="L664" i="16"/>
  <c r="AA600" i="16"/>
  <c r="N600" i="16"/>
  <c r="L600" i="16"/>
  <c r="K600" i="16"/>
  <c r="M600" i="16"/>
  <c r="L257" i="16"/>
  <c r="G257" i="16"/>
  <c r="M257" i="16"/>
  <c r="K257" i="16"/>
  <c r="N257" i="16"/>
  <c r="M475" i="16"/>
  <c r="G475" i="16"/>
  <c r="N475" i="16"/>
  <c r="K475" i="16"/>
  <c r="L475" i="16"/>
  <c r="L411" i="16"/>
  <c r="M411" i="16"/>
  <c r="G411" i="16"/>
  <c r="K411" i="16"/>
  <c r="N411" i="16"/>
  <c r="N347" i="16"/>
  <c r="L347" i="16"/>
  <c r="AA347" i="16"/>
  <c r="M347" i="16"/>
  <c r="K347" i="16"/>
  <c r="E493" i="16"/>
  <c r="M283" i="16"/>
  <c r="L283" i="16"/>
  <c r="N283" i="16"/>
  <c r="G283" i="16"/>
  <c r="K283" i="16"/>
  <c r="L695" i="16"/>
  <c r="N695" i="16"/>
  <c r="K695" i="16"/>
  <c r="G695" i="16"/>
  <c r="M695" i="16"/>
  <c r="K631" i="16"/>
  <c r="AA631" i="16"/>
  <c r="I631" i="16" s="1"/>
  <c r="L631" i="16"/>
  <c r="M631" i="16"/>
  <c r="N631" i="16"/>
  <c r="L567" i="16"/>
  <c r="K567" i="16"/>
  <c r="AA567" i="16"/>
  <c r="M567" i="16"/>
  <c r="N567" i="16"/>
  <c r="N699" i="16"/>
  <c r="L699" i="16"/>
  <c r="K699" i="16"/>
  <c r="G699" i="16"/>
  <c r="M699" i="16"/>
  <c r="K458" i="16"/>
  <c r="G458" i="16"/>
  <c r="L458" i="16"/>
  <c r="M458" i="16"/>
  <c r="N458" i="16"/>
  <c r="AA394" i="16"/>
  <c r="K394" i="16"/>
  <c r="M394" i="16"/>
  <c r="L394" i="16"/>
  <c r="N394" i="16"/>
  <c r="K330" i="16"/>
  <c r="M330" i="16"/>
  <c r="AA330" i="16"/>
  <c r="J330" i="16" s="1"/>
  <c r="L330" i="16"/>
  <c r="N330" i="16"/>
  <c r="G266" i="16"/>
  <c r="N266" i="16"/>
  <c r="M266" i="16"/>
  <c r="K266" i="16"/>
  <c r="L266" i="16"/>
  <c r="N678" i="16"/>
  <c r="M678" i="16"/>
  <c r="K678" i="16"/>
  <c r="G678" i="16"/>
  <c r="L678" i="16"/>
  <c r="AA614" i="16"/>
  <c r="I614" i="16" s="1"/>
  <c r="N614" i="16"/>
  <c r="L614" i="16"/>
  <c r="K614" i="16"/>
  <c r="M614" i="16"/>
  <c r="AA550" i="16"/>
  <c r="K550" i="16"/>
  <c r="N550" i="16"/>
  <c r="M550" i="16"/>
  <c r="L550" i="16"/>
  <c r="K603" i="16"/>
  <c r="AA603" i="16"/>
  <c r="N603" i="16"/>
  <c r="L603" i="16"/>
  <c r="M603" i="16"/>
  <c r="L441" i="16"/>
  <c r="N441" i="16"/>
  <c r="G441" i="16"/>
  <c r="K441" i="16"/>
  <c r="M441" i="16"/>
  <c r="K377" i="16"/>
  <c r="AA377" i="16"/>
  <c r="M377" i="16"/>
  <c r="L377" i="16"/>
  <c r="N377" i="16"/>
  <c r="M313" i="16"/>
  <c r="L313" i="16"/>
  <c r="AA313" i="16"/>
  <c r="I313" i="16" s="1"/>
  <c r="N313" i="16"/>
  <c r="K313" i="16"/>
  <c r="K725" i="16"/>
  <c r="G725" i="16"/>
  <c r="L725" i="16"/>
  <c r="M725" i="16"/>
  <c r="N725" i="16"/>
  <c r="G661" i="16"/>
  <c r="N661" i="16"/>
  <c r="M661" i="16"/>
  <c r="L661" i="16"/>
  <c r="K661" i="16"/>
  <c r="AA597" i="16"/>
  <c r="N597" i="16"/>
  <c r="M597" i="16"/>
  <c r="K597" i="16"/>
  <c r="L597" i="16"/>
  <c r="L439" i="16"/>
  <c r="G439" i="16"/>
  <c r="N439" i="16"/>
  <c r="K439" i="16"/>
  <c r="M439" i="16"/>
  <c r="N258" i="16"/>
  <c r="G258" i="16"/>
  <c r="M258" i="16"/>
  <c r="K258" i="16"/>
  <c r="L258" i="16"/>
  <c r="M424" i="16"/>
  <c r="N424" i="16"/>
  <c r="K424" i="16"/>
  <c r="G424" i="16"/>
  <c r="L424" i="16"/>
  <c r="AA360" i="16"/>
  <c r="K360" i="16"/>
  <c r="N360" i="16"/>
  <c r="M360" i="16"/>
  <c r="L360" i="16"/>
  <c r="AA296" i="16"/>
  <c r="I296" i="16" s="1"/>
  <c r="L296" i="16"/>
  <c r="M296" i="16"/>
  <c r="N296" i="16"/>
  <c r="K296" i="16"/>
  <c r="M708" i="16"/>
  <c r="G708" i="16"/>
  <c r="N708" i="16"/>
  <c r="L708" i="16"/>
  <c r="K708" i="16"/>
  <c r="M644" i="16"/>
  <c r="AA644" i="16"/>
  <c r="I644" i="16" s="1"/>
  <c r="K644" i="16"/>
  <c r="L644" i="16"/>
  <c r="N644" i="16"/>
  <c r="AA580" i="16"/>
  <c r="N580" i="16"/>
  <c r="M580" i="16"/>
  <c r="L580" i="16"/>
  <c r="K580" i="16"/>
  <c r="E505" i="16"/>
  <c r="K295" i="16"/>
  <c r="L295" i="16"/>
  <c r="N295" i="16"/>
  <c r="M295" i="16"/>
  <c r="G295" i="16"/>
  <c r="M462" i="16"/>
  <c r="N462" i="16"/>
  <c r="K462" i="16"/>
  <c r="L462" i="16"/>
  <c r="G462" i="16"/>
  <c r="AA398" i="16"/>
  <c r="L398" i="16"/>
  <c r="K398" i="16"/>
  <c r="M398" i="16"/>
  <c r="N398" i="16"/>
  <c r="M334" i="16"/>
  <c r="AA334" i="16"/>
  <c r="K334" i="16"/>
  <c r="N334" i="16"/>
  <c r="L334" i="16"/>
  <c r="G270" i="16"/>
  <c r="N270" i="16"/>
  <c r="L270" i="16"/>
  <c r="M270" i="16"/>
  <c r="K270" i="16"/>
  <c r="G682" i="16"/>
  <c r="L682" i="16"/>
  <c r="N682" i="16"/>
  <c r="K682" i="16"/>
  <c r="M682" i="16"/>
  <c r="L618" i="16"/>
  <c r="K618" i="16"/>
  <c r="N618" i="16"/>
  <c r="AA618" i="16"/>
  <c r="I618" i="16" s="1"/>
  <c r="M618" i="16"/>
  <c r="N554" i="16"/>
  <c r="AA554" i="16"/>
  <c r="M554" i="16"/>
  <c r="L554" i="16"/>
  <c r="K554" i="16"/>
  <c r="N683" i="16"/>
  <c r="M683" i="16"/>
  <c r="L683" i="16"/>
  <c r="K683" i="16"/>
  <c r="G683" i="16"/>
  <c r="N445" i="16"/>
  <c r="G445" i="16"/>
  <c r="M445" i="16"/>
  <c r="L445" i="16"/>
  <c r="K445" i="16"/>
  <c r="K381" i="16"/>
  <c r="AA381" i="16"/>
  <c r="M381" i="16"/>
  <c r="L381" i="16"/>
  <c r="N381" i="16"/>
  <c r="K317" i="16"/>
  <c r="L317" i="16"/>
  <c r="N317" i="16"/>
  <c r="M317" i="16"/>
  <c r="AA317" i="16"/>
  <c r="J317" i="16" s="1"/>
  <c r="M506" i="16"/>
  <c r="G506" i="16"/>
  <c r="L506" i="16"/>
  <c r="K506" i="16"/>
  <c r="N506" i="16"/>
  <c r="K673" i="16"/>
  <c r="M673" i="16"/>
  <c r="G673" i="16"/>
  <c r="N673" i="16"/>
  <c r="L673" i="16"/>
  <c r="M609" i="16"/>
  <c r="K609" i="16"/>
  <c r="N609" i="16"/>
  <c r="AA609" i="16"/>
  <c r="I609" i="16" s="1"/>
  <c r="L609" i="16"/>
  <c r="N529" i="16"/>
  <c r="K529" i="16"/>
  <c r="E739" i="16"/>
  <c r="AP739" i="16" s="1"/>
  <c r="L529" i="16"/>
  <c r="M529" i="16"/>
  <c r="G529" i="16"/>
  <c r="K619" i="16"/>
  <c r="M619" i="16"/>
  <c r="N619" i="16"/>
  <c r="AA619" i="16"/>
  <c r="H619" i="16" s="1"/>
  <c r="L619" i="16"/>
  <c r="N436" i="16"/>
  <c r="G436" i="16"/>
  <c r="M436" i="16"/>
  <c r="K436" i="16"/>
  <c r="L436" i="16"/>
  <c r="M372" i="16"/>
  <c r="AA372" i="16"/>
  <c r="L372" i="16"/>
  <c r="K372" i="16"/>
  <c r="N372" i="16"/>
  <c r="M308" i="16"/>
  <c r="N308" i="16"/>
  <c r="K308" i="16"/>
  <c r="L308" i="16"/>
  <c r="AA308" i="16"/>
  <c r="H308" i="16" s="1"/>
  <c r="N720" i="16"/>
  <c r="M720" i="16"/>
  <c r="L720" i="16"/>
  <c r="K720" i="16"/>
  <c r="G720" i="16"/>
  <c r="K656" i="16"/>
  <c r="G656" i="16"/>
  <c r="N656" i="16"/>
  <c r="M656" i="16"/>
  <c r="L656" i="16"/>
  <c r="AA592" i="16"/>
  <c r="N592" i="16"/>
  <c r="M592" i="16"/>
  <c r="L592" i="16"/>
  <c r="K592" i="16"/>
  <c r="K431" i="16"/>
  <c r="N431" i="16"/>
  <c r="G431" i="16"/>
  <c r="M431" i="16"/>
  <c r="L431" i="16"/>
  <c r="N467" i="16"/>
  <c r="M467" i="16"/>
  <c r="L467" i="16"/>
  <c r="K467" i="16"/>
  <c r="G467" i="16"/>
  <c r="G403" i="16"/>
  <c r="L403" i="16"/>
  <c r="N403" i="16"/>
  <c r="M403" i="16"/>
  <c r="K403" i="16"/>
  <c r="AA339" i="16"/>
  <c r="H339" i="16" s="1"/>
  <c r="L339" i="16"/>
  <c r="K339" i="16"/>
  <c r="N339" i="16"/>
  <c r="M339" i="16"/>
  <c r="E485" i="16"/>
  <c r="AP485" i="16" s="1"/>
  <c r="M275" i="16"/>
  <c r="L275" i="16"/>
  <c r="K275" i="16"/>
  <c r="G275" i="16"/>
  <c r="N275" i="16"/>
  <c r="G687" i="16"/>
  <c r="N687" i="16"/>
  <c r="L687" i="16"/>
  <c r="M687" i="16"/>
  <c r="K687" i="16"/>
  <c r="K623" i="16"/>
  <c r="AA623" i="16"/>
  <c r="I623" i="16" s="1"/>
  <c r="M623" i="16"/>
  <c r="L623" i="16"/>
  <c r="N623" i="16"/>
  <c r="AA559" i="16"/>
  <c r="K559" i="16"/>
  <c r="L559" i="16"/>
  <c r="N559" i="16"/>
  <c r="M559" i="16"/>
  <c r="AA651" i="16"/>
  <c r="I651" i="16" s="1"/>
  <c r="M651" i="16"/>
  <c r="L651" i="16"/>
  <c r="N651" i="16"/>
  <c r="K651" i="16"/>
  <c r="K450" i="16"/>
  <c r="G450" i="16"/>
  <c r="M450" i="16"/>
  <c r="L450" i="16"/>
  <c r="N450" i="16"/>
  <c r="M386" i="16"/>
  <c r="K386" i="16"/>
  <c r="AA386" i="16"/>
  <c r="L386" i="16"/>
  <c r="N386" i="16"/>
  <c r="M322" i="16"/>
  <c r="K322" i="16"/>
  <c r="N322" i="16"/>
  <c r="AA322" i="16"/>
  <c r="H322" i="16" s="1"/>
  <c r="L322" i="16"/>
  <c r="K734" i="16"/>
  <c r="L734" i="16"/>
  <c r="N734" i="16"/>
  <c r="G734" i="16"/>
  <c r="M734" i="16"/>
  <c r="L670" i="16"/>
  <c r="M670" i="16"/>
  <c r="N670" i="16"/>
  <c r="G670" i="16"/>
  <c r="K670" i="16"/>
  <c r="M606" i="16"/>
  <c r="K606" i="16"/>
  <c r="L606" i="16"/>
  <c r="N606" i="16"/>
  <c r="AA606" i="16"/>
  <c r="J606" i="16" s="1"/>
  <c r="M510" i="16"/>
  <c r="N510" i="16"/>
  <c r="K510" i="16"/>
  <c r="G510" i="16"/>
  <c r="L510" i="16"/>
  <c r="L571" i="16"/>
  <c r="AA571" i="16"/>
  <c r="K571" i="16"/>
  <c r="N571" i="16"/>
  <c r="M571" i="16"/>
  <c r="N433" i="16"/>
  <c r="M433" i="16"/>
  <c r="K433" i="16"/>
  <c r="L433" i="16"/>
  <c r="G433" i="16"/>
  <c r="L369" i="16"/>
  <c r="K369" i="16"/>
  <c r="M369" i="16"/>
  <c r="N369" i="16"/>
  <c r="AA369" i="16"/>
  <c r="AA305" i="16"/>
  <c r="I305" i="16" s="1"/>
  <c r="L305" i="16"/>
  <c r="N305" i="16"/>
  <c r="M305" i="16"/>
  <c r="K305" i="16"/>
  <c r="K717" i="16"/>
  <c r="L717" i="16"/>
  <c r="N717" i="16"/>
  <c r="G717" i="16"/>
  <c r="M717" i="16"/>
  <c r="M653" i="16"/>
  <c r="G653" i="16"/>
  <c r="N653" i="16"/>
  <c r="L653" i="16"/>
  <c r="K653" i="16"/>
  <c r="L589" i="16"/>
  <c r="M589" i="16"/>
  <c r="K589" i="16"/>
  <c r="AA589" i="16"/>
  <c r="N589" i="16"/>
  <c r="AA383" i="16"/>
  <c r="K383" i="16"/>
  <c r="M383" i="16"/>
  <c r="N383" i="16"/>
  <c r="L383" i="16"/>
  <c r="M480" i="16"/>
  <c r="G480" i="16"/>
  <c r="L480" i="16"/>
  <c r="N480" i="16"/>
  <c r="K480" i="16"/>
  <c r="L416" i="16"/>
  <c r="M416" i="16"/>
  <c r="G416" i="16"/>
  <c r="K416" i="16"/>
  <c r="N416" i="16"/>
  <c r="L352" i="16"/>
  <c r="M352" i="16"/>
  <c r="AA352" i="16"/>
  <c r="N352" i="16"/>
  <c r="K352" i="16"/>
  <c r="E498" i="16"/>
  <c r="K288" i="16"/>
  <c r="G288" i="16"/>
  <c r="L288" i="16"/>
  <c r="N288" i="16"/>
  <c r="M288" i="16"/>
  <c r="L700" i="16"/>
  <c r="N700" i="16"/>
  <c r="M700" i="16"/>
  <c r="G700" i="16"/>
  <c r="K700" i="16"/>
  <c r="M636" i="16"/>
  <c r="L636" i="16"/>
  <c r="AA636" i="16"/>
  <c r="I636" i="16" s="1"/>
  <c r="K636" i="16"/>
  <c r="N636" i="16"/>
  <c r="K572" i="16"/>
  <c r="N572" i="16"/>
  <c r="M572" i="16"/>
  <c r="AA572" i="16"/>
  <c r="L572" i="16"/>
  <c r="N262" i="16"/>
  <c r="G262" i="16"/>
  <c r="L262" i="16"/>
  <c r="K262" i="16"/>
  <c r="M262" i="16"/>
  <c r="G674" i="16"/>
  <c r="N674" i="16"/>
  <c r="M674" i="16"/>
  <c r="K674" i="16"/>
  <c r="L674" i="16"/>
  <c r="N610" i="16"/>
  <c r="M610" i="16"/>
  <c r="AA610" i="16"/>
  <c r="J610" i="16" s="1"/>
  <c r="L610" i="16"/>
  <c r="K610" i="16"/>
  <c r="E740" i="16"/>
  <c r="K530" i="16"/>
  <c r="N530" i="16"/>
  <c r="L530" i="16"/>
  <c r="G530" i="16"/>
  <c r="M530" i="16"/>
  <c r="K627" i="16"/>
  <c r="AA627" i="16"/>
  <c r="H627" i="16" s="1"/>
  <c r="M627" i="16"/>
  <c r="N627" i="16"/>
  <c r="L627" i="16"/>
  <c r="K437" i="16"/>
  <c r="N437" i="16"/>
  <c r="G437" i="16"/>
  <c r="M437" i="16"/>
  <c r="L437" i="16"/>
  <c r="K373" i="16"/>
  <c r="AA373" i="16"/>
  <c r="N373" i="16"/>
  <c r="M373" i="16"/>
  <c r="L373" i="16"/>
  <c r="AA309" i="16"/>
  <c r="H309" i="16" s="1"/>
  <c r="L309" i="16"/>
  <c r="N309" i="16"/>
  <c r="M309" i="16"/>
  <c r="K309" i="16"/>
  <c r="G729" i="16"/>
  <c r="K729" i="16"/>
  <c r="M729" i="16"/>
  <c r="L729" i="16"/>
  <c r="N729" i="16"/>
  <c r="L665" i="16"/>
  <c r="M665" i="16"/>
  <c r="G665" i="16"/>
  <c r="K665" i="16"/>
  <c r="N665" i="16"/>
  <c r="L601" i="16"/>
  <c r="K601" i="16"/>
  <c r="AA601" i="16"/>
  <c r="I601" i="16" s="1"/>
  <c r="M601" i="16"/>
  <c r="N601" i="16"/>
  <c r="K511" i="16"/>
  <c r="G511" i="16"/>
  <c r="L511" i="16"/>
  <c r="M511" i="16"/>
  <c r="N511" i="16"/>
  <c r="N555" i="16"/>
  <c r="K555" i="16"/>
  <c r="L555" i="16"/>
  <c r="M555" i="16"/>
  <c r="AA555" i="16"/>
  <c r="K428" i="16"/>
  <c r="N428" i="16"/>
  <c r="G428" i="16"/>
  <c r="M428" i="16"/>
  <c r="L428" i="16"/>
  <c r="M364" i="16"/>
  <c r="L364" i="16"/>
  <c r="N364" i="16"/>
  <c r="K364" i="16"/>
  <c r="AA364" i="16"/>
  <c r="L300" i="16"/>
  <c r="M300" i="16"/>
  <c r="AA300" i="16"/>
  <c r="H300" i="16" s="1"/>
  <c r="K300" i="16"/>
  <c r="N300" i="16"/>
  <c r="K712" i="16"/>
  <c r="G712" i="16"/>
  <c r="M712" i="16"/>
  <c r="L712" i="16"/>
  <c r="N712" i="16"/>
  <c r="K648" i="16"/>
  <c r="AA648" i="16"/>
  <c r="H648" i="16" s="1"/>
  <c r="L648" i="16"/>
  <c r="M648" i="16"/>
  <c r="N648" i="16"/>
  <c r="N584" i="16"/>
  <c r="AA584" i="16"/>
  <c r="M584" i="16"/>
  <c r="L584" i="16"/>
  <c r="K584" i="16"/>
  <c r="M375" i="16"/>
  <c r="AA375" i="16"/>
  <c r="L375" i="16"/>
  <c r="N375" i="16"/>
  <c r="K375" i="16"/>
  <c r="N459" i="16"/>
  <c r="M459" i="16"/>
  <c r="L459" i="16"/>
  <c r="G459" i="16"/>
  <c r="K459" i="16"/>
  <c r="L395" i="16"/>
  <c r="K395" i="16"/>
  <c r="N395" i="16"/>
  <c r="AA395" i="16"/>
  <c r="M395" i="16"/>
  <c r="K331" i="16"/>
  <c r="L331" i="16"/>
  <c r="AA331" i="16"/>
  <c r="H331" i="16" s="1"/>
  <c r="N331" i="16"/>
  <c r="M331" i="16"/>
  <c r="L267" i="16"/>
  <c r="M267" i="16"/>
  <c r="N267" i="16"/>
  <c r="G267" i="16"/>
  <c r="K267" i="16"/>
  <c r="L679" i="16"/>
  <c r="M679" i="16"/>
  <c r="N679" i="16"/>
  <c r="K679" i="16"/>
  <c r="G679" i="16"/>
  <c r="AA615" i="16"/>
  <c r="I615" i="16" s="1"/>
  <c r="N615" i="16"/>
  <c r="M615" i="16"/>
  <c r="K615" i="16"/>
  <c r="L615" i="16"/>
  <c r="M551" i="16"/>
  <c r="AA551" i="16"/>
  <c r="K551" i="16"/>
  <c r="L551" i="16"/>
  <c r="N551" i="16"/>
  <c r="K587" i="16"/>
  <c r="AA587" i="16"/>
  <c r="L587" i="16"/>
  <c r="M587" i="16"/>
  <c r="N587" i="16"/>
  <c r="K442" i="16"/>
  <c r="G442" i="16"/>
  <c r="M442" i="16"/>
  <c r="N442" i="16"/>
  <c r="L442" i="16"/>
  <c r="M378" i="16"/>
  <c r="AA378" i="16"/>
  <c r="K378" i="16"/>
  <c r="N378" i="16"/>
  <c r="L378" i="16"/>
  <c r="AA314" i="16"/>
  <c r="J314" i="16" s="1"/>
  <c r="N314" i="16"/>
  <c r="M314" i="16"/>
  <c r="L314" i="16"/>
  <c r="K314" i="16"/>
  <c r="N726" i="16"/>
  <c r="L726" i="16"/>
  <c r="K726" i="16"/>
  <c r="G726" i="16"/>
  <c r="M726" i="16"/>
  <c r="G662" i="16"/>
  <c r="L662" i="16"/>
  <c r="M662" i="16"/>
  <c r="N662" i="16"/>
  <c r="K662" i="16"/>
  <c r="M598" i="16"/>
  <c r="AA598" i="16"/>
  <c r="L598" i="16"/>
  <c r="K598" i="16"/>
  <c r="N598" i="16"/>
  <c r="M479" i="16"/>
  <c r="K479" i="16"/>
  <c r="G479" i="16"/>
  <c r="L479" i="16"/>
  <c r="N479" i="16"/>
  <c r="M259" i="16"/>
  <c r="L259" i="16"/>
  <c r="N259" i="16"/>
  <c r="K259" i="16"/>
  <c r="G259" i="16"/>
  <c r="G425" i="16"/>
  <c r="L425" i="16"/>
  <c r="N425" i="16"/>
  <c r="M425" i="16"/>
  <c r="K425" i="16"/>
  <c r="N361" i="16"/>
  <c r="M361" i="16"/>
  <c r="L361" i="16"/>
  <c r="AA361" i="16"/>
  <c r="K361" i="16"/>
  <c r="AA297" i="16"/>
  <c r="I297" i="16" s="1"/>
  <c r="L297" i="16"/>
  <c r="M297" i="16"/>
  <c r="N297" i="16"/>
  <c r="K297" i="16"/>
  <c r="M709" i="16"/>
  <c r="N709" i="16"/>
  <c r="L709" i="16"/>
  <c r="K709" i="16"/>
  <c r="G709" i="16"/>
  <c r="AA645" i="16"/>
  <c r="H645" i="16" s="1"/>
  <c r="M645" i="16"/>
  <c r="L645" i="16"/>
  <c r="N645" i="16"/>
  <c r="K645" i="16"/>
  <c r="N581" i="16"/>
  <c r="M581" i="16"/>
  <c r="K581" i="16"/>
  <c r="L581" i="16"/>
  <c r="AA581" i="16"/>
  <c r="M327" i="16"/>
  <c r="K327" i="16"/>
  <c r="AA327" i="16"/>
  <c r="I327" i="16" s="1"/>
  <c r="N327" i="16"/>
  <c r="L327" i="16"/>
  <c r="L472" i="16"/>
  <c r="M472" i="16"/>
  <c r="G472" i="16"/>
  <c r="K472" i="16"/>
  <c r="N472" i="16"/>
  <c r="K408" i="16"/>
  <c r="L408" i="16"/>
  <c r="G408" i="16"/>
  <c r="M408" i="16"/>
  <c r="N408" i="16"/>
  <c r="L344" i="16"/>
  <c r="AA344" i="16"/>
  <c r="N344" i="16"/>
  <c r="K344" i="16"/>
  <c r="M344" i="16"/>
  <c r="E490" i="16"/>
  <c r="G280" i="16"/>
  <c r="K280" i="16"/>
  <c r="M280" i="16"/>
  <c r="L280" i="16"/>
  <c r="N280" i="16"/>
  <c r="M692" i="16"/>
  <c r="L692" i="16"/>
  <c r="N692" i="16"/>
  <c r="K692" i="16"/>
  <c r="G692" i="16"/>
  <c r="M628" i="16"/>
  <c r="AA628" i="16"/>
  <c r="I628" i="16" s="1"/>
  <c r="N628" i="16"/>
  <c r="K628" i="16"/>
  <c r="L628" i="16"/>
  <c r="M564" i="16"/>
  <c r="L564" i="16"/>
  <c r="K564" i="16"/>
  <c r="N564" i="16"/>
  <c r="AA564" i="16"/>
  <c r="K643" i="16"/>
  <c r="AA643" i="16"/>
  <c r="M643" i="16"/>
  <c r="L643" i="16"/>
  <c r="N643" i="16"/>
  <c r="M446" i="16"/>
  <c r="L446" i="16"/>
  <c r="N446" i="16"/>
  <c r="K446" i="16"/>
  <c r="G446" i="16"/>
  <c r="AA382" i="16"/>
  <c r="M382" i="16"/>
  <c r="K382" i="16"/>
  <c r="L382" i="16"/>
  <c r="N382" i="16"/>
  <c r="AA318" i="16"/>
  <c r="I318" i="16" s="1"/>
  <c r="N318" i="16"/>
  <c r="K318" i="16"/>
  <c r="L318" i="16"/>
  <c r="M318" i="16"/>
  <c r="M730" i="16"/>
  <c r="K730" i="16"/>
  <c r="N730" i="16"/>
  <c r="G730" i="16"/>
  <c r="L730" i="16"/>
  <c r="K666" i="16"/>
  <c r="G666" i="16"/>
  <c r="N666" i="16"/>
  <c r="M666" i="16"/>
  <c r="L666" i="16"/>
  <c r="AA602" i="16"/>
  <c r="J602" i="16" s="1"/>
  <c r="K602" i="16"/>
  <c r="L602" i="16"/>
  <c r="N602" i="16"/>
  <c r="M602" i="16"/>
  <c r="E742" i="16"/>
  <c r="N532" i="16"/>
  <c r="L532" i="16"/>
  <c r="G532" i="16"/>
  <c r="M532" i="16"/>
  <c r="K532" i="16"/>
  <c r="L579" i="16"/>
  <c r="K579" i="16"/>
  <c r="AA579" i="16"/>
  <c r="M579" i="16"/>
  <c r="N579" i="16"/>
  <c r="G429" i="16"/>
  <c r="N429" i="16"/>
  <c r="L429" i="16"/>
  <c r="K429" i="16"/>
  <c r="M429" i="16"/>
  <c r="K365" i="16"/>
  <c r="L365" i="16"/>
  <c r="N365" i="16"/>
  <c r="AA365" i="16"/>
  <c r="M365" i="16"/>
  <c r="AA301" i="16"/>
  <c r="J301" i="16" s="1"/>
  <c r="M301" i="16"/>
  <c r="N301" i="16"/>
  <c r="L301" i="16"/>
  <c r="K301" i="16"/>
  <c r="G721" i="16"/>
  <c r="K721" i="16"/>
  <c r="N721" i="16"/>
  <c r="L721" i="16"/>
  <c r="M721" i="16"/>
  <c r="G657" i="16"/>
  <c r="M657" i="16"/>
  <c r="L657" i="16"/>
  <c r="N657" i="16"/>
  <c r="K657" i="16"/>
  <c r="M593" i="16"/>
  <c r="K593" i="16"/>
  <c r="L593" i="16"/>
  <c r="AA593" i="16"/>
  <c r="N593" i="16"/>
  <c r="M455" i="16"/>
  <c r="L455" i="16"/>
  <c r="G455" i="16"/>
  <c r="K455" i="16"/>
  <c r="N455" i="16"/>
  <c r="K484" i="16"/>
  <c r="M484" i="16"/>
  <c r="N484" i="16"/>
  <c r="L484" i="16"/>
  <c r="G484" i="16"/>
  <c r="M420" i="16"/>
  <c r="L420" i="16"/>
  <c r="K420" i="16"/>
  <c r="G420" i="16"/>
  <c r="N420" i="16"/>
  <c r="M356" i="16"/>
  <c r="K356" i="16"/>
  <c r="AA356" i="16"/>
  <c r="L356" i="16"/>
  <c r="N356" i="16"/>
  <c r="M292" i="16"/>
  <c r="E502" i="16"/>
  <c r="K292" i="16"/>
  <c r="N292" i="16"/>
  <c r="G292" i="16"/>
  <c r="L292" i="16"/>
  <c r="G704" i="16"/>
  <c r="K704" i="16"/>
  <c r="M704" i="16"/>
  <c r="L704" i="16"/>
  <c r="N704" i="16"/>
  <c r="M640" i="16"/>
  <c r="K640" i="16"/>
  <c r="AA640" i="16"/>
  <c r="H640" i="16" s="1"/>
  <c r="L640" i="16"/>
  <c r="N640" i="16"/>
  <c r="M576" i="16"/>
  <c r="N576" i="16"/>
  <c r="L576" i="16"/>
  <c r="AA576" i="16"/>
  <c r="K576" i="16"/>
  <c r="L319" i="16"/>
  <c r="N319" i="16"/>
  <c r="K319" i="16"/>
  <c r="AA319" i="16"/>
  <c r="H319" i="16" s="1"/>
  <c r="M319" i="16"/>
  <c r="M451" i="16"/>
  <c r="L451" i="16"/>
  <c r="N451" i="16"/>
  <c r="G451" i="16"/>
  <c r="K451" i="16"/>
  <c r="L387" i="16"/>
  <c r="N387" i="16"/>
  <c r="M387" i="16"/>
  <c r="K387" i="16"/>
  <c r="AA387" i="16"/>
  <c r="N323" i="16"/>
  <c r="K323" i="16"/>
  <c r="M323" i="16"/>
  <c r="AA323" i="16"/>
  <c r="J323" i="16" s="1"/>
  <c r="L323" i="16"/>
  <c r="M735" i="16"/>
  <c r="N735" i="16"/>
  <c r="G735" i="16"/>
  <c r="L735" i="16"/>
  <c r="K735" i="16"/>
  <c r="M671" i="16"/>
  <c r="G671" i="16"/>
  <c r="N671" i="16"/>
  <c r="L671" i="16"/>
  <c r="K671" i="16"/>
  <c r="K607" i="16"/>
  <c r="M607" i="16"/>
  <c r="N607" i="16"/>
  <c r="AA607" i="16"/>
  <c r="L607" i="16"/>
  <c r="E737" i="16"/>
  <c r="AP737" i="16" s="1"/>
  <c r="G527" i="16"/>
  <c r="L527" i="16"/>
  <c r="N527" i="16"/>
  <c r="K527" i="16"/>
  <c r="M527" i="16"/>
  <c r="N507" i="16"/>
  <c r="K507" i="16"/>
  <c r="M507" i="16"/>
  <c r="G507" i="16"/>
  <c r="L507" i="16"/>
  <c r="M434" i="16"/>
  <c r="N434" i="16"/>
  <c r="K434" i="16"/>
  <c r="L434" i="16"/>
  <c r="G434" i="16"/>
  <c r="K370" i="16"/>
  <c r="AA370" i="16"/>
  <c r="L370" i="16"/>
  <c r="M370" i="16"/>
  <c r="N370" i="16"/>
  <c r="L306" i="16"/>
  <c r="M306" i="16"/>
  <c r="AA306" i="16"/>
  <c r="J306" i="16" s="1"/>
  <c r="N306" i="16"/>
  <c r="K306" i="16"/>
  <c r="M718" i="16"/>
  <c r="N718" i="16"/>
  <c r="G718" i="16"/>
  <c r="L718" i="16"/>
  <c r="K718" i="16"/>
  <c r="L654" i="16"/>
  <c r="N654" i="16"/>
  <c r="M654" i="16"/>
  <c r="G654" i="16"/>
  <c r="K654" i="16"/>
  <c r="M590" i="16"/>
  <c r="K590" i="16"/>
  <c r="AA590" i="16"/>
  <c r="I590" i="16" s="1"/>
  <c r="L590" i="16"/>
  <c r="N590" i="16"/>
  <c r="L415" i="16"/>
  <c r="G415" i="16"/>
  <c r="N415" i="16"/>
  <c r="K415" i="16"/>
  <c r="M415" i="16"/>
  <c r="G481" i="16"/>
  <c r="L481" i="16"/>
  <c r="K481" i="16"/>
  <c r="N481" i="16"/>
  <c r="M481" i="16"/>
  <c r="K417" i="16"/>
  <c r="L417" i="16"/>
  <c r="M417" i="16"/>
  <c r="G417" i="16"/>
  <c r="N417" i="16"/>
  <c r="AA353" i="16"/>
  <c r="J353" i="16" s="1"/>
  <c r="K353" i="16"/>
  <c r="L353" i="16"/>
  <c r="N353" i="16"/>
  <c r="M353" i="16"/>
  <c r="E499" i="16"/>
  <c r="G289" i="16"/>
  <c r="K289" i="16"/>
  <c r="M289" i="16"/>
  <c r="N289" i="16"/>
  <c r="L289" i="16"/>
  <c r="G701" i="16"/>
  <c r="L701" i="16"/>
  <c r="N701" i="16"/>
  <c r="M701" i="16"/>
  <c r="K701" i="16"/>
  <c r="AA637" i="16"/>
  <c r="I637" i="16" s="1"/>
  <c r="M637" i="16"/>
  <c r="K637" i="16"/>
  <c r="L637" i="16"/>
  <c r="N637" i="16"/>
  <c r="N573" i="16"/>
  <c r="M573" i="16"/>
  <c r="AA573" i="16"/>
  <c r="K573" i="16"/>
  <c r="L573" i="16"/>
  <c r="E489" i="16"/>
  <c r="M279" i="16"/>
  <c r="L279" i="16"/>
  <c r="N279" i="16"/>
  <c r="K279" i="16"/>
  <c r="G279" i="16"/>
  <c r="M464" i="16"/>
  <c r="K464" i="16"/>
  <c r="G464" i="16"/>
  <c r="N464" i="16"/>
  <c r="L464" i="16"/>
  <c r="AA400" i="16"/>
  <c r="L400" i="16"/>
  <c r="K400" i="16"/>
  <c r="M400" i="16"/>
  <c r="N400" i="16"/>
  <c r="L336" i="16"/>
  <c r="K336" i="16"/>
  <c r="N336" i="16"/>
  <c r="M336" i="16"/>
  <c r="AA336" i="16"/>
  <c r="K272" i="16"/>
  <c r="G272" i="16"/>
  <c r="N272" i="16"/>
  <c r="L272" i="16"/>
  <c r="M272" i="16"/>
  <c r="G684" i="16"/>
  <c r="N684" i="16"/>
  <c r="L684" i="16"/>
  <c r="M684" i="16"/>
  <c r="K684" i="16"/>
  <c r="AA620" i="16"/>
  <c r="H620" i="16" s="1"/>
  <c r="L620" i="16"/>
  <c r="K620" i="16"/>
  <c r="N620" i="16"/>
  <c r="M620" i="16"/>
  <c r="N556" i="16"/>
  <c r="M556" i="16"/>
  <c r="L556" i="16"/>
  <c r="K556" i="16"/>
  <c r="AA556" i="16"/>
  <c r="L595" i="16"/>
  <c r="K595" i="16"/>
  <c r="AA595" i="16"/>
  <c r="M595" i="16"/>
  <c r="N595" i="16"/>
  <c r="M438" i="16"/>
  <c r="K438" i="16"/>
  <c r="G438" i="16"/>
  <c r="N438" i="16"/>
  <c r="L438" i="16"/>
  <c r="AA374" i="16"/>
  <c r="M374" i="16"/>
  <c r="N374" i="16"/>
  <c r="K374" i="16"/>
  <c r="L374" i="16"/>
  <c r="AA310" i="16"/>
  <c r="J310" i="16" s="1"/>
  <c r="L310" i="16"/>
  <c r="M310" i="16"/>
  <c r="N310" i="16"/>
  <c r="K310" i="16"/>
  <c r="K722" i="16"/>
  <c r="L722" i="16"/>
  <c r="G722" i="16"/>
  <c r="M722" i="16"/>
  <c r="N722" i="16"/>
  <c r="G658" i="16"/>
  <c r="K658" i="16"/>
  <c r="N658" i="16"/>
  <c r="L658" i="16"/>
  <c r="M658" i="16"/>
  <c r="K594" i="16"/>
  <c r="L594" i="16"/>
  <c r="AA594" i="16"/>
  <c r="H594" i="16" s="1"/>
  <c r="M594" i="16"/>
  <c r="N594" i="16"/>
  <c r="L447" i="16"/>
  <c r="G447" i="16"/>
  <c r="N447" i="16"/>
  <c r="K447" i="16"/>
  <c r="M447" i="16"/>
  <c r="M255" i="16"/>
  <c r="L255" i="16"/>
  <c r="N255" i="16"/>
  <c r="G255" i="16"/>
  <c r="K255" i="16"/>
  <c r="K421" i="16"/>
  <c r="N421" i="16"/>
  <c r="L421" i="16"/>
  <c r="M421" i="16"/>
  <c r="G421" i="16"/>
  <c r="AA357" i="16"/>
  <c r="I357" i="16" s="1"/>
  <c r="N357" i="16"/>
  <c r="K357" i="16"/>
  <c r="L357" i="16"/>
  <c r="M357" i="16"/>
  <c r="E503" i="16"/>
  <c r="N293" i="16"/>
  <c r="G293" i="16"/>
  <c r="K293" i="16"/>
  <c r="L293" i="16"/>
  <c r="M293" i="16"/>
  <c r="M713" i="16"/>
  <c r="G713" i="16"/>
  <c r="L713" i="16"/>
  <c r="K713" i="16"/>
  <c r="N713" i="16"/>
  <c r="AA649" i="16"/>
  <c r="I649" i="16" s="1"/>
  <c r="N649" i="16"/>
  <c r="K649" i="16"/>
  <c r="M649" i="16"/>
  <c r="L649" i="16"/>
  <c r="N585" i="16"/>
  <c r="M585" i="16"/>
  <c r="K585" i="16"/>
  <c r="AA585" i="16"/>
  <c r="L585" i="16"/>
  <c r="M407" i="16"/>
  <c r="K407" i="16"/>
  <c r="L407" i="16"/>
  <c r="G407" i="16"/>
  <c r="N407" i="16"/>
  <c r="K476" i="16"/>
  <c r="G476" i="16"/>
  <c r="L476" i="16"/>
  <c r="N476" i="16"/>
  <c r="M476" i="16"/>
  <c r="G412" i="16"/>
  <c r="M412" i="16"/>
  <c r="N412" i="16"/>
  <c r="L412" i="16"/>
  <c r="K412" i="16"/>
  <c r="M348" i="16"/>
  <c r="N348" i="16"/>
  <c r="AA348" i="16"/>
  <c r="K348" i="16"/>
  <c r="L348" i="16"/>
  <c r="E494" i="16"/>
  <c r="G284" i="16"/>
  <c r="N284" i="16"/>
  <c r="L284" i="16"/>
  <c r="M284" i="16"/>
  <c r="K284" i="16"/>
  <c r="G696" i="16"/>
  <c r="K696" i="16"/>
  <c r="M696" i="16"/>
  <c r="L696" i="16"/>
  <c r="N696" i="16"/>
  <c r="M632" i="16"/>
  <c r="L632" i="16"/>
  <c r="AA632" i="16"/>
  <c r="H632" i="16" s="1"/>
  <c r="N632" i="16"/>
  <c r="K632" i="16"/>
  <c r="M568" i="16"/>
  <c r="K568" i="16"/>
  <c r="N568" i="16"/>
  <c r="AA568" i="16"/>
  <c r="L568" i="16"/>
  <c r="E497" i="16"/>
  <c r="AP497" i="16" s="1"/>
  <c r="G287" i="16"/>
  <c r="M287" i="16"/>
  <c r="L287" i="16"/>
  <c r="K287" i="16"/>
  <c r="N287" i="16"/>
  <c r="N443" i="16"/>
  <c r="L443" i="16"/>
  <c r="M443" i="16"/>
  <c r="G443" i="16"/>
  <c r="K443" i="16"/>
  <c r="L379" i="16"/>
  <c r="M379" i="16"/>
  <c r="AA379" i="16"/>
  <c r="K379" i="16"/>
  <c r="N379" i="16"/>
  <c r="L315" i="16"/>
  <c r="N315" i="16"/>
  <c r="AA315" i="16"/>
  <c r="H315" i="16" s="1"/>
  <c r="K315" i="16"/>
  <c r="M315" i="16"/>
  <c r="M727" i="16"/>
  <c r="G727" i="16"/>
  <c r="N727" i="16"/>
  <c r="K727" i="16"/>
  <c r="L727" i="16"/>
  <c r="M663" i="16"/>
  <c r="N663" i="16"/>
  <c r="G663" i="16"/>
  <c r="L663" i="16"/>
  <c r="K663" i="16"/>
  <c r="L599" i="16"/>
  <c r="AA599" i="16"/>
  <c r="K599" i="16"/>
  <c r="M599" i="16"/>
  <c r="N599" i="16"/>
  <c r="M471" i="16"/>
  <c r="K471" i="16"/>
  <c r="G471" i="16"/>
  <c r="L471" i="16"/>
  <c r="N471" i="16"/>
  <c r="N260" i="16"/>
  <c r="K260" i="16"/>
  <c r="L260" i="16"/>
  <c r="G260" i="16"/>
  <c r="M260" i="16"/>
  <c r="G426" i="16"/>
  <c r="N426" i="16"/>
  <c r="M426" i="16"/>
  <c r="K426" i="16"/>
  <c r="L426" i="16"/>
  <c r="L362" i="16"/>
  <c r="AA362" i="16"/>
  <c r="K362" i="16"/>
  <c r="N362" i="16"/>
  <c r="M362" i="16"/>
  <c r="AA298" i="16"/>
  <c r="H298" i="16" s="1"/>
  <c r="L298" i="16"/>
  <c r="M298" i="16"/>
  <c r="N298" i="16"/>
  <c r="K298" i="16"/>
  <c r="G710" i="16"/>
  <c r="L710" i="16"/>
  <c r="M710" i="16"/>
  <c r="N710" i="16"/>
  <c r="K710" i="16"/>
  <c r="K646" i="16"/>
  <c r="L646" i="16"/>
  <c r="M646" i="16"/>
  <c r="N646" i="16"/>
  <c r="AA646" i="16"/>
  <c r="H646" i="16" s="1"/>
  <c r="M582" i="16"/>
  <c r="K582" i="16"/>
  <c r="AA582" i="16"/>
  <c r="L582" i="16"/>
  <c r="N582" i="16"/>
  <c r="AA335" i="16"/>
  <c r="H335" i="16" s="1"/>
  <c r="L335" i="16"/>
  <c r="M335" i="16"/>
  <c r="N335" i="16"/>
  <c r="K335" i="16"/>
  <c r="G473" i="16"/>
  <c r="N473" i="16"/>
  <c r="K473" i="16"/>
  <c r="L473" i="16"/>
  <c r="M473" i="16"/>
  <c r="L409" i="16"/>
  <c r="G409" i="16"/>
  <c r="N409" i="16"/>
  <c r="M409" i="16"/>
  <c r="K409" i="16"/>
  <c r="L345" i="16"/>
  <c r="N345" i="16"/>
  <c r="K345" i="16"/>
  <c r="M345" i="16"/>
  <c r="AA345" i="16"/>
  <c r="E491" i="16"/>
  <c r="G281" i="16"/>
  <c r="M281" i="16"/>
  <c r="L281" i="16"/>
  <c r="K281" i="16"/>
  <c r="N281" i="16"/>
  <c r="L693" i="16"/>
  <c r="M693" i="16"/>
  <c r="G693" i="16"/>
  <c r="K693" i="16"/>
  <c r="N693" i="16"/>
  <c r="K629" i="16"/>
  <c r="M629" i="16"/>
  <c r="L629" i="16"/>
  <c r="AA629" i="16"/>
  <c r="J629" i="16" s="1"/>
  <c r="N629" i="16"/>
  <c r="M565" i="16"/>
  <c r="K565" i="16"/>
  <c r="L565" i="16"/>
  <c r="AA565" i="16"/>
  <c r="N565" i="16"/>
  <c r="L723" i="16"/>
  <c r="G723" i="16"/>
  <c r="K723" i="16"/>
  <c r="M723" i="16"/>
  <c r="N723" i="16"/>
  <c r="M456" i="16"/>
  <c r="K456" i="16"/>
  <c r="G456" i="16"/>
  <c r="L456" i="16"/>
  <c r="N456" i="16"/>
  <c r="K392" i="16"/>
  <c r="AA392" i="16"/>
  <c r="L392" i="16"/>
  <c r="N392" i="16"/>
  <c r="M392" i="16"/>
  <c r="M328" i="16"/>
  <c r="AA328" i="16"/>
  <c r="J328" i="16" s="1"/>
  <c r="L328" i="16"/>
  <c r="N328" i="16"/>
  <c r="K328" i="16"/>
  <c r="K264" i="16"/>
  <c r="N264" i="16"/>
  <c r="G264" i="16"/>
  <c r="M264" i="16"/>
  <c r="L264" i="16"/>
  <c r="M676" i="16"/>
  <c r="G676" i="16"/>
  <c r="L676" i="16"/>
  <c r="N676" i="16"/>
  <c r="K676" i="16"/>
  <c r="AA612" i="16"/>
  <c r="I612" i="16" s="1"/>
  <c r="M612" i="16"/>
  <c r="N612" i="16"/>
  <c r="K612" i="16"/>
  <c r="L612" i="16"/>
  <c r="N548" i="16"/>
  <c r="L548" i="16"/>
  <c r="M548" i="16"/>
  <c r="K548" i="16"/>
  <c r="AA548" i="16"/>
  <c r="M650" i="16"/>
  <c r="AA650" i="16"/>
  <c r="J650" i="16" s="1"/>
  <c r="L650" i="16"/>
  <c r="K650" i="16"/>
  <c r="N650" i="16"/>
  <c r="AA586" i="16"/>
  <c r="L586" i="16"/>
  <c r="K586" i="16"/>
  <c r="N586" i="16"/>
  <c r="M586" i="16"/>
  <c r="K391" i="16"/>
  <c r="AA391" i="16"/>
  <c r="N391" i="16"/>
  <c r="M391" i="16"/>
  <c r="L391" i="16"/>
  <c r="N477" i="16"/>
  <c r="K477" i="16"/>
  <c r="M477" i="16"/>
  <c r="L477" i="16"/>
  <c r="G477" i="16"/>
  <c r="N413" i="16"/>
  <c r="M413" i="16"/>
  <c r="K413" i="16"/>
  <c r="G413" i="16"/>
  <c r="L413" i="16"/>
  <c r="AA349" i="16"/>
  <c r="M349" i="16"/>
  <c r="K349" i="16"/>
  <c r="N349" i="16"/>
  <c r="L349" i="16"/>
  <c r="E495" i="16"/>
  <c r="AP495" i="16" s="1"/>
  <c r="N285" i="16"/>
  <c r="M285" i="16"/>
  <c r="L285" i="16"/>
  <c r="G285" i="16"/>
  <c r="K285" i="16"/>
  <c r="M705" i="16"/>
  <c r="N705" i="16"/>
  <c r="G705" i="16"/>
  <c r="K705" i="16"/>
  <c r="L705" i="16"/>
  <c r="AA641" i="16"/>
  <c r="H641" i="16" s="1"/>
  <c r="N641" i="16"/>
  <c r="M641" i="16"/>
  <c r="L641" i="16"/>
  <c r="K641" i="16"/>
  <c r="L577" i="16"/>
  <c r="N577" i="16"/>
  <c r="M577" i="16"/>
  <c r="K577" i="16"/>
  <c r="AA577" i="16"/>
  <c r="AA351" i="16"/>
  <c r="L351" i="16"/>
  <c r="M351" i="16"/>
  <c r="N351" i="16"/>
  <c r="K351" i="16"/>
  <c r="K468" i="16"/>
  <c r="N468" i="16"/>
  <c r="G468" i="16"/>
  <c r="M468" i="16"/>
  <c r="L468" i="16"/>
  <c r="K404" i="16"/>
  <c r="G404" i="16"/>
  <c r="N404" i="16"/>
  <c r="M404" i="16"/>
  <c r="L404" i="16"/>
  <c r="AA340" i="16"/>
  <c r="L340" i="16"/>
  <c r="M340" i="16"/>
  <c r="N340" i="16"/>
  <c r="K340" i="16"/>
  <c r="G276" i="16"/>
  <c r="E486" i="16"/>
  <c r="N276" i="16"/>
  <c r="M276" i="16"/>
  <c r="K276" i="16"/>
  <c r="L276" i="16"/>
  <c r="K688" i="16"/>
  <c r="M688" i="16"/>
  <c r="N688" i="16"/>
  <c r="G688" i="16"/>
  <c r="L688" i="16"/>
  <c r="M624" i="16"/>
  <c r="N624" i="16"/>
  <c r="AA624" i="16"/>
  <c r="H624" i="16" s="1"/>
  <c r="L624" i="16"/>
  <c r="K624" i="16"/>
  <c r="M560" i="16"/>
  <c r="K560" i="16"/>
  <c r="N560" i="16"/>
  <c r="AA560" i="16"/>
  <c r="L560" i="16"/>
  <c r="AA635" i="16"/>
  <c r="I635" i="16" s="1"/>
  <c r="K635" i="16"/>
  <c r="L635" i="16"/>
  <c r="N635" i="16"/>
  <c r="M635" i="16"/>
  <c r="G435" i="16"/>
  <c r="M435" i="16"/>
  <c r="L435" i="16"/>
  <c r="N435" i="16"/>
  <c r="K435" i="16"/>
  <c r="AA371" i="16"/>
  <c r="M371" i="16"/>
  <c r="N371" i="16"/>
  <c r="K371" i="16"/>
  <c r="L371" i="16"/>
  <c r="AA307" i="16"/>
  <c r="H307" i="16" s="1"/>
  <c r="K307" i="16"/>
  <c r="N307" i="16"/>
  <c r="L307" i="16"/>
  <c r="M307" i="16"/>
  <c r="L719" i="16"/>
  <c r="N719" i="16"/>
  <c r="M719" i="16"/>
  <c r="G719" i="16"/>
  <c r="K719" i="16"/>
  <c r="M655" i="16"/>
  <c r="N655" i="16"/>
  <c r="L655" i="16"/>
  <c r="G655" i="16"/>
  <c r="K655" i="16"/>
  <c r="L591" i="16"/>
  <c r="AA591" i="16"/>
  <c r="J591" i="16" s="1"/>
  <c r="K591" i="16"/>
  <c r="N591" i="16"/>
  <c r="M591" i="16"/>
  <c r="K399" i="16"/>
  <c r="AA399" i="16"/>
  <c r="M399" i="16"/>
  <c r="N399" i="16"/>
  <c r="L399" i="16"/>
  <c r="G482" i="16"/>
  <c r="N482" i="16"/>
  <c r="K482" i="16"/>
  <c r="L482" i="16"/>
  <c r="M482" i="16"/>
  <c r="M418" i="16"/>
  <c r="N418" i="16"/>
  <c r="G418" i="16"/>
  <c r="K418" i="16"/>
  <c r="L418" i="16"/>
  <c r="L354" i="16"/>
  <c r="K354" i="16"/>
  <c r="AA354" i="16"/>
  <c r="N354" i="16"/>
  <c r="M354" i="16"/>
  <c r="E500" i="16"/>
  <c r="M290" i="16"/>
  <c r="N290" i="16"/>
  <c r="L290" i="16"/>
  <c r="K290" i="16"/>
  <c r="G290" i="16"/>
  <c r="K702" i="16"/>
  <c r="N702" i="16"/>
  <c r="L702" i="16"/>
  <c r="M702" i="16"/>
  <c r="G702" i="16"/>
  <c r="L638" i="16"/>
  <c r="M638" i="16"/>
  <c r="AA638" i="16"/>
  <c r="K638" i="16"/>
  <c r="N638" i="16"/>
  <c r="AA574" i="16"/>
  <c r="N574" i="16"/>
  <c r="L574" i="16"/>
  <c r="M574" i="16"/>
  <c r="K574" i="16"/>
  <c r="M263" i="16"/>
  <c r="L263" i="16"/>
  <c r="G263" i="16"/>
  <c r="N263" i="16"/>
  <c r="K263" i="16"/>
  <c r="K465" i="16"/>
  <c r="L465" i="16"/>
  <c r="G465" i="16"/>
  <c r="N465" i="16"/>
  <c r="M465" i="16"/>
  <c r="M401" i="16"/>
  <c r="N401" i="16"/>
  <c r="G401" i="16"/>
  <c r="K401" i="16"/>
  <c r="L401" i="16"/>
  <c r="L337" i="16"/>
  <c r="N337" i="16"/>
  <c r="AA337" i="16"/>
  <c r="J337" i="16" s="1"/>
  <c r="M337" i="16"/>
  <c r="K337" i="16"/>
  <c r="L273" i="16"/>
  <c r="M273" i="16"/>
  <c r="G273" i="16"/>
  <c r="K273" i="16"/>
  <c r="N273" i="16"/>
  <c r="G685" i="16"/>
  <c r="K685" i="16"/>
  <c r="M685" i="16"/>
  <c r="L685" i="16"/>
  <c r="N685" i="16"/>
  <c r="K621" i="16"/>
  <c r="L621" i="16"/>
  <c r="AA621" i="16"/>
  <c r="J621" i="16" s="1"/>
  <c r="N621" i="16"/>
  <c r="M621" i="16"/>
  <c r="L557" i="16"/>
  <c r="K557" i="16"/>
  <c r="M557" i="16"/>
  <c r="N557" i="16"/>
  <c r="AA557" i="16"/>
  <c r="G675" i="16"/>
  <c r="K675" i="16"/>
  <c r="N675" i="16"/>
  <c r="M675" i="16"/>
  <c r="L675" i="16"/>
  <c r="L448" i="16"/>
  <c r="M448" i="16"/>
  <c r="N448" i="16"/>
  <c r="K448" i="16"/>
  <c r="G448" i="16"/>
  <c r="L384" i="16"/>
  <c r="AA384" i="16"/>
  <c r="K384" i="16"/>
  <c r="N384" i="16"/>
  <c r="M384" i="16"/>
  <c r="AA320" i="16"/>
  <c r="L320" i="16"/>
  <c r="M320" i="16"/>
  <c r="K320" i="16"/>
  <c r="N320" i="16"/>
  <c r="M732" i="16"/>
  <c r="L732" i="16"/>
  <c r="G732" i="16"/>
  <c r="K732" i="16"/>
  <c r="N732" i="16"/>
  <c r="M668" i="16"/>
  <c r="L668" i="16"/>
  <c r="N668" i="16"/>
  <c r="K668" i="16"/>
  <c r="G668" i="16"/>
  <c r="AA604" i="16"/>
  <c r="N604" i="16"/>
  <c r="M604" i="16"/>
  <c r="L604" i="16"/>
  <c r="K604" i="16"/>
  <c r="L508" i="16"/>
  <c r="G508" i="16"/>
  <c r="M508" i="16"/>
  <c r="K508" i="16"/>
  <c r="N508" i="16"/>
  <c r="G463" i="16"/>
  <c r="N463" i="16"/>
  <c r="K463" i="16"/>
  <c r="L463" i="16"/>
  <c r="M463" i="16"/>
  <c r="K256" i="16"/>
  <c r="G256" i="16"/>
  <c r="L256" i="16"/>
  <c r="M256" i="16"/>
  <c r="N256" i="16"/>
  <c r="N422" i="16"/>
  <c r="K422" i="16"/>
  <c r="G422" i="16"/>
  <c r="L422" i="16"/>
  <c r="M422" i="16"/>
  <c r="L358" i="16"/>
  <c r="K358" i="16"/>
  <c r="AA358" i="16"/>
  <c r="N358" i="16"/>
  <c r="M358" i="16"/>
  <c r="E504" i="16"/>
  <c r="N294" i="16"/>
  <c r="M294" i="16"/>
  <c r="L294" i="16"/>
  <c r="K294" i="16"/>
  <c r="G294" i="16"/>
  <c r="G706" i="16"/>
  <c r="K706" i="16"/>
  <c r="N706" i="16"/>
  <c r="M706" i="16"/>
  <c r="L706" i="16"/>
  <c r="K642" i="16"/>
  <c r="L642" i="16"/>
  <c r="M642" i="16"/>
  <c r="AA642" i="16"/>
  <c r="J642" i="16" s="1"/>
  <c r="N642" i="16"/>
  <c r="AA578" i="16"/>
  <c r="K578" i="16"/>
  <c r="L578" i="16"/>
  <c r="M578" i="16"/>
  <c r="N578" i="16"/>
  <c r="K343" i="16"/>
  <c r="AA343" i="16"/>
  <c r="N343" i="16"/>
  <c r="L343" i="16"/>
  <c r="M343" i="16"/>
  <c r="L469" i="16"/>
  <c r="M469" i="16"/>
  <c r="N469" i="16"/>
  <c r="K469" i="16"/>
  <c r="G469" i="16"/>
  <c r="K405" i="16"/>
  <c r="N405" i="16"/>
  <c r="G405" i="16"/>
  <c r="M405" i="16"/>
  <c r="L405" i="16"/>
  <c r="AA341" i="16"/>
  <c r="H341" i="16" s="1"/>
  <c r="K341" i="16"/>
  <c r="N341" i="16"/>
  <c r="L341" i="16"/>
  <c r="M341" i="16"/>
  <c r="E487" i="16"/>
  <c r="L277" i="16"/>
  <c r="G277" i="16"/>
  <c r="M277" i="16"/>
  <c r="K277" i="16"/>
  <c r="N277" i="16"/>
  <c r="M697" i="16"/>
  <c r="N697" i="16"/>
  <c r="L697" i="16"/>
  <c r="G697" i="16"/>
  <c r="K697" i="16"/>
  <c r="AA633" i="16"/>
  <c r="I633" i="16" s="1"/>
  <c r="K633" i="16"/>
  <c r="M633" i="16"/>
  <c r="L633" i="16"/>
  <c r="N633" i="16"/>
  <c r="M569" i="16"/>
  <c r="L569" i="16"/>
  <c r="AA569" i="16"/>
  <c r="K569" i="16"/>
  <c r="N569" i="16"/>
  <c r="M271" i="16"/>
  <c r="L271" i="16"/>
  <c r="N271" i="16"/>
  <c r="G271" i="16"/>
  <c r="K271" i="16"/>
  <c r="K460" i="16"/>
  <c r="G460" i="16"/>
  <c r="N460" i="16"/>
  <c r="M460" i="16"/>
  <c r="L460" i="16"/>
  <c r="K396" i="16"/>
  <c r="M396" i="16"/>
  <c r="N396" i="16"/>
  <c r="L396" i="16"/>
  <c r="AA396" i="16"/>
  <c r="AA332" i="16"/>
  <c r="L332" i="16"/>
  <c r="M332" i="16"/>
  <c r="N332" i="16"/>
  <c r="K332" i="16"/>
  <c r="L268" i="16"/>
  <c r="M268" i="16"/>
  <c r="G268" i="16"/>
  <c r="K268" i="16"/>
  <c r="N268" i="16"/>
  <c r="L680" i="16"/>
  <c r="N680" i="16"/>
  <c r="M680" i="16"/>
  <c r="K680" i="16"/>
  <c r="G680" i="16"/>
  <c r="AA616" i="16"/>
  <c r="I616" i="16" s="1"/>
  <c r="N616" i="16"/>
  <c r="M616" i="16"/>
  <c r="K616" i="16"/>
  <c r="L616" i="16"/>
  <c r="N552" i="16"/>
  <c r="AA552" i="16"/>
  <c r="L552" i="16"/>
  <c r="M552" i="16"/>
  <c r="K552" i="16"/>
  <c r="N254" i="16"/>
  <c r="L254" i="16"/>
  <c r="K254" i="16"/>
  <c r="M254" i="16"/>
  <c r="G254" i="16"/>
  <c r="M427" i="16"/>
  <c r="N427" i="16"/>
  <c r="G427" i="16"/>
  <c r="K427" i="16"/>
  <c r="L427" i="16"/>
  <c r="AA363" i="16"/>
  <c r="M363" i="16"/>
  <c r="L363" i="16"/>
  <c r="K363" i="16"/>
  <c r="N363" i="16"/>
  <c r="L299" i="16"/>
  <c r="AA299" i="16"/>
  <c r="H299" i="16" s="1"/>
  <c r="K299" i="16"/>
  <c r="N299" i="16"/>
  <c r="M299" i="16"/>
  <c r="L711" i="16"/>
  <c r="G711" i="16"/>
  <c r="K711" i="16"/>
  <c r="M711" i="16"/>
  <c r="N711" i="16"/>
  <c r="AA647" i="16"/>
  <c r="I647" i="16" s="1"/>
  <c r="K647" i="16"/>
  <c r="N647" i="16"/>
  <c r="L647" i="16"/>
  <c r="M647" i="16"/>
  <c r="L583" i="16"/>
  <c r="K583" i="16"/>
  <c r="AA583" i="16"/>
  <c r="M583" i="16"/>
  <c r="N583" i="16"/>
  <c r="AA359" i="16"/>
  <c r="M359" i="16"/>
  <c r="L359" i="16"/>
  <c r="N359" i="16"/>
  <c r="K359" i="16"/>
  <c r="N474" i="16"/>
  <c r="L474" i="16"/>
  <c r="K474" i="16"/>
  <c r="G474" i="16"/>
  <c r="M474" i="16"/>
  <c r="N410" i="16"/>
  <c r="L410" i="16"/>
  <c r="G410" i="16"/>
  <c r="M410" i="16"/>
  <c r="K410" i="16"/>
  <c r="AA346" i="16"/>
  <c r="K346" i="16"/>
  <c r="M346" i="16"/>
  <c r="L346" i="16"/>
  <c r="N346" i="16"/>
  <c r="E492" i="16"/>
  <c r="K282" i="16"/>
  <c r="N282" i="16"/>
  <c r="G282" i="16"/>
  <c r="L282" i="16"/>
  <c r="M282" i="16"/>
  <c r="L694" i="16"/>
  <c r="G694" i="16"/>
  <c r="N694" i="16"/>
  <c r="K694" i="16"/>
  <c r="M694" i="16"/>
  <c r="AA630" i="16"/>
  <c r="I630" i="16" s="1"/>
  <c r="M630" i="16"/>
  <c r="L630" i="16"/>
  <c r="K630" i="16"/>
  <c r="N630" i="16"/>
  <c r="AA566" i="16"/>
  <c r="M566" i="16"/>
  <c r="N566" i="16"/>
  <c r="L566" i="16"/>
  <c r="K566" i="16"/>
  <c r="G707" i="16"/>
  <c r="K707" i="16"/>
  <c r="M707" i="16"/>
  <c r="N707" i="16"/>
  <c r="L707" i="16"/>
  <c r="L457" i="16"/>
  <c r="G457" i="16"/>
  <c r="K457" i="16"/>
  <c r="N457" i="16"/>
  <c r="M457" i="16"/>
  <c r="L393" i="16"/>
  <c r="M393" i="16"/>
  <c r="K393" i="16"/>
  <c r="AA393" i="16"/>
  <c r="N393" i="16"/>
  <c r="M329" i="16"/>
  <c r="K329" i="16"/>
  <c r="N329" i="16"/>
  <c r="AA329" i="16"/>
  <c r="L329" i="16"/>
  <c r="L265" i="16"/>
  <c r="G265" i="16"/>
  <c r="M265" i="16"/>
  <c r="K265" i="16"/>
  <c r="N265" i="16"/>
  <c r="K677" i="16"/>
  <c r="G677" i="16"/>
  <c r="N677" i="16"/>
  <c r="M677" i="16"/>
  <c r="L677" i="16"/>
  <c r="M613" i="16"/>
  <c r="AA613" i="16"/>
  <c r="I613" i="16" s="1"/>
  <c r="N613" i="16"/>
  <c r="L613" i="16"/>
  <c r="K613" i="16"/>
  <c r="M549" i="16"/>
  <c r="L549" i="16"/>
  <c r="K549" i="16"/>
  <c r="N549" i="16"/>
  <c r="AA549" i="16"/>
  <c r="L611" i="16"/>
  <c r="AA611" i="16"/>
  <c r="H611" i="16" s="1"/>
  <c r="N611" i="16"/>
  <c r="K611" i="16"/>
  <c r="M611" i="16"/>
  <c r="K440" i="16"/>
  <c r="M440" i="16"/>
  <c r="G440" i="16"/>
  <c r="L440" i="16"/>
  <c r="N440" i="16"/>
  <c r="AA376" i="16"/>
  <c r="N376" i="16"/>
  <c r="M376" i="16"/>
  <c r="L376" i="16"/>
  <c r="K376" i="16"/>
  <c r="M312" i="16"/>
  <c r="N312" i="16"/>
  <c r="AA312" i="16"/>
  <c r="I312" i="16" s="1"/>
  <c r="L312" i="16"/>
  <c r="K312" i="16"/>
  <c r="K724" i="16"/>
  <c r="N724" i="16"/>
  <c r="L724" i="16"/>
  <c r="M724" i="16"/>
  <c r="G724" i="16"/>
  <c r="L660" i="16"/>
  <c r="K660" i="16"/>
  <c r="M660" i="16"/>
  <c r="N660" i="16"/>
  <c r="G660" i="16"/>
  <c r="AA596" i="16"/>
  <c r="L596" i="16"/>
  <c r="K596" i="16"/>
  <c r="N596" i="16"/>
  <c r="M596" i="16"/>
  <c r="I347" i="16"/>
  <c r="M85" i="16"/>
  <c r="M46" i="16"/>
  <c r="E513" i="16"/>
  <c r="L512" i="16"/>
  <c r="N512" i="16"/>
  <c r="G512" i="16"/>
  <c r="K512" i="16"/>
  <c r="M512" i="16"/>
  <c r="E534" i="16"/>
  <c r="E743" i="16"/>
  <c r="K533" i="16"/>
  <c r="L533" i="16"/>
  <c r="N533" i="16"/>
  <c r="G533" i="16"/>
  <c r="M533" i="16"/>
  <c r="N46" i="16"/>
  <c r="K53" i="16"/>
  <c r="P53" i="16" s="1"/>
  <c r="AA53" i="16"/>
  <c r="J53" i="16" s="1"/>
  <c r="L78" i="16"/>
  <c r="K78" i="16"/>
  <c r="O78" i="16" s="1"/>
  <c r="L57" i="16"/>
  <c r="N49" i="16"/>
  <c r="K49" i="16"/>
  <c r="O49" i="16" s="1"/>
  <c r="N71" i="16"/>
  <c r="L143" i="16"/>
  <c r="K52" i="16"/>
  <c r="O52" i="16" s="1"/>
  <c r="N54" i="16"/>
  <c r="AA131" i="16"/>
  <c r="M45" i="16"/>
  <c r="N45" i="16"/>
  <c r="AA45" i="16"/>
  <c r="H45" i="16" s="1"/>
  <c r="M71" i="16"/>
  <c r="L49" i="16"/>
  <c r="M53" i="16"/>
  <c r="AA46" i="16"/>
  <c r="I46" i="16" s="1"/>
  <c r="L45" i="16"/>
  <c r="L52" i="16"/>
  <c r="L71" i="16"/>
  <c r="L131" i="16"/>
  <c r="AA78" i="16"/>
  <c r="H78" i="16" s="1"/>
  <c r="M49" i="16"/>
  <c r="L46" i="16"/>
  <c r="N78" i="16"/>
  <c r="K76" i="16"/>
  <c r="Q76" i="16" s="1"/>
  <c r="L44" i="16"/>
  <c r="L61" i="16"/>
  <c r="K73" i="16"/>
  <c r="O73" i="16" s="1"/>
  <c r="K47" i="16"/>
  <c r="R47" i="16" s="1"/>
  <c r="M61" i="16"/>
  <c r="L73" i="16"/>
  <c r="M73" i="16"/>
  <c r="K61" i="16"/>
  <c r="R61" i="16" s="1"/>
  <c r="N73" i="16"/>
  <c r="K71" i="16"/>
  <c r="P71" i="16" s="1"/>
  <c r="M52" i="16"/>
  <c r="K84" i="16"/>
  <c r="R84" i="16" s="1"/>
  <c r="L146" i="16"/>
  <c r="K146" i="16"/>
  <c r="O146" i="16" s="1"/>
  <c r="K139" i="16"/>
  <c r="O139" i="16" s="1"/>
  <c r="N141" i="16"/>
  <c r="N74" i="16"/>
  <c r="L79" i="16"/>
  <c r="N84" i="16"/>
  <c r="N143" i="16"/>
  <c r="L47" i="16"/>
  <c r="N52" i="16"/>
  <c r="K147" i="16"/>
  <c r="O147" i="16" s="1"/>
  <c r="M66" i="16"/>
  <c r="L132" i="16"/>
  <c r="AA76" i="16"/>
  <c r="I76" i="16" s="1"/>
  <c r="M132" i="16"/>
  <c r="M76" i="16"/>
  <c r="L66" i="16"/>
  <c r="N132" i="16"/>
  <c r="M79" i="16"/>
  <c r="M77" i="16"/>
  <c r="AA139" i="16"/>
  <c r="L144" i="16"/>
  <c r="AA147" i="16"/>
  <c r="K74" i="16"/>
  <c r="O74" i="16" s="1"/>
  <c r="N76" i="16"/>
  <c r="N61" i="16"/>
  <c r="L134" i="16"/>
  <c r="M141" i="16"/>
  <c r="K140" i="16"/>
  <c r="O140" i="16" s="1"/>
  <c r="N147" i="16"/>
  <c r="N136" i="16"/>
  <c r="M83" i="16"/>
  <c r="K66" i="16"/>
  <c r="O66" i="16" s="1"/>
  <c r="N77" i="16"/>
  <c r="L139" i="16"/>
  <c r="M144" i="16"/>
  <c r="N140" i="16"/>
  <c r="L74" i="16"/>
  <c r="N64" i="16"/>
  <c r="M74" i="16"/>
  <c r="AA132" i="16"/>
  <c r="N139" i="16"/>
  <c r="L140" i="16"/>
  <c r="L147" i="16"/>
  <c r="AA140" i="16"/>
  <c r="N69" i="16"/>
  <c r="N75" i="16"/>
  <c r="N56" i="16"/>
  <c r="K56" i="16"/>
  <c r="Q56" i="16" s="1"/>
  <c r="N67" i="16"/>
  <c r="L75" i="16"/>
  <c r="M135" i="16"/>
  <c r="K75" i="16"/>
  <c r="O75" i="16" s="1"/>
  <c r="L138" i="16"/>
  <c r="AA142" i="16"/>
  <c r="N85" i="16"/>
  <c r="K69" i="16"/>
  <c r="R69" i="16" s="1"/>
  <c r="L67" i="16"/>
  <c r="K85" i="16"/>
  <c r="R85" i="16" s="1"/>
  <c r="M56" i="16"/>
  <c r="L135" i="16"/>
  <c r="AA75" i="16"/>
  <c r="H75" i="16" s="1"/>
  <c r="J347" i="16"/>
  <c r="K60" i="16"/>
  <c r="O60" i="16" s="1"/>
  <c r="L56" i="16"/>
  <c r="L48" i="16"/>
  <c r="L69" i="16"/>
  <c r="M67" i="16"/>
  <c r="L80" i="16"/>
  <c r="N48" i="16"/>
  <c r="AA69" i="16"/>
  <c r="H69" i="16" s="1"/>
  <c r="K128" i="16"/>
  <c r="O128" i="16" s="1"/>
  <c r="AA85" i="16"/>
  <c r="H85" i="16" s="1"/>
  <c r="H347" i="16"/>
  <c r="L84" i="16"/>
  <c r="L59" i="16"/>
  <c r="M82" i="16"/>
  <c r="AA84" i="16"/>
  <c r="J84" i="16" s="1"/>
  <c r="AA143" i="16"/>
  <c r="N82" i="16"/>
  <c r="M50" i="16"/>
  <c r="K82" i="16"/>
  <c r="O82" i="16" s="1"/>
  <c r="K131" i="16"/>
  <c r="O131" i="16" s="1"/>
  <c r="AA82" i="16"/>
  <c r="I82" i="16" s="1"/>
  <c r="N50" i="16"/>
  <c r="L50" i="16"/>
  <c r="K50" i="16"/>
  <c r="O50" i="16" s="1"/>
  <c r="M143" i="16"/>
  <c r="E238" i="16"/>
  <c r="N72" i="16"/>
  <c r="M65" i="16"/>
  <c r="M133" i="16"/>
  <c r="N57" i="16"/>
  <c r="N55" i="16"/>
  <c r="K67" i="16"/>
  <c r="O67" i="16" s="1"/>
  <c r="L133" i="16"/>
  <c r="AA59" i="16"/>
  <c r="H59" i="16" s="1"/>
  <c r="K144" i="16"/>
  <c r="O144" i="16" s="1"/>
  <c r="N144" i="16"/>
  <c r="L55" i="16"/>
  <c r="L68" i="16"/>
  <c r="M48" i="16"/>
  <c r="K72" i="16"/>
  <c r="O72" i="16" s="1"/>
  <c r="L130" i="16"/>
  <c r="M136" i="16"/>
  <c r="M57" i="16"/>
  <c r="AA77" i="16"/>
  <c r="J77" i="16" s="1"/>
  <c r="AA48" i="16"/>
  <c r="I48" i="16" s="1"/>
  <c r="K59" i="16"/>
  <c r="O59" i="16" s="1"/>
  <c r="M55" i="16"/>
  <c r="N130" i="16"/>
  <c r="K133" i="16"/>
  <c r="O133" i="16" s="1"/>
  <c r="N133" i="16"/>
  <c r="AA144" i="16"/>
  <c r="N131" i="16"/>
  <c r="M72" i="16"/>
  <c r="M59" i="16"/>
  <c r="N80" i="16"/>
  <c r="K80" i="16"/>
  <c r="O80" i="16" s="1"/>
  <c r="K57" i="16"/>
  <c r="O57" i="16" s="1"/>
  <c r="L141" i="16"/>
  <c r="K77" i="16"/>
  <c r="Q77" i="16" s="1"/>
  <c r="N59" i="16"/>
  <c r="M80" i="16"/>
  <c r="K138" i="16"/>
  <c r="O138" i="16" s="1"/>
  <c r="M138" i="16"/>
  <c r="N44" i="16"/>
  <c r="N68" i="16"/>
  <c r="N62" i="16"/>
  <c r="M68" i="16"/>
  <c r="L148" i="16"/>
  <c r="K130" i="16"/>
  <c r="O130" i="16" s="1"/>
  <c r="N129" i="16"/>
  <c r="N70" i="16"/>
  <c r="K148" i="16"/>
  <c r="O148" i="16" s="1"/>
  <c r="N128" i="16"/>
  <c r="J65" i="16"/>
  <c r="M70" i="16"/>
  <c r="L62" i="16"/>
  <c r="M62" i="16"/>
  <c r="K70" i="16"/>
  <c r="R70" i="16" s="1"/>
  <c r="L63" i="16"/>
  <c r="K83" i="16"/>
  <c r="O83" i="16" s="1"/>
  <c r="L128" i="16"/>
  <c r="L136" i="16"/>
  <c r="N148" i="16"/>
  <c r="AA148" i="16"/>
  <c r="AA55" i="16"/>
  <c r="J55" i="16" s="1"/>
  <c r="K135" i="16"/>
  <c r="P135" i="16" s="1"/>
  <c r="K129" i="16"/>
  <c r="O129" i="16" s="1"/>
  <c r="AA70" i="16"/>
  <c r="H70" i="16" s="1"/>
  <c r="AA130" i="16"/>
  <c r="M128" i="16"/>
  <c r="M51" i="16"/>
  <c r="L76" i="16"/>
  <c r="N63" i="16"/>
  <c r="K136" i="16"/>
  <c r="O136" i="16" s="1"/>
  <c r="AA72" i="16"/>
  <c r="I72" i="16" s="1"/>
  <c r="AA129" i="16"/>
  <c r="K63" i="16"/>
  <c r="P63" i="16" s="1"/>
  <c r="N65" i="16"/>
  <c r="M44" i="16"/>
  <c r="L53" i="16"/>
  <c r="K62" i="16"/>
  <c r="Q62" i="16" s="1"/>
  <c r="L65" i="16"/>
  <c r="N66" i="16"/>
  <c r="L129" i="16"/>
  <c r="L142" i="16"/>
  <c r="AA44" i="16"/>
  <c r="H44" i="16" s="1"/>
  <c r="M130" i="16"/>
  <c r="N134" i="16"/>
  <c r="AA135" i="16"/>
  <c r="M64" i="16"/>
  <c r="K68" i="16"/>
  <c r="Q68" i="16" s="1"/>
  <c r="K65" i="16"/>
  <c r="O65" i="16" s="1"/>
  <c r="M63" i="16"/>
  <c r="AA68" i="16"/>
  <c r="I68" i="16" s="1"/>
  <c r="M58" i="16"/>
  <c r="AA83" i="16"/>
  <c r="K51" i="16"/>
  <c r="O51" i="16" s="1"/>
  <c r="K79" i="16"/>
  <c r="R79" i="16" s="1"/>
  <c r="M54" i="16"/>
  <c r="M145" i="16"/>
  <c r="K137" i="16"/>
  <c r="O137" i="16" s="1"/>
  <c r="AA54" i="16"/>
  <c r="AA79" i="16"/>
  <c r="AA145" i="16"/>
  <c r="AA58" i="16"/>
  <c r="M137" i="16"/>
  <c r="L64" i="16"/>
  <c r="L51" i="16"/>
  <c r="K54" i="16"/>
  <c r="P54" i="16" s="1"/>
  <c r="M60" i="16"/>
  <c r="N145" i="16"/>
  <c r="N137" i="16"/>
  <c r="AA64" i="16"/>
  <c r="N138" i="16"/>
  <c r="AA146" i="16"/>
  <c r="L60" i="16"/>
  <c r="N47" i="16"/>
  <c r="N60" i="16"/>
  <c r="N146" i="16"/>
  <c r="L58" i="16"/>
  <c r="L54" i="16"/>
  <c r="N58" i="16"/>
  <c r="N83" i="16"/>
  <c r="M47" i="16"/>
  <c r="N51" i="16"/>
  <c r="AA141" i="16"/>
  <c r="AA134" i="16"/>
  <c r="K142" i="16"/>
  <c r="O142" i="16" s="1"/>
  <c r="N142" i="16"/>
  <c r="L137" i="16"/>
  <c r="L145" i="16"/>
  <c r="K134" i="16"/>
  <c r="O134" i="16" s="1"/>
  <c r="AA100" i="16"/>
  <c r="AA103" i="16"/>
  <c r="AA97" i="16"/>
  <c r="AA106" i="16"/>
  <c r="AA94" i="16"/>
  <c r="AA92" i="16"/>
  <c r="AA101" i="16"/>
  <c r="AA98" i="16"/>
  <c r="AA102" i="16"/>
  <c r="AA90" i="16"/>
  <c r="AA93" i="16"/>
  <c r="AA89" i="16"/>
  <c r="AA108" i="16"/>
  <c r="AA87" i="16"/>
  <c r="AA86" i="16"/>
  <c r="G2" i="16"/>
  <c r="E250" i="16"/>
  <c r="E241" i="16"/>
  <c r="E247" i="16"/>
  <c r="E252" i="16"/>
  <c r="E244" i="16"/>
  <c r="AP244" i="16" s="1"/>
  <c r="E246" i="16"/>
  <c r="E249" i="16"/>
  <c r="E239" i="16"/>
  <c r="E104" i="16"/>
  <c r="AP104" i="16" s="1"/>
  <c r="E237" i="16"/>
  <c r="E236" i="16"/>
  <c r="E105" i="16"/>
  <c r="E245" i="16"/>
  <c r="E233" i="16"/>
  <c r="AP233" i="16" s="1"/>
  <c r="E234" i="16"/>
  <c r="E253" i="16"/>
  <c r="E240" i="16"/>
  <c r="E109" i="16"/>
  <c r="AP109" i="16" s="1"/>
  <c r="V640" i="16" l="1"/>
  <c r="AR561" i="16"/>
  <c r="X561" i="16" s="1"/>
  <c r="U102" i="16"/>
  <c r="AQ561" i="16"/>
  <c r="W561" i="16" s="1"/>
  <c r="V561" i="16"/>
  <c r="S102" i="16"/>
  <c r="U561" i="16"/>
  <c r="T561" i="16"/>
  <c r="AR354" i="16"/>
  <c r="X354" i="16" s="1"/>
  <c r="J96" i="16"/>
  <c r="J71" i="16"/>
  <c r="Q44" i="16"/>
  <c r="U625" i="16"/>
  <c r="AP249" i="16"/>
  <c r="S249" i="16" s="1"/>
  <c r="R48" i="16"/>
  <c r="AP743" i="16"/>
  <c r="S743" i="16" s="1"/>
  <c r="I61" i="16"/>
  <c r="AR78" i="16"/>
  <c r="X78" i="16" s="1"/>
  <c r="AR350" i="16"/>
  <c r="X350" i="16" s="1"/>
  <c r="AQ640" i="16"/>
  <c r="W640" i="16" s="1"/>
  <c r="S608" i="16"/>
  <c r="T367" i="16"/>
  <c r="T608" i="16"/>
  <c r="T564" i="16"/>
  <c r="V367" i="16"/>
  <c r="AR385" i="16"/>
  <c r="X385" i="16" s="1"/>
  <c r="V350" i="16"/>
  <c r="J47" i="16"/>
  <c r="R58" i="16"/>
  <c r="AP504" i="16"/>
  <c r="S504" i="16" s="1"/>
  <c r="H652" i="16"/>
  <c r="J80" i="16"/>
  <c r="AP494" i="16"/>
  <c r="V354" i="16"/>
  <c r="U321" i="16"/>
  <c r="T357" i="16"/>
  <c r="U562" i="16"/>
  <c r="H323" i="16"/>
  <c r="AQ322" i="16"/>
  <c r="W322" i="16" s="1"/>
  <c r="S357" i="16"/>
  <c r="H623" i="16"/>
  <c r="Q143" i="16"/>
  <c r="AP499" i="16"/>
  <c r="S499" i="16" s="1"/>
  <c r="AR609" i="16"/>
  <c r="X609" i="16" s="1"/>
  <c r="I319" i="16"/>
  <c r="R143" i="16"/>
  <c r="AR562" i="16"/>
  <c r="X562" i="16" s="1"/>
  <c r="U639" i="16"/>
  <c r="P145" i="16"/>
  <c r="AP503" i="16"/>
  <c r="V503" i="16" s="1"/>
  <c r="J311" i="16"/>
  <c r="AR46" i="16"/>
  <c r="X46" i="16" s="1"/>
  <c r="AR642" i="16"/>
  <c r="X642" i="16" s="1"/>
  <c r="AR337" i="16"/>
  <c r="X337" i="16" s="1"/>
  <c r="AR641" i="16"/>
  <c r="X641" i="16" s="1"/>
  <c r="AQ576" i="16"/>
  <c r="W576" i="16" s="1"/>
  <c r="AQ623" i="16"/>
  <c r="W623" i="16" s="1"/>
  <c r="V385" i="16"/>
  <c r="U608" i="16"/>
  <c r="S350" i="16"/>
  <c r="U46" i="16"/>
  <c r="S94" i="16"/>
  <c r="U357" i="16"/>
  <c r="AR578" i="16"/>
  <c r="X578" i="16" s="1"/>
  <c r="I71" i="16"/>
  <c r="AQ46" i="16"/>
  <c r="W46" i="16" s="1"/>
  <c r="AQ337" i="16"/>
  <c r="W337" i="16" s="1"/>
  <c r="AR339" i="16"/>
  <c r="X339" i="16" s="1"/>
  <c r="T321" i="16"/>
  <c r="V639" i="16"/>
  <c r="V625" i="16"/>
  <c r="V337" i="16"/>
  <c r="S641" i="16"/>
  <c r="V357" i="16"/>
  <c r="V564" i="16"/>
  <c r="I74" i="16"/>
  <c r="J50" i="16"/>
  <c r="R44" i="16"/>
  <c r="R132" i="16"/>
  <c r="P132" i="16"/>
  <c r="AR94" i="16"/>
  <c r="X94" i="16" s="1"/>
  <c r="AQ354" i="16"/>
  <c r="W354" i="16" s="1"/>
  <c r="S321" i="16"/>
  <c r="T639" i="16"/>
  <c r="T625" i="16"/>
  <c r="S354" i="16"/>
  <c r="R55" i="16"/>
  <c r="O55" i="16"/>
  <c r="Q132" i="16"/>
  <c r="AQ94" i="16"/>
  <c r="W94" i="16" s="1"/>
  <c r="AR321" i="16"/>
  <c r="X321" i="16" s="1"/>
  <c r="AR639" i="16"/>
  <c r="X639" i="16" s="1"/>
  <c r="AR625" i="16"/>
  <c r="X625" i="16" s="1"/>
  <c r="AR591" i="16"/>
  <c r="X591" i="16" s="1"/>
  <c r="AR589" i="16"/>
  <c r="X589" i="16" s="1"/>
  <c r="V321" i="16"/>
  <c r="S639" i="16"/>
  <c r="S625" i="16"/>
  <c r="S591" i="16"/>
  <c r="H67" i="16"/>
  <c r="H50" i="16"/>
  <c r="R145" i="16"/>
  <c r="Q55" i="16"/>
  <c r="P143" i="16"/>
  <c r="P44" i="16"/>
  <c r="AQ591" i="16"/>
  <c r="W591" i="16" s="1"/>
  <c r="U626" i="16"/>
  <c r="Q48" i="16"/>
  <c r="P48" i="16"/>
  <c r="AQ147" i="16"/>
  <c r="W147" i="16" s="1"/>
  <c r="AR606" i="16"/>
  <c r="X606" i="16" s="1"/>
  <c r="U574" i="16"/>
  <c r="J61" i="16"/>
  <c r="AP252" i="16"/>
  <c r="V252" i="16" s="1"/>
  <c r="AR594" i="16"/>
  <c r="X594" i="16" s="1"/>
  <c r="AP236" i="16"/>
  <c r="T236" i="16" s="1"/>
  <c r="AQ574" i="16"/>
  <c r="W574" i="16" s="1"/>
  <c r="AR302" i="16"/>
  <c r="X302" i="16" s="1"/>
  <c r="I47" i="16"/>
  <c r="AQ302" i="16"/>
  <c r="W302" i="16" s="1"/>
  <c r="AQ594" i="16"/>
  <c r="W594" i="16" s="1"/>
  <c r="V594" i="16"/>
  <c r="U355" i="16"/>
  <c r="S302" i="16"/>
  <c r="AQ621" i="16"/>
  <c r="W621" i="16" s="1"/>
  <c r="T355" i="16"/>
  <c r="I321" i="16"/>
  <c r="H60" i="16"/>
  <c r="J81" i="16"/>
  <c r="AR355" i="16"/>
  <c r="X355" i="16" s="1"/>
  <c r="S355" i="16"/>
  <c r="V621" i="16"/>
  <c r="J60" i="16"/>
  <c r="H81" i="16"/>
  <c r="AQ355" i="16"/>
  <c r="W355" i="16" s="1"/>
  <c r="AR626" i="16"/>
  <c r="X626" i="16" s="1"/>
  <c r="AQ372" i="16"/>
  <c r="W372" i="16" s="1"/>
  <c r="V575" i="16"/>
  <c r="AQ626" i="16"/>
  <c r="W626" i="16" s="1"/>
  <c r="AR574" i="16"/>
  <c r="X574" i="16" s="1"/>
  <c r="T389" i="16"/>
  <c r="T574" i="16"/>
  <c r="V626" i="16"/>
  <c r="U55" i="16"/>
  <c r="U577" i="16"/>
  <c r="U575" i="16"/>
  <c r="T55" i="16"/>
  <c r="S389" i="16"/>
  <c r="T577" i="16"/>
  <c r="U621" i="16"/>
  <c r="S594" i="16"/>
  <c r="Q45" i="16"/>
  <c r="H73" i="16"/>
  <c r="AR55" i="16"/>
  <c r="X55" i="16" s="1"/>
  <c r="AR341" i="16"/>
  <c r="X341" i="16" s="1"/>
  <c r="AR389" i="16"/>
  <c r="X389" i="16" s="1"/>
  <c r="T575" i="16"/>
  <c r="S55" i="16"/>
  <c r="U389" i="16"/>
  <c r="S577" i="16"/>
  <c r="T621" i="16"/>
  <c r="AQ55" i="16"/>
  <c r="W55" i="16" s="1"/>
  <c r="AR575" i="16"/>
  <c r="X575" i="16" s="1"/>
  <c r="AR577" i="16"/>
  <c r="X577" i="16" s="1"/>
  <c r="AQ389" i="16"/>
  <c r="W389" i="16" s="1"/>
  <c r="S575" i="16"/>
  <c r="U302" i="16"/>
  <c r="S621" i="16"/>
  <c r="T594" i="16"/>
  <c r="S640" i="16"/>
  <c r="J73" i="16"/>
  <c r="O45" i="16"/>
  <c r="AQ577" i="16"/>
  <c r="W577" i="16" s="1"/>
  <c r="V302" i="16"/>
  <c r="T640" i="16"/>
  <c r="Q64" i="16"/>
  <c r="P45" i="16"/>
  <c r="V574" i="16"/>
  <c r="S626" i="16"/>
  <c r="J74" i="16"/>
  <c r="U558" i="16"/>
  <c r="H56" i="16"/>
  <c r="J49" i="16"/>
  <c r="AR72" i="16"/>
  <c r="X72" i="16" s="1"/>
  <c r="AR356" i="16"/>
  <c r="X356" i="16" s="1"/>
  <c r="J56" i="16"/>
  <c r="J57" i="16"/>
  <c r="H57" i="16"/>
  <c r="I49" i="16"/>
  <c r="AP1002" i="16"/>
  <c r="AQ1002" i="16" s="1"/>
  <c r="W1002" i="16" s="1"/>
  <c r="AQ307" i="16"/>
  <c r="W307" i="16" s="1"/>
  <c r="AQ324" i="16"/>
  <c r="W324" i="16" s="1"/>
  <c r="AR334" i="16"/>
  <c r="X334" i="16" s="1"/>
  <c r="AQ305" i="16"/>
  <c r="W305" i="16" s="1"/>
  <c r="AQ592" i="16"/>
  <c r="W592" i="16" s="1"/>
  <c r="AQ72" i="16"/>
  <c r="W72" i="16" s="1"/>
  <c r="AR558" i="16"/>
  <c r="X558" i="16" s="1"/>
  <c r="U324" i="16"/>
  <c r="U307" i="16"/>
  <c r="AQ558" i="16"/>
  <c r="W558" i="16" s="1"/>
  <c r="T324" i="16"/>
  <c r="T307" i="16"/>
  <c r="V324" i="16"/>
  <c r="S307" i="16"/>
  <c r="S324" i="16"/>
  <c r="V307" i="16"/>
  <c r="V558" i="16"/>
  <c r="T558" i="16"/>
  <c r="U72" i="16"/>
  <c r="T72" i="16"/>
  <c r="S72" i="16"/>
  <c r="AP491" i="16"/>
  <c r="U491" i="16" s="1"/>
  <c r="T366" i="16"/>
  <c r="AP998" i="16"/>
  <c r="V998" i="16" s="1"/>
  <c r="AR369" i="16"/>
  <c r="X369" i="16" s="1"/>
  <c r="AP486" i="16"/>
  <c r="U486" i="16" s="1"/>
  <c r="AR308" i="16"/>
  <c r="X308" i="16" s="1"/>
  <c r="S638" i="16"/>
  <c r="AR398" i="16"/>
  <c r="X398" i="16" s="1"/>
  <c r="AR50" i="16"/>
  <c r="X50" i="16" s="1"/>
  <c r="AR638" i="16"/>
  <c r="X638" i="16" s="1"/>
  <c r="AR366" i="16"/>
  <c r="X366" i="16" s="1"/>
  <c r="U366" i="16"/>
  <c r="U638" i="16"/>
  <c r="AR76" i="16"/>
  <c r="X76" i="16" s="1"/>
  <c r="AQ638" i="16"/>
  <c r="W638" i="16" s="1"/>
  <c r="AQ366" i="16"/>
  <c r="W366" i="16" s="1"/>
  <c r="V366" i="16"/>
  <c r="AQ76" i="16"/>
  <c r="W76" i="16" s="1"/>
  <c r="AR559" i="16"/>
  <c r="X559" i="16" s="1"/>
  <c r="V76" i="16"/>
  <c r="U76" i="16"/>
  <c r="H864" i="16"/>
  <c r="V638" i="16"/>
  <c r="T76" i="16"/>
  <c r="AQ641" i="16"/>
  <c r="W641" i="16" s="1"/>
  <c r="AR564" i="16"/>
  <c r="X564" i="16" s="1"/>
  <c r="V94" i="16"/>
  <c r="T337" i="16"/>
  <c r="V591" i="16"/>
  <c r="S564" i="16"/>
  <c r="AQ564" i="16"/>
  <c r="W564" i="16" s="1"/>
  <c r="U94" i="16"/>
  <c r="U337" i="16"/>
  <c r="U591" i="16"/>
  <c r="V46" i="16"/>
  <c r="AR56" i="16"/>
  <c r="X56" i="16" s="1"/>
  <c r="W341" i="16"/>
  <c r="T46" i="16"/>
  <c r="S562" i="16"/>
  <c r="T354" i="16"/>
  <c r="V641" i="16"/>
  <c r="AQ562" i="16"/>
  <c r="W562" i="16" s="1"/>
  <c r="AR386" i="16"/>
  <c r="X386" i="16" s="1"/>
  <c r="V562" i="16"/>
  <c r="U641" i="16"/>
  <c r="V497" i="16"/>
  <c r="S497" i="16"/>
  <c r="T497" i="16"/>
  <c r="U497" i="16"/>
  <c r="V989" i="16"/>
  <c r="U989" i="16"/>
  <c r="S989" i="16"/>
  <c r="T989" i="16"/>
  <c r="S635" i="16"/>
  <c r="T635" i="16"/>
  <c r="U635" i="16"/>
  <c r="V635" i="16"/>
  <c r="V63" i="16"/>
  <c r="U63" i="16"/>
  <c r="S63" i="16"/>
  <c r="T63" i="16"/>
  <c r="S565" i="16"/>
  <c r="T565" i="16"/>
  <c r="U565" i="16"/>
  <c r="V565" i="16"/>
  <c r="S599" i="16"/>
  <c r="T599" i="16"/>
  <c r="U599" i="16"/>
  <c r="V599" i="16"/>
  <c r="S374" i="16"/>
  <c r="V374" i="16"/>
  <c r="T374" i="16"/>
  <c r="U374" i="16"/>
  <c r="S400" i="16"/>
  <c r="V400" i="16"/>
  <c r="T400" i="16"/>
  <c r="U400" i="16"/>
  <c r="V387" i="16"/>
  <c r="S387" i="16"/>
  <c r="T387" i="16"/>
  <c r="U387" i="16"/>
  <c r="S382" i="16"/>
  <c r="V382" i="16"/>
  <c r="U382" i="16"/>
  <c r="T382" i="16"/>
  <c r="V143" i="16"/>
  <c r="U143" i="16"/>
  <c r="S143" i="16"/>
  <c r="T143" i="16"/>
  <c r="V69" i="16"/>
  <c r="T69" i="16"/>
  <c r="U69" i="16"/>
  <c r="S69" i="16"/>
  <c r="V361" i="16"/>
  <c r="S361" i="16"/>
  <c r="T361" i="16"/>
  <c r="U361" i="16"/>
  <c r="V395" i="16"/>
  <c r="T395" i="16"/>
  <c r="S395" i="16"/>
  <c r="U395" i="16"/>
  <c r="U652" i="16"/>
  <c r="V652" i="16"/>
  <c r="S652" i="16"/>
  <c r="T652" i="16"/>
  <c r="U570" i="16"/>
  <c r="S570" i="16"/>
  <c r="T570" i="16"/>
  <c r="V570" i="16"/>
  <c r="V93" i="16"/>
  <c r="S93" i="16"/>
  <c r="U93" i="16"/>
  <c r="T93" i="16"/>
  <c r="V139" i="16"/>
  <c r="S139" i="16"/>
  <c r="T139" i="16"/>
  <c r="U139" i="16"/>
  <c r="V103" i="16"/>
  <c r="S103" i="16"/>
  <c r="T103" i="16"/>
  <c r="U103" i="16"/>
  <c r="S352" i="16"/>
  <c r="V352" i="16"/>
  <c r="T352" i="16"/>
  <c r="U352" i="16"/>
  <c r="U580" i="16"/>
  <c r="S580" i="16"/>
  <c r="T580" i="16"/>
  <c r="V580" i="16"/>
  <c r="S864" i="16"/>
  <c r="T864" i="16"/>
  <c r="U864" i="16"/>
  <c r="V864" i="16"/>
  <c r="S583" i="16"/>
  <c r="T583" i="16"/>
  <c r="U583" i="16"/>
  <c r="V583" i="16"/>
  <c r="S633" i="16"/>
  <c r="T633" i="16"/>
  <c r="U633" i="16"/>
  <c r="V633" i="16"/>
  <c r="S300" i="16"/>
  <c r="T300" i="16"/>
  <c r="V300" i="16"/>
  <c r="U300" i="16"/>
  <c r="S550" i="16"/>
  <c r="V550" i="16"/>
  <c r="T550" i="16"/>
  <c r="U550" i="16"/>
  <c r="S617" i="16"/>
  <c r="T617" i="16"/>
  <c r="U617" i="16"/>
  <c r="V617" i="16"/>
  <c r="V79" i="16"/>
  <c r="U79" i="16"/>
  <c r="S79" i="16"/>
  <c r="T79" i="16"/>
  <c r="U802" i="16"/>
  <c r="T802" i="16"/>
  <c r="V802" i="16"/>
  <c r="S802" i="16"/>
  <c r="U642" i="16"/>
  <c r="T642" i="16"/>
  <c r="V642" i="16"/>
  <c r="S642" i="16"/>
  <c r="U606" i="16"/>
  <c r="S606" i="16"/>
  <c r="T606" i="16"/>
  <c r="V606" i="16"/>
  <c r="S372" i="16"/>
  <c r="V372" i="16"/>
  <c r="T372" i="16"/>
  <c r="U372" i="16"/>
  <c r="S252" i="16"/>
  <c r="S737" i="16"/>
  <c r="T737" i="16"/>
  <c r="U737" i="16"/>
  <c r="V737" i="16"/>
  <c r="S739" i="16"/>
  <c r="T739" i="16"/>
  <c r="U739" i="16"/>
  <c r="V739" i="16"/>
  <c r="U560" i="16"/>
  <c r="T560" i="16"/>
  <c r="S560" i="16"/>
  <c r="V560" i="16"/>
  <c r="S142" i="16"/>
  <c r="T142" i="16"/>
  <c r="U142" i="16"/>
  <c r="V142" i="16"/>
  <c r="S629" i="16"/>
  <c r="T629" i="16"/>
  <c r="U629" i="16"/>
  <c r="V629" i="16"/>
  <c r="V315" i="16"/>
  <c r="T315" i="16"/>
  <c r="S315" i="16"/>
  <c r="U315" i="16"/>
  <c r="S148" i="16"/>
  <c r="T148" i="16"/>
  <c r="U148" i="16"/>
  <c r="V148" i="16"/>
  <c r="S573" i="16"/>
  <c r="T573" i="16"/>
  <c r="U573" i="16"/>
  <c r="V573" i="16"/>
  <c r="V319" i="16"/>
  <c r="T319" i="16"/>
  <c r="U319" i="16"/>
  <c r="S319" i="16"/>
  <c r="S643" i="16"/>
  <c r="T643" i="16"/>
  <c r="U643" i="16"/>
  <c r="V643" i="16"/>
  <c r="S64" i="16"/>
  <c r="T64" i="16"/>
  <c r="U64" i="16"/>
  <c r="V64" i="16"/>
  <c r="S801" i="16"/>
  <c r="T801" i="16"/>
  <c r="U801" i="16"/>
  <c r="V801" i="16"/>
  <c r="U598" i="16"/>
  <c r="S598" i="16"/>
  <c r="T598" i="16"/>
  <c r="V598" i="16"/>
  <c r="V375" i="16"/>
  <c r="S375" i="16"/>
  <c r="T375" i="16"/>
  <c r="U375" i="16"/>
  <c r="S304" i="16"/>
  <c r="T304" i="16"/>
  <c r="V304" i="16"/>
  <c r="U304" i="16"/>
  <c r="U634" i="16"/>
  <c r="S634" i="16"/>
  <c r="T634" i="16"/>
  <c r="V634" i="16"/>
  <c r="V141" i="16"/>
  <c r="S141" i="16"/>
  <c r="T141" i="16"/>
  <c r="U141" i="16"/>
  <c r="S74" i="16"/>
  <c r="T74" i="16"/>
  <c r="U74" i="16"/>
  <c r="V74" i="16"/>
  <c r="V95" i="16"/>
  <c r="U95" i="16"/>
  <c r="S95" i="16"/>
  <c r="T95" i="16"/>
  <c r="V383" i="16"/>
  <c r="T383" i="16"/>
  <c r="U383" i="16"/>
  <c r="S383" i="16"/>
  <c r="U644" i="16"/>
  <c r="S644" i="16"/>
  <c r="T644" i="16"/>
  <c r="V644" i="16"/>
  <c r="V549" i="16"/>
  <c r="U549" i="16"/>
  <c r="S549" i="16"/>
  <c r="T549" i="16"/>
  <c r="S647" i="16"/>
  <c r="T647" i="16"/>
  <c r="U647" i="16"/>
  <c r="V647" i="16"/>
  <c r="S358" i="16"/>
  <c r="V358" i="16"/>
  <c r="T358" i="16"/>
  <c r="U358" i="16"/>
  <c r="S364" i="16"/>
  <c r="V364" i="16"/>
  <c r="T364" i="16"/>
  <c r="U364" i="16"/>
  <c r="U614" i="16"/>
  <c r="S614" i="16"/>
  <c r="T614" i="16"/>
  <c r="V614" i="16"/>
  <c r="S342" i="16"/>
  <c r="V342" i="16"/>
  <c r="T342" i="16"/>
  <c r="U342" i="16"/>
  <c r="S58" i="16"/>
  <c r="T58" i="16"/>
  <c r="U58" i="16"/>
  <c r="V58" i="16"/>
  <c r="S322" i="16"/>
  <c r="V322" i="16"/>
  <c r="U322" i="16"/>
  <c r="T322" i="16"/>
  <c r="S609" i="16"/>
  <c r="T609" i="16"/>
  <c r="U609" i="16"/>
  <c r="V609" i="16"/>
  <c r="V887" i="16"/>
  <c r="S887" i="16"/>
  <c r="U887" i="16"/>
  <c r="T887" i="16"/>
  <c r="V843" i="16"/>
  <c r="S843" i="16"/>
  <c r="T843" i="16"/>
  <c r="U843" i="16"/>
  <c r="U624" i="16"/>
  <c r="T624" i="16"/>
  <c r="S624" i="16"/>
  <c r="V624" i="16"/>
  <c r="S100" i="16"/>
  <c r="T100" i="16"/>
  <c r="U100" i="16"/>
  <c r="V100" i="16"/>
  <c r="V345" i="16"/>
  <c r="S345" i="16"/>
  <c r="T345" i="16"/>
  <c r="U345" i="16"/>
  <c r="V379" i="16"/>
  <c r="T379" i="16"/>
  <c r="S379" i="16"/>
  <c r="U379" i="16"/>
  <c r="V67" i="16"/>
  <c r="U67" i="16"/>
  <c r="S67" i="16"/>
  <c r="T67" i="16"/>
  <c r="S637" i="16"/>
  <c r="T637" i="16"/>
  <c r="U637" i="16"/>
  <c r="V637" i="16"/>
  <c r="S593" i="16"/>
  <c r="T593" i="16"/>
  <c r="U593" i="16"/>
  <c r="V593" i="16"/>
  <c r="V45" i="16"/>
  <c r="S45" i="16"/>
  <c r="T45" i="16"/>
  <c r="U45" i="16"/>
  <c r="V309" i="16"/>
  <c r="U309" i="16"/>
  <c r="S309" i="16"/>
  <c r="T309" i="16"/>
  <c r="U628" i="16"/>
  <c r="S628" i="16"/>
  <c r="T628" i="16"/>
  <c r="V628" i="16"/>
  <c r="S314" i="16"/>
  <c r="V314" i="16"/>
  <c r="T314" i="16"/>
  <c r="U314" i="16"/>
  <c r="S555" i="16"/>
  <c r="T555" i="16"/>
  <c r="U555" i="16"/>
  <c r="V555" i="16"/>
  <c r="S368" i="16"/>
  <c r="V368" i="16"/>
  <c r="T368" i="16"/>
  <c r="U368" i="16"/>
  <c r="V77" i="16"/>
  <c r="S77" i="16"/>
  <c r="T77" i="16"/>
  <c r="U77" i="16"/>
  <c r="U554" i="16"/>
  <c r="V554" i="16"/>
  <c r="S554" i="16"/>
  <c r="T554" i="16"/>
  <c r="V59" i="16"/>
  <c r="S59" i="16"/>
  <c r="T59" i="16"/>
  <c r="U59" i="16"/>
  <c r="U618" i="16"/>
  <c r="S618" i="16"/>
  <c r="T618" i="16"/>
  <c r="V618" i="16"/>
  <c r="S571" i="16"/>
  <c r="T571" i="16"/>
  <c r="U571" i="16"/>
  <c r="V571" i="16"/>
  <c r="S360" i="16"/>
  <c r="V360" i="16"/>
  <c r="T360" i="16"/>
  <c r="U360" i="16"/>
  <c r="S613" i="16"/>
  <c r="T613" i="16"/>
  <c r="U613" i="16"/>
  <c r="V613" i="16"/>
  <c r="V299" i="16"/>
  <c r="S299" i="16"/>
  <c r="T299" i="16"/>
  <c r="U299" i="16"/>
  <c r="V145" i="16"/>
  <c r="S145" i="16"/>
  <c r="T145" i="16"/>
  <c r="U145" i="16"/>
  <c r="V85" i="16"/>
  <c r="T85" i="16"/>
  <c r="U85" i="16"/>
  <c r="S85" i="16"/>
  <c r="S330" i="16"/>
  <c r="V330" i="16"/>
  <c r="T330" i="16"/>
  <c r="U330" i="16"/>
  <c r="S140" i="16"/>
  <c r="T140" i="16"/>
  <c r="U140" i="16"/>
  <c r="V140" i="16"/>
  <c r="S138" i="16"/>
  <c r="T138" i="16"/>
  <c r="U138" i="16"/>
  <c r="V138" i="16"/>
  <c r="S386" i="16"/>
  <c r="V386" i="16"/>
  <c r="U386" i="16"/>
  <c r="T386" i="16"/>
  <c r="V81" i="16"/>
  <c r="S81" i="16"/>
  <c r="T81" i="16"/>
  <c r="U81" i="16"/>
  <c r="S340" i="16"/>
  <c r="V340" i="16"/>
  <c r="T340" i="16"/>
  <c r="U340" i="16"/>
  <c r="S108" i="16"/>
  <c r="T108" i="16"/>
  <c r="U108" i="16"/>
  <c r="V108" i="16"/>
  <c r="V335" i="16"/>
  <c r="T335" i="16"/>
  <c r="U335" i="16"/>
  <c r="S335" i="16"/>
  <c r="U568" i="16"/>
  <c r="S568" i="16"/>
  <c r="T568" i="16"/>
  <c r="V568" i="16"/>
  <c r="S134" i="16"/>
  <c r="T134" i="16"/>
  <c r="U134" i="16"/>
  <c r="V134" i="16"/>
  <c r="V353" i="16"/>
  <c r="S353" i="16"/>
  <c r="U353" i="16"/>
  <c r="T353" i="16"/>
  <c r="V301" i="16"/>
  <c r="S301" i="16"/>
  <c r="U301" i="16"/>
  <c r="T301" i="16"/>
  <c r="V49" i="16"/>
  <c r="S49" i="16"/>
  <c r="T49" i="16"/>
  <c r="U49" i="16"/>
  <c r="V373" i="16"/>
  <c r="U373" i="16"/>
  <c r="S373" i="16"/>
  <c r="T373" i="16"/>
  <c r="S344" i="16"/>
  <c r="V344" i="16"/>
  <c r="T344" i="16"/>
  <c r="U344" i="16"/>
  <c r="S378" i="16"/>
  <c r="V378" i="16"/>
  <c r="T378" i="16"/>
  <c r="U378" i="16"/>
  <c r="U572" i="16"/>
  <c r="V572" i="16"/>
  <c r="S572" i="16"/>
  <c r="T572" i="16"/>
  <c r="S563" i="16"/>
  <c r="T563" i="16"/>
  <c r="U563" i="16"/>
  <c r="V563" i="16"/>
  <c r="V57" i="16"/>
  <c r="T57" i="16"/>
  <c r="U57" i="16"/>
  <c r="S57" i="16"/>
  <c r="S803" i="16"/>
  <c r="T803" i="16"/>
  <c r="U803" i="16"/>
  <c r="V803" i="16"/>
  <c r="S136" i="16"/>
  <c r="T136" i="16"/>
  <c r="U136" i="16"/>
  <c r="V136" i="16"/>
  <c r="V133" i="16"/>
  <c r="T133" i="16"/>
  <c r="U133" i="16"/>
  <c r="S133" i="16"/>
  <c r="S651" i="16"/>
  <c r="T651" i="16"/>
  <c r="U651" i="16"/>
  <c r="V651" i="16"/>
  <c r="S603" i="16"/>
  <c r="T603" i="16"/>
  <c r="U603" i="16"/>
  <c r="V603" i="16"/>
  <c r="V329" i="16"/>
  <c r="S329" i="16"/>
  <c r="T329" i="16"/>
  <c r="U329" i="16"/>
  <c r="V363" i="16"/>
  <c r="T363" i="16"/>
  <c r="U363" i="16"/>
  <c r="S363" i="16"/>
  <c r="V349" i="16"/>
  <c r="S349" i="16"/>
  <c r="T349" i="16"/>
  <c r="U349" i="16"/>
  <c r="V75" i="16"/>
  <c r="S75" i="16"/>
  <c r="T75" i="16"/>
  <c r="U75" i="16"/>
  <c r="S394" i="16"/>
  <c r="V394" i="16"/>
  <c r="T394" i="16"/>
  <c r="U394" i="16"/>
  <c r="S66" i="16"/>
  <c r="T66" i="16"/>
  <c r="U66" i="16"/>
  <c r="V66" i="16"/>
  <c r="V823" i="16"/>
  <c r="S823" i="16"/>
  <c r="T823" i="16"/>
  <c r="U823" i="16"/>
  <c r="S559" i="16"/>
  <c r="T559" i="16"/>
  <c r="U559" i="16"/>
  <c r="V559" i="16"/>
  <c r="V236" i="16"/>
  <c r="V109" i="16"/>
  <c r="S109" i="16"/>
  <c r="T109" i="16"/>
  <c r="U109" i="16"/>
  <c r="S104" i="16"/>
  <c r="T104" i="16"/>
  <c r="U104" i="16"/>
  <c r="V104" i="16"/>
  <c r="V499" i="16"/>
  <c r="T499" i="16"/>
  <c r="U499" i="16"/>
  <c r="S866" i="16"/>
  <c r="T866" i="16"/>
  <c r="U866" i="16"/>
  <c r="V866" i="16"/>
  <c r="U604" i="16"/>
  <c r="V604" i="16"/>
  <c r="S604" i="16"/>
  <c r="T604" i="16"/>
  <c r="V351" i="16"/>
  <c r="T351" i="16"/>
  <c r="U351" i="16"/>
  <c r="S351" i="16"/>
  <c r="V885" i="16"/>
  <c r="S885" i="16"/>
  <c r="U885" i="16"/>
  <c r="T885" i="16"/>
  <c r="U582" i="16"/>
  <c r="S582" i="16"/>
  <c r="T582" i="16"/>
  <c r="V582" i="16"/>
  <c r="S348" i="16"/>
  <c r="V348" i="16"/>
  <c r="T348" i="16"/>
  <c r="U348" i="16"/>
  <c r="V89" i="16"/>
  <c r="T89" i="16"/>
  <c r="S89" i="16"/>
  <c r="U89" i="16"/>
  <c r="S306" i="16"/>
  <c r="V306" i="16"/>
  <c r="U306" i="16"/>
  <c r="T306" i="16"/>
  <c r="V365" i="16"/>
  <c r="S365" i="16"/>
  <c r="T365" i="16"/>
  <c r="U365" i="16"/>
  <c r="S54" i="16"/>
  <c r="T54" i="16"/>
  <c r="U54" i="16"/>
  <c r="V54" i="16"/>
  <c r="S627" i="16"/>
  <c r="T627" i="16"/>
  <c r="U627" i="16"/>
  <c r="V627" i="16"/>
  <c r="V327" i="16"/>
  <c r="S327" i="16"/>
  <c r="T327" i="16"/>
  <c r="U327" i="16"/>
  <c r="S587" i="16"/>
  <c r="T587" i="16"/>
  <c r="U587" i="16"/>
  <c r="V587" i="16"/>
  <c r="S619" i="16"/>
  <c r="T619" i="16"/>
  <c r="U619" i="16"/>
  <c r="V619" i="16"/>
  <c r="V311" i="16"/>
  <c r="S311" i="16"/>
  <c r="T311" i="16"/>
  <c r="U311" i="16"/>
  <c r="S70" i="16"/>
  <c r="T70" i="16"/>
  <c r="U70" i="16"/>
  <c r="V70" i="16"/>
  <c r="U596" i="16"/>
  <c r="S596" i="16"/>
  <c r="T596" i="16"/>
  <c r="V596" i="16"/>
  <c r="S52" i="16"/>
  <c r="T52" i="16"/>
  <c r="U52" i="16"/>
  <c r="V52" i="16"/>
  <c r="S68" i="16"/>
  <c r="T68" i="16"/>
  <c r="U68" i="16"/>
  <c r="V68" i="16"/>
  <c r="V61" i="16"/>
  <c r="S61" i="16"/>
  <c r="T61" i="16"/>
  <c r="U61" i="16"/>
  <c r="U600" i="16"/>
  <c r="S600" i="16"/>
  <c r="T600" i="16"/>
  <c r="V600" i="16"/>
  <c r="V393" i="16"/>
  <c r="S393" i="16"/>
  <c r="T393" i="16"/>
  <c r="U393" i="16"/>
  <c r="S552" i="16"/>
  <c r="V552" i="16"/>
  <c r="T552" i="16"/>
  <c r="U552" i="16"/>
  <c r="U586" i="16"/>
  <c r="S586" i="16"/>
  <c r="T586" i="16"/>
  <c r="V586" i="16"/>
  <c r="S824" i="16"/>
  <c r="T824" i="16"/>
  <c r="U824" i="16"/>
  <c r="V824" i="16"/>
  <c r="S567" i="16"/>
  <c r="T567" i="16"/>
  <c r="U567" i="16"/>
  <c r="V567" i="16"/>
  <c r="S92" i="16"/>
  <c r="T92" i="16"/>
  <c r="U92" i="16"/>
  <c r="V92" i="16"/>
  <c r="S132" i="16"/>
  <c r="T132" i="16"/>
  <c r="U132" i="16"/>
  <c r="V132" i="16"/>
  <c r="S356" i="16"/>
  <c r="V356" i="16"/>
  <c r="T356" i="16"/>
  <c r="U356" i="16"/>
  <c r="S623" i="16"/>
  <c r="T623" i="16"/>
  <c r="U623" i="16"/>
  <c r="V623" i="16"/>
  <c r="V495" i="16"/>
  <c r="T495" i="16"/>
  <c r="U495" i="16"/>
  <c r="S495" i="16"/>
  <c r="S494" i="16"/>
  <c r="V494" i="16"/>
  <c r="U494" i="16"/>
  <c r="T494" i="16"/>
  <c r="V825" i="16"/>
  <c r="S825" i="16"/>
  <c r="T825" i="16"/>
  <c r="U825" i="16"/>
  <c r="S320" i="16"/>
  <c r="V320" i="16"/>
  <c r="T320" i="16"/>
  <c r="U320" i="16"/>
  <c r="V391" i="16"/>
  <c r="S391" i="16"/>
  <c r="T391" i="16"/>
  <c r="U391" i="16"/>
  <c r="U612" i="16"/>
  <c r="S612" i="16"/>
  <c r="T612" i="16"/>
  <c r="V612" i="16"/>
  <c r="U646" i="16"/>
  <c r="S646" i="16"/>
  <c r="T646" i="16"/>
  <c r="V646" i="16"/>
  <c r="S585" i="16"/>
  <c r="T585" i="16"/>
  <c r="U585" i="16"/>
  <c r="V585" i="16"/>
  <c r="U556" i="16"/>
  <c r="V556" i="16"/>
  <c r="S556" i="16"/>
  <c r="T556" i="16"/>
  <c r="S370" i="16"/>
  <c r="V370" i="16"/>
  <c r="U370" i="16"/>
  <c r="T370" i="16"/>
  <c r="S579" i="16"/>
  <c r="T579" i="16"/>
  <c r="U579" i="16"/>
  <c r="V579" i="16"/>
  <c r="S146" i="16"/>
  <c r="T146" i="16"/>
  <c r="U146" i="16"/>
  <c r="V146" i="16"/>
  <c r="U610" i="16"/>
  <c r="T610" i="16"/>
  <c r="V610" i="16"/>
  <c r="S610" i="16"/>
  <c r="S581" i="16"/>
  <c r="T581" i="16"/>
  <c r="U581" i="16"/>
  <c r="V581" i="16"/>
  <c r="V551" i="16"/>
  <c r="S551" i="16"/>
  <c r="T551" i="16"/>
  <c r="U551" i="16"/>
  <c r="V381" i="16"/>
  <c r="S381" i="16"/>
  <c r="T381" i="16"/>
  <c r="U381" i="16"/>
  <c r="V333" i="16"/>
  <c r="S333" i="16"/>
  <c r="T333" i="16"/>
  <c r="U333" i="16"/>
  <c r="S48" i="16"/>
  <c r="T48" i="16"/>
  <c r="U48" i="16"/>
  <c r="V48" i="16"/>
  <c r="S312" i="16"/>
  <c r="V312" i="16"/>
  <c r="T312" i="16"/>
  <c r="U312" i="16"/>
  <c r="S84" i="16"/>
  <c r="T84" i="16"/>
  <c r="U84" i="16"/>
  <c r="V84" i="16"/>
  <c r="V135" i="16"/>
  <c r="S135" i="16"/>
  <c r="T135" i="16"/>
  <c r="U135" i="16"/>
  <c r="S130" i="16"/>
  <c r="T130" i="16"/>
  <c r="U130" i="16"/>
  <c r="V130" i="16"/>
  <c r="S316" i="16"/>
  <c r="V316" i="16"/>
  <c r="T316" i="16"/>
  <c r="U316" i="16"/>
  <c r="U566" i="16"/>
  <c r="S566" i="16"/>
  <c r="T566" i="16"/>
  <c r="V566" i="16"/>
  <c r="U616" i="16"/>
  <c r="S616" i="16"/>
  <c r="T616" i="16"/>
  <c r="V616" i="16"/>
  <c r="U650" i="16"/>
  <c r="S650" i="16"/>
  <c r="T650" i="16"/>
  <c r="V650" i="16"/>
  <c r="S597" i="16"/>
  <c r="T597" i="16"/>
  <c r="U597" i="16"/>
  <c r="V597" i="16"/>
  <c r="S631" i="16"/>
  <c r="T631" i="16"/>
  <c r="U631" i="16"/>
  <c r="V631" i="16"/>
  <c r="S98" i="16"/>
  <c r="T98" i="16"/>
  <c r="U98" i="16"/>
  <c r="V98" i="16"/>
  <c r="V147" i="16"/>
  <c r="U147" i="16"/>
  <c r="S147" i="16"/>
  <c r="T147" i="16"/>
  <c r="S50" i="16"/>
  <c r="T50" i="16"/>
  <c r="U50" i="16"/>
  <c r="V50" i="16"/>
  <c r="S78" i="16"/>
  <c r="T78" i="16"/>
  <c r="U78" i="16"/>
  <c r="V78" i="16"/>
  <c r="S589" i="16"/>
  <c r="T589" i="16"/>
  <c r="U589" i="16"/>
  <c r="V589" i="16"/>
  <c r="V339" i="16"/>
  <c r="S339" i="16"/>
  <c r="T339" i="16"/>
  <c r="U339" i="16"/>
  <c r="S244" i="16"/>
  <c r="V244" i="16"/>
  <c r="T244" i="16"/>
  <c r="U244" i="16"/>
  <c r="T249" i="16"/>
  <c r="V485" i="16"/>
  <c r="U485" i="16"/>
  <c r="T485" i="16"/>
  <c r="S485" i="16"/>
  <c r="U804" i="16"/>
  <c r="S804" i="16"/>
  <c r="T804" i="16"/>
  <c r="V804" i="16"/>
  <c r="S384" i="16"/>
  <c r="V384" i="16"/>
  <c r="T384" i="16"/>
  <c r="U384" i="16"/>
  <c r="V53" i="16"/>
  <c r="T53" i="16"/>
  <c r="U53" i="16"/>
  <c r="S53" i="16"/>
  <c r="S328" i="16"/>
  <c r="V328" i="16"/>
  <c r="T328" i="16"/>
  <c r="U328" i="16"/>
  <c r="S298" i="16"/>
  <c r="T298" i="16"/>
  <c r="V298" i="16"/>
  <c r="U298" i="16"/>
  <c r="S649" i="16"/>
  <c r="T649" i="16"/>
  <c r="U649" i="16"/>
  <c r="V649" i="16"/>
  <c r="U620" i="16"/>
  <c r="V620" i="16"/>
  <c r="S620" i="16"/>
  <c r="T620" i="16"/>
  <c r="S607" i="16"/>
  <c r="T607" i="16"/>
  <c r="U607" i="16"/>
  <c r="V607" i="16"/>
  <c r="U602" i="16"/>
  <c r="S602" i="16"/>
  <c r="T602" i="16"/>
  <c r="V602" i="16"/>
  <c r="V131" i="16"/>
  <c r="U131" i="16"/>
  <c r="S131" i="16"/>
  <c r="T131" i="16"/>
  <c r="S326" i="16"/>
  <c r="V326" i="16"/>
  <c r="T326" i="16"/>
  <c r="U326" i="16"/>
  <c r="S645" i="16"/>
  <c r="T645" i="16"/>
  <c r="U645" i="16"/>
  <c r="V645" i="16"/>
  <c r="S615" i="16"/>
  <c r="T615" i="16"/>
  <c r="U615" i="16"/>
  <c r="V615" i="16"/>
  <c r="V73" i="16"/>
  <c r="T73" i="16"/>
  <c r="S73" i="16"/>
  <c r="U73" i="16"/>
  <c r="V397" i="16"/>
  <c r="S397" i="16"/>
  <c r="T397" i="16"/>
  <c r="U397" i="16"/>
  <c r="S80" i="16"/>
  <c r="T80" i="16"/>
  <c r="U80" i="16"/>
  <c r="V80" i="16"/>
  <c r="S376" i="16"/>
  <c r="V376" i="16"/>
  <c r="T376" i="16"/>
  <c r="U376" i="16"/>
  <c r="V97" i="16"/>
  <c r="S97" i="16"/>
  <c r="T97" i="16"/>
  <c r="U97" i="16"/>
  <c r="S96" i="16"/>
  <c r="T96" i="16"/>
  <c r="U96" i="16"/>
  <c r="V96" i="16"/>
  <c r="S90" i="16"/>
  <c r="T90" i="16"/>
  <c r="U90" i="16"/>
  <c r="V90" i="16"/>
  <c r="V51" i="16"/>
  <c r="U51" i="16"/>
  <c r="T51" i="16"/>
  <c r="S51" i="16"/>
  <c r="U630" i="16"/>
  <c r="S630" i="16"/>
  <c r="T630" i="16"/>
  <c r="V630" i="16"/>
  <c r="S332" i="16"/>
  <c r="V332" i="16"/>
  <c r="T332" i="16"/>
  <c r="U332" i="16"/>
  <c r="U584" i="16"/>
  <c r="S584" i="16"/>
  <c r="T584" i="16"/>
  <c r="V584" i="16"/>
  <c r="V313" i="16"/>
  <c r="S313" i="16"/>
  <c r="T313" i="16"/>
  <c r="U313" i="16"/>
  <c r="V347" i="16"/>
  <c r="T347" i="16"/>
  <c r="U347" i="16"/>
  <c r="S347" i="16"/>
  <c r="S60" i="16"/>
  <c r="T60" i="16"/>
  <c r="U60" i="16"/>
  <c r="V60" i="16"/>
  <c r="V129" i="16"/>
  <c r="S129" i="16"/>
  <c r="T129" i="16"/>
  <c r="U129" i="16"/>
  <c r="S144" i="16"/>
  <c r="T144" i="16"/>
  <c r="U144" i="16"/>
  <c r="V144" i="16"/>
  <c r="V341" i="16"/>
  <c r="U341" i="16"/>
  <c r="S341" i="16"/>
  <c r="T341" i="16"/>
  <c r="S56" i="16"/>
  <c r="T56" i="16"/>
  <c r="U56" i="16"/>
  <c r="V56" i="16"/>
  <c r="V305" i="16"/>
  <c r="S305" i="16"/>
  <c r="U305" i="16"/>
  <c r="T305" i="16"/>
  <c r="U592" i="16"/>
  <c r="T592" i="16"/>
  <c r="S592" i="16"/>
  <c r="V592" i="16"/>
  <c r="S334" i="16"/>
  <c r="V334" i="16"/>
  <c r="U334" i="16"/>
  <c r="T334" i="16"/>
  <c r="T233" i="16"/>
  <c r="U233" i="16"/>
  <c r="V233" i="16"/>
  <c r="S233" i="16"/>
  <c r="V845" i="16"/>
  <c r="S845" i="16"/>
  <c r="T845" i="16"/>
  <c r="U845" i="16"/>
  <c r="V399" i="16"/>
  <c r="T399" i="16"/>
  <c r="U399" i="16"/>
  <c r="S399" i="16"/>
  <c r="V137" i="16"/>
  <c r="T137" i="16"/>
  <c r="S137" i="16"/>
  <c r="U137" i="16"/>
  <c r="S392" i="16"/>
  <c r="V392" i="16"/>
  <c r="T392" i="16"/>
  <c r="U392" i="16"/>
  <c r="S362" i="16"/>
  <c r="V362" i="16"/>
  <c r="T362" i="16"/>
  <c r="U362" i="16"/>
  <c r="S310" i="16"/>
  <c r="V310" i="16"/>
  <c r="T310" i="16"/>
  <c r="U310" i="16"/>
  <c r="S336" i="16"/>
  <c r="V336" i="16"/>
  <c r="T336" i="16"/>
  <c r="U336" i="16"/>
  <c r="V323" i="16"/>
  <c r="S323" i="16"/>
  <c r="T323" i="16"/>
  <c r="U323" i="16"/>
  <c r="S318" i="16"/>
  <c r="V318" i="16"/>
  <c r="U318" i="16"/>
  <c r="T318" i="16"/>
  <c r="V71" i="16"/>
  <c r="S71" i="16"/>
  <c r="T71" i="16"/>
  <c r="U71" i="16"/>
  <c r="S390" i="16"/>
  <c r="V390" i="16"/>
  <c r="T390" i="16"/>
  <c r="U390" i="16"/>
  <c r="V297" i="16"/>
  <c r="S297" i="16"/>
  <c r="U297" i="16"/>
  <c r="T297" i="16"/>
  <c r="V331" i="16"/>
  <c r="T331" i="16"/>
  <c r="S331" i="16"/>
  <c r="U331" i="16"/>
  <c r="U588" i="16"/>
  <c r="V588" i="16"/>
  <c r="S588" i="16"/>
  <c r="T588" i="16"/>
  <c r="V303" i="16"/>
  <c r="S303" i="16"/>
  <c r="T303" i="16"/>
  <c r="U303" i="16"/>
  <c r="V101" i="16"/>
  <c r="T101" i="16"/>
  <c r="U101" i="16"/>
  <c r="S101" i="16"/>
  <c r="V343" i="16"/>
  <c r="S343" i="16"/>
  <c r="T343" i="16"/>
  <c r="U343" i="16"/>
  <c r="V91" i="16"/>
  <c r="S91" i="16"/>
  <c r="T91" i="16"/>
  <c r="U91" i="16"/>
  <c r="U636" i="16"/>
  <c r="V636" i="16"/>
  <c r="S636" i="16"/>
  <c r="T636" i="16"/>
  <c r="S88" i="16"/>
  <c r="T88" i="16"/>
  <c r="U88" i="16"/>
  <c r="V88" i="16"/>
  <c r="V83" i="16"/>
  <c r="U83" i="16"/>
  <c r="S83" i="16"/>
  <c r="T83" i="16"/>
  <c r="S346" i="16"/>
  <c r="V346" i="16"/>
  <c r="T346" i="16"/>
  <c r="U346" i="16"/>
  <c r="S396" i="16"/>
  <c r="V396" i="16"/>
  <c r="T396" i="16"/>
  <c r="U396" i="16"/>
  <c r="U648" i="16"/>
  <c r="S648" i="16"/>
  <c r="T648" i="16"/>
  <c r="V648" i="16"/>
  <c r="V377" i="16"/>
  <c r="S377" i="16"/>
  <c r="T377" i="16"/>
  <c r="U377" i="16"/>
  <c r="S553" i="16"/>
  <c r="T553" i="16"/>
  <c r="U553" i="16"/>
  <c r="V553" i="16"/>
  <c r="V47" i="16"/>
  <c r="U47" i="16"/>
  <c r="S47" i="16"/>
  <c r="T47" i="16"/>
  <c r="S601" i="16"/>
  <c r="T601" i="16"/>
  <c r="U601" i="16"/>
  <c r="V601" i="16"/>
  <c r="U578" i="16"/>
  <c r="T578" i="16"/>
  <c r="V578" i="16"/>
  <c r="S578" i="16"/>
  <c r="U576" i="16"/>
  <c r="T576" i="16"/>
  <c r="S576" i="16"/>
  <c r="V576" i="16"/>
  <c r="V369" i="16"/>
  <c r="S369" i="16"/>
  <c r="U369" i="16"/>
  <c r="T369" i="16"/>
  <c r="S308" i="16"/>
  <c r="V308" i="16"/>
  <c r="T308" i="16"/>
  <c r="U308" i="16"/>
  <c r="S398" i="16"/>
  <c r="V398" i="16"/>
  <c r="U398" i="16"/>
  <c r="T398" i="16"/>
  <c r="H107" i="16"/>
  <c r="J107" i="16"/>
  <c r="Q58" i="16"/>
  <c r="H321" i="16"/>
  <c r="P58" i="16"/>
  <c r="J319" i="16"/>
  <c r="AP742" i="16"/>
  <c r="AQ742" i="16" s="1"/>
  <c r="W742" i="16" s="1"/>
  <c r="AQ604" i="16"/>
  <c r="W604" i="16" s="1"/>
  <c r="AR604" i="16"/>
  <c r="X604" i="16" s="1"/>
  <c r="AQ582" i="16"/>
  <c r="W582" i="16" s="1"/>
  <c r="AR582" i="16"/>
  <c r="X582" i="16" s="1"/>
  <c r="AQ365" i="16"/>
  <c r="W365" i="16" s="1"/>
  <c r="AR365" i="16"/>
  <c r="X365" i="16" s="1"/>
  <c r="AQ627" i="16"/>
  <c r="W627" i="16" s="1"/>
  <c r="AR627" i="16"/>
  <c r="X627" i="16" s="1"/>
  <c r="AQ619" i="16"/>
  <c r="W619" i="16" s="1"/>
  <c r="AR619" i="16"/>
  <c r="X619" i="16" s="1"/>
  <c r="AQ393" i="16"/>
  <c r="W393" i="16" s="1"/>
  <c r="AR393" i="16"/>
  <c r="X393" i="16" s="1"/>
  <c r="AQ586" i="16"/>
  <c r="W586" i="16" s="1"/>
  <c r="AR586" i="16"/>
  <c r="X586" i="16" s="1"/>
  <c r="AQ567" i="16"/>
  <c r="W567" i="16" s="1"/>
  <c r="AR567" i="16"/>
  <c r="X567" i="16" s="1"/>
  <c r="AQ495" i="16"/>
  <c r="W495" i="16" s="1"/>
  <c r="AR495" i="16"/>
  <c r="X495" i="16" s="1"/>
  <c r="AQ494" i="16"/>
  <c r="W494" i="16" s="1"/>
  <c r="AR494" i="16"/>
  <c r="X494" i="16" s="1"/>
  <c r="AQ825" i="16"/>
  <c r="W825" i="16" s="1"/>
  <c r="AR825" i="16"/>
  <c r="X825" i="16" s="1"/>
  <c r="AQ320" i="16"/>
  <c r="W320" i="16" s="1"/>
  <c r="AR320" i="16"/>
  <c r="X320" i="16" s="1"/>
  <c r="AQ391" i="16"/>
  <c r="W391" i="16" s="1"/>
  <c r="AR391" i="16"/>
  <c r="X391" i="16" s="1"/>
  <c r="AQ612" i="16"/>
  <c r="W612" i="16" s="1"/>
  <c r="AR612" i="16"/>
  <c r="X612" i="16" s="1"/>
  <c r="AQ646" i="16"/>
  <c r="W646" i="16" s="1"/>
  <c r="AR646" i="16"/>
  <c r="X646" i="16" s="1"/>
  <c r="AQ585" i="16"/>
  <c r="W585" i="16" s="1"/>
  <c r="AR585" i="16"/>
  <c r="X585" i="16" s="1"/>
  <c r="AQ556" i="16"/>
  <c r="W556" i="16" s="1"/>
  <c r="AR556" i="16"/>
  <c r="X556" i="16" s="1"/>
  <c r="AQ370" i="16"/>
  <c r="W370" i="16" s="1"/>
  <c r="AR370" i="16"/>
  <c r="X370" i="16" s="1"/>
  <c r="AQ579" i="16"/>
  <c r="W579" i="16" s="1"/>
  <c r="AR579" i="16"/>
  <c r="X579" i="16" s="1"/>
  <c r="AQ610" i="16"/>
  <c r="W610" i="16" s="1"/>
  <c r="AR610" i="16"/>
  <c r="X610" i="16" s="1"/>
  <c r="AQ581" i="16"/>
  <c r="W581" i="16" s="1"/>
  <c r="AR581" i="16"/>
  <c r="X581" i="16" s="1"/>
  <c r="AQ551" i="16"/>
  <c r="W551" i="16" s="1"/>
  <c r="AR551" i="16"/>
  <c r="X551" i="16" s="1"/>
  <c r="AQ381" i="16"/>
  <c r="W381" i="16" s="1"/>
  <c r="AR381" i="16"/>
  <c r="X381" i="16" s="1"/>
  <c r="AQ333" i="16"/>
  <c r="W333" i="16" s="1"/>
  <c r="AR333" i="16"/>
  <c r="X333" i="16" s="1"/>
  <c r="AQ312" i="16"/>
  <c r="W312" i="16" s="1"/>
  <c r="AR312" i="16"/>
  <c r="X312" i="16" s="1"/>
  <c r="AQ316" i="16"/>
  <c r="W316" i="16" s="1"/>
  <c r="AR316" i="16"/>
  <c r="X316" i="16" s="1"/>
  <c r="AQ566" i="16"/>
  <c r="W566" i="16" s="1"/>
  <c r="AR566" i="16"/>
  <c r="X566" i="16" s="1"/>
  <c r="AQ616" i="16"/>
  <c r="W616" i="16" s="1"/>
  <c r="AR616" i="16"/>
  <c r="X616" i="16" s="1"/>
  <c r="AQ650" i="16"/>
  <c r="W650" i="16" s="1"/>
  <c r="AR650" i="16"/>
  <c r="X650" i="16" s="1"/>
  <c r="AQ597" i="16"/>
  <c r="W597" i="16" s="1"/>
  <c r="AR597" i="16"/>
  <c r="X597" i="16" s="1"/>
  <c r="AQ631" i="16"/>
  <c r="W631" i="16" s="1"/>
  <c r="AR631" i="16"/>
  <c r="X631" i="16" s="1"/>
  <c r="AQ866" i="16"/>
  <c r="W866" i="16" s="1"/>
  <c r="AR866" i="16"/>
  <c r="X866" i="16" s="1"/>
  <c r="AQ885" i="16"/>
  <c r="W885" i="16" s="1"/>
  <c r="AR885" i="16"/>
  <c r="X885" i="16" s="1"/>
  <c r="AQ348" i="16"/>
  <c r="W348" i="16" s="1"/>
  <c r="AR348" i="16"/>
  <c r="X348" i="16" s="1"/>
  <c r="AQ306" i="16"/>
  <c r="W306" i="16" s="1"/>
  <c r="AR306" i="16"/>
  <c r="X306" i="16" s="1"/>
  <c r="AQ327" i="16"/>
  <c r="W327" i="16" s="1"/>
  <c r="AR327" i="16"/>
  <c r="X327" i="16" s="1"/>
  <c r="AQ311" i="16"/>
  <c r="W311" i="16" s="1"/>
  <c r="AR311" i="16"/>
  <c r="X311" i="16" s="1"/>
  <c r="AQ596" i="16"/>
  <c r="W596" i="16" s="1"/>
  <c r="AR596" i="16"/>
  <c r="X596" i="16" s="1"/>
  <c r="AQ600" i="16"/>
  <c r="W600" i="16" s="1"/>
  <c r="AR600" i="16"/>
  <c r="X600" i="16" s="1"/>
  <c r="AQ552" i="16"/>
  <c r="W552" i="16" s="1"/>
  <c r="AR552" i="16"/>
  <c r="X552" i="16" s="1"/>
  <c r="AQ824" i="16"/>
  <c r="W824" i="16" s="1"/>
  <c r="AR824" i="16"/>
  <c r="X824" i="16" s="1"/>
  <c r="AR503" i="16"/>
  <c r="X503" i="16" s="1"/>
  <c r="AQ485" i="16"/>
  <c r="W485" i="16" s="1"/>
  <c r="AR485" i="16"/>
  <c r="X485" i="16" s="1"/>
  <c r="AQ804" i="16"/>
  <c r="W804" i="16" s="1"/>
  <c r="AR804" i="16"/>
  <c r="X804" i="16" s="1"/>
  <c r="AQ384" i="16"/>
  <c r="W384" i="16" s="1"/>
  <c r="AR384" i="16"/>
  <c r="X384" i="16" s="1"/>
  <c r="AQ328" i="16"/>
  <c r="W328" i="16" s="1"/>
  <c r="AR328" i="16"/>
  <c r="X328" i="16" s="1"/>
  <c r="AQ298" i="16"/>
  <c r="W298" i="16" s="1"/>
  <c r="AR298" i="16"/>
  <c r="X298" i="16" s="1"/>
  <c r="AQ649" i="16"/>
  <c r="W649" i="16" s="1"/>
  <c r="AR649" i="16"/>
  <c r="X649" i="16" s="1"/>
  <c r="AQ620" i="16"/>
  <c r="W620" i="16" s="1"/>
  <c r="AR620" i="16"/>
  <c r="X620" i="16" s="1"/>
  <c r="AQ607" i="16"/>
  <c r="W607" i="16" s="1"/>
  <c r="AR607" i="16"/>
  <c r="X607" i="16" s="1"/>
  <c r="AQ602" i="16"/>
  <c r="W602" i="16" s="1"/>
  <c r="AR602" i="16"/>
  <c r="X602" i="16" s="1"/>
  <c r="AQ326" i="16"/>
  <c r="W326" i="16" s="1"/>
  <c r="AR326" i="16"/>
  <c r="X326" i="16" s="1"/>
  <c r="AQ645" i="16"/>
  <c r="W645" i="16" s="1"/>
  <c r="AR645" i="16"/>
  <c r="X645" i="16" s="1"/>
  <c r="AQ615" i="16"/>
  <c r="W615" i="16" s="1"/>
  <c r="AR615" i="16"/>
  <c r="X615" i="16" s="1"/>
  <c r="AQ397" i="16"/>
  <c r="W397" i="16" s="1"/>
  <c r="AR397" i="16"/>
  <c r="X397" i="16" s="1"/>
  <c r="AQ376" i="16"/>
  <c r="W376" i="16" s="1"/>
  <c r="AR376" i="16"/>
  <c r="X376" i="16" s="1"/>
  <c r="AQ630" i="16"/>
  <c r="W630" i="16" s="1"/>
  <c r="AR630" i="16"/>
  <c r="X630" i="16" s="1"/>
  <c r="AQ332" i="16"/>
  <c r="W332" i="16" s="1"/>
  <c r="AR332" i="16"/>
  <c r="X332" i="16" s="1"/>
  <c r="AQ584" i="16"/>
  <c r="W584" i="16" s="1"/>
  <c r="AR584" i="16"/>
  <c r="X584" i="16" s="1"/>
  <c r="AQ313" i="16"/>
  <c r="W313" i="16" s="1"/>
  <c r="AR313" i="16"/>
  <c r="X313" i="16" s="1"/>
  <c r="AQ347" i="16"/>
  <c r="W347" i="16" s="1"/>
  <c r="AR347" i="16"/>
  <c r="X347" i="16" s="1"/>
  <c r="AQ351" i="16"/>
  <c r="W351" i="16" s="1"/>
  <c r="AR351" i="16"/>
  <c r="X351" i="16" s="1"/>
  <c r="AQ587" i="16"/>
  <c r="W587" i="16" s="1"/>
  <c r="AR587" i="16"/>
  <c r="X587" i="16" s="1"/>
  <c r="AQ845" i="16"/>
  <c r="W845" i="16" s="1"/>
  <c r="AR845" i="16"/>
  <c r="X845" i="16" s="1"/>
  <c r="AQ399" i="16"/>
  <c r="W399" i="16" s="1"/>
  <c r="AR399" i="16"/>
  <c r="X399" i="16" s="1"/>
  <c r="AQ392" i="16"/>
  <c r="W392" i="16" s="1"/>
  <c r="AR392" i="16"/>
  <c r="X392" i="16" s="1"/>
  <c r="AQ362" i="16"/>
  <c r="W362" i="16" s="1"/>
  <c r="AR362" i="16"/>
  <c r="X362" i="16" s="1"/>
  <c r="AQ310" i="16"/>
  <c r="W310" i="16" s="1"/>
  <c r="AR310" i="16"/>
  <c r="X310" i="16" s="1"/>
  <c r="AQ336" i="16"/>
  <c r="W336" i="16" s="1"/>
  <c r="AR336" i="16"/>
  <c r="X336" i="16" s="1"/>
  <c r="AQ323" i="16"/>
  <c r="W323" i="16" s="1"/>
  <c r="AR323" i="16"/>
  <c r="X323" i="16" s="1"/>
  <c r="AQ318" i="16"/>
  <c r="W318" i="16" s="1"/>
  <c r="AR318" i="16"/>
  <c r="X318" i="16" s="1"/>
  <c r="AQ390" i="16"/>
  <c r="W390" i="16" s="1"/>
  <c r="AR390" i="16"/>
  <c r="X390" i="16" s="1"/>
  <c r="AQ297" i="16"/>
  <c r="W297" i="16" s="1"/>
  <c r="AR297" i="16"/>
  <c r="X297" i="16" s="1"/>
  <c r="AQ331" i="16"/>
  <c r="W331" i="16" s="1"/>
  <c r="AR331" i="16"/>
  <c r="X331" i="16" s="1"/>
  <c r="AQ588" i="16"/>
  <c r="W588" i="16" s="1"/>
  <c r="AR588" i="16"/>
  <c r="X588" i="16" s="1"/>
  <c r="AQ303" i="16"/>
  <c r="W303" i="16" s="1"/>
  <c r="AR303" i="16"/>
  <c r="X303" i="16" s="1"/>
  <c r="AQ343" i="16"/>
  <c r="W343" i="16" s="1"/>
  <c r="AR343" i="16"/>
  <c r="X343" i="16" s="1"/>
  <c r="AQ636" i="16"/>
  <c r="W636" i="16" s="1"/>
  <c r="AR636" i="16"/>
  <c r="X636" i="16" s="1"/>
  <c r="AQ346" i="16"/>
  <c r="W346" i="16" s="1"/>
  <c r="AR346" i="16"/>
  <c r="X346" i="16" s="1"/>
  <c r="AQ396" i="16"/>
  <c r="W396" i="16" s="1"/>
  <c r="AR396" i="16"/>
  <c r="X396" i="16" s="1"/>
  <c r="AQ648" i="16"/>
  <c r="W648" i="16" s="1"/>
  <c r="AR648" i="16"/>
  <c r="X648" i="16" s="1"/>
  <c r="AQ377" i="16"/>
  <c r="W377" i="16" s="1"/>
  <c r="AR377" i="16"/>
  <c r="X377" i="16" s="1"/>
  <c r="AQ553" i="16"/>
  <c r="W553" i="16" s="1"/>
  <c r="AR553" i="16"/>
  <c r="X553" i="16" s="1"/>
  <c r="AQ802" i="16"/>
  <c r="W802" i="16" s="1"/>
  <c r="AR802" i="16"/>
  <c r="X802" i="16" s="1"/>
  <c r="I65" i="16"/>
  <c r="AQ497" i="16"/>
  <c r="W497" i="16" s="1"/>
  <c r="AR497" i="16"/>
  <c r="X497" i="16" s="1"/>
  <c r="AQ989" i="16"/>
  <c r="W989" i="16" s="1"/>
  <c r="AR989" i="16"/>
  <c r="X989" i="16" s="1"/>
  <c r="AQ635" i="16"/>
  <c r="W635" i="16" s="1"/>
  <c r="AR635" i="16"/>
  <c r="X635" i="16" s="1"/>
  <c r="AQ565" i="16"/>
  <c r="W565" i="16" s="1"/>
  <c r="AR565" i="16"/>
  <c r="X565" i="16" s="1"/>
  <c r="AQ599" i="16"/>
  <c r="W599" i="16" s="1"/>
  <c r="AR599" i="16"/>
  <c r="X599" i="16" s="1"/>
  <c r="AQ374" i="16"/>
  <c r="W374" i="16" s="1"/>
  <c r="AR374" i="16"/>
  <c r="X374" i="16" s="1"/>
  <c r="AQ400" i="16"/>
  <c r="W400" i="16" s="1"/>
  <c r="AR400" i="16"/>
  <c r="X400" i="16" s="1"/>
  <c r="AQ387" i="16"/>
  <c r="W387" i="16" s="1"/>
  <c r="AR387" i="16"/>
  <c r="X387" i="16" s="1"/>
  <c r="AQ382" i="16"/>
  <c r="W382" i="16" s="1"/>
  <c r="AR382" i="16"/>
  <c r="X382" i="16" s="1"/>
  <c r="AQ361" i="16"/>
  <c r="W361" i="16" s="1"/>
  <c r="AR361" i="16"/>
  <c r="X361" i="16" s="1"/>
  <c r="AQ395" i="16"/>
  <c r="W395" i="16" s="1"/>
  <c r="AR395" i="16"/>
  <c r="X395" i="16" s="1"/>
  <c r="AQ652" i="16"/>
  <c r="W652" i="16" s="1"/>
  <c r="AR652" i="16"/>
  <c r="X652" i="16" s="1"/>
  <c r="AQ570" i="16"/>
  <c r="W570" i="16" s="1"/>
  <c r="AR570" i="16"/>
  <c r="X570" i="16" s="1"/>
  <c r="AQ352" i="16"/>
  <c r="W352" i="16" s="1"/>
  <c r="AR352" i="16"/>
  <c r="X352" i="16" s="1"/>
  <c r="AQ580" i="16"/>
  <c r="W580" i="16" s="1"/>
  <c r="AR580" i="16"/>
  <c r="X580" i="16" s="1"/>
  <c r="AQ864" i="16"/>
  <c r="W864" i="16" s="1"/>
  <c r="AR864" i="16"/>
  <c r="X864" i="16" s="1"/>
  <c r="AQ583" i="16"/>
  <c r="W583" i="16" s="1"/>
  <c r="AR583" i="16"/>
  <c r="X583" i="16" s="1"/>
  <c r="AQ633" i="16"/>
  <c r="W633" i="16" s="1"/>
  <c r="AR633" i="16"/>
  <c r="X633" i="16" s="1"/>
  <c r="AQ300" i="16"/>
  <c r="W300" i="16" s="1"/>
  <c r="AR300" i="16"/>
  <c r="X300" i="16" s="1"/>
  <c r="AQ550" i="16"/>
  <c r="W550" i="16" s="1"/>
  <c r="AR550" i="16"/>
  <c r="X550" i="16" s="1"/>
  <c r="AQ617" i="16"/>
  <c r="W617" i="16" s="1"/>
  <c r="AR617" i="16"/>
  <c r="X617" i="16" s="1"/>
  <c r="AQ737" i="16"/>
  <c r="W737" i="16" s="1"/>
  <c r="AR737" i="16"/>
  <c r="X737" i="16" s="1"/>
  <c r="AQ739" i="16"/>
  <c r="W739" i="16" s="1"/>
  <c r="AR739" i="16"/>
  <c r="X739" i="16" s="1"/>
  <c r="AQ560" i="16"/>
  <c r="W560" i="16" s="1"/>
  <c r="AR560" i="16"/>
  <c r="X560" i="16" s="1"/>
  <c r="AQ629" i="16"/>
  <c r="W629" i="16" s="1"/>
  <c r="AR629" i="16"/>
  <c r="X629" i="16" s="1"/>
  <c r="AQ315" i="16"/>
  <c r="W315" i="16" s="1"/>
  <c r="AR315" i="16"/>
  <c r="X315" i="16" s="1"/>
  <c r="AQ573" i="16"/>
  <c r="W573" i="16" s="1"/>
  <c r="AR573" i="16"/>
  <c r="X573" i="16" s="1"/>
  <c r="AQ319" i="16"/>
  <c r="W319" i="16" s="1"/>
  <c r="AR319" i="16"/>
  <c r="X319" i="16" s="1"/>
  <c r="AQ643" i="16"/>
  <c r="W643" i="16" s="1"/>
  <c r="AR643" i="16"/>
  <c r="X643" i="16" s="1"/>
  <c r="AQ801" i="16"/>
  <c r="W801" i="16" s="1"/>
  <c r="AR801" i="16"/>
  <c r="X801" i="16" s="1"/>
  <c r="AQ598" i="16"/>
  <c r="W598" i="16" s="1"/>
  <c r="AR598" i="16"/>
  <c r="X598" i="16" s="1"/>
  <c r="AQ375" i="16"/>
  <c r="W375" i="16" s="1"/>
  <c r="AR375" i="16"/>
  <c r="X375" i="16" s="1"/>
  <c r="AQ304" i="16"/>
  <c r="W304" i="16" s="1"/>
  <c r="AR304" i="16"/>
  <c r="X304" i="16" s="1"/>
  <c r="AQ634" i="16"/>
  <c r="W634" i="16" s="1"/>
  <c r="AR634" i="16"/>
  <c r="X634" i="16" s="1"/>
  <c r="AQ383" i="16"/>
  <c r="W383" i="16" s="1"/>
  <c r="AR383" i="16"/>
  <c r="X383" i="16" s="1"/>
  <c r="AQ644" i="16"/>
  <c r="W644" i="16" s="1"/>
  <c r="AR644" i="16"/>
  <c r="X644" i="16" s="1"/>
  <c r="AQ549" i="16"/>
  <c r="W549" i="16" s="1"/>
  <c r="AR549" i="16"/>
  <c r="X549" i="16" s="1"/>
  <c r="AQ647" i="16"/>
  <c r="W647" i="16" s="1"/>
  <c r="AR647" i="16"/>
  <c r="X647" i="16" s="1"/>
  <c r="AQ358" i="16"/>
  <c r="W358" i="16" s="1"/>
  <c r="AR358" i="16"/>
  <c r="X358" i="16" s="1"/>
  <c r="AQ364" i="16"/>
  <c r="W364" i="16" s="1"/>
  <c r="AR364" i="16"/>
  <c r="X364" i="16" s="1"/>
  <c r="AQ614" i="16"/>
  <c r="W614" i="16" s="1"/>
  <c r="AR614" i="16"/>
  <c r="X614" i="16" s="1"/>
  <c r="AQ342" i="16"/>
  <c r="W342" i="16" s="1"/>
  <c r="AR342" i="16"/>
  <c r="X342" i="16" s="1"/>
  <c r="AQ144" i="16"/>
  <c r="W144" i="16" s="1"/>
  <c r="AQ823" i="16"/>
  <c r="W823" i="16" s="1"/>
  <c r="AR823" i="16"/>
  <c r="X823" i="16" s="1"/>
  <c r="AQ887" i="16"/>
  <c r="W887" i="16" s="1"/>
  <c r="AR887" i="16"/>
  <c r="X887" i="16" s="1"/>
  <c r="AQ843" i="16"/>
  <c r="W843" i="16" s="1"/>
  <c r="AR843" i="16"/>
  <c r="X843" i="16" s="1"/>
  <c r="AQ624" i="16"/>
  <c r="W624" i="16" s="1"/>
  <c r="AR624" i="16"/>
  <c r="X624" i="16" s="1"/>
  <c r="AQ345" i="16"/>
  <c r="W345" i="16" s="1"/>
  <c r="AR345" i="16"/>
  <c r="X345" i="16" s="1"/>
  <c r="AQ379" i="16"/>
  <c r="W379" i="16" s="1"/>
  <c r="AR379" i="16"/>
  <c r="X379" i="16" s="1"/>
  <c r="AQ637" i="16"/>
  <c r="W637" i="16" s="1"/>
  <c r="AR637" i="16"/>
  <c r="X637" i="16" s="1"/>
  <c r="AQ593" i="16"/>
  <c r="W593" i="16" s="1"/>
  <c r="AR593" i="16"/>
  <c r="X593" i="16" s="1"/>
  <c r="AQ309" i="16"/>
  <c r="W309" i="16" s="1"/>
  <c r="AR309" i="16"/>
  <c r="X309" i="16" s="1"/>
  <c r="AQ628" i="16"/>
  <c r="W628" i="16" s="1"/>
  <c r="AR628" i="16"/>
  <c r="X628" i="16" s="1"/>
  <c r="AQ314" i="16"/>
  <c r="W314" i="16" s="1"/>
  <c r="AR314" i="16"/>
  <c r="X314" i="16" s="1"/>
  <c r="AQ555" i="16"/>
  <c r="W555" i="16" s="1"/>
  <c r="AR555" i="16"/>
  <c r="X555" i="16" s="1"/>
  <c r="AQ368" i="16"/>
  <c r="W368" i="16" s="1"/>
  <c r="AR368" i="16"/>
  <c r="X368" i="16" s="1"/>
  <c r="AQ554" i="16"/>
  <c r="W554" i="16" s="1"/>
  <c r="AR554" i="16"/>
  <c r="X554" i="16" s="1"/>
  <c r="AQ618" i="16"/>
  <c r="W618" i="16" s="1"/>
  <c r="AR618" i="16"/>
  <c r="X618" i="16" s="1"/>
  <c r="AQ571" i="16"/>
  <c r="W571" i="16" s="1"/>
  <c r="AR571" i="16"/>
  <c r="X571" i="16" s="1"/>
  <c r="AQ360" i="16"/>
  <c r="W360" i="16" s="1"/>
  <c r="AR360" i="16"/>
  <c r="X360" i="16" s="1"/>
  <c r="AQ613" i="16"/>
  <c r="W613" i="16" s="1"/>
  <c r="AR613" i="16"/>
  <c r="X613" i="16" s="1"/>
  <c r="AQ299" i="16"/>
  <c r="W299" i="16" s="1"/>
  <c r="AR299" i="16"/>
  <c r="X299" i="16" s="1"/>
  <c r="AQ330" i="16"/>
  <c r="W330" i="16" s="1"/>
  <c r="AR330" i="16"/>
  <c r="X330" i="16" s="1"/>
  <c r="AQ601" i="16"/>
  <c r="W601" i="16" s="1"/>
  <c r="AR601" i="16"/>
  <c r="X601" i="16" s="1"/>
  <c r="AQ499" i="16"/>
  <c r="W499" i="16" s="1"/>
  <c r="AR499" i="16"/>
  <c r="X499" i="16" s="1"/>
  <c r="AP994" i="16"/>
  <c r="AQ340" i="16"/>
  <c r="W340" i="16" s="1"/>
  <c r="AR340" i="16"/>
  <c r="X340" i="16" s="1"/>
  <c r="AQ335" i="16"/>
  <c r="W335" i="16" s="1"/>
  <c r="AR335" i="16"/>
  <c r="X335" i="16" s="1"/>
  <c r="AQ568" i="16"/>
  <c r="W568" i="16" s="1"/>
  <c r="AR568" i="16"/>
  <c r="X568" i="16" s="1"/>
  <c r="AQ353" i="16"/>
  <c r="W353" i="16" s="1"/>
  <c r="AR353" i="16"/>
  <c r="X353" i="16" s="1"/>
  <c r="AQ301" i="16"/>
  <c r="W301" i="16" s="1"/>
  <c r="AR301" i="16"/>
  <c r="X301" i="16" s="1"/>
  <c r="AQ373" i="16"/>
  <c r="W373" i="16" s="1"/>
  <c r="AR373" i="16"/>
  <c r="X373" i="16" s="1"/>
  <c r="AQ344" i="16"/>
  <c r="W344" i="16" s="1"/>
  <c r="AR344" i="16"/>
  <c r="X344" i="16" s="1"/>
  <c r="AQ378" i="16"/>
  <c r="W378" i="16" s="1"/>
  <c r="AR378" i="16"/>
  <c r="X378" i="16" s="1"/>
  <c r="AQ572" i="16"/>
  <c r="W572" i="16" s="1"/>
  <c r="AR572" i="16"/>
  <c r="X572" i="16" s="1"/>
  <c r="AQ563" i="16"/>
  <c r="W563" i="16" s="1"/>
  <c r="AR563" i="16"/>
  <c r="X563" i="16" s="1"/>
  <c r="AQ803" i="16"/>
  <c r="W803" i="16" s="1"/>
  <c r="AR803" i="16"/>
  <c r="X803" i="16" s="1"/>
  <c r="AQ651" i="16"/>
  <c r="W651" i="16" s="1"/>
  <c r="AR651" i="16"/>
  <c r="X651" i="16" s="1"/>
  <c r="AQ603" i="16"/>
  <c r="W603" i="16" s="1"/>
  <c r="AR603" i="16"/>
  <c r="X603" i="16" s="1"/>
  <c r="AQ329" i="16"/>
  <c r="W329" i="16" s="1"/>
  <c r="AR329" i="16"/>
  <c r="X329" i="16" s="1"/>
  <c r="AQ363" i="16"/>
  <c r="W363" i="16" s="1"/>
  <c r="AR363" i="16"/>
  <c r="X363" i="16" s="1"/>
  <c r="AQ349" i="16"/>
  <c r="W349" i="16" s="1"/>
  <c r="AR349" i="16"/>
  <c r="X349" i="16" s="1"/>
  <c r="AQ394" i="16"/>
  <c r="W394" i="16" s="1"/>
  <c r="AR394" i="16"/>
  <c r="X394" i="16" s="1"/>
  <c r="AQ84" i="16"/>
  <c r="W84" i="16" s="1"/>
  <c r="AR84" i="16"/>
  <c r="X84" i="16" s="1"/>
  <c r="I80" i="16"/>
  <c r="AQ53" i="16"/>
  <c r="W53" i="16" s="1"/>
  <c r="AR53" i="16"/>
  <c r="X53" i="16" s="1"/>
  <c r="AQ131" i="16"/>
  <c r="W131" i="16" s="1"/>
  <c r="AR131" i="16"/>
  <c r="X131" i="16" s="1"/>
  <c r="AQ73" i="16"/>
  <c r="W73" i="16" s="1"/>
  <c r="AR73" i="16"/>
  <c r="X73" i="16" s="1"/>
  <c r="AQ80" i="16"/>
  <c r="W80" i="16" s="1"/>
  <c r="AR80" i="16"/>
  <c r="X80" i="16" s="1"/>
  <c r="AQ97" i="16"/>
  <c r="W97" i="16" s="1"/>
  <c r="AR97" i="16"/>
  <c r="X97" i="16" s="1"/>
  <c r="AQ96" i="16"/>
  <c r="W96" i="16" s="1"/>
  <c r="AR96" i="16"/>
  <c r="X96" i="16" s="1"/>
  <c r="AQ90" i="16"/>
  <c r="W90" i="16" s="1"/>
  <c r="AR90" i="16"/>
  <c r="X90" i="16" s="1"/>
  <c r="AQ51" i="16"/>
  <c r="W51" i="16" s="1"/>
  <c r="AR51" i="16"/>
  <c r="X51" i="16" s="1"/>
  <c r="AQ60" i="16"/>
  <c r="W60" i="16" s="1"/>
  <c r="AR60" i="16"/>
  <c r="X60" i="16" s="1"/>
  <c r="AQ146" i="16"/>
  <c r="W146" i="16" s="1"/>
  <c r="AR146" i="16"/>
  <c r="X146" i="16" s="1"/>
  <c r="AQ48" i="16"/>
  <c r="W48" i="16" s="1"/>
  <c r="AR48" i="16"/>
  <c r="X48" i="16" s="1"/>
  <c r="AQ135" i="16"/>
  <c r="W135" i="16" s="1"/>
  <c r="AR135" i="16"/>
  <c r="X135" i="16" s="1"/>
  <c r="AQ130" i="16"/>
  <c r="W130" i="16" s="1"/>
  <c r="AR130" i="16"/>
  <c r="X130" i="16" s="1"/>
  <c r="AQ98" i="16"/>
  <c r="W98" i="16" s="1"/>
  <c r="AR98" i="16"/>
  <c r="X98" i="16" s="1"/>
  <c r="AQ249" i="16"/>
  <c r="W249" i="16" s="1"/>
  <c r="AQ137" i="16"/>
  <c r="W137" i="16" s="1"/>
  <c r="AR137" i="16"/>
  <c r="X137" i="16" s="1"/>
  <c r="AQ71" i="16"/>
  <c r="W71" i="16" s="1"/>
  <c r="AR71" i="16"/>
  <c r="X71" i="16" s="1"/>
  <c r="AQ101" i="16"/>
  <c r="W101" i="16" s="1"/>
  <c r="AR101" i="16"/>
  <c r="X101" i="16" s="1"/>
  <c r="AQ91" i="16"/>
  <c r="W91" i="16" s="1"/>
  <c r="AR91" i="16"/>
  <c r="X91" i="16" s="1"/>
  <c r="AQ88" i="16"/>
  <c r="W88" i="16" s="1"/>
  <c r="AR88" i="16"/>
  <c r="X88" i="16" s="1"/>
  <c r="AQ83" i="16"/>
  <c r="W83" i="16" s="1"/>
  <c r="AR83" i="16"/>
  <c r="X83" i="16" s="1"/>
  <c r="AQ47" i="16"/>
  <c r="W47" i="16" s="1"/>
  <c r="AR47" i="16"/>
  <c r="X47" i="16" s="1"/>
  <c r="AQ104" i="16"/>
  <c r="W104" i="16" s="1"/>
  <c r="AR104" i="16"/>
  <c r="X104" i="16" s="1"/>
  <c r="AQ233" i="16"/>
  <c r="W233" i="16" s="1"/>
  <c r="AR233" i="16"/>
  <c r="X233" i="16" s="1"/>
  <c r="AQ63" i="16"/>
  <c r="W63" i="16" s="1"/>
  <c r="AR63" i="16"/>
  <c r="X63" i="16" s="1"/>
  <c r="AQ143" i="16"/>
  <c r="W143" i="16" s="1"/>
  <c r="AR143" i="16"/>
  <c r="X143" i="16" s="1"/>
  <c r="AQ69" i="16"/>
  <c r="W69" i="16" s="1"/>
  <c r="AR69" i="16"/>
  <c r="X69" i="16" s="1"/>
  <c r="AQ93" i="16"/>
  <c r="W93" i="16" s="1"/>
  <c r="AR93" i="16"/>
  <c r="X93" i="16" s="1"/>
  <c r="AQ139" i="16"/>
  <c r="W139" i="16" s="1"/>
  <c r="AR139" i="16"/>
  <c r="X139" i="16" s="1"/>
  <c r="AQ103" i="16"/>
  <c r="W103" i="16" s="1"/>
  <c r="AR103" i="16"/>
  <c r="X103" i="16" s="1"/>
  <c r="AQ79" i="16"/>
  <c r="W79" i="16" s="1"/>
  <c r="AR79" i="16"/>
  <c r="X79" i="16" s="1"/>
  <c r="AQ129" i="16"/>
  <c r="W129" i="16" s="1"/>
  <c r="AR129" i="16"/>
  <c r="X129" i="16" s="1"/>
  <c r="AQ244" i="16"/>
  <c r="W244" i="16" s="1"/>
  <c r="AR244" i="16"/>
  <c r="X244" i="16" s="1"/>
  <c r="J51" i="16"/>
  <c r="AQ142" i="16"/>
  <c r="W142" i="16" s="1"/>
  <c r="AR142" i="16"/>
  <c r="X142" i="16" s="1"/>
  <c r="AQ148" i="16"/>
  <c r="W148" i="16" s="1"/>
  <c r="AR148" i="16"/>
  <c r="X148" i="16" s="1"/>
  <c r="AQ64" i="16"/>
  <c r="W64" i="16" s="1"/>
  <c r="AR64" i="16"/>
  <c r="X64" i="16" s="1"/>
  <c r="AQ141" i="16"/>
  <c r="W141" i="16" s="1"/>
  <c r="AR141" i="16"/>
  <c r="X141" i="16" s="1"/>
  <c r="AQ74" i="16"/>
  <c r="W74" i="16" s="1"/>
  <c r="AR74" i="16"/>
  <c r="X74" i="16" s="1"/>
  <c r="AQ95" i="16"/>
  <c r="W95" i="16" s="1"/>
  <c r="AR95" i="16"/>
  <c r="X95" i="16" s="1"/>
  <c r="AQ58" i="16"/>
  <c r="W58" i="16" s="1"/>
  <c r="AR58" i="16"/>
  <c r="X58" i="16" s="1"/>
  <c r="J62" i="16"/>
  <c r="J52" i="16"/>
  <c r="I51" i="16"/>
  <c r="AQ100" i="16"/>
  <c r="W100" i="16" s="1"/>
  <c r="AR100" i="16"/>
  <c r="X100" i="16" s="1"/>
  <c r="AQ67" i="16"/>
  <c r="W67" i="16" s="1"/>
  <c r="AR67" i="16"/>
  <c r="X67" i="16" s="1"/>
  <c r="AQ45" i="16"/>
  <c r="W45" i="16" s="1"/>
  <c r="AR45" i="16"/>
  <c r="X45" i="16" s="1"/>
  <c r="AQ77" i="16"/>
  <c r="W77" i="16" s="1"/>
  <c r="AR77" i="16"/>
  <c r="X77" i="16" s="1"/>
  <c r="AQ59" i="16"/>
  <c r="W59" i="16" s="1"/>
  <c r="AR59" i="16"/>
  <c r="X59" i="16" s="1"/>
  <c r="AQ145" i="16"/>
  <c r="W145" i="16" s="1"/>
  <c r="AR145" i="16"/>
  <c r="X145" i="16" s="1"/>
  <c r="AQ85" i="16"/>
  <c r="W85" i="16" s="1"/>
  <c r="AR85" i="16"/>
  <c r="X85" i="16" s="1"/>
  <c r="AQ140" i="16"/>
  <c r="W140" i="16" s="1"/>
  <c r="AR140" i="16"/>
  <c r="X140" i="16" s="1"/>
  <c r="AQ138" i="16"/>
  <c r="W138" i="16" s="1"/>
  <c r="AR138" i="16"/>
  <c r="X138" i="16" s="1"/>
  <c r="I62" i="16"/>
  <c r="H52" i="16"/>
  <c r="AQ81" i="16"/>
  <c r="W81" i="16" s="1"/>
  <c r="AR81" i="16"/>
  <c r="X81" i="16" s="1"/>
  <c r="AQ108" i="16"/>
  <c r="W108" i="16" s="1"/>
  <c r="AR108" i="16"/>
  <c r="X108" i="16" s="1"/>
  <c r="AQ134" i="16"/>
  <c r="W134" i="16" s="1"/>
  <c r="AR134" i="16"/>
  <c r="X134" i="16" s="1"/>
  <c r="AQ49" i="16"/>
  <c r="W49" i="16" s="1"/>
  <c r="AR49" i="16"/>
  <c r="X49" i="16" s="1"/>
  <c r="AQ57" i="16"/>
  <c r="W57" i="16" s="1"/>
  <c r="AR57" i="16"/>
  <c r="X57" i="16" s="1"/>
  <c r="AQ136" i="16"/>
  <c r="W136" i="16" s="1"/>
  <c r="AR136" i="16"/>
  <c r="X136" i="16" s="1"/>
  <c r="AQ133" i="16"/>
  <c r="W133" i="16" s="1"/>
  <c r="AR133" i="16"/>
  <c r="X133" i="16" s="1"/>
  <c r="AQ75" i="16"/>
  <c r="W75" i="16" s="1"/>
  <c r="AR75" i="16"/>
  <c r="X75" i="16" s="1"/>
  <c r="AQ66" i="16"/>
  <c r="W66" i="16" s="1"/>
  <c r="AR66" i="16"/>
  <c r="X66" i="16" s="1"/>
  <c r="AQ132" i="16"/>
  <c r="W132" i="16" s="1"/>
  <c r="AR132" i="16"/>
  <c r="X132" i="16" s="1"/>
  <c r="AQ109" i="16"/>
  <c r="W109" i="16" s="1"/>
  <c r="AR109" i="16"/>
  <c r="X109" i="16" s="1"/>
  <c r="AQ89" i="16"/>
  <c r="W89" i="16" s="1"/>
  <c r="AR89" i="16"/>
  <c r="X89" i="16" s="1"/>
  <c r="AQ54" i="16"/>
  <c r="W54" i="16" s="1"/>
  <c r="AR54" i="16"/>
  <c r="X54" i="16" s="1"/>
  <c r="AQ70" i="16"/>
  <c r="W70" i="16" s="1"/>
  <c r="AR70" i="16"/>
  <c r="X70" i="16" s="1"/>
  <c r="AQ52" i="16"/>
  <c r="W52" i="16" s="1"/>
  <c r="AR52" i="16"/>
  <c r="X52" i="16" s="1"/>
  <c r="AQ68" i="16"/>
  <c r="W68" i="16" s="1"/>
  <c r="AR68" i="16"/>
  <c r="X68" i="16" s="1"/>
  <c r="AQ61" i="16"/>
  <c r="W61" i="16" s="1"/>
  <c r="AR61" i="16"/>
  <c r="X61" i="16" s="1"/>
  <c r="AQ92" i="16"/>
  <c r="W92" i="16" s="1"/>
  <c r="AR92" i="16"/>
  <c r="X92" i="16" s="1"/>
  <c r="H631" i="16"/>
  <c r="AP241" i="16"/>
  <c r="AP1007" i="16"/>
  <c r="AP239" i="16"/>
  <c r="J66" i="16"/>
  <c r="O64" i="16"/>
  <c r="H66" i="16"/>
  <c r="R64" i="16"/>
  <c r="AP487" i="16"/>
  <c r="AP740" i="16"/>
  <c r="AP1004" i="16"/>
  <c r="J67" i="16"/>
  <c r="AP489" i="16"/>
  <c r="AP995" i="16"/>
  <c r="AP245" i="16"/>
  <c r="Q145" i="16"/>
  <c r="AP105" i="16"/>
  <c r="AP991" i="16"/>
  <c r="AP1006" i="16"/>
  <c r="AP243" i="16"/>
  <c r="AP501" i="16"/>
  <c r="AP996" i="16"/>
  <c r="AP246" i="16"/>
  <c r="AP993" i="16"/>
  <c r="AP106" i="16"/>
  <c r="AP490" i="16"/>
  <c r="R864" i="16"/>
  <c r="AP999" i="16"/>
  <c r="AP1003" i="16"/>
  <c r="AP247" i="16"/>
  <c r="AP505" i="16"/>
  <c r="AP493" i="16"/>
  <c r="AP248" i="16"/>
  <c r="AP235" i="16"/>
  <c r="AP500" i="16"/>
  <c r="AP502" i="16"/>
  <c r="AP1009" i="16"/>
  <c r="AP1001" i="16"/>
  <c r="AP237" i="16"/>
  <c r="AP240" i="16"/>
  <c r="AP250" i="16"/>
  <c r="J63" i="16"/>
  <c r="I331" i="16"/>
  <c r="AP492" i="16"/>
  <c r="AP741" i="16"/>
  <c r="AP1005" i="16"/>
  <c r="AP242" i="16"/>
  <c r="AP253" i="16"/>
  <c r="AP238" i="16"/>
  <c r="AP498" i="16"/>
  <c r="AP738" i="16"/>
  <c r="AP496" i="16"/>
  <c r="AP990" i="16"/>
  <c r="AP1000" i="16"/>
  <c r="AP234" i="16"/>
  <c r="AP488" i="16"/>
  <c r="Q864" i="16"/>
  <c r="AP997" i="16"/>
  <c r="AP992" i="16"/>
  <c r="AP251" i="16"/>
  <c r="AP1008" i="16"/>
  <c r="J95" i="16"/>
  <c r="P141" i="16"/>
  <c r="R141" i="16"/>
  <c r="H63" i="16"/>
  <c r="O46" i="16"/>
  <c r="R46" i="16"/>
  <c r="Q46" i="16"/>
  <c r="I324" i="16"/>
  <c r="J88" i="16"/>
  <c r="H634" i="16"/>
  <c r="H88" i="16"/>
  <c r="J99" i="16"/>
  <c r="J634" i="16"/>
  <c r="J324" i="16"/>
  <c r="I99" i="16"/>
  <c r="Q141" i="16"/>
  <c r="H618" i="16"/>
  <c r="J636" i="16"/>
  <c r="J618" i="16"/>
  <c r="AA109" i="16"/>
  <c r="H109" i="16" s="1"/>
  <c r="J614" i="16"/>
  <c r="I317" i="16"/>
  <c r="J823" i="16"/>
  <c r="P823" i="16"/>
  <c r="O823" i="16"/>
  <c r="R823" i="16"/>
  <c r="I338" i="16"/>
  <c r="J619" i="16"/>
  <c r="H338" i="16"/>
  <c r="J331" i="16"/>
  <c r="R81" i="16"/>
  <c r="I350" i="16"/>
  <c r="J350" i="16"/>
  <c r="J640" i="16"/>
  <c r="H330" i="16"/>
  <c r="I330" i="16"/>
  <c r="Q81" i="16"/>
  <c r="P81" i="16"/>
  <c r="I625" i="16"/>
  <c r="H313" i="16"/>
  <c r="J625" i="16"/>
  <c r="I823" i="16"/>
  <c r="P933" i="16"/>
  <c r="O933" i="16"/>
  <c r="Q933" i="16"/>
  <c r="R933" i="16"/>
  <c r="R941" i="16"/>
  <c r="P941" i="16"/>
  <c r="O941" i="16"/>
  <c r="Q941" i="16"/>
  <c r="I931" i="16"/>
  <c r="J931" i="16"/>
  <c r="H931" i="16"/>
  <c r="Q786" i="16"/>
  <c r="R786" i="16"/>
  <c r="P786" i="16"/>
  <c r="O786" i="16"/>
  <c r="Q768" i="16"/>
  <c r="R768" i="16"/>
  <c r="O768" i="16"/>
  <c r="P768" i="16"/>
  <c r="J800" i="16"/>
  <c r="I800" i="16"/>
  <c r="H800" i="16"/>
  <c r="R759" i="16"/>
  <c r="Q759" i="16"/>
  <c r="O759" i="16"/>
  <c r="P759" i="16"/>
  <c r="K996" i="16"/>
  <c r="L996" i="16"/>
  <c r="N996" i="16"/>
  <c r="M996" i="16"/>
  <c r="J967" i="16"/>
  <c r="I967" i="16"/>
  <c r="H967" i="16"/>
  <c r="R905" i="16"/>
  <c r="P905" i="16"/>
  <c r="O905" i="16"/>
  <c r="Q905" i="16"/>
  <c r="H977" i="16"/>
  <c r="J977" i="16"/>
  <c r="I977" i="16"/>
  <c r="J842" i="16"/>
  <c r="H842" i="16"/>
  <c r="I842" i="16"/>
  <c r="J946" i="16"/>
  <c r="H946" i="16"/>
  <c r="I946" i="16"/>
  <c r="P971" i="16"/>
  <c r="O971" i="16"/>
  <c r="R971" i="16"/>
  <c r="Q971" i="16"/>
  <c r="J325" i="16"/>
  <c r="Q962" i="16"/>
  <c r="P962" i="16"/>
  <c r="R962" i="16"/>
  <c r="O962" i="16"/>
  <c r="J904" i="16"/>
  <c r="I904" i="16"/>
  <c r="H904" i="16"/>
  <c r="P767" i="16"/>
  <c r="O767" i="16"/>
  <c r="R767" i="16"/>
  <c r="Q767" i="16"/>
  <c r="Q776" i="16"/>
  <c r="R776" i="16"/>
  <c r="P776" i="16"/>
  <c r="O776" i="16"/>
  <c r="M998" i="16"/>
  <c r="K998" i="16"/>
  <c r="N998" i="16"/>
  <c r="L998" i="16"/>
  <c r="Q932" i="16"/>
  <c r="P932" i="16"/>
  <c r="O932" i="16"/>
  <c r="R932" i="16"/>
  <c r="I936" i="16"/>
  <c r="H936" i="16"/>
  <c r="J936" i="16"/>
  <c r="Q978" i="16"/>
  <c r="P978" i="16"/>
  <c r="R978" i="16"/>
  <c r="O978" i="16"/>
  <c r="R953" i="16"/>
  <c r="Q953" i="16"/>
  <c r="P953" i="16"/>
  <c r="O953" i="16"/>
  <c r="H934" i="16"/>
  <c r="I934" i="16"/>
  <c r="J934" i="16"/>
  <c r="J862" i="16"/>
  <c r="H862" i="16"/>
  <c r="I862" i="16"/>
  <c r="P948" i="16"/>
  <c r="R948" i="16"/>
  <c r="Q948" i="16"/>
  <c r="O948" i="16"/>
  <c r="I957" i="16"/>
  <c r="H957" i="16"/>
  <c r="J957" i="16"/>
  <c r="M1004" i="16"/>
  <c r="L1004" i="16"/>
  <c r="N1004" i="16"/>
  <c r="K1004" i="16"/>
  <c r="R977" i="16"/>
  <c r="Q977" i="16"/>
  <c r="P977" i="16"/>
  <c r="O977" i="16"/>
  <c r="I947" i="16"/>
  <c r="J947" i="16"/>
  <c r="H947" i="16"/>
  <c r="I969" i="16"/>
  <c r="J969" i="16"/>
  <c r="H969" i="16"/>
  <c r="Q793" i="16"/>
  <c r="P793" i="16"/>
  <c r="O793" i="16"/>
  <c r="R793" i="16"/>
  <c r="I821" i="16"/>
  <c r="H821" i="16"/>
  <c r="J821" i="16"/>
  <c r="Q783" i="16"/>
  <c r="O783" i="16"/>
  <c r="P783" i="16"/>
  <c r="R783" i="16"/>
  <c r="H927" i="16"/>
  <c r="I927" i="16"/>
  <c r="J927" i="16"/>
  <c r="R787" i="16"/>
  <c r="Q787" i="16"/>
  <c r="P787" i="16"/>
  <c r="O787" i="16"/>
  <c r="H968" i="16"/>
  <c r="I968" i="16"/>
  <c r="J968" i="16"/>
  <c r="R972" i="16"/>
  <c r="P972" i="16"/>
  <c r="O972" i="16"/>
  <c r="Q972" i="16"/>
  <c r="R929" i="16"/>
  <c r="P929" i="16"/>
  <c r="Q929" i="16"/>
  <c r="O929" i="16"/>
  <c r="P980" i="16"/>
  <c r="O980" i="16"/>
  <c r="R980" i="16"/>
  <c r="Q980" i="16"/>
  <c r="M991" i="16"/>
  <c r="K991" i="16"/>
  <c r="L991" i="16"/>
  <c r="N991" i="16"/>
  <c r="R945" i="16"/>
  <c r="O945" i="16"/>
  <c r="P945" i="16"/>
  <c r="Q945" i="16"/>
  <c r="M1002" i="16"/>
  <c r="L1002" i="16"/>
  <c r="K1002" i="16"/>
  <c r="N1002" i="16"/>
  <c r="O842" i="16"/>
  <c r="Q842" i="16"/>
  <c r="R842" i="16"/>
  <c r="P842" i="16"/>
  <c r="Q802" i="16"/>
  <c r="R802" i="16"/>
  <c r="O802" i="16"/>
  <c r="P802" i="16"/>
  <c r="O942" i="16"/>
  <c r="R942" i="16"/>
  <c r="P942" i="16"/>
  <c r="Q942" i="16"/>
  <c r="J987" i="16"/>
  <c r="I987" i="16"/>
  <c r="H987" i="16"/>
  <c r="I941" i="16"/>
  <c r="H941" i="16"/>
  <c r="J941" i="16"/>
  <c r="H841" i="16"/>
  <c r="I841" i="16"/>
  <c r="J841" i="16"/>
  <c r="I980" i="16"/>
  <c r="H980" i="16"/>
  <c r="J980" i="16"/>
  <c r="H644" i="16"/>
  <c r="J303" i="16"/>
  <c r="N1008" i="16"/>
  <c r="M1008" i="16"/>
  <c r="K1008" i="16"/>
  <c r="L1008" i="16"/>
  <c r="R988" i="16"/>
  <c r="Q988" i="16"/>
  <c r="O988" i="16"/>
  <c r="P988" i="16"/>
  <c r="H942" i="16"/>
  <c r="J942" i="16"/>
  <c r="I942" i="16"/>
  <c r="Q788" i="16"/>
  <c r="R788" i="16"/>
  <c r="O788" i="16"/>
  <c r="P788" i="16"/>
  <c r="R928" i="16"/>
  <c r="Q928" i="16"/>
  <c r="P928" i="16"/>
  <c r="O928" i="16"/>
  <c r="M999" i="16"/>
  <c r="N999" i="16"/>
  <c r="K999" i="16"/>
  <c r="L999" i="16"/>
  <c r="J970" i="16"/>
  <c r="I970" i="16"/>
  <c r="H970" i="16"/>
  <c r="J932" i="16"/>
  <c r="I932" i="16"/>
  <c r="H932" i="16"/>
  <c r="R950" i="16"/>
  <c r="Q950" i="16"/>
  <c r="O950" i="16"/>
  <c r="P950" i="16"/>
  <c r="I985" i="16"/>
  <c r="H985" i="16"/>
  <c r="J985" i="16"/>
  <c r="J959" i="16"/>
  <c r="I959" i="16"/>
  <c r="H959" i="16"/>
  <c r="H949" i="16"/>
  <c r="J949" i="16"/>
  <c r="I949" i="16"/>
  <c r="Q967" i="16"/>
  <c r="R967" i="16"/>
  <c r="O967" i="16"/>
  <c r="P967" i="16"/>
  <c r="Q944" i="16"/>
  <c r="P944" i="16"/>
  <c r="R944" i="16"/>
  <c r="O944" i="16"/>
  <c r="O862" i="16"/>
  <c r="R862" i="16"/>
  <c r="P862" i="16"/>
  <c r="Q862" i="16"/>
  <c r="H975" i="16"/>
  <c r="J975" i="16"/>
  <c r="I975" i="16"/>
  <c r="J863" i="16"/>
  <c r="H863" i="16"/>
  <c r="I863" i="16"/>
  <c r="R947" i="16"/>
  <c r="P947" i="16"/>
  <c r="Q947" i="16"/>
  <c r="O947" i="16"/>
  <c r="R969" i="16"/>
  <c r="Q969" i="16"/>
  <c r="O969" i="16"/>
  <c r="P969" i="16"/>
  <c r="L994" i="16"/>
  <c r="M994" i="16"/>
  <c r="N994" i="16"/>
  <c r="K994" i="16"/>
  <c r="Q965" i="16"/>
  <c r="P965" i="16"/>
  <c r="O965" i="16"/>
  <c r="R965" i="16"/>
  <c r="N1003" i="16"/>
  <c r="M1003" i="16"/>
  <c r="L1003" i="16"/>
  <c r="K1003" i="16"/>
  <c r="P974" i="16"/>
  <c r="R974" i="16"/>
  <c r="Q974" i="16"/>
  <c r="O974" i="16"/>
  <c r="I983" i="16"/>
  <c r="J983" i="16"/>
  <c r="H983" i="16"/>
  <c r="P790" i="16"/>
  <c r="R790" i="16"/>
  <c r="Q790" i="16"/>
  <c r="O790" i="16"/>
  <c r="I955" i="16"/>
  <c r="J955" i="16"/>
  <c r="H955" i="16"/>
  <c r="H820" i="16"/>
  <c r="I820" i="16"/>
  <c r="J820" i="16"/>
  <c r="R982" i="16"/>
  <c r="Q982" i="16"/>
  <c r="O982" i="16"/>
  <c r="P982" i="16"/>
  <c r="L997" i="16"/>
  <c r="N997" i="16"/>
  <c r="M997" i="16"/>
  <c r="K997" i="16"/>
  <c r="J971" i="16"/>
  <c r="I971" i="16"/>
  <c r="H971" i="16"/>
  <c r="L993" i="16"/>
  <c r="K993" i="16"/>
  <c r="M993" i="16"/>
  <c r="N993" i="16"/>
  <c r="R973" i="16"/>
  <c r="Q973" i="16"/>
  <c r="O973" i="16"/>
  <c r="P973" i="16"/>
  <c r="R968" i="16"/>
  <c r="Q968" i="16"/>
  <c r="O968" i="16"/>
  <c r="P968" i="16"/>
  <c r="J972" i="16"/>
  <c r="H972" i="16"/>
  <c r="I972" i="16"/>
  <c r="Q760" i="16"/>
  <c r="P760" i="16"/>
  <c r="O760" i="16"/>
  <c r="R760" i="16"/>
  <c r="Q798" i="16"/>
  <c r="O798" i="16"/>
  <c r="R798" i="16"/>
  <c r="P798" i="16"/>
  <c r="R979" i="16"/>
  <c r="Q979" i="16"/>
  <c r="P979" i="16"/>
  <c r="O979" i="16"/>
  <c r="I951" i="16"/>
  <c r="H951" i="16"/>
  <c r="J951" i="16"/>
  <c r="Q883" i="16"/>
  <c r="P883" i="16"/>
  <c r="R883" i="16"/>
  <c r="O883" i="16"/>
  <c r="H958" i="16"/>
  <c r="I958" i="16"/>
  <c r="J958" i="16"/>
  <c r="H953" i="16"/>
  <c r="J953" i="16"/>
  <c r="I953" i="16"/>
  <c r="Q771" i="16"/>
  <c r="P771" i="16"/>
  <c r="R771" i="16"/>
  <c r="O771" i="16"/>
  <c r="Q957" i="16"/>
  <c r="O957" i="16"/>
  <c r="R957" i="16"/>
  <c r="P957" i="16"/>
  <c r="O966" i="16"/>
  <c r="P966" i="16"/>
  <c r="Q966" i="16"/>
  <c r="R966" i="16"/>
  <c r="P975" i="16"/>
  <c r="O975" i="16"/>
  <c r="Q975" i="16"/>
  <c r="R975" i="16"/>
  <c r="K989" i="16"/>
  <c r="N989" i="16"/>
  <c r="M989" i="16"/>
  <c r="L989" i="16"/>
  <c r="P772" i="16"/>
  <c r="O772" i="16"/>
  <c r="R772" i="16"/>
  <c r="Q772" i="16"/>
  <c r="R955" i="16"/>
  <c r="Q955" i="16"/>
  <c r="P955" i="16"/>
  <c r="O955" i="16"/>
  <c r="R964" i="16"/>
  <c r="Q964" i="16"/>
  <c r="P964" i="16"/>
  <c r="O964" i="16"/>
  <c r="I982" i="16"/>
  <c r="H982" i="16"/>
  <c r="J982" i="16"/>
  <c r="Q761" i="16"/>
  <c r="P761" i="16"/>
  <c r="R761" i="16"/>
  <c r="O761" i="16"/>
  <c r="O801" i="16"/>
  <c r="Q801" i="16"/>
  <c r="P801" i="16"/>
  <c r="R801" i="16"/>
  <c r="P800" i="16"/>
  <c r="O800" i="16"/>
  <c r="R800" i="16"/>
  <c r="Q800" i="16"/>
  <c r="H981" i="16"/>
  <c r="I981" i="16"/>
  <c r="J981" i="16"/>
  <c r="O769" i="16"/>
  <c r="Q769" i="16"/>
  <c r="R769" i="16"/>
  <c r="P769" i="16"/>
  <c r="R970" i="16"/>
  <c r="O970" i="16"/>
  <c r="Q970" i="16"/>
  <c r="P970" i="16"/>
  <c r="O959" i="16"/>
  <c r="R959" i="16"/>
  <c r="P959" i="16"/>
  <c r="Q959" i="16"/>
  <c r="R770" i="16"/>
  <c r="Q770" i="16"/>
  <c r="P770" i="16"/>
  <c r="O770" i="16"/>
  <c r="R934" i="16"/>
  <c r="Q934" i="16"/>
  <c r="O934" i="16"/>
  <c r="P934" i="16"/>
  <c r="O773" i="16"/>
  <c r="Q773" i="16"/>
  <c r="R773" i="16"/>
  <c r="P773" i="16"/>
  <c r="O785" i="16"/>
  <c r="R785" i="16"/>
  <c r="Q785" i="16"/>
  <c r="P785" i="16"/>
  <c r="N992" i="16"/>
  <c r="M992" i="16"/>
  <c r="K992" i="16"/>
  <c r="L992" i="16"/>
  <c r="R954" i="16"/>
  <c r="P954" i="16"/>
  <c r="O954" i="16"/>
  <c r="Q954" i="16"/>
  <c r="K990" i="16"/>
  <c r="L990" i="16"/>
  <c r="N990" i="16"/>
  <c r="M990" i="16"/>
  <c r="H930" i="16"/>
  <c r="J930" i="16"/>
  <c r="I930" i="16"/>
  <c r="Q784" i="16"/>
  <c r="O784" i="16"/>
  <c r="R784" i="16"/>
  <c r="P784" i="16"/>
  <c r="I965" i="16"/>
  <c r="H965" i="16"/>
  <c r="J965" i="16"/>
  <c r="Q779" i="16"/>
  <c r="R779" i="16"/>
  <c r="P779" i="16"/>
  <c r="O779" i="16"/>
  <c r="I960" i="16"/>
  <c r="J960" i="16"/>
  <c r="H960" i="16"/>
  <c r="H605" i="16"/>
  <c r="J605" i="16"/>
  <c r="H317" i="16"/>
  <c r="I303" i="16"/>
  <c r="J962" i="16"/>
  <c r="H962" i="16"/>
  <c r="I962" i="16"/>
  <c r="R951" i="16"/>
  <c r="Q951" i="16"/>
  <c r="P951" i="16"/>
  <c r="O951" i="16"/>
  <c r="H961" i="16"/>
  <c r="J961" i="16"/>
  <c r="I961" i="16"/>
  <c r="P789" i="16"/>
  <c r="O789" i="16"/>
  <c r="R789" i="16"/>
  <c r="Q789" i="16"/>
  <c r="H950" i="16"/>
  <c r="I950" i="16"/>
  <c r="J950" i="16"/>
  <c r="R937" i="16"/>
  <c r="Q937" i="16"/>
  <c r="O937" i="16"/>
  <c r="P937" i="16"/>
  <c r="J945" i="16"/>
  <c r="H945" i="16"/>
  <c r="I945" i="16"/>
  <c r="N1007" i="16"/>
  <c r="M1007" i="16"/>
  <c r="K1007" i="16"/>
  <c r="L1007" i="16"/>
  <c r="J940" i="16"/>
  <c r="I940" i="16"/>
  <c r="H940" i="16"/>
  <c r="P958" i="16"/>
  <c r="O958" i="16"/>
  <c r="Q958" i="16"/>
  <c r="R958" i="16"/>
  <c r="I944" i="16"/>
  <c r="H944" i="16"/>
  <c r="J944" i="16"/>
  <c r="O778" i="16"/>
  <c r="R778" i="16"/>
  <c r="Q778" i="16"/>
  <c r="P778" i="16"/>
  <c r="I905" i="16"/>
  <c r="H905" i="16"/>
  <c r="J905" i="16"/>
  <c r="H986" i="16"/>
  <c r="I986" i="16"/>
  <c r="J986" i="16"/>
  <c r="R952" i="16"/>
  <c r="O952" i="16"/>
  <c r="Q952" i="16"/>
  <c r="P952" i="16"/>
  <c r="O764" i="16"/>
  <c r="P764" i="16"/>
  <c r="Q764" i="16"/>
  <c r="R764" i="16"/>
  <c r="H956" i="16"/>
  <c r="J956" i="16"/>
  <c r="I956" i="16"/>
  <c r="M1006" i="16"/>
  <c r="L1006" i="16"/>
  <c r="K1006" i="16"/>
  <c r="N1006" i="16"/>
  <c r="I925" i="16"/>
  <c r="H925" i="16"/>
  <c r="J925" i="16"/>
  <c r="O841" i="16"/>
  <c r="Q841" i="16"/>
  <c r="P841" i="16"/>
  <c r="R841" i="16"/>
  <c r="H884" i="16"/>
  <c r="I884" i="16"/>
  <c r="J884" i="16"/>
  <c r="R792" i="16"/>
  <c r="Q792" i="16"/>
  <c r="O792" i="16"/>
  <c r="P792" i="16"/>
  <c r="I801" i="16"/>
  <c r="J801" i="16"/>
  <c r="H801" i="16"/>
  <c r="R782" i="16"/>
  <c r="O782" i="16"/>
  <c r="P782" i="16"/>
  <c r="Q782" i="16"/>
  <c r="Q926" i="16"/>
  <c r="P926" i="16"/>
  <c r="O926" i="16"/>
  <c r="R926" i="16"/>
  <c r="I935" i="16"/>
  <c r="J935" i="16"/>
  <c r="H935" i="16"/>
  <c r="O976" i="16"/>
  <c r="R976" i="16"/>
  <c r="Q976" i="16"/>
  <c r="P976" i="16"/>
  <c r="J802" i="16"/>
  <c r="H802" i="16"/>
  <c r="I802" i="16"/>
  <c r="J954" i="16"/>
  <c r="H954" i="16"/>
  <c r="I954" i="16"/>
  <c r="O984" i="16"/>
  <c r="Q984" i="16"/>
  <c r="P984" i="16"/>
  <c r="R984" i="16"/>
  <c r="N1009" i="16"/>
  <c r="L1009" i="16"/>
  <c r="M1009" i="16"/>
  <c r="K1009" i="16"/>
  <c r="H614" i="16"/>
  <c r="I325" i="16"/>
  <c r="J979" i="16"/>
  <c r="I979" i="16"/>
  <c r="H979" i="16"/>
  <c r="I933" i="16"/>
  <c r="J933" i="16"/>
  <c r="H933" i="16"/>
  <c r="R961" i="16"/>
  <c r="Q961" i="16"/>
  <c r="P961" i="16"/>
  <c r="O961" i="16"/>
  <c r="J883" i="16"/>
  <c r="H883" i="16"/>
  <c r="I883" i="16"/>
  <c r="R775" i="16"/>
  <c r="Q775" i="16"/>
  <c r="P775" i="16"/>
  <c r="O775" i="16"/>
  <c r="Q763" i="16"/>
  <c r="P763" i="16"/>
  <c r="R763" i="16"/>
  <c r="O763" i="16"/>
  <c r="P931" i="16"/>
  <c r="O931" i="16"/>
  <c r="R931" i="16"/>
  <c r="Q931" i="16"/>
  <c r="J948" i="16"/>
  <c r="H948" i="16"/>
  <c r="I948" i="16"/>
  <c r="R794" i="16"/>
  <c r="O794" i="16"/>
  <c r="P794" i="16"/>
  <c r="Q794" i="16"/>
  <c r="J952" i="16"/>
  <c r="I952" i="16"/>
  <c r="H952" i="16"/>
  <c r="R821" i="16"/>
  <c r="P821" i="16"/>
  <c r="Q821" i="16"/>
  <c r="O821" i="16"/>
  <c r="I822" i="16"/>
  <c r="J822" i="16"/>
  <c r="H822" i="16"/>
  <c r="O884" i="16"/>
  <c r="R884" i="16"/>
  <c r="P884" i="16"/>
  <c r="Q884" i="16"/>
  <c r="P938" i="16"/>
  <c r="Q938" i="16"/>
  <c r="O938" i="16"/>
  <c r="R938" i="16"/>
  <c r="I964" i="16"/>
  <c r="J964" i="16"/>
  <c r="H964" i="16"/>
  <c r="J973" i="16"/>
  <c r="I973" i="16"/>
  <c r="H973" i="16"/>
  <c r="R820" i="16"/>
  <c r="Q820" i="16"/>
  <c r="O820" i="16"/>
  <c r="P820" i="16"/>
  <c r="O927" i="16"/>
  <c r="Q927" i="16"/>
  <c r="P927" i="16"/>
  <c r="R927" i="16"/>
  <c r="P946" i="16"/>
  <c r="R946" i="16"/>
  <c r="O946" i="16"/>
  <c r="Q946" i="16"/>
  <c r="I963" i="16"/>
  <c r="J963" i="16"/>
  <c r="H963" i="16"/>
  <c r="K1001" i="16"/>
  <c r="N1001" i="16"/>
  <c r="M1001" i="16"/>
  <c r="L1001" i="16"/>
  <c r="R935" i="16"/>
  <c r="P935" i="16"/>
  <c r="O935" i="16"/>
  <c r="Q935" i="16"/>
  <c r="H943" i="16"/>
  <c r="J943" i="16"/>
  <c r="I943" i="16"/>
  <c r="J984" i="16"/>
  <c r="I984" i="16"/>
  <c r="H984" i="16"/>
  <c r="Q949" i="16"/>
  <c r="O949" i="16"/>
  <c r="P949" i="16"/>
  <c r="R949" i="16"/>
  <c r="I939" i="16"/>
  <c r="H939" i="16"/>
  <c r="J939" i="16"/>
  <c r="Q780" i="16"/>
  <c r="O780" i="16"/>
  <c r="P780" i="16"/>
  <c r="R780" i="16"/>
  <c r="Q863" i="16"/>
  <c r="R863" i="16"/>
  <c r="P863" i="16"/>
  <c r="O863" i="16"/>
  <c r="Q956" i="16"/>
  <c r="R956" i="16"/>
  <c r="P956" i="16"/>
  <c r="O956" i="16"/>
  <c r="O983" i="16"/>
  <c r="P983" i="16"/>
  <c r="R983" i="16"/>
  <c r="Q983" i="16"/>
  <c r="R960" i="16"/>
  <c r="P960" i="16"/>
  <c r="O960" i="16"/>
  <c r="Q960" i="16"/>
  <c r="O822" i="16"/>
  <c r="R822" i="16"/>
  <c r="P822" i="16"/>
  <c r="Q822" i="16"/>
  <c r="J938" i="16"/>
  <c r="H938" i="16"/>
  <c r="I938" i="16"/>
  <c r="H926" i="16"/>
  <c r="J926" i="16"/>
  <c r="I926" i="16"/>
  <c r="O781" i="16"/>
  <c r="Q781" i="16"/>
  <c r="P781" i="16"/>
  <c r="R781" i="16"/>
  <c r="I988" i="16"/>
  <c r="J988" i="16"/>
  <c r="H988" i="16"/>
  <c r="R766" i="16"/>
  <c r="Q766" i="16"/>
  <c r="P766" i="16"/>
  <c r="O766" i="16"/>
  <c r="R985" i="16"/>
  <c r="Q985" i="16"/>
  <c r="P985" i="16"/>
  <c r="O985" i="16"/>
  <c r="P936" i="16"/>
  <c r="O936" i="16"/>
  <c r="Q936" i="16"/>
  <c r="R936" i="16"/>
  <c r="P765" i="16"/>
  <c r="R765" i="16"/>
  <c r="O765" i="16"/>
  <c r="Q765" i="16"/>
  <c r="R940" i="16"/>
  <c r="P940" i="16"/>
  <c r="Q940" i="16"/>
  <c r="O940" i="16"/>
  <c r="O774" i="16"/>
  <c r="R774" i="16"/>
  <c r="P774" i="16"/>
  <c r="Q774" i="16"/>
  <c r="R758" i="16"/>
  <c r="Q758" i="16"/>
  <c r="O758" i="16"/>
  <c r="P758" i="16"/>
  <c r="R986" i="16"/>
  <c r="Q986" i="16"/>
  <c r="P986" i="16"/>
  <c r="O986" i="16"/>
  <c r="J966" i="16"/>
  <c r="H966" i="16"/>
  <c r="I966" i="16"/>
  <c r="I619" i="16"/>
  <c r="R904" i="16"/>
  <c r="P904" i="16"/>
  <c r="O904" i="16"/>
  <c r="Q904" i="16"/>
  <c r="H928" i="16"/>
  <c r="J928" i="16"/>
  <c r="I928" i="16"/>
  <c r="Q762" i="16"/>
  <c r="P762" i="16"/>
  <c r="R762" i="16"/>
  <c r="O762" i="16"/>
  <c r="R987" i="16"/>
  <c r="Q987" i="16"/>
  <c r="O987" i="16"/>
  <c r="P987" i="16"/>
  <c r="I937" i="16"/>
  <c r="J937" i="16"/>
  <c r="H937" i="16"/>
  <c r="P797" i="16"/>
  <c r="O797" i="16"/>
  <c r="R797" i="16"/>
  <c r="Q797" i="16"/>
  <c r="H978" i="16"/>
  <c r="J978" i="16"/>
  <c r="I978" i="16"/>
  <c r="R939" i="16"/>
  <c r="Q939" i="16"/>
  <c r="O939" i="16"/>
  <c r="P939" i="16"/>
  <c r="N995" i="16"/>
  <c r="L995" i="16"/>
  <c r="K995" i="16"/>
  <c r="M995" i="16"/>
  <c r="Q930" i="16"/>
  <c r="O930" i="16"/>
  <c r="R930" i="16"/>
  <c r="P930" i="16"/>
  <c r="I974" i="16"/>
  <c r="H974" i="16"/>
  <c r="J974" i="16"/>
  <c r="P796" i="16"/>
  <c r="O796" i="16"/>
  <c r="R796" i="16"/>
  <c r="Q796" i="16"/>
  <c r="K1000" i="16"/>
  <c r="N1000" i="16"/>
  <c r="M1000" i="16"/>
  <c r="L1000" i="16"/>
  <c r="Q799" i="16"/>
  <c r="O799" i="16"/>
  <c r="R799" i="16"/>
  <c r="P799" i="16"/>
  <c r="P925" i="16"/>
  <c r="Q925" i="16"/>
  <c r="R925" i="16"/>
  <c r="O925" i="16"/>
  <c r="P777" i="16"/>
  <c r="R777" i="16"/>
  <c r="Q777" i="16"/>
  <c r="O777" i="16"/>
  <c r="Q963" i="16"/>
  <c r="P963" i="16"/>
  <c r="R963" i="16"/>
  <c r="O963" i="16"/>
  <c r="O791" i="16"/>
  <c r="Q791" i="16"/>
  <c r="P791" i="16"/>
  <c r="R791" i="16"/>
  <c r="Q981" i="16"/>
  <c r="P981" i="16"/>
  <c r="O981" i="16"/>
  <c r="R981" i="16"/>
  <c r="Q795" i="16"/>
  <c r="R795" i="16"/>
  <c r="P795" i="16"/>
  <c r="O795" i="16"/>
  <c r="L1005" i="16"/>
  <c r="K1005" i="16"/>
  <c r="M1005" i="16"/>
  <c r="N1005" i="16"/>
  <c r="H976" i="16"/>
  <c r="I976" i="16"/>
  <c r="J976" i="16"/>
  <c r="I929" i="16"/>
  <c r="J929" i="16"/>
  <c r="H929" i="16"/>
  <c r="Q943" i="16"/>
  <c r="O943" i="16"/>
  <c r="P943" i="16"/>
  <c r="R943" i="16"/>
  <c r="K908" i="16"/>
  <c r="G908" i="16"/>
  <c r="M908" i="16"/>
  <c r="N908" i="16"/>
  <c r="L908" i="16"/>
  <c r="P907" i="16"/>
  <c r="Q907" i="16"/>
  <c r="R907" i="16"/>
  <c r="O907" i="16"/>
  <c r="J87" i="1"/>
  <c r="E909" i="16"/>
  <c r="I907" i="16"/>
  <c r="J907" i="16"/>
  <c r="H907" i="16"/>
  <c r="J865" i="16"/>
  <c r="I865" i="16"/>
  <c r="H865" i="16"/>
  <c r="I844" i="16"/>
  <c r="J844" i="16"/>
  <c r="H844" i="16"/>
  <c r="M804" i="16"/>
  <c r="L804" i="16"/>
  <c r="K804" i="16"/>
  <c r="AA804" i="16"/>
  <c r="N804" i="16"/>
  <c r="M866" i="16"/>
  <c r="K866" i="16"/>
  <c r="AA866" i="16"/>
  <c r="N866" i="16"/>
  <c r="L866" i="16"/>
  <c r="J886" i="16"/>
  <c r="I886" i="16"/>
  <c r="H886" i="16"/>
  <c r="R865" i="16"/>
  <c r="Q865" i="16"/>
  <c r="O865" i="16"/>
  <c r="P865" i="16"/>
  <c r="P844" i="16"/>
  <c r="R844" i="16"/>
  <c r="Q844" i="16"/>
  <c r="O844" i="16"/>
  <c r="AA845" i="16"/>
  <c r="M845" i="16"/>
  <c r="L845" i="16"/>
  <c r="K845" i="16"/>
  <c r="N845" i="16"/>
  <c r="E805" i="16"/>
  <c r="AP805" i="16" s="1"/>
  <c r="E867" i="16"/>
  <c r="AP867" i="16" s="1"/>
  <c r="Q803" i="16"/>
  <c r="O803" i="16"/>
  <c r="P803" i="16"/>
  <c r="R803" i="16"/>
  <c r="J824" i="16"/>
  <c r="H824" i="16"/>
  <c r="I824" i="16"/>
  <c r="M825" i="16"/>
  <c r="L825" i="16"/>
  <c r="K825" i="16"/>
  <c r="AA825" i="16"/>
  <c r="N825" i="16"/>
  <c r="E888" i="16"/>
  <c r="AP888" i="16" s="1"/>
  <c r="E846" i="16"/>
  <c r="AP846" i="16" s="1"/>
  <c r="Q824" i="16"/>
  <c r="O824" i="16"/>
  <c r="P824" i="16"/>
  <c r="R824" i="16"/>
  <c r="I803" i="16"/>
  <c r="H803" i="16"/>
  <c r="J803" i="16"/>
  <c r="E826" i="16"/>
  <c r="AP826" i="16" s="1"/>
  <c r="O886" i="16"/>
  <c r="R886" i="16"/>
  <c r="Q886" i="16"/>
  <c r="P886" i="16"/>
  <c r="L887" i="16"/>
  <c r="K887" i="16"/>
  <c r="AA887" i="16"/>
  <c r="M887" i="16"/>
  <c r="N887" i="16"/>
  <c r="J609" i="16"/>
  <c r="I332" i="16"/>
  <c r="J322" i="16"/>
  <c r="I308" i="16"/>
  <c r="H628" i="16"/>
  <c r="J649" i="16"/>
  <c r="I344" i="16"/>
  <c r="H337" i="16"/>
  <c r="I322" i="16"/>
  <c r="I648" i="16"/>
  <c r="J354" i="16"/>
  <c r="J628" i="16"/>
  <c r="I627" i="16"/>
  <c r="H609" i="16"/>
  <c r="J308" i="16"/>
  <c r="I91" i="16"/>
  <c r="J351" i="16"/>
  <c r="J340" i="16"/>
  <c r="I314" i="16"/>
  <c r="J615" i="16"/>
  <c r="J352" i="16"/>
  <c r="H328" i="16"/>
  <c r="I640" i="16"/>
  <c r="I335" i="16"/>
  <c r="J335" i="16"/>
  <c r="H352" i="16"/>
  <c r="J316" i="16"/>
  <c r="I316" i="16"/>
  <c r="I352" i="16"/>
  <c r="J297" i="16"/>
  <c r="J320" i="16"/>
  <c r="H320" i="16"/>
  <c r="H348" i="16"/>
  <c r="J341" i="16"/>
  <c r="J336" i="16"/>
  <c r="I349" i="16"/>
  <c r="H329" i="16"/>
  <c r="I341" i="16"/>
  <c r="I328" i="16"/>
  <c r="I302" i="16"/>
  <c r="H336" i="16"/>
  <c r="J302" i="16"/>
  <c r="I336" i="16"/>
  <c r="H612" i="16"/>
  <c r="J632" i="16"/>
  <c r="H635" i="16"/>
  <c r="H637" i="16"/>
  <c r="H649" i="16"/>
  <c r="J635" i="16"/>
  <c r="H639" i="16"/>
  <c r="J639" i="16"/>
  <c r="H642" i="16"/>
  <c r="J637" i="16"/>
  <c r="H357" i="16"/>
  <c r="J349" i="16"/>
  <c r="J356" i="16"/>
  <c r="H355" i="16"/>
  <c r="I356" i="16"/>
  <c r="I355" i="16"/>
  <c r="J326" i="16"/>
  <c r="H356" i="16"/>
  <c r="J355" i="16"/>
  <c r="H326" i="16"/>
  <c r="J345" i="16"/>
  <c r="I346" i="16"/>
  <c r="J342" i="16"/>
  <c r="J357" i="16"/>
  <c r="H301" i="16"/>
  <c r="I353" i="16"/>
  <c r="I345" i="16"/>
  <c r="H633" i="16"/>
  <c r="J616" i="16"/>
  <c r="J646" i="16"/>
  <c r="H613" i="16"/>
  <c r="H353" i="16"/>
  <c r="I646" i="16"/>
  <c r="I621" i="16"/>
  <c r="H354" i="16"/>
  <c r="H342" i="16"/>
  <c r="I329" i="16"/>
  <c r="J613" i="16"/>
  <c r="J329" i="16"/>
  <c r="I642" i="16"/>
  <c r="J348" i="16"/>
  <c r="I320" i="16"/>
  <c r="J327" i="16"/>
  <c r="H334" i="16"/>
  <c r="J334" i="16"/>
  <c r="J601" i="16"/>
  <c r="H601" i="16"/>
  <c r="H349" i="16"/>
  <c r="I310" i="16"/>
  <c r="H310" i="16"/>
  <c r="I301" i="16"/>
  <c r="J305" i="16"/>
  <c r="J333" i="16"/>
  <c r="H351" i="16"/>
  <c r="H340" i="16"/>
  <c r="I334" i="16"/>
  <c r="H327" i="16"/>
  <c r="I351" i="16"/>
  <c r="I333" i="16"/>
  <c r="J318" i="16"/>
  <c r="H333" i="16"/>
  <c r="I340" i="16"/>
  <c r="J339" i="16"/>
  <c r="H306" i="16"/>
  <c r="Q707" i="16"/>
  <c r="R707" i="16"/>
  <c r="P707" i="16"/>
  <c r="O707" i="16"/>
  <c r="I566" i="16"/>
  <c r="J566" i="16"/>
  <c r="H566" i="16"/>
  <c r="R346" i="16"/>
  <c r="O346" i="16"/>
  <c r="Q346" i="16"/>
  <c r="P346" i="16"/>
  <c r="O254" i="16"/>
  <c r="R254" i="16"/>
  <c r="Q254" i="16"/>
  <c r="P254" i="16"/>
  <c r="H552" i="16"/>
  <c r="I552" i="16"/>
  <c r="J552" i="16"/>
  <c r="R633" i="16"/>
  <c r="Q633" i="16"/>
  <c r="O633" i="16"/>
  <c r="P633" i="16"/>
  <c r="J405" i="16"/>
  <c r="I405" i="16"/>
  <c r="H405" i="16"/>
  <c r="R578" i="16"/>
  <c r="Q578" i="16"/>
  <c r="O578" i="16"/>
  <c r="P578" i="16"/>
  <c r="H422" i="16"/>
  <c r="J422" i="16"/>
  <c r="I422" i="16"/>
  <c r="O732" i="16"/>
  <c r="R732" i="16"/>
  <c r="Q732" i="16"/>
  <c r="P732" i="16"/>
  <c r="P638" i="16"/>
  <c r="Q638" i="16"/>
  <c r="O638" i="16"/>
  <c r="R638" i="16"/>
  <c r="R418" i="16"/>
  <c r="P418" i="16"/>
  <c r="Q418" i="16"/>
  <c r="O418" i="16"/>
  <c r="I688" i="16"/>
  <c r="J688" i="16"/>
  <c r="H688" i="16"/>
  <c r="R276" i="16"/>
  <c r="P276" i="16"/>
  <c r="Q276" i="16"/>
  <c r="O276" i="16"/>
  <c r="R351" i="16"/>
  <c r="Q351" i="16"/>
  <c r="P351" i="16"/>
  <c r="O351" i="16"/>
  <c r="P577" i="16"/>
  <c r="R577" i="16"/>
  <c r="Q577" i="16"/>
  <c r="O577" i="16"/>
  <c r="I548" i="16"/>
  <c r="H548" i="16"/>
  <c r="J548" i="16"/>
  <c r="Q676" i="16"/>
  <c r="P676" i="16"/>
  <c r="O676" i="16"/>
  <c r="R676" i="16"/>
  <c r="K491" i="16"/>
  <c r="N491" i="16"/>
  <c r="M491" i="16"/>
  <c r="L491" i="16"/>
  <c r="R646" i="16"/>
  <c r="Q646" i="16"/>
  <c r="P646" i="16"/>
  <c r="O646" i="16"/>
  <c r="I426" i="16"/>
  <c r="H426" i="16"/>
  <c r="J426" i="16"/>
  <c r="O696" i="16"/>
  <c r="R696" i="16"/>
  <c r="P696" i="16"/>
  <c r="Q696" i="16"/>
  <c r="I412" i="16"/>
  <c r="H412" i="16"/>
  <c r="J412" i="16"/>
  <c r="O476" i="16"/>
  <c r="R476" i="16"/>
  <c r="Q476" i="16"/>
  <c r="P476" i="16"/>
  <c r="O407" i="16"/>
  <c r="R407" i="16"/>
  <c r="Q407" i="16"/>
  <c r="P407" i="16"/>
  <c r="Q357" i="16"/>
  <c r="O357" i="16"/>
  <c r="P357" i="16"/>
  <c r="R357" i="16"/>
  <c r="R374" i="16"/>
  <c r="Q374" i="16"/>
  <c r="P374" i="16"/>
  <c r="O374" i="16"/>
  <c r="Q595" i="16"/>
  <c r="O595" i="16"/>
  <c r="R595" i="16"/>
  <c r="P595" i="16"/>
  <c r="R415" i="16"/>
  <c r="O415" i="16"/>
  <c r="Q415" i="16"/>
  <c r="P415" i="16"/>
  <c r="H590" i="16"/>
  <c r="J590" i="16"/>
  <c r="R718" i="16"/>
  <c r="Q718" i="16"/>
  <c r="P718" i="16"/>
  <c r="O718" i="16"/>
  <c r="P527" i="16"/>
  <c r="O527" i="16"/>
  <c r="R527" i="16"/>
  <c r="Q527" i="16"/>
  <c r="R671" i="16"/>
  <c r="Q671" i="16"/>
  <c r="P671" i="16"/>
  <c r="O671" i="16"/>
  <c r="P387" i="16"/>
  <c r="O387" i="16"/>
  <c r="R387" i="16"/>
  <c r="Q387" i="16"/>
  <c r="I576" i="16"/>
  <c r="H576" i="16"/>
  <c r="J576" i="16"/>
  <c r="Q301" i="16"/>
  <c r="R301" i="16"/>
  <c r="P301" i="16"/>
  <c r="O301" i="16"/>
  <c r="Q532" i="16"/>
  <c r="O532" i="16"/>
  <c r="R532" i="16"/>
  <c r="P532" i="16"/>
  <c r="L742" i="16"/>
  <c r="K742" i="16"/>
  <c r="N742" i="16"/>
  <c r="M742" i="16"/>
  <c r="I602" i="16"/>
  <c r="H602" i="16"/>
  <c r="P643" i="16"/>
  <c r="O643" i="16"/>
  <c r="R643" i="16"/>
  <c r="Q643" i="16"/>
  <c r="H312" i="16"/>
  <c r="R280" i="16"/>
  <c r="Q280" i="16"/>
  <c r="O280" i="16"/>
  <c r="P280" i="16"/>
  <c r="J408" i="16"/>
  <c r="H408" i="16"/>
  <c r="I408" i="16"/>
  <c r="Q378" i="16"/>
  <c r="P378" i="16"/>
  <c r="O378" i="16"/>
  <c r="R378" i="16"/>
  <c r="J551" i="16"/>
  <c r="I551" i="16"/>
  <c r="H551" i="16"/>
  <c r="P555" i="16"/>
  <c r="Q555" i="16"/>
  <c r="R555" i="16"/>
  <c r="O555" i="16"/>
  <c r="P729" i="16"/>
  <c r="O729" i="16"/>
  <c r="R729" i="16"/>
  <c r="Q729" i="16"/>
  <c r="R530" i="16"/>
  <c r="Q530" i="16"/>
  <c r="P530" i="16"/>
  <c r="O530" i="16"/>
  <c r="P416" i="16"/>
  <c r="R416" i="16"/>
  <c r="Q416" i="16"/>
  <c r="O416" i="16"/>
  <c r="J670" i="16"/>
  <c r="H670" i="16"/>
  <c r="I670" i="16"/>
  <c r="P720" i="16"/>
  <c r="R720" i="16"/>
  <c r="Q720" i="16"/>
  <c r="O720" i="16"/>
  <c r="R372" i="16"/>
  <c r="Q372" i="16"/>
  <c r="P372" i="16"/>
  <c r="O372" i="16"/>
  <c r="R506" i="16"/>
  <c r="Q506" i="16"/>
  <c r="P506" i="16"/>
  <c r="O506" i="16"/>
  <c r="R445" i="16"/>
  <c r="Q445" i="16"/>
  <c r="P445" i="16"/>
  <c r="O445" i="16"/>
  <c r="J683" i="16"/>
  <c r="H683" i="16"/>
  <c r="I683" i="16"/>
  <c r="Q554" i="16"/>
  <c r="R554" i="16"/>
  <c r="O554" i="16"/>
  <c r="P554" i="16"/>
  <c r="I309" i="16"/>
  <c r="H439" i="16"/>
  <c r="J439" i="16"/>
  <c r="I439" i="16"/>
  <c r="R603" i="16"/>
  <c r="Q603" i="16"/>
  <c r="P603" i="16"/>
  <c r="O603" i="16"/>
  <c r="Q550" i="16"/>
  <c r="O550" i="16"/>
  <c r="R550" i="16"/>
  <c r="P550" i="16"/>
  <c r="R380" i="16"/>
  <c r="Q380" i="16"/>
  <c r="P380" i="16"/>
  <c r="O380" i="16"/>
  <c r="Q444" i="16"/>
  <c r="P444" i="16"/>
  <c r="O444" i="16"/>
  <c r="R444" i="16"/>
  <c r="Q667" i="16"/>
  <c r="O667" i="16"/>
  <c r="P667" i="16"/>
  <c r="R667" i="16"/>
  <c r="I306" i="16"/>
  <c r="O366" i="16"/>
  <c r="R366" i="16"/>
  <c r="Q366" i="16"/>
  <c r="P366" i="16"/>
  <c r="J430" i="16"/>
  <c r="I430" i="16"/>
  <c r="H430" i="16"/>
  <c r="I298" i="16"/>
  <c r="H318" i="16"/>
  <c r="I563" i="16"/>
  <c r="J563" i="16"/>
  <c r="H563" i="16"/>
  <c r="J686" i="16"/>
  <c r="H686" i="16"/>
  <c r="I686" i="16"/>
  <c r="R338" i="16"/>
  <c r="Q338" i="16"/>
  <c r="P338" i="16"/>
  <c r="O338" i="16"/>
  <c r="H402" i="16"/>
  <c r="J402" i="16"/>
  <c r="I402" i="16"/>
  <c r="Q639" i="16"/>
  <c r="R639" i="16"/>
  <c r="P639" i="16"/>
  <c r="O639" i="16"/>
  <c r="J312" i="16"/>
  <c r="Q608" i="16"/>
  <c r="P608" i="16"/>
  <c r="R608" i="16"/>
  <c r="O608" i="16"/>
  <c r="R324" i="16"/>
  <c r="Q324" i="16"/>
  <c r="P324" i="16"/>
  <c r="O324" i="16"/>
  <c r="R452" i="16"/>
  <c r="Q452" i="16"/>
  <c r="P452" i="16"/>
  <c r="O452" i="16"/>
  <c r="O269" i="16"/>
  <c r="Q269" i="16"/>
  <c r="R269" i="16"/>
  <c r="P269" i="16"/>
  <c r="H570" i="16"/>
  <c r="I570" i="16"/>
  <c r="J570" i="16"/>
  <c r="R634" i="16"/>
  <c r="O634" i="16"/>
  <c r="P634" i="16"/>
  <c r="Q634" i="16"/>
  <c r="R478" i="16"/>
  <c r="P478" i="16"/>
  <c r="O478" i="16"/>
  <c r="Q478" i="16"/>
  <c r="J596" i="16"/>
  <c r="I596" i="16"/>
  <c r="O724" i="16"/>
  <c r="Q724" i="16"/>
  <c r="P724" i="16"/>
  <c r="R724" i="16"/>
  <c r="Q440" i="16"/>
  <c r="P440" i="16"/>
  <c r="O440" i="16"/>
  <c r="R440" i="16"/>
  <c r="R677" i="16"/>
  <c r="Q677" i="16"/>
  <c r="P677" i="16"/>
  <c r="O677" i="16"/>
  <c r="Q282" i="16"/>
  <c r="O282" i="16"/>
  <c r="R282" i="16"/>
  <c r="P282" i="16"/>
  <c r="O583" i="16"/>
  <c r="P583" i="16"/>
  <c r="Q583" i="16"/>
  <c r="R583" i="16"/>
  <c r="R647" i="16"/>
  <c r="P647" i="16"/>
  <c r="O647" i="16"/>
  <c r="Q647" i="16"/>
  <c r="R460" i="16"/>
  <c r="Q460" i="16"/>
  <c r="P460" i="16"/>
  <c r="O460" i="16"/>
  <c r="R384" i="16"/>
  <c r="O384" i="16"/>
  <c r="P384" i="16"/>
  <c r="Q384" i="16"/>
  <c r="H401" i="16"/>
  <c r="J401" i="16"/>
  <c r="I401" i="16"/>
  <c r="R591" i="16"/>
  <c r="Q591" i="16"/>
  <c r="P591" i="16"/>
  <c r="O591" i="16"/>
  <c r="R371" i="16"/>
  <c r="Q371" i="16"/>
  <c r="P371" i="16"/>
  <c r="O371" i="16"/>
  <c r="J560" i="16"/>
  <c r="I560" i="16"/>
  <c r="H560" i="16"/>
  <c r="Q548" i="16"/>
  <c r="O548" i="16"/>
  <c r="P548" i="16"/>
  <c r="R548" i="16"/>
  <c r="P328" i="16"/>
  <c r="R328" i="16"/>
  <c r="Q328" i="16"/>
  <c r="O328" i="16"/>
  <c r="H565" i="16"/>
  <c r="I565" i="16"/>
  <c r="J565" i="16"/>
  <c r="I629" i="16"/>
  <c r="H629" i="16"/>
  <c r="P409" i="16"/>
  <c r="O409" i="16"/>
  <c r="R409" i="16"/>
  <c r="Q409" i="16"/>
  <c r="Q335" i="16"/>
  <c r="R335" i="16"/>
  <c r="P335" i="16"/>
  <c r="O335" i="16"/>
  <c r="R663" i="16"/>
  <c r="P663" i="16"/>
  <c r="Q663" i="16"/>
  <c r="O663" i="16"/>
  <c r="M497" i="16"/>
  <c r="L497" i="16"/>
  <c r="K497" i="16"/>
  <c r="N497" i="16"/>
  <c r="K494" i="16"/>
  <c r="L494" i="16"/>
  <c r="M494" i="16"/>
  <c r="N494" i="16"/>
  <c r="R336" i="16"/>
  <c r="O336" i="16"/>
  <c r="Q336" i="16"/>
  <c r="P336" i="16"/>
  <c r="R400" i="16"/>
  <c r="Q400" i="16"/>
  <c r="P400" i="16"/>
  <c r="O400" i="16"/>
  <c r="I573" i="16"/>
  <c r="J573" i="16"/>
  <c r="H573" i="16"/>
  <c r="R637" i="16"/>
  <c r="Q637" i="16"/>
  <c r="P637" i="16"/>
  <c r="O637" i="16"/>
  <c r="P481" i="16"/>
  <c r="R481" i="16"/>
  <c r="Q481" i="16"/>
  <c r="O481" i="16"/>
  <c r="I607" i="16"/>
  <c r="J607" i="16"/>
  <c r="H607" i="16"/>
  <c r="I593" i="16"/>
  <c r="J593" i="16"/>
  <c r="H593" i="16"/>
  <c r="Q429" i="16"/>
  <c r="O429" i="16"/>
  <c r="R429" i="16"/>
  <c r="P429" i="16"/>
  <c r="I598" i="16"/>
  <c r="H598" i="16"/>
  <c r="J598" i="16"/>
  <c r="J662" i="16"/>
  <c r="I662" i="16"/>
  <c r="H662" i="16"/>
  <c r="J442" i="16"/>
  <c r="H442" i="16"/>
  <c r="I442" i="16"/>
  <c r="H587" i="16"/>
  <c r="J587" i="16"/>
  <c r="I587" i="16"/>
  <c r="P331" i="16"/>
  <c r="R331" i="16"/>
  <c r="Q331" i="16"/>
  <c r="O331" i="16"/>
  <c r="I584" i="16"/>
  <c r="J584" i="16"/>
  <c r="H584" i="16"/>
  <c r="O428" i="16"/>
  <c r="P428" i="16"/>
  <c r="R428" i="16"/>
  <c r="Q428" i="16"/>
  <c r="O627" i="16"/>
  <c r="Q627" i="16"/>
  <c r="R627" i="16"/>
  <c r="P627" i="16"/>
  <c r="H610" i="16"/>
  <c r="I610" i="16"/>
  <c r="I416" i="16"/>
  <c r="J416" i="16"/>
  <c r="H416" i="16"/>
  <c r="Q433" i="16"/>
  <c r="O433" i="16"/>
  <c r="P433" i="16"/>
  <c r="R433" i="16"/>
  <c r="O571" i="16"/>
  <c r="R571" i="16"/>
  <c r="P571" i="16"/>
  <c r="Q571" i="16"/>
  <c r="Q606" i="16"/>
  <c r="P606" i="16"/>
  <c r="O606" i="16"/>
  <c r="R606" i="16"/>
  <c r="O339" i="16"/>
  <c r="R339" i="16"/>
  <c r="P339" i="16"/>
  <c r="Q339" i="16"/>
  <c r="R683" i="16"/>
  <c r="Q683" i="16"/>
  <c r="P683" i="16"/>
  <c r="O683" i="16"/>
  <c r="Q682" i="16"/>
  <c r="R682" i="16"/>
  <c r="O682" i="16"/>
  <c r="P682" i="16"/>
  <c r="J298" i="16"/>
  <c r="I580" i="16"/>
  <c r="J580" i="16"/>
  <c r="H580" i="16"/>
  <c r="I597" i="16"/>
  <c r="J597" i="16"/>
  <c r="H597" i="16"/>
  <c r="I661" i="16"/>
  <c r="J661" i="16"/>
  <c r="H661" i="16"/>
  <c r="R725" i="16"/>
  <c r="P725" i="16"/>
  <c r="O725" i="16"/>
  <c r="Q725" i="16"/>
  <c r="P377" i="16"/>
  <c r="Q377" i="16"/>
  <c r="O377" i="16"/>
  <c r="R377" i="16"/>
  <c r="I550" i="16"/>
  <c r="H550" i="16"/>
  <c r="J550" i="16"/>
  <c r="P330" i="16"/>
  <c r="R330" i="16"/>
  <c r="O330" i="16"/>
  <c r="Q330" i="16"/>
  <c r="O458" i="16"/>
  <c r="Q458" i="16"/>
  <c r="P458" i="16"/>
  <c r="R458" i="16"/>
  <c r="P631" i="16"/>
  <c r="R631" i="16"/>
  <c r="Q631" i="16"/>
  <c r="O631" i="16"/>
  <c r="J617" i="16"/>
  <c r="I617" i="16"/>
  <c r="J681" i="16"/>
  <c r="I681" i="16"/>
  <c r="H681" i="16"/>
  <c r="J315" i="16"/>
  <c r="J307" i="16"/>
  <c r="I323" i="16"/>
  <c r="H588" i="16"/>
  <c r="J588" i="16"/>
  <c r="I588" i="16"/>
  <c r="J659" i="16"/>
  <c r="I659" i="16"/>
  <c r="H659" i="16"/>
  <c r="P558" i="16"/>
  <c r="Q558" i="16"/>
  <c r="O558" i="16"/>
  <c r="R558" i="16"/>
  <c r="P736" i="16"/>
  <c r="O736" i="16"/>
  <c r="R736" i="16"/>
  <c r="Q736" i="16"/>
  <c r="R286" i="16"/>
  <c r="Q286" i="16"/>
  <c r="P286" i="16"/>
  <c r="O286" i="16"/>
  <c r="H549" i="16"/>
  <c r="J549" i="16"/>
  <c r="I549" i="16"/>
  <c r="O613" i="16"/>
  <c r="R613" i="16"/>
  <c r="Q613" i="16"/>
  <c r="P613" i="16"/>
  <c r="R566" i="16"/>
  <c r="Q566" i="16"/>
  <c r="P566" i="16"/>
  <c r="O566" i="16"/>
  <c r="K492" i="16"/>
  <c r="N492" i="16"/>
  <c r="M492" i="16"/>
  <c r="L492" i="16"/>
  <c r="R396" i="16"/>
  <c r="Q396" i="16"/>
  <c r="P396" i="16"/>
  <c r="O396" i="16"/>
  <c r="R341" i="16"/>
  <c r="Q341" i="16"/>
  <c r="O341" i="16"/>
  <c r="P341" i="16"/>
  <c r="O706" i="16"/>
  <c r="Q706" i="16"/>
  <c r="R706" i="16"/>
  <c r="P706" i="16"/>
  <c r="P422" i="16"/>
  <c r="Q422" i="16"/>
  <c r="R422" i="16"/>
  <c r="O422" i="16"/>
  <c r="Q463" i="16"/>
  <c r="O463" i="16"/>
  <c r="R463" i="16"/>
  <c r="P463" i="16"/>
  <c r="P675" i="16"/>
  <c r="R675" i="16"/>
  <c r="Q675" i="16"/>
  <c r="O675" i="16"/>
  <c r="Q685" i="16"/>
  <c r="O685" i="16"/>
  <c r="P685" i="16"/>
  <c r="R685" i="16"/>
  <c r="I638" i="16"/>
  <c r="J638" i="16"/>
  <c r="I418" i="16"/>
  <c r="J418" i="16"/>
  <c r="H418" i="16"/>
  <c r="P705" i="16"/>
  <c r="R705" i="16"/>
  <c r="Q705" i="16"/>
  <c r="O705" i="16"/>
  <c r="Q650" i="16"/>
  <c r="R650" i="16"/>
  <c r="O650" i="16"/>
  <c r="P650" i="16"/>
  <c r="R281" i="16"/>
  <c r="P281" i="16"/>
  <c r="O281" i="16"/>
  <c r="Q281" i="16"/>
  <c r="R710" i="16"/>
  <c r="O710" i="16"/>
  <c r="P710" i="16"/>
  <c r="Q710" i="16"/>
  <c r="R443" i="16"/>
  <c r="Q443" i="16"/>
  <c r="P443" i="16"/>
  <c r="O443" i="16"/>
  <c r="P632" i="16"/>
  <c r="R632" i="16"/>
  <c r="Q632" i="16"/>
  <c r="O632" i="16"/>
  <c r="O594" i="16"/>
  <c r="P594" i="16"/>
  <c r="Q594" i="16"/>
  <c r="R594" i="16"/>
  <c r="P658" i="16"/>
  <c r="O658" i="16"/>
  <c r="R658" i="16"/>
  <c r="Q658" i="16"/>
  <c r="R722" i="16"/>
  <c r="O722" i="16"/>
  <c r="P722" i="16"/>
  <c r="Q722" i="16"/>
  <c r="J299" i="16"/>
  <c r="I620" i="16"/>
  <c r="J620" i="16"/>
  <c r="R464" i="16"/>
  <c r="P464" i="16"/>
  <c r="O464" i="16"/>
  <c r="Q464" i="16"/>
  <c r="O434" i="16"/>
  <c r="Q434" i="16"/>
  <c r="P434" i="16"/>
  <c r="R434" i="16"/>
  <c r="R507" i="16"/>
  <c r="Q507" i="16"/>
  <c r="O507" i="16"/>
  <c r="P507" i="16"/>
  <c r="P319" i="16"/>
  <c r="R319" i="16"/>
  <c r="Q319" i="16"/>
  <c r="O319" i="16"/>
  <c r="J420" i="16"/>
  <c r="I420" i="16"/>
  <c r="H420" i="16"/>
  <c r="P455" i="16"/>
  <c r="O455" i="16"/>
  <c r="R455" i="16"/>
  <c r="Q455" i="16"/>
  <c r="O657" i="16"/>
  <c r="Q657" i="16"/>
  <c r="P657" i="16"/>
  <c r="R657" i="16"/>
  <c r="N490" i="16"/>
  <c r="M490" i="16"/>
  <c r="L490" i="16"/>
  <c r="K490" i="16"/>
  <c r="Q408" i="16"/>
  <c r="O408" i="16"/>
  <c r="P408" i="16"/>
  <c r="R408" i="16"/>
  <c r="J645" i="16"/>
  <c r="I645" i="16"/>
  <c r="H425" i="16"/>
  <c r="I425" i="16"/>
  <c r="J425" i="16"/>
  <c r="O442" i="16"/>
  <c r="P442" i="16"/>
  <c r="R442" i="16"/>
  <c r="Q442" i="16"/>
  <c r="O587" i="16"/>
  <c r="R587" i="16"/>
  <c r="Q587" i="16"/>
  <c r="P587" i="16"/>
  <c r="R648" i="16"/>
  <c r="P648" i="16"/>
  <c r="O648" i="16"/>
  <c r="Q648" i="16"/>
  <c r="Q712" i="16"/>
  <c r="P712" i="16"/>
  <c r="R712" i="16"/>
  <c r="O712" i="16"/>
  <c r="R511" i="16"/>
  <c r="O511" i="16"/>
  <c r="Q511" i="16"/>
  <c r="P511" i="16"/>
  <c r="P373" i="16"/>
  <c r="R373" i="16"/>
  <c r="Q373" i="16"/>
  <c r="O373" i="16"/>
  <c r="O437" i="16"/>
  <c r="R437" i="16"/>
  <c r="Q437" i="16"/>
  <c r="P437" i="16"/>
  <c r="H674" i="16"/>
  <c r="J674" i="16"/>
  <c r="I674" i="16"/>
  <c r="R572" i="16"/>
  <c r="Q572" i="16"/>
  <c r="O572" i="16"/>
  <c r="P572" i="16"/>
  <c r="O383" i="16"/>
  <c r="R383" i="16"/>
  <c r="Q383" i="16"/>
  <c r="P383" i="16"/>
  <c r="H653" i="16"/>
  <c r="I653" i="16"/>
  <c r="J653" i="16"/>
  <c r="I571" i="16"/>
  <c r="J571" i="16"/>
  <c r="H571" i="16"/>
  <c r="R386" i="16"/>
  <c r="O386" i="16"/>
  <c r="P386" i="16"/>
  <c r="Q386" i="16"/>
  <c r="R308" i="16"/>
  <c r="Q308" i="16"/>
  <c r="P308" i="16"/>
  <c r="O308" i="16"/>
  <c r="L739" i="16"/>
  <c r="M739" i="16"/>
  <c r="N739" i="16"/>
  <c r="K739" i="16"/>
  <c r="R580" i="16"/>
  <c r="O580" i="16"/>
  <c r="Q580" i="16"/>
  <c r="P580" i="16"/>
  <c r="R313" i="16"/>
  <c r="Q313" i="16"/>
  <c r="P313" i="16"/>
  <c r="O313" i="16"/>
  <c r="R283" i="16"/>
  <c r="Q283" i="16"/>
  <c r="P283" i="16"/>
  <c r="O283" i="16"/>
  <c r="L493" i="16"/>
  <c r="K493" i="16"/>
  <c r="N493" i="16"/>
  <c r="M493" i="16"/>
  <c r="J600" i="16"/>
  <c r="H600" i="16"/>
  <c r="I600" i="16"/>
  <c r="I667" i="16"/>
  <c r="H667" i="16"/>
  <c r="J667" i="16"/>
  <c r="R553" i="16"/>
  <c r="P553" i="16"/>
  <c r="O553" i="16"/>
  <c r="Q553" i="16"/>
  <c r="P389" i="16"/>
  <c r="R389" i="16"/>
  <c r="O389" i="16"/>
  <c r="Q389" i="16"/>
  <c r="P731" i="16"/>
  <c r="O731" i="16"/>
  <c r="R731" i="16"/>
  <c r="Q731" i="16"/>
  <c r="Q626" i="16"/>
  <c r="P626" i="16"/>
  <c r="O626" i="16"/>
  <c r="R626" i="16"/>
  <c r="P406" i="16"/>
  <c r="O406" i="16"/>
  <c r="Q406" i="16"/>
  <c r="R406" i="16"/>
  <c r="H305" i="16"/>
  <c r="N741" i="16"/>
  <c r="K741" i="16"/>
  <c r="M741" i="16"/>
  <c r="L741" i="16"/>
  <c r="H297" i="16"/>
  <c r="R326" i="16"/>
  <c r="P326" i="16"/>
  <c r="Q326" i="16"/>
  <c r="O326" i="16"/>
  <c r="I315" i="16"/>
  <c r="J669" i="16"/>
  <c r="I669" i="16"/>
  <c r="H669" i="16"/>
  <c r="R385" i="16"/>
  <c r="O385" i="16"/>
  <c r="P385" i="16"/>
  <c r="Q385" i="16"/>
  <c r="H561" i="16"/>
  <c r="J561" i="16"/>
  <c r="I561" i="16"/>
  <c r="J689" i="16"/>
  <c r="I689" i="16"/>
  <c r="H689" i="16"/>
  <c r="O461" i="16"/>
  <c r="R461" i="16"/>
  <c r="Q461" i="16"/>
  <c r="P461" i="16"/>
  <c r="R303" i="16"/>
  <c r="P303" i="16"/>
  <c r="O303" i="16"/>
  <c r="Q303" i="16"/>
  <c r="O350" i="16"/>
  <c r="Q350" i="16"/>
  <c r="P350" i="16"/>
  <c r="R350" i="16"/>
  <c r="H621" i="16"/>
  <c r="J343" i="16"/>
  <c r="I358" i="16"/>
  <c r="H345" i="16"/>
  <c r="H332" i="16"/>
  <c r="H343" i="16"/>
  <c r="I337" i="16"/>
  <c r="I660" i="16"/>
  <c r="J660" i="16"/>
  <c r="H660" i="16"/>
  <c r="O312" i="16"/>
  <c r="R312" i="16"/>
  <c r="Q312" i="16"/>
  <c r="P312" i="16"/>
  <c r="P376" i="16"/>
  <c r="R376" i="16"/>
  <c r="Q376" i="16"/>
  <c r="O376" i="16"/>
  <c r="Q630" i="16"/>
  <c r="R630" i="16"/>
  <c r="O630" i="16"/>
  <c r="P630" i="16"/>
  <c r="O410" i="16"/>
  <c r="Q410" i="16"/>
  <c r="P410" i="16"/>
  <c r="R410" i="16"/>
  <c r="R359" i="16"/>
  <c r="Q359" i="16"/>
  <c r="P359" i="16"/>
  <c r="O359" i="16"/>
  <c r="J680" i="16"/>
  <c r="I680" i="16"/>
  <c r="H680" i="16"/>
  <c r="R332" i="16"/>
  <c r="P332" i="16"/>
  <c r="Q332" i="16"/>
  <c r="O332" i="16"/>
  <c r="Q271" i="16"/>
  <c r="P271" i="16"/>
  <c r="O271" i="16"/>
  <c r="R271" i="16"/>
  <c r="K487" i="16"/>
  <c r="N487" i="16"/>
  <c r="L487" i="16"/>
  <c r="M487" i="16"/>
  <c r="P405" i="16"/>
  <c r="O405" i="16"/>
  <c r="Q405" i="16"/>
  <c r="R405" i="16"/>
  <c r="Q343" i="16"/>
  <c r="R343" i="16"/>
  <c r="P343" i="16"/>
  <c r="O343" i="16"/>
  <c r="H578" i="16"/>
  <c r="J578" i="16"/>
  <c r="I578" i="16"/>
  <c r="R642" i="16"/>
  <c r="Q642" i="16"/>
  <c r="P642" i="16"/>
  <c r="O642" i="16"/>
  <c r="O358" i="16"/>
  <c r="P358" i="16"/>
  <c r="R358" i="16"/>
  <c r="Q358" i="16"/>
  <c r="R557" i="16"/>
  <c r="P557" i="16"/>
  <c r="Q557" i="16"/>
  <c r="O557" i="16"/>
  <c r="Q482" i="16"/>
  <c r="P482" i="16"/>
  <c r="O482" i="16"/>
  <c r="R482" i="16"/>
  <c r="I591" i="16"/>
  <c r="H591" i="16"/>
  <c r="R635" i="16"/>
  <c r="Q635" i="16"/>
  <c r="O635" i="16"/>
  <c r="P635" i="16"/>
  <c r="Q560" i="16"/>
  <c r="O560" i="16"/>
  <c r="R560" i="16"/>
  <c r="P560" i="16"/>
  <c r="I624" i="16"/>
  <c r="J624" i="16"/>
  <c r="Q349" i="16"/>
  <c r="R349" i="16"/>
  <c r="O349" i="16"/>
  <c r="P349" i="16"/>
  <c r="H413" i="16"/>
  <c r="I413" i="16"/>
  <c r="J413" i="16"/>
  <c r="R612" i="16"/>
  <c r="Q612" i="16"/>
  <c r="O612" i="16"/>
  <c r="P612" i="16"/>
  <c r="R456" i="16"/>
  <c r="O456" i="16"/>
  <c r="P456" i="16"/>
  <c r="Q456" i="16"/>
  <c r="P723" i="16"/>
  <c r="O723" i="16"/>
  <c r="R723" i="16"/>
  <c r="Q723" i="16"/>
  <c r="R693" i="16"/>
  <c r="P693" i="16"/>
  <c r="Q693" i="16"/>
  <c r="O693" i="16"/>
  <c r="Q345" i="16"/>
  <c r="P345" i="16"/>
  <c r="O345" i="16"/>
  <c r="R345" i="16"/>
  <c r="I582" i="16"/>
  <c r="H582" i="16"/>
  <c r="J582" i="16"/>
  <c r="R298" i="16"/>
  <c r="O298" i="16"/>
  <c r="Q298" i="16"/>
  <c r="P298" i="16"/>
  <c r="Q426" i="16"/>
  <c r="P426" i="16"/>
  <c r="R426" i="16"/>
  <c r="O426" i="16"/>
  <c r="O287" i="16"/>
  <c r="Q287" i="16"/>
  <c r="P287" i="16"/>
  <c r="R287" i="16"/>
  <c r="R284" i="16"/>
  <c r="O284" i="16"/>
  <c r="Q284" i="16"/>
  <c r="P284" i="16"/>
  <c r="Q412" i="16"/>
  <c r="R412" i="16"/>
  <c r="O412" i="16"/>
  <c r="P412" i="16"/>
  <c r="K503" i="16"/>
  <c r="N503" i="16"/>
  <c r="L503" i="16"/>
  <c r="M503" i="16"/>
  <c r="P421" i="16"/>
  <c r="Q421" i="16"/>
  <c r="R421" i="16"/>
  <c r="O421" i="16"/>
  <c r="H658" i="16"/>
  <c r="I658" i="16"/>
  <c r="J658" i="16"/>
  <c r="J684" i="16"/>
  <c r="I684" i="16"/>
  <c r="H684" i="16"/>
  <c r="R272" i="16"/>
  <c r="O272" i="16"/>
  <c r="P272" i="16"/>
  <c r="Q272" i="16"/>
  <c r="P289" i="16"/>
  <c r="O289" i="16"/>
  <c r="R289" i="16"/>
  <c r="Q289" i="16"/>
  <c r="I415" i="16"/>
  <c r="J415" i="16"/>
  <c r="H415" i="16"/>
  <c r="Q590" i="16"/>
  <c r="R590" i="16"/>
  <c r="O590" i="16"/>
  <c r="P590" i="16"/>
  <c r="R323" i="16"/>
  <c r="P323" i="16"/>
  <c r="Q323" i="16"/>
  <c r="O323" i="16"/>
  <c r="Q420" i="16"/>
  <c r="P420" i="16"/>
  <c r="O420" i="16"/>
  <c r="R420" i="16"/>
  <c r="Q593" i="16"/>
  <c r="P593" i="16"/>
  <c r="R593" i="16"/>
  <c r="O593" i="16"/>
  <c r="J579" i="16"/>
  <c r="I579" i="16"/>
  <c r="H579" i="16"/>
  <c r="I692" i="16"/>
  <c r="J692" i="16"/>
  <c r="H692" i="16"/>
  <c r="I581" i="16"/>
  <c r="J581" i="16"/>
  <c r="H581" i="16"/>
  <c r="R361" i="16"/>
  <c r="P361" i="16"/>
  <c r="O361" i="16"/>
  <c r="Q361" i="16"/>
  <c r="R662" i="16"/>
  <c r="Q662" i="16"/>
  <c r="O662" i="16"/>
  <c r="P662" i="16"/>
  <c r="Q314" i="16"/>
  <c r="O314" i="16"/>
  <c r="R314" i="16"/>
  <c r="P314" i="16"/>
  <c r="I679" i="16"/>
  <c r="J679" i="16"/>
  <c r="H679" i="16"/>
  <c r="P267" i="16"/>
  <c r="R267" i="16"/>
  <c r="Q267" i="16"/>
  <c r="O267" i="16"/>
  <c r="Q584" i="16"/>
  <c r="R584" i="16"/>
  <c r="P584" i="16"/>
  <c r="O584" i="16"/>
  <c r="H555" i="16"/>
  <c r="J555" i="16"/>
  <c r="I555" i="16"/>
  <c r="M740" i="16"/>
  <c r="K740" i="16"/>
  <c r="L740" i="16"/>
  <c r="N740" i="16"/>
  <c r="P288" i="16"/>
  <c r="O288" i="16"/>
  <c r="R288" i="16"/>
  <c r="Q288" i="16"/>
  <c r="P369" i="16"/>
  <c r="R369" i="16"/>
  <c r="O369" i="16"/>
  <c r="Q369" i="16"/>
  <c r="Q322" i="16"/>
  <c r="R322" i="16"/>
  <c r="O322" i="16"/>
  <c r="P322" i="16"/>
  <c r="R559" i="16"/>
  <c r="Q559" i="16"/>
  <c r="O559" i="16"/>
  <c r="P559" i="16"/>
  <c r="I431" i="16"/>
  <c r="H431" i="16"/>
  <c r="J431" i="16"/>
  <c r="I656" i="16"/>
  <c r="H656" i="16"/>
  <c r="J656" i="16"/>
  <c r="J436" i="16"/>
  <c r="I436" i="16"/>
  <c r="H436" i="16"/>
  <c r="P609" i="16"/>
  <c r="Q609" i="16"/>
  <c r="R609" i="16"/>
  <c r="O609" i="16"/>
  <c r="Q462" i="16"/>
  <c r="O462" i="16"/>
  <c r="P462" i="16"/>
  <c r="R462" i="16"/>
  <c r="R708" i="16"/>
  <c r="P708" i="16"/>
  <c r="Q708" i="16"/>
  <c r="O708" i="16"/>
  <c r="R296" i="16"/>
  <c r="Q296" i="16"/>
  <c r="P296" i="16"/>
  <c r="O296" i="16"/>
  <c r="Q597" i="16"/>
  <c r="R597" i="16"/>
  <c r="P597" i="16"/>
  <c r="O597" i="16"/>
  <c r="O661" i="16"/>
  <c r="P661" i="16"/>
  <c r="Q661" i="16"/>
  <c r="R661" i="16"/>
  <c r="J678" i="16"/>
  <c r="I678" i="16"/>
  <c r="H678" i="16"/>
  <c r="R728" i="16"/>
  <c r="P728" i="16"/>
  <c r="Q728" i="16"/>
  <c r="O728" i="16"/>
  <c r="R316" i="16"/>
  <c r="Q316" i="16"/>
  <c r="P316" i="16"/>
  <c r="O316" i="16"/>
  <c r="O325" i="16"/>
  <c r="Q325" i="16"/>
  <c r="R325" i="16"/>
  <c r="P325" i="16"/>
  <c r="I562" i="16"/>
  <c r="H562" i="16"/>
  <c r="J562" i="16"/>
  <c r="L488" i="16"/>
  <c r="K488" i="16"/>
  <c r="N488" i="16"/>
  <c r="M488" i="16"/>
  <c r="R367" i="16"/>
  <c r="Q367" i="16"/>
  <c r="P367" i="16"/>
  <c r="O367" i="16"/>
  <c r="O302" i="16"/>
  <c r="R302" i="16"/>
  <c r="Q302" i="16"/>
  <c r="P302" i="16"/>
  <c r="J304" i="16"/>
  <c r="O588" i="16"/>
  <c r="R588" i="16"/>
  <c r="Q588" i="16"/>
  <c r="P588" i="16"/>
  <c r="O304" i="16"/>
  <c r="R304" i="16"/>
  <c r="Q304" i="16"/>
  <c r="P304" i="16"/>
  <c r="R368" i="16"/>
  <c r="Q368" i="16"/>
  <c r="P368" i="16"/>
  <c r="O368" i="16"/>
  <c r="R432" i="16"/>
  <c r="Q432" i="16"/>
  <c r="O432" i="16"/>
  <c r="P432" i="16"/>
  <c r="R605" i="16"/>
  <c r="P605" i="16"/>
  <c r="O605" i="16"/>
  <c r="Q605" i="16"/>
  <c r="Q321" i="16"/>
  <c r="R321" i="16"/>
  <c r="P321" i="16"/>
  <c r="O321" i="16"/>
  <c r="R402" i="16"/>
  <c r="O402" i="16"/>
  <c r="Q402" i="16"/>
  <c r="P402" i="16"/>
  <c r="H311" i="16"/>
  <c r="I304" i="16"/>
  <c r="R528" i="16"/>
  <c r="O528" i="16"/>
  <c r="Q528" i="16"/>
  <c r="P528" i="16"/>
  <c r="J672" i="16"/>
  <c r="I672" i="16"/>
  <c r="H672" i="16"/>
  <c r="O625" i="16"/>
  <c r="P625" i="16"/>
  <c r="R625" i="16"/>
  <c r="Q625" i="16"/>
  <c r="R333" i="16"/>
  <c r="O333" i="16"/>
  <c r="P333" i="16"/>
  <c r="Q333" i="16"/>
  <c r="J346" i="16"/>
  <c r="J332" i="16"/>
  <c r="P265" i="16"/>
  <c r="O265" i="16"/>
  <c r="R265" i="16"/>
  <c r="Q265" i="16"/>
  <c r="O694" i="16"/>
  <c r="P694" i="16"/>
  <c r="Q694" i="16"/>
  <c r="R694" i="16"/>
  <c r="P552" i="16"/>
  <c r="O552" i="16"/>
  <c r="R552" i="16"/>
  <c r="Q552" i="16"/>
  <c r="R268" i="16"/>
  <c r="O268" i="16"/>
  <c r="P268" i="16"/>
  <c r="Q268" i="16"/>
  <c r="O569" i="16"/>
  <c r="P569" i="16"/>
  <c r="R569" i="16"/>
  <c r="Q569" i="16"/>
  <c r="N504" i="16"/>
  <c r="K504" i="16"/>
  <c r="M504" i="16"/>
  <c r="L504" i="16"/>
  <c r="R256" i="16"/>
  <c r="Q256" i="16"/>
  <c r="P256" i="16"/>
  <c r="O256" i="16"/>
  <c r="H604" i="16"/>
  <c r="I604" i="16"/>
  <c r="J604" i="16"/>
  <c r="H675" i="16"/>
  <c r="J675" i="16"/>
  <c r="I675" i="16"/>
  <c r="R621" i="16"/>
  <c r="O621" i="16"/>
  <c r="Q621" i="16"/>
  <c r="P621" i="16"/>
  <c r="J685" i="16"/>
  <c r="I685" i="16"/>
  <c r="H685" i="16"/>
  <c r="O465" i="16"/>
  <c r="P465" i="16"/>
  <c r="R465" i="16"/>
  <c r="Q465" i="16"/>
  <c r="J574" i="16"/>
  <c r="I574" i="16"/>
  <c r="H574" i="16"/>
  <c r="O702" i="16"/>
  <c r="Q702" i="16"/>
  <c r="P702" i="16"/>
  <c r="R702" i="16"/>
  <c r="O354" i="16"/>
  <c r="Q354" i="16"/>
  <c r="R354" i="16"/>
  <c r="P354" i="16"/>
  <c r="Q307" i="16"/>
  <c r="R307" i="16"/>
  <c r="P307" i="16"/>
  <c r="O307" i="16"/>
  <c r="N486" i="16"/>
  <c r="K486" i="16"/>
  <c r="M486" i="16"/>
  <c r="L486" i="16"/>
  <c r="J404" i="16"/>
  <c r="I404" i="16"/>
  <c r="H404" i="16"/>
  <c r="R413" i="16"/>
  <c r="O413" i="16"/>
  <c r="Q413" i="16"/>
  <c r="P413" i="16"/>
  <c r="R586" i="16"/>
  <c r="O586" i="16"/>
  <c r="Q586" i="16"/>
  <c r="P586" i="16"/>
  <c r="P473" i="16"/>
  <c r="O473" i="16"/>
  <c r="R473" i="16"/>
  <c r="Q473" i="16"/>
  <c r="R582" i="16"/>
  <c r="O582" i="16"/>
  <c r="Q582" i="16"/>
  <c r="P582" i="16"/>
  <c r="R727" i="16"/>
  <c r="Q727" i="16"/>
  <c r="P727" i="16"/>
  <c r="O727" i="16"/>
  <c r="R315" i="16"/>
  <c r="P315" i="16"/>
  <c r="O315" i="16"/>
  <c r="Q315" i="16"/>
  <c r="R379" i="16"/>
  <c r="Q379" i="16"/>
  <c r="P379" i="16"/>
  <c r="O379" i="16"/>
  <c r="H585" i="16"/>
  <c r="J585" i="16"/>
  <c r="I585" i="16"/>
  <c r="O713" i="16"/>
  <c r="R713" i="16"/>
  <c r="Q713" i="16"/>
  <c r="P713" i="16"/>
  <c r="J421" i="16"/>
  <c r="I421" i="16"/>
  <c r="H421" i="16"/>
  <c r="R255" i="16"/>
  <c r="P255" i="16"/>
  <c r="Q255" i="16"/>
  <c r="O255" i="16"/>
  <c r="R310" i="16"/>
  <c r="Q310" i="16"/>
  <c r="P310" i="16"/>
  <c r="O310" i="16"/>
  <c r="H556" i="16"/>
  <c r="J556" i="16"/>
  <c r="I556" i="16"/>
  <c r="Q684" i="16"/>
  <c r="P684" i="16"/>
  <c r="O684" i="16"/>
  <c r="R684" i="16"/>
  <c r="M489" i="16"/>
  <c r="L489" i="16"/>
  <c r="K489" i="16"/>
  <c r="N489" i="16"/>
  <c r="R353" i="16"/>
  <c r="O353" i="16"/>
  <c r="P353" i="16"/>
  <c r="Q353" i="16"/>
  <c r="Q704" i="16"/>
  <c r="R704" i="16"/>
  <c r="P704" i="16"/>
  <c r="O704" i="16"/>
  <c r="O579" i="16"/>
  <c r="P579" i="16"/>
  <c r="Q579" i="16"/>
  <c r="R579" i="16"/>
  <c r="Q446" i="16"/>
  <c r="R446" i="16"/>
  <c r="P446" i="16"/>
  <c r="O446" i="16"/>
  <c r="J564" i="16"/>
  <c r="I564" i="16"/>
  <c r="H564" i="16"/>
  <c r="R645" i="16"/>
  <c r="Q645" i="16"/>
  <c r="P645" i="16"/>
  <c r="O645" i="16"/>
  <c r="P297" i="16"/>
  <c r="Q297" i="16"/>
  <c r="R297" i="16"/>
  <c r="O297" i="16"/>
  <c r="P425" i="16"/>
  <c r="O425" i="16"/>
  <c r="R425" i="16"/>
  <c r="Q425" i="16"/>
  <c r="R259" i="16"/>
  <c r="P259" i="16"/>
  <c r="Q259" i="16"/>
  <c r="O259" i="16"/>
  <c r="R459" i="16"/>
  <c r="Q459" i="16"/>
  <c r="P459" i="16"/>
  <c r="O459" i="16"/>
  <c r="O375" i="16"/>
  <c r="R375" i="16"/>
  <c r="Q375" i="16"/>
  <c r="P375" i="16"/>
  <c r="Q665" i="16"/>
  <c r="R665" i="16"/>
  <c r="O665" i="16"/>
  <c r="P665" i="16"/>
  <c r="Q309" i="16"/>
  <c r="R309" i="16"/>
  <c r="P309" i="16"/>
  <c r="O309" i="16"/>
  <c r="N498" i="16"/>
  <c r="M498" i="16"/>
  <c r="L498" i="16"/>
  <c r="K498" i="16"/>
  <c r="P717" i="16"/>
  <c r="Q717" i="16"/>
  <c r="R717" i="16"/>
  <c r="O717" i="16"/>
  <c r="R734" i="16"/>
  <c r="O734" i="16"/>
  <c r="Q734" i="16"/>
  <c r="P734" i="16"/>
  <c r="O450" i="16"/>
  <c r="P450" i="16"/>
  <c r="Q450" i="16"/>
  <c r="R450" i="16"/>
  <c r="I559" i="16"/>
  <c r="J559" i="16"/>
  <c r="H559" i="16"/>
  <c r="R623" i="16"/>
  <c r="Q623" i="16"/>
  <c r="O623" i="16"/>
  <c r="P623" i="16"/>
  <c r="H687" i="16"/>
  <c r="I687" i="16"/>
  <c r="J687" i="16"/>
  <c r="R619" i="16"/>
  <c r="O619" i="16"/>
  <c r="Q619" i="16"/>
  <c r="P619" i="16"/>
  <c r="H673" i="16"/>
  <c r="J673" i="16"/>
  <c r="I673" i="16"/>
  <c r="Q618" i="16"/>
  <c r="P618" i="16"/>
  <c r="O618" i="16"/>
  <c r="R618" i="16"/>
  <c r="Q334" i="16"/>
  <c r="O334" i="16"/>
  <c r="P334" i="16"/>
  <c r="R334" i="16"/>
  <c r="Q398" i="16"/>
  <c r="R398" i="16"/>
  <c r="P398" i="16"/>
  <c r="O398" i="16"/>
  <c r="R644" i="16"/>
  <c r="P644" i="16"/>
  <c r="O644" i="16"/>
  <c r="Q644" i="16"/>
  <c r="R439" i="16"/>
  <c r="Q439" i="16"/>
  <c r="P439" i="16"/>
  <c r="O439" i="16"/>
  <c r="O614" i="16"/>
  <c r="R614" i="16"/>
  <c r="Q614" i="16"/>
  <c r="P614" i="16"/>
  <c r="Q347" i="16"/>
  <c r="P347" i="16"/>
  <c r="O347" i="16"/>
  <c r="R347" i="16"/>
  <c r="Q411" i="16"/>
  <c r="O411" i="16"/>
  <c r="R411" i="16"/>
  <c r="P411" i="16"/>
  <c r="J664" i="16"/>
  <c r="H664" i="16"/>
  <c r="I664" i="16"/>
  <c r="R681" i="16"/>
  <c r="O681" i="16"/>
  <c r="P681" i="16"/>
  <c r="Q681" i="16"/>
  <c r="O562" i="16"/>
  <c r="R562" i="16"/>
  <c r="P562" i="16"/>
  <c r="Q562" i="16"/>
  <c r="I690" i="16"/>
  <c r="H690" i="16"/>
  <c r="J690" i="16"/>
  <c r="H314" i="16"/>
  <c r="Q390" i="16"/>
  <c r="O390" i="16"/>
  <c r="P390" i="16"/>
  <c r="R390" i="16"/>
  <c r="Q691" i="16"/>
  <c r="O691" i="16"/>
  <c r="R691" i="16"/>
  <c r="P691" i="16"/>
  <c r="H296" i="16"/>
  <c r="P652" i="16"/>
  <c r="R652" i="16"/>
  <c r="O652" i="16"/>
  <c r="Q652" i="16"/>
  <c r="R716" i="16"/>
  <c r="Q716" i="16"/>
  <c r="O716" i="16"/>
  <c r="P716" i="16"/>
  <c r="Q449" i="16"/>
  <c r="P449" i="16"/>
  <c r="R449" i="16"/>
  <c r="O449" i="16"/>
  <c r="O622" i="16"/>
  <c r="P622" i="16"/>
  <c r="Q622" i="16"/>
  <c r="R622" i="16"/>
  <c r="R575" i="16"/>
  <c r="P575" i="16"/>
  <c r="O575" i="16"/>
  <c r="Q575" i="16"/>
  <c r="I300" i="16"/>
  <c r="R561" i="16"/>
  <c r="P561" i="16"/>
  <c r="Q561" i="16"/>
  <c r="O561" i="16"/>
  <c r="P570" i="16"/>
  <c r="Q570" i="16"/>
  <c r="R570" i="16"/>
  <c r="O570" i="16"/>
  <c r="H414" i="16"/>
  <c r="I414" i="16"/>
  <c r="J414" i="16"/>
  <c r="I423" i="16"/>
  <c r="J423" i="16"/>
  <c r="H423" i="16"/>
  <c r="R596" i="16"/>
  <c r="O596" i="16"/>
  <c r="Q596" i="16"/>
  <c r="P596" i="16"/>
  <c r="R611" i="16"/>
  <c r="O611" i="16"/>
  <c r="Q611" i="16"/>
  <c r="P611" i="16"/>
  <c r="O549" i="16"/>
  <c r="Q549" i="16"/>
  <c r="P549" i="16"/>
  <c r="R549" i="16"/>
  <c r="R363" i="16"/>
  <c r="P363" i="16"/>
  <c r="O363" i="16"/>
  <c r="Q363" i="16"/>
  <c r="P427" i="16"/>
  <c r="R427" i="16"/>
  <c r="Q427" i="16"/>
  <c r="O427" i="16"/>
  <c r="R616" i="16"/>
  <c r="Q616" i="16"/>
  <c r="P616" i="16"/>
  <c r="O616" i="16"/>
  <c r="J569" i="16"/>
  <c r="H569" i="16"/>
  <c r="I569" i="16"/>
  <c r="P277" i="16"/>
  <c r="O277" i="16"/>
  <c r="Q277" i="16"/>
  <c r="R277" i="16"/>
  <c r="O294" i="16"/>
  <c r="Q294" i="16"/>
  <c r="P294" i="16"/>
  <c r="R294" i="16"/>
  <c r="P604" i="16"/>
  <c r="R604" i="16"/>
  <c r="Q604" i="16"/>
  <c r="O604" i="16"/>
  <c r="H668" i="16"/>
  <c r="J668" i="16"/>
  <c r="I668" i="16"/>
  <c r="J557" i="16"/>
  <c r="I557" i="16"/>
  <c r="H557" i="16"/>
  <c r="O263" i="16"/>
  <c r="R263" i="16"/>
  <c r="Q263" i="16"/>
  <c r="P263" i="16"/>
  <c r="N500" i="16"/>
  <c r="M500" i="16"/>
  <c r="L500" i="16"/>
  <c r="K500" i="16"/>
  <c r="P399" i="16"/>
  <c r="O399" i="16"/>
  <c r="R399" i="16"/>
  <c r="Q399" i="16"/>
  <c r="H435" i="16"/>
  <c r="J435" i="16"/>
  <c r="I435" i="16"/>
  <c r="R688" i="16"/>
  <c r="Q688" i="16"/>
  <c r="P688" i="16"/>
  <c r="O688" i="16"/>
  <c r="P404" i="16"/>
  <c r="O404" i="16"/>
  <c r="R404" i="16"/>
  <c r="Q404" i="16"/>
  <c r="R468" i="16"/>
  <c r="O468" i="16"/>
  <c r="Q468" i="16"/>
  <c r="P468" i="16"/>
  <c r="I693" i="16"/>
  <c r="J693" i="16"/>
  <c r="H693" i="16"/>
  <c r="O362" i="16"/>
  <c r="P362" i="16"/>
  <c r="Q362" i="16"/>
  <c r="R362" i="16"/>
  <c r="J663" i="16"/>
  <c r="I663" i="16"/>
  <c r="H663" i="16"/>
  <c r="J568" i="16"/>
  <c r="H568" i="16"/>
  <c r="I568" i="16"/>
  <c r="P348" i="16"/>
  <c r="R348" i="16"/>
  <c r="Q348" i="16"/>
  <c r="O348" i="16"/>
  <c r="H407" i="16"/>
  <c r="J407" i="16"/>
  <c r="I407" i="16"/>
  <c r="O585" i="16"/>
  <c r="R585" i="16"/>
  <c r="Q585" i="16"/>
  <c r="P585" i="16"/>
  <c r="P447" i="16"/>
  <c r="Q447" i="16"/>
  <c r="O447" i="16"/>
  <c r="R447" i="16"/>
  <c r="O556" i="16"/>
  <c r="R556" i="16"/>
  <c r="Q556" i="16"/>
  <c r="P556" i="16"/>
  <c r="P279" i="16"/>
  <c r="O279" i="16"/>
  <c r="R279" i="16"/>
  <c r="Q279" i="16"/>
  <c r="O701" i="16"/>
  <c r="P701" i="16"/>
  <c r="R701" i="16"/>
  <c r="Q701" i="16"/>
  <c r="N499" i="16"/>
  <c r="M499" i="16"/>
  <c r="K499" i="16"/>
  <c r="L499" i="16"/>
  <c r="P417" i="16"/>
  <c r="R417" i="16"/>
  <c r="Q417" i="16"/>
  <c r="O417" i="16"/>
  <c r="P370" i="16"/>
  <c r="O370" i="16"/>
  <c r="R370" i="16"/>
  <c r="Q370" i="16"/>
  <c r="P607" i="16"/>
  <c r="R607" i="16"/>
  <c r="Q607" i="16"/>
  <c r="O607" i="16"/>
  <c r="I671" i="16"/>
  <c r="J671" i="16"/>
  <c r="H671" i="16"/>
  <c r="R640" i="16"/>
  <c r="Q640" i="16"/>
  <c r="P640" i="16"/>
  <c r="O640" i="16"/>
  <c r="O292" i="16"/>
  <c r="Q292" i="16"/>
  <c r="P292" i="16"/>
  <c r="R292" i="16"/>
  <c r="R721" i="16"/>
  <c r="Q721" i="16"/>
  <c r="O721" i="16"/>
  <c r="P721" i="16"/>
  <c r="I666" i="16"/>
  <c r="J666" i="16"/>
  <c r="H666" i="16"/>
  <c r="O318" i="16"/>
  <c r="R318" i="16"/>
  <c r="Q318" i="16"/>
  <c r="P318" i="16"/>
  <c r="P628" i="16"/>
  <c r="Q628" i="16"/>
  <c r="O628" i="16"/>
  <c r="R628" i="16"/>
  <c r="O692" i="16"/>
  <c r="P692" i="16"/>
  <c r="Q692" i="16"/>
  <c r="R692" i="16"/>
  <c r="P344" i="16"/>
  <c r="O344" i="16"/>
  <c r="R344" i="16"/>
  <c r="Q344" i="16"/>
  <c r="R581" i="16"/>
  <c r="Q581" i="16"/>
  <c r="P581" i="16"/>
  <c r="O581" i="16"/>
  <c r="O709" i="16"/>
  <c r="R709" i="16"/>
  <c r="Q709" i="16"/>
  <c r="P709" i="16"/>
  <c r="Q598" i="16"/>
  <c r="R598" i="16"/>
  <c r="P598" i="16"/>
  <c r="O598" i="16"/>
  <c r="R615" i="16"/>
  <c r="Q615" i="16"/>
  <c r="P615" i="16"/>
  <c r="O615" i="16"/>
  <c r="P679" i="16"/>
  <c r="O679" i="16"/>
  <c r="R679" i="16"/>
  <c r="Q679" i="16"/>
  <c r="R300" i="16"/>
  <c r="Q300" i="16"/>
  <c r="P300" i="16"/>
  <c r="O300" i="16"/>
  <c r="H428" i="16"/>
  <c r="I428" i="16"/>
  <c r="J428" i="16"/>
  <c r="I665" i="16"/>
  <c r="J665" i="16"/>
  <c r="H665" i="16"/>
  <c r="R700" i="16"/>
  <c r="Q700" i="16"/>
  <c r="O700" i="16"/>
  <c r="P700" i="16"/>
  <c r="Q352" i="16"/>
  <c r="P352" i="16"/>
  <c r="R352" i="16"/>
  <c r="O352" i="16"/>
  <c r="P653" i="16"/>
  <c r="O653" i="16"/>
  <c r="R653" i="16"/>
  <c r="Q653" i="16"/>
  <c r="I433" i="16"/>
  <c r="H433" i="16"/>
  <c r="J433" i="16"/>
  <c r="I606" i="16"/>
  <c r="H606" i="16"/>
  <c r="R687" i="16"/>
  <c r="P687" i="16"/>
  <c r="Q687" i="16"/>
  <c r="O687" i="16"/>
  <c r="L485" i="16"/>
  <c r="M485" i="16"/>
  <c r="K485" i="16"/>
  <c r="N485" i="16"/>
  <c r="J403" i="16"/>
  <c r="I403" i="16"/>
  <c r="H403" i="16"/>
  <c r="R431" i="16"/>
  <c r="O431" i="16"/>
  <c r="Q431" i="16"/>
  <c r="P431" i="16"/>
  <c r="I592" i="16"/>
  <c r="J592" i="16"/>
  <c r="H592" i="16"/>
  <c r="P656" i="16"/>
  <c r="R656" i="16"/>
  <c r="Q656" i="16"/>
  <c r="O656" i="16"/>
  <c r="Q529" i="16"/>
  <c r="R529" i="16"/>
  <c r="P529" i="16"/>
  <c r="O529" i="16"/>
  <c r="H554" i="16"/>
  <c r="J554" i="16"/>
  <c r="I554" i="16"/>
  <c r="I307" i="16"/>
  <c r="I424" i="16"/>
  <c r="H424" i="16"/>
  <c r="J424" i="16"/>
  <c r="R258" i="16"/>
  <c r="O258" i="16"/>
  <c r="Q258" i="16"/>
  <c r="P258" i="16"/>
  <c r="Q678" i="16"/>
  <c r="R678" i="16"/>
  <c r="P678" i="16"/>
  <c r="O678" i="16"/>
  <c r="R266" i="16"/>
  <c r="O266" i="16"/>
  <c r="Q266" i="16"/>
  <c r="P266" i="16"/>
  <c r="H567" i="16"/>
  <c r="J567" i="16"/>
  <c r="I567" i="16"/>
  <c r="R695" i="16"/>
  <c r="P695" i="16"/>
  <c r="O695" i="16"/>
  <c r="Q695" i="16"/>
  <c r="P257" i="16"/>
  <c r="O257" i="16"/>
  <c r="Q257" i="16"/>
  <c r="R257" i="16"/>
  <c r="Q600" i="16"/>
  <c r="O600" i="16"/>
  <c r="R600" i="16"/>
  <c r="P600" i="16"/>
  <c r="P342" i="16"/>
  <c r="O342" i="16"/>
  <c r="Q342" i="16"/>
  <c r="R342" i="16"/>
  <c r="J300" i="16"/>
  <c r="Q714" i="16"/>
  <c r="P714" i="16"/>
  <c r="R714" i="16"/>
  <c r="O714" i="16"/>
  <c r="O531" i="16"/>
  <c r="P531" i="16"/>
  <c r="R531" i="16"/>
  <c r="Q531" i="16"/>
  <c r="J313" i="16"/>
  <c r="P509" i="16"/>
  <c r="O509" i="16"/>
  <c r="Q509" i="16"/>
  <c r="R509" i="16"/>
  <c r="P659" i="16"/>
  <c r="O659" i="16"/>
  <c r="R659" i="16"/>
  <c r="Q659" i="16"/>
  <c r="I558" i="16"/>
  <c r="J558" i="16"/>
  <c r="H558" i="16"/>
  <c r="Q686" i="16"/>
  <c r="O686" i="16"/>
  <c r="P686" i="16"/>
  <c r="R686" i="16"/>
  <c r="O274" i="16"/>
  <c r="R274" i="16"/>
  <c r="Q274" i="16"/>
  <c r="P274" i="16"/>
  <c r="R311" i="16"/>
  <c r="Q311" i="16"/>
  <c r="P311" i="16"/>
  <c r="O311" i="16"/>
  <c r="J575" i="16"/>
  <c r="H575" i="16"/>
  <c r="I575" i="16"/>
  <c r="O291" i="16"/>
  <c r="Q291" i="16"/>
  <c r="R291" i="16"/>
  <c r="P291" i="16"/>
  <c r="P672" i="16"/>
  <c r="O672" i="16"/>
  <c r="R672" i="16"/>
  <c r="Q672" i="16"/>
  <c r="P715" i="16"/>
  <c r="Q715" i="16"/>
  <c r="O715" i="16"/>
  <c r="R715" i="16"/>
  <c r="O397" i="16"/>
  <c r="Q397" i="16"/>
  <c r="R397" i="16"/>
  <c r="P397" i="16"/>
  <c r="P698" i="16"/>
  <c r="Q698" i="16"/>
  <c r="O698" i="16"/>
  <c r="R698" i="16"/>
  <c r="R423" i="16"/>
  <c r="O423" i="16"/>
  <c r="Q423" i="16"/>
  <c r="P423" i="16"/>
  <c r="H596" i="16"/>
  <c r="J440" i="16"/>
  <c r="H440" i="16"/>
  <c r="I440" i="16"/>
  <c r="J410" i="16"/>
  <c r="I410" i="16"/>
  <c r="H410" i="16"/>
  <c r="R474" i="16"/>
  <c r="O474" i="16"/>
  <c r="Q474" i="16"/>
  <c r="P474" i="16"/>
  <c r="I583" i="16"/>
  <c r="H583" i="16"/>
  <c r="J583" i="16"/>
  <c r="P711" i="16"/>
  <c r="O711" i="16"/>
  <c r="R711" i="16"/>
  <c r="Q711" i="16"/>
  <c r="H427" i="16"/>
  <c r="I427" i="16"/>
  <c r="J427" i="16"/>
  <c r="O697" i="16"/>
  <c r="P697" i="16"/>
  <c r="Q697" i="16"/>
  <c r="R697" i="16"/>
  <c r="R469" i="16"/>
  <c r="O469" i="16"/>
  <c r="Q469" i="16"/>
  <c r="P469" i="16"/>
  <c r="Q668" i="16"/>
  <c r="R668" i="16"/>
  <c r="O668" i="16"/>
  <c r="P668" i="16"/>
  <c r="P337" i="16"/>
  <c r="O337" i="16"/>
  <c r="Q337" i="16"/>
  <c r="R337" i="16"/>
  <c r="R574" i="16"/>
  <c r="O574" i="16"/>
  <c r="P574" i="16"/>
  <c r="Q574" i="16"/>
  <c r="R290" i="16"/>
  <c r="Q290" i="16"/>
  <c r="O290" i="16"/>
  <c r="P290" i="16"/>
  <c r="P655" i="16"/>
  <c r="O655" i="16"/>
  <c r="Q655" i="16"/>
  <c r="R655" i="16"/>
  <c r="R719" i="16"/>
  <c r="Q719" i="16"/>
  <c r="P719" i="16"/>
  <c r="O719" i="16"/>
  <c r="O624" i="16"/>
  <c r="R624" i="16"/>
  <c r="Q624" i="16"/>
  <c r="P624" i="16"/>
  <c r="J641" i="16"/>
  <c r="I641" i="16"/>
  <c r="R477" i="16"/>
  <c r="O477" i="16"/>
  <c r="P477" i="16"/>
  <c r="Q477" i="16"/>
  <c r="P391" i="16"/>
  <c r="O391" i="16"/>
  <c r="R391" i="16"/>
  <c r="Q391" i="16"/>
  <c r="H650" i="16"/>
  <c r="I650" i="16"/>
  <c r="J676" i="16"/>
  <c r="I676" i="16"/>
  <c r="H676" i="16"/>
  <c r="O565" i="16"/>
  <c r="P565" i="16"/>
  <c r="R565" i="16"/>
  <c r="Q565" i="16"/>
  <c r="R629" i="16"/>
  <c r="P629" i="16"/>
  <c r="Q629" i="16"/>
  <c r="O629" i="16"/>
  <c r="R471" i="16"/>
  <c r="O471" i="16"/>
  <c r="P471" i="16"/>
  <c r="Q471" i="16"/>
  <c r="R599" i="16"/>
  <c r="Q599" i="16"/>
  <c r="P599" i="16"/>
  <c r="O599" i="16"/>
  <c r="I594" i="16"/>
  <c r="J594" i="16"/>
  <c r="H438" i="16"/>
  <c r="I438" i="16"/>
  <c r="J438" i="16"/>
  <c r="R620" i="16"/>
  <c r="O620" i="16"/>
  <c r="Q620" i="16"/>
  <c r="P620" i="16"/>
  <c r="R654" i="16"/>
  <c r="O654" i="16"/>
  <c r="Q654" i="16"/>
  <c r="P654" i="16"/>
  <c r="I434" i="16"/>
  <c r="J434" i="16"/>
  <c r="H434" i="16"/>
  <c r="N737" i="16"/>
  <c r="M737" i="16"/>
  <c r="L737" i="16"/>
  <c r="K737" i="16"/>
  <c r="N502" i="16"/>
  <c r="L502" i="16"/>
  <c r="M502" i="16"/>
  <c r="K502" i="16"/>
  <c r="R356" i="16"/>
  <c r="Q356" i="16"/>
  <c r="P356" i="16"/>
  <c r="O356" i="16"/>
  <c r="Q484" i="16"/>
  <c r="R484" i="16"/>
  <c r="P484" i="16"/>
  <c r="O484" i="16"/>
  <c r="I429" i="16"/>
  <c r="H429" i="16"/>
  <c r="J429" i="16"/>
  <c r="Q382" i="16"/>
  <c r="P382" i="16"/>
  <c r="R382" i="16"/>
  <c r="O382" i="16"/>
  <c r="I299" i="16"/>
  <c r="R564" i="16"/>
  <c r="P564" i="16"/>
  <c r="O564" i="16"/>
  <c r="Q564" i="16"/>
  <c r="O472" i="16"/>
  <c r="R472" i="16"/>
  <c r="P472" i="16"/>
  <c r="Q472" i="16"/>
  <c r="R327" i="16"/>
  <c r="P327" i="16"/>
  <c r="Q327" i="16"/>
  <c r="O327" i="16"/>
  <c r="Q395" i="16"/>
  <c r="P395" i="16"/>
  <c r="O395" i="16"/>
  <c r="R395" i="16"/>
  <c r="R364" i="16"/>
  <c r="Q364" i="16"/>
  <c r="P364" i="16"/>
  <c r="O364" i="16"/>
  <c r="Q610" i="16"/>
  <c r="O610" i="16"/>
  <c r="P610" i="16"/>
  <c r="R610" i="16"/>
  <c r="O674" i="16"/>
  <c r="R674" i="16"/>
  <c r="Q674" i="16"/>
  <c r="P674" i="16"/>
  <c r="O262" i="16"/>
  <c r="R262" i="16"/>
  <c r="Q262" i="16"/>
  <c r="P262" i="16"/>
  <c r="R636" i="16"/>
  <c r="Q636" i="16"/>
  <c r="O636" i="16"/>
  <c r="P636" i="16"/>
  <c r="R480" i="16"/>
  <c r="Q480" i="16"/>
  <c r="P480" i="16"/>
  <c r="O480" i="16"/>
  <c r="H589" i="16"/>
  <c r="J589" i="16"/>
  <c r="I589" i="16"/>
  <c r="Q305" i="16"/>
  <c r="R305" i="16"/>
  <c r="P305" i="16"/>
  <c r="O305" i="16"/>
  <c r="Q670" i="16"/>
  <c r="R670" i="16"/>
  <c r="P670" i="16"/>
  <c r="O670" i="16"/>
  <c r="O651" i="16"/>
  <c r="P651" i="16"/>
  <c r="R651" i="16"/>
  <c r="Q651" i="16"/>
  <c r="Q403" i="16"/>
  <c r="P403" i="16"/>
  <c r="R403" i="16"/>
  <c r="O403" i="16"/>
  <c r="R673" i="16"/>
  <c r="O673" i="16"/>
  <c r="P673" i="16"/>
  <c r="Q673" i="16"/>
  <c r="Q317" i="16"/>
  <c r="O317" i="16"/>
  <c r="R317" i="16"/>
  <c r="P317" i="16"/>
  <c r="P381" i="16"/>
  <c r="O381" i="16"/>
  <c r="R381" i="16"/>
  <c r="Q381" i="16"/>
  <c r="H682" i="16"/>
  <c r="I682" i="16"/>
  <c r="J682" i="16"/>
  <c r="Q295" i="16"/>
  <c r="P295" i="16"/>
  <c r="R295" i="16"/>
  <c r="O295" i="16"/>
  <c r="J309" i="16"/>
  <c r="R360" i="16"/>
  <c r="Q360" i="16"/>
  <c r="P360" i="16"/>
  <c r="O360" i="16"/>
  <c r="R441" i="16"/>
  <c r="P441" i="16"/>
  <c r="Q441" i="16"/>
  <c r="O441" i="16"/>
  <c r="P699" i="16"/>
  <c r="O699" i="16"/>
  <c r="Q699" i="16"/>
  <c r="R699" i="16"/>
  <c r="H411" i="16"/>
  <c r="J411" i="16"/>
  <c r="I411" i="16"/>
  <c r="R475" i="16"/>
  <c r="Q475" i="16"/>
  <c r="P475" i="16"/>
  <c r="O475" i="16"/>
  <c r="O664" i="16"/>
  <c r="P664" i="16"/>
  <c r="R664" i="16"/>
  <c r="Q664" i="16"/>
  <c r="H553" i="16"/>
  <c r="I553" i="16"/>
  <c r="J553" i="16"/>
  <c r="P617" i="16"/>
  <c r="Q617" i="16"/>
  <c r="O617" i="16"/>
  <c r="R617" i="16"/>
  <c r="Q453" i="16"/>
  <c r="R453" i="16"/>
  <c r="P453" i="16"/>
  <c r="O453" i="16"/>
  <c r="J296" i="16"/>
  <c r="R563" i="16"/>
  <c r="O563" i="16"/>
  <c r="Q563" i="16"/>
  <c r="P563" i="16"/>
  <c r="O669" i="16"/>
  <c r="Q669" i="16"/>
  <c r="R669" i="16"/>
  <c r="P669" i="16"/>
  <c r="J419" i="16"/>
  <c r="H419" i="16"/>
  <c r="I419" i="16"/>
  <c r="R483" i="16"/>
  <c r="Q483" i="16"/>
  <c r="P483" i="16"/>
  <c r="O483" i="16"/>
  <c r="K738" i="16"/>
  <c r="N738" i="16"/>
  <c r="M738" i="16"/>
  <c r="L738" i="16"/>
  <c r="J608" i="16"/>
  <c r="I608" i="16"/>
  <c r="H608" i="16"/>
  <c r="R388" i="16"/>
  <c r="Q388" i="16"/>
  <c r="P388" i="16"/>
  <c r="O388" i="16"/>
  <c r="R689" i="16"/>
  <c r="O689" i="16"/>
  <c r="P689" i="16"/>
  <c r="Q689" i="16"/>
  <c r="J611" i="16"/>
  <c r="H616" i="16"/>
  <c r="H358" i="16"/>
  <c r="P660" i="16"/>
  <c r="O660" i="16"/>
  <c r="Q660" i="16"/>
  <c r="R660" i="16"/>
  <c r="H677" i="16"/>
  <c r="J677" i="16"/>
  <c r="I677" i="16"/>
  <c r="O329" i="16"/>
  <c r="R329" i="16"/>
  <c r="P329" i="16"/>
  <c r="Q329" i="16"/>
  <c r="R393" i="16"/>
  <c r="P393" i="16"/>
  <c r="O393" i="16"/>
  <c r="Q393" i="16"/>
  <c r="O457" i="16"/>
  <c r="P457" i="16"/>
  <c r="Q457" i="16"/>
  <c r="R457" i="16"/>
  <c r="H694" i="16"/>
  <c r="I694" i="16"/>
  <c r="J694" i="16"/>
  <c r="R299" i="16"/>
  <c r="O299" i="16"/>
  <c r="P299" i="16"/>
  <c r="Q299" i="16"/>
  <c r="R680" i="16"/>
  <c r="P680" i="16"/>
  <c r="O680" i="16"/>
  <c r="Q680" i="16"/>
  <c r="P508" i="16"/>
  <c r="R508" i="16"/>
  <c r="Q508" i="16"/>
  <c r="O508" i="16"/>
  <c r="O320" i="16"/>
  <c r="P320" i="16"/>
  <c r="R320" i="16"/>
  <c r="Q320" i="16"/>
  <c r="P448" i="16"/>
  <c r="Q448" i="16"/>
  <c r="O448" i="16"/>
  <c r="R448" i="16"/>
  <c r="P273" i="16"/>
  <c r="O273" i="16"/>
  <c r="Q273" i="16"/>
  <c r="R273" i="16"/>
  <c r="P401" i="16"/>
  <c r="R401" i="16"/>
  <c r="Q401" i="16"/>
  <c r="O401" i="16"/>
  <c r="J655" i="16"/>
  <c r="H655" i="16"/>
  <c r="I655" i="16"/>
  <c r="P435" i="16"/>
  <c r="R435" i="16"/>
  <c r="Q435" i="16"/>
  <c r="O435" i="16"/>
  <c r="R340" i="16"/>
  <c r="O340" i="16"/>
  <c r="Q340" i="16"/>
  <c r="P340" i="16"/>
  <c r="J577" i="16"/>
  <c r="I577" i="16"/>
  <c r="H577" i="16"/>
  <c r="P641" i="16"/>
  <c r="O641" i="16"/>
  <c r="Q641" i="16"/>
  <c r="R641" i="16"/>
  <c r="R285" i="16"/>
  <c r="Q285" i="16"/>
  <c r="P285" i="16"/>
  <c r="O285" i="16"/>
  <c r="K495" i="16"/>
  <c r="N495" i="16"/>
  <c r="M495" i="16"/>
  <c r="L495" i="16"/>
  <c r="I586" i="16"/>
  <c r="J586" i="16"/>
  <c r="H586" i="16"/>
  <c r="R264" i="16"/>
  <c r="O264" i="16"/>
  <c r="P264" i="16"/>
  <c r="Q264" i="16"/>
  <c r="R392" i="16"/>
  <c r="Q392" i="16"/>
  <c r="P392" i="16"/>
  <c r="O392" i="16"/>
  <c r="I409" i="16"/>
  <c r="J409" i="16"/>
  <c r="H409" i="16"/>
  <c r="R260" i="16"/>
  <c r="Q260" i="16"/>
  <c r="P260" i="16"/>
  <c r="O260" i="16"/>
  <c r="J599" i="16"/>
  <c r="I599" i="16"/>
  <c r="H599" i="16"/>
  <c r="P568" i="16"/>
  <c r="O568" i="16"/>
  <c r="Q568" i="16"/>
  <c r="R568" i="16"/>
  <c r="R649" i="16"/>
  <c r="O649" i="16"/>
  <c r="Q649" i="16"/>
  <c r="P649" i="16"/>
  <c r="R293" i="16"/>
  <c r="P293" i="16"/>
  <c r="Q293" i="16"/>
  <c r="O293" i="16"/>
  <c r="Q438" i="16"/>
  <c r="R438" i="16"/>
  <c r="P438" i="16"/>
  <c r="O438" i="16"/>
  <c r="H595" i="16"/>
  <c r="J595" i="16"/>
  <c r="I595" i="16"/>
  <c r="P573" i="16"/>
  <c r="R573" i="16"/>
  <c r="Q573" i="16"/>
  <c r="O573" i="16"/>
  <c r="J417" i="16"/>
  <c r="I417" i="16"/>
  <c r="H417" i="16"/>
  <c r="I654" i="16"/>
  <c r="J654" i="16"/>
  <c r="H654" i="16"/>
  <c r="O306" i="16"/>
  <c r="P306" i="16"/>
  <c r="R306" i="16"/>
  <c r="Q306" i="16"/>
  <c r="Q735" i="16"/>
  <c r="R735" i="16"/>
  <c r="P735" i="16"/>
  <c r="O735" i="16"/>
  <c r="Q451" i="16"/>
  <c r="O451" i="16"/>
  <c r="R451" i="16"/>
  <c r="P451" i="16"/>
  <c r="Q576" i="16"/>
  <c r="P576" i="16"/>
  <c r="O576" i="16"/>
  <c r="R576" i="16"/>
  <c r="I657" i="16"/>
  <c r="H657" i="16"/>
  <c r="J657" i="16"/>
  <c r="Q365" i="16"/>
  <c r="O365" i="16"/>
  <c r="R365" i="16"/>
  <c r="P365" i="16"/>
  <c r="O602" i="16"/>
  <c r="R602" i="16"/>
  <c r="P602" i="16"/>
  <c r="Q602" i="16"/>
  <c r="R666" i="16"/>
  <c r="P666" i="16"/>
  <c r="O666" i="16"/>
  <c r="Q666" i="16"/>
  <c r="R730" i="16"/>
  <c r="O730" i="16"/>
  <c r="Q730" i="16"/>
  <c r="P730" i="16"/>
  <c r="P479" i="16"/>
  <c r="O479" i="16"/>
  <c r="Q479" i="16"/>
  <c r="R479" i="16"/>
  <c r="R726" i="16"/>
  <c r="P726" i="16"/>
  <c r="O726" i="16"/>
  <c r="Q726" i="16"/>
  <c r="Q551" i="16"/>
  <c r="O551" i="16"/>
  <c r="R551" i="16"/>
  <c r="P551" i="16"/>
  <c r="O601" i="16"/>
  <c r="R601" i="16"/>
  <c r="Q601" i="16"/>
  <c r="P601" i="16"/>
  <c r="J437" i="16"/>
  <c r="H437" i="16"/>
  <c r="I437" i="16"/>
  <c r="H572" i="16"/>
  <c r="I572" i="16"/>
  <c r="J572" i="16"/>
  <c r="P589" i="16"/>
  <c r="O589" i="16"/>
  <c r="R589" i="16"/>
  <c r="Q589" i="16"/>
  <c r="Q510" i="16"/>
  <c r="P510" i="16"/>
  <c r="O510" i="16"/>
  <c r="R510" i="16"/>
  <c r="R275" i="16"/>
  <c r="Q275" i="16"/>
  <c r="P275" i="16"/>
  <c r="O275" i="16"/>
  <c r="P467" i="16"/>
  <c r="O467" i="16"/>
  <c r="R467" i="16"/>
  <c r="Q467" i="16"/>
  <c r="Q592" i="16"/>
  <c r="P592" i="16"/>
  <c r="O592" i="16"/>
  <c r="R592" i="16"/>
  <c r="R436" i="16"/>
  <c r="Q436" i="16"/>
  <c r="P436" i="16"/>
  <c r="O436" i="16"/>
  <c r="Q270" i="16"/>
  <c r="O270" i="16"/>
  <c r="R270" i="16"/>
  <c r="P270" i="16"/>
  <c r="K505" i="16"/>
  <c r="L505" i="16"/>
  <c r="N505" i="16"/>
  <c r="M505" i="16"/>
  <c r="K1015" i="16" s="1"/>
  <c r="O424" i="16"/>
  <c r="R424" i="16"/>
  <c r="Q424" i="16"/>
  <c r="P424" i="16"/>
  <c r="I441" i="16"/>
  <c r="H441" i="16"/>
  <c r="J441" i="16"/>
  <c r="I603" i="16"/>
  <c r="J603" i="16"/>
  <c r="H603" i="16"/>
  <c r="O394" i="16"/>
  <c r="R394" i="16"/>
  <c r="P394" i="16"/>
  <c r="Q394" i="16"/>
  <c r="Q567" i="16"/>
  <c r="R567" i="16"/>
  <c r="P567" i="16"/>
  <c r="O567" i="16"/>
  <c r="O261" i="16"/>
  <c r="Q261" i="16"/>
  <c r="R261" i="16"/>
  <c r="P261" i="16"/>
  <c r="O690" i="16"/>
  <c r="R690" i="16"/>
  <c r="Q690" i="16"/>
  <c r="P690" i="16"/>
  <c r="Q278" i="16"/>
  <c r="P278" i="16"/>
  <c r="R278" i="16"/>
  <c r="O278" i="16"/>
  <c r="J406" i="16"/>
  <c r="I406" i="16"/>
  <c r="H406" i="16"/>
  <c r="P470" i="16"/>
  <c r="R470" i="16"/>
  <c r="Q470" i="16"/>
  <c r="O470" i="16"/>
  <c r="P430" i="16"/>
  <c r="R430" i="16"/>
  <c r="Q430" i="16"/>
  <c r="O430" i="16"/>
  <c r="P454" i="16"/>
  <c r="O454" i="16"/>
  <c r="R454" i="16"/>
  <c r="Q454" i="16"/>
  <c r="J691" i="16"/>
  <c r="I691" i="16"/>
  <c r="H691" i="16"/>
  <c r="I432" i="16"/>
  <c r="J432" i="16"/>
  <c r="H432" i="16"/>
  <c r="Q733" i="16"/>
  <c r="O733" i="16"/>
  <c r="R733" i="16"/>
  <c r="P733" i="16"/>
  <c r="Q466" i="16"/>
  <c r="O466" i="16"/>
  <c r="R466" i="16"/>
  <c r="P466" i="16"/>
  <c r="P703" i="16"/>
  <c r="Q703" i="16"/>
  <c r="O703" i="16"/>
  <c r="R703" i="16"/>
  <c r="N501" i="16"/>
  <c r="M501" i="16"/>
  <c r="L501" i="16"/>
  <c r="K501" i="16"/>
  <c r="Q355" i="16"/>
  <c r="R355" i="16"/>
  <c r="P355" i="16"/>
  <c r="O355" i="16"/>
  <c r="R419" i="16"/>
  <c r="P419" i="16"/>
  <c r="O419" i="16"/>
  <c r="Q419" i="16"/>
  <c r="K496" i="16"/>
  <c r="N496" i="16"/>
  <c r="M496" i="16"/>
  <c r="L496" i="16"/>
  <c r="Q414" i="16"/>
  <c r="O414" i="16"/>
  <c r="P414" i="16"/>
  <c r="R414" i="16"/>
  <c r="I95" i="16"/>
  <c r="J344" i="16"/>
  <c r="H344" i="16"/>
  <c r="J358" i="16"/>
  <c r="I386" i="16"/>
  <c r="H364" i="16"/>
  <c r="H91" i="16"/>
  <c r="H346" i="16"/>
  <c r="I96" i="16"/>
  <c r="I343" i="16"/>
  <c r="I348" i="16"/>
  <c r="I339" i="16"/>
  <c r="I354" i="16"/>
  <c r="R78" i="16"/>
  <c r="H53" i="16"/>
  <c r="R49" i="16"/>
  <c r="Q49" i="16"/>
  <c r="P76" i="16"/>
  <c r="Q78" i="16"/>
  <c r="P147" i="16"/>
  <c r="R53" i="16"/>
  <c r="P60" i="16"/>
  <c r="Q53" i="16"/>
  <c r="O53" i="16"/>
  <c r="O85" i="16"/>
  <c r="Q71" i="16"/>
  <c r="R139" i="16"/>
  <c r="O512" i="16"/>
  <c r="Q512" i="16"/>
  <c r="P512" i="16"/>
  <c r="R512" i="16"/>
  <c r="E514" i="16"/>
  <c r="K513" i="16"/>
  <c r="N513" i="16"/>
  <c r="M513" i="16"/>
  <c r="L513" i="16"/>
  <c r="G513" i="16"/>
  <c r="E535" i="16"/>
  <c r="P533" i="16"/>
  <c r="O533" i="16"/>
  <c r="R533" i="16"/>
  <c r="Q533" i="16"/>
  <c r="N743" i="16"/>
  <c r="M743" i="16"/>
  <c r="L743" i="16"/>
  <c r="K743" i="16"/>
  <c r="E744" i="16"/>
  <c r="AP744" i="16" s="1"/>
  <c r="K534" i="16"/>
  <c r="M534" i="16"/>
  <c r="G534" i="16"/>
  <c r="N534" i="16"/>
  <c r="L534" i="16"/>
  <c r="P78" i="16"/>
  <c r="R147" i="16"/>
  <c r="I53" i="16"/>
  <c r="R80" i="16"/>
  <c r="Q147" i="16"/>
  <c r="O61" i="16"/>
  <c r="Q61" i="16"/>
  <c r="P61" i="16"/>
  <c r="P49" i="16"/>
  <c r="R67" i="16"/>
  <c r="P59" i="16"/>
  <c r="P139" i="16"/>
  <c r="Q73" i="16"/>
  <c r="Q67" i="16"/>
  <c r="P73" i="16"/>
  <c r="R76" i="16"/>
  <c r="R73" i="16"/>
  <c r="P77" i="16"/>
  <c r="R59" i="16"/>
  <c r="O70" i="16"/>
  <c r="P47" i="16"/>
  <c r="Q70" i="16"/>
  <c r="P131" i="16"/>
  <c r="R71" i="16"/>
  <c r="O62" i="16"/>
  <c r="Q146" i="16"/>
  <c r="O71" i="16"/>
  <c r="O76" i="16"/>
  <c r="P136" i="16"/>
  <c r="J85" i="16"/>
  <c r="I85" i="16"/>
  <c r="R60" i="16"/>
  <c r="P75" i="16"/>
  <c r="O47" i="16"/>
  <c r="Q60" i="16"/>
  <c r="Q85" i="16"/>
  <c r="Q131" i="16"/>
  <c r="I45" i="16"/>
  <c r="J46" i="16"/>
  <c r="Q52" i="16"/>
  <c r="Q47" i="16"/>
  <c r="J45" i="16"/>
  <c r="H46" i="16"/>
  <c r="O79" i="16"/>
  <c r="R52" i="16"/>
  <c r="R75" i="16"/>
  <c r="P85" i="16"/>
  <c r="Q75" i="16"/>
  <c r="P52" i="16"/>
  <c r="R144" i="16"/>
  <c r="O84" i="16"/>
  <c r="P56" i="16"/>
  <c r="Q66" i="16"/>
  <c r="Q50" i="16"/>
  <c r="R74" i="16"/>
  <c r="R82" i="16"/>
  <c r="Q84" i="16"/>
  <c r="O56" i="16"/>
  <c r="P66" i="16"/>
  <c r="Q82" i="16"/>
  <c r="P72" i="16"/>
  <c r="J78" i="16"/>
  <c r="R56" i="16"/>
  <c r="Q74" i="16"/>
  <c r="I78" i="16"/>
  <c r="P84" i="16"/>
  <c r="R50" i="16"/>
  <c r="R66" i="16"/>
  <c r="J75" i="16"/>
  <c r="I75" i="16"/>
  <c r="P50" i="16"/>
  <c r="P74" i="16"/>
  <c r="Q139" i="16"/>
  <c r="P62" i="16"/>
  <c r="P146" i="16"/>
  <c r="Q136" i="16"/>
  <c r="J76" i="16"/>
  <c r="R138" i="16"/>
  <c r="H76" i="16"/>
  <c r="P138" i="16"/>
  <c r="R146" i="16"/>
  <c r="R140" i="16"/>
  <c r="P140" i="16"/>
  <c r="Q140" i="16"/>
  <c r="P70" i="16"/>
  <c r="Q59" i="16"/>
  <c r="Q138" i="16"/>
  <c r="Q69" i="16"/>
  <c r="Q137" i="16"/>
  <c r="I84" i="16"/>
  <c r="O69" i="16"/>
  <c r="P69" i="16"/>
  <c r="R65" i="16"/>
  <c r="R131" i="16"/>
  <c r="R128" i="16"/>
  <c r="Q128" i="16"/>
  <c r="J82" i="16"/>
  <c r="P82" i="16"/>
  <c r="P128" i="16"/>
  <c r="H82" i="16"/>
  <c r="H84" i="16"/>
  <c r="Q54" i="16"/>
  <c r="P67" i="16"/>
  <c r="I362" i="16"/>
  <c r="H369" i="16"/>
  <c r="I400" i="16"/>
  <c r="I379" i="16"/>
  <c r="H370" i="16"/>
  <c r="I397" i="16"/>
  <c r="I376" i="16"/>
  <c r="H382" i="16"/>
  <c r="H361" i="16"/>
  <c r="R137" i="16"/>
  <c r="Q135" i="16"/>
  <c r="H397" i="16"/>
  <c r="H376" i="16"/>
  <c r="H359" i="16"/>
  <c r="J368" i="16"/>
  <c r="J362" i="16"/>
  <c r="H362" i="16"/>
  <c r="J386" i="16"/>
  <c r="J365" i="16"/>
  <c r="J393" i="16"/>
  <c r="J372" i="16"/>
  <c r="I398" i="16"/>
  <c r="I377" i="16"/>
  <c r="I370" i="16"/>
  <c r="I387" i="16"/>
  <c r="I366" i="16"/>
  <c r="Q65" i="16"/>
  <c r="I378" i="16"/>
  <c r="H374" i="16"/>
  <c r="J367" i="16"/>
  <c r="H373" i="16"/>
  <c r="J374" i="16"/>
  <c r="J398" i="16"/>
  <c r="J377" i="16"/>
  <c r="J396" i="16"/>
  <c r="J375" i="16"/>
  <c r="P65" i="16"/>
  <c r="J394" i="16"/>
  <c r="J373" i="16"/>
  <c r="I367" i="16"/>
  <c r="H371" i="16"/>
  <c r="I393" i="16"/>
  <c r="I372" i="16"/>
  <c r="J359" i="16"/>
  <c r="H381" i="16"/>
  <c r="H360" i="16"/>
  <c r="I359" i="16"/>
  <c r="I363" i="16"/>
  <c r="I374" i="16"/>
  <c r="H393" i="16"/>
  <c r="H372" i="16"/>
  <c r="I371" i="16"/>
  <c r="H386" i="16"/>
  <c r="H365" i="16"/>
  <c r="H400" i="16"/>
  <c r="H379" i="16"/>
  <c r="H367" i="16"/>
  <c r="I382" i="16"/>
  <c r="I361" i="16"/>
  <c r="J397" i="16"/>
  <c r="J376" i="16"/>
  <c r="I69" i="16"/>
  <c r="H368" i="16"/>
  <c r="H396" i="16"/>
  <c r="H375" i="16"/>
  <c r="J364" i="16"/>
  <c r="J382" i="16"/>
  <c r="J361" i="16"/>
  <c r="J369" i="16"/>
  <c r="J69" i="16"/>
  <c r="J400" i="16"/>
  <c r="J379" i="16"/>
  <c r="I394" i="16"/>
  <c r="I373" i="16"/>
  <c r="H398" i="16"/>
  <c r="H377" i="16"/>
  <c r="J381" i="16"/>
  <c r="J360" i="16"/>
  <c r="J363" i="16"/>
  <c r="J378" i="16"/>
  <c r="I369" i="16"/>
  <c r="J371" i="16"/>
  <c r="H387" i="16"/>
  <c r="H366" i="16"/>
  <c r="H378" i="16"/>
  <c r="I364" i="16"/>
  <c r="J387" i="16"/>
  <c r="J366" i="16"/>
  <c r="I396" i="16"/>
  <c r="I375" i="16"/>
  <c r="H363" i="16"/>
  <c r="I381" i="16"/>
  <c r="I360" i="16"/>
  <c r="J370" i="16"/>
  <c r="O63" i="16"/>
  <c r="R77" i="16"/>
  <c r="P68" i="16"/>
  <c r="R72" i="16"/>
  <c r="J44" i="16"/>
  <c r="O77" i="16"/>
  <c r="I44" i="16"/>
  <c r="Q72" i="16"/>
  <c r="P80" i="16"/>
  <c r="R148" i="16"/>
  <c r="R133" i="16"/>
  <c r="Q80" i="16"/>
  <c r="Q148" i="16"/>
  <c r="R130" i="16"/>
  <c r="Q57" i="16"/>
  <c r="P133" i="16"/>
  <c r="Q133" i="16"/>
  <c r="P148" i="16"/>
  <c r="Q130" i="16"/>
  <c r="P129" i="16"/>
  <c r="R129" i="16"/>
  <c r="P130" i="16"/>
  <c r="Q129" i="16"/>
  <c r="H68" i="16"/>
  <c r="H636" i="16"/>
  <c r="H615" i="16"/>
  <c r="J633" i="16"/>
  <c r="J612" i="16"/>
  <c r="H651" i="16"/>
  <c r="H630" i="16"/>
  <c r="J626" i="16"/>
  <c r="J647" i="16"/>
  <c r="J644" i="16"/>
  <c r="J623" i="16"/>
  <c r="H647" i="16"/>
  <c r="H626" i="16"/>
  <c r="H638" i="16"/>
  <c r="H617" i="16"/>
  <c r="J643" i="16"/>
  <c r="J622" i="16"/>
  <c r="I643" i="16"/>
  <c r="I622" i="16"/>
  <c r="J648" i="16"/>
  <c r="J627" i="16"/>
  <c r="J652" i="16"/>
  <c r="J631" i="16"/>
  <c r="I632" i="16"/>
  <c r="I611" i="16"/>
  <c r="H643" i="16"/>
  <c r="H622" i="16"/>
  <c r="J651" i="16"/>
  <c r="J630" i="16"/>
  <c r="P144" i="16"/>
  <c r="P57" i="16"/>
  <c r="Q134" i="16"/>
  <c r="H77" i="16"/>
  <c r="J59" i="16"/>
  <c r="J48" i="16"/>
  <c r="Q144" i="16"/>
  <c r="I59" i="16"/>
  <c r="H48" i="16"/>
  <c r="R83" i="16"/>
  <c r="J68" i="16"/>
  <c r="I77" i="16"/>
  <c r="R57" i="16"/>
  <c r="R134" i="16"/>
  <c r="P134" i="16"/>
  <c r="H55" i="16"/>
  <c r="R63" i="16"/>
  <c r="Q79" i="16"/>
  <c r="O68" i="16"/>
  <c r="P79" i="16"/>
  <c r="R62" i="16"/>
  <c r="P51" i="16"/>
  <c r="J72" i="16"/>
  <c r="R68" i="16"/>
  <c r="R51" i="16"/>
  <c r="R54" i="16"/>
  <c r="R136" i="16"/>
  <c r="H72" i="16"/>
  <c r="J70" i="16"/>
  <c r="Q63" i="16"/>
  <c r="Q51" i="16"/>
  <c r="O54" i="16"/>
  <c r="P83" i="16"/>
  <c r="I70" i="16"/>
  <c r="I55" i="16"/>
  <c r="P137" i="16"/>
  <c r="Q83" i="16"/>
  <c r="O135" i="16"/>
  <c r="R135" i="16"/>
  <c r="I108" i="16"/>
  <c r="H108" i="16"/>
  <c r="J108" i="16"/>
  <c r="H101" i="16"/>
  <c r="J101" i="16"/>
  <c r="I101" i="16"/>
  <c r="R142" i="16"/>
  <c r="I100" i="16"/>
  <c r="H100" i="16"/>
  <c r="J100" i="16"/>
  <c r="H87" i="16"/>
  <c r="J87" i="16"/>
  <c r="I87" i="16"/>
  <c r="I90" i="16"/>
  <c r="J90" i="16"/>
  <c r="H90" i="16"/>
  <c r="H102" i="16"/>
  <c r="I102" i="16"/>
  <c r="J102" i="16"/>
  <c r="J97" i="16"/>
  <c r="I97" i="16"/>
  <c r="H97" i="16"/>
  <c r="P142" i="16"/>
  <c r="Q142" i="16"/>
  <c r="H79" i="16"/>
  <c r="J79" i="16"/>
  <c r="I79" i="16"/>
  <c r="I106" i="16"/>
  <c r="H106" i="16"/>
  <c r="J106" i="16"/>
  <c r="I92" i="16"/>
  <c r="H92" i="16"/>
  <c r="J92" i="16"/>
  <c r="I98" i="16"/>
  <c r="H98" i="16"/>
  <c r="J98" i="16"/>
  <c r="H103" i="16"/>
  <c r="J103" i="16"/>
  <c r="I103" i="16"/>
  <c r="I64" i="16"/>
  <c r="J64" i="16"/>
  <c r="H64" i="16"/>
  <c r="I58" i="16"/>
  <c r="H58" i="16"/>
  <c r="J58" i="16"/>
  <c r="J54" i="16"/>
  <c r="H54" i="16"/>
  <c r="I54" i="16"/>
  <c r="J89" i="16"/>
  <c r="H89" i="16"/>
  <c r="I89" i="16"/>
  <c r="I86" i="16"/>
  <c r="J86" i="16"/>
  <c r="H86" i="16"/>
  <c r="H93" i="16"/>
  <c r="J93" i="16"/>
  <c r="I93" i="16"/>
  <c r="J94" i="16"/>
  <c r="H94" i="16"/>
  <c r="I94" i="16"/>
  <c r="H83" i="16"/>
  <c r="I83" i="16"/>
  <c r="J83" i="16"/>
  <c r="AA105" i="16"/>
  <c r="AA104" i="16"/>
  <c r="E110" i="16"/>
  <c r="AP110" i="16" s="1"/>
  <c r="V249" i="16" l="1"/>
  <c r="AR249" i="16"/>
  <c r="X249" i="16" s="1"/>
  <c r="U249" i="16"/>
  <c r="U504" i="16"/>
  <c r="AR504" i="16"/>
  <c r="X504" i="16" s="1"/>
  <c r="T504" i="16"/>
  <c r="AQ504" i="16"/>
  <c r="W504" i="16" s="1"/>
  <c r="V504" i="16"/>
  <c r="AR743" i="16"/>
  <c r="X743" i="16" s="1"/>
  <c r="AQ743" i="16"/>
  <c r="W743" i="16" s="1"/>
  <c r="V743" i="16"/>
  <c r="U743" i="16"/>
  <c r="T743" i="16"/>
  <c r="AQ503" i="16"/>
  <c r="W503" i="16" s="1"/>
  <c r="U503" i="16"/>
  <c r="AR252" i="16"/>
  <c r="X252" i="16" s="1"/>
  <c r="T503" i="16"/>
  <c r="AQ252" i="16"/>
  <c r="W252" i="16" s="1"/>
  <c r="S503" i="16"/>
  <c r="AR236" i="16"/>
  <c r="X236" i="16" s="1"/>
  <c r="S236" i="16"/>
  <c r="AQ236" i="16"/>
  <c r="W236" i="16" s="1"/>
  <c r="U236" i="16"/>
  <c r="AQ998" i="16"/>
  <c r="W998" i="16" s="1"/>
  <c r="U252" i="16"/>
  <c r="T252" i="16"/>
  <c r="V1002" i="16"/>
  <c r="U1002" i="16"/>
  <c r="T1002" i="16"/>
  <c r="U998" i="16"/>
  <c r="S1002" i="16"/>
  <c r="AR1002" i="16"/>
  <c r="X1002" i="16" s="1"/>
  <c r="AR998" i="16"/>
  <c r="X998" i="16" s="1"/>
  <c r="AQ491" i="16"/>
  <c r="W491" i="16" s="1"/>
  <c r="T491" i="16"/>
  <c r="AR491" i="16"/>
  <c r="X491" i="16" s="1"/>
  <c r="AR486" i="16"/>
  <c r="X486" i="16" s="1"/>
  <c r="AQ486" i="16"/>
  <c r="W486" i="16" s="1"/>
  <c r="T486" i="16"/>
  <c r="V486" i="16"/>
  <c r="S486" i="16"/>
  <c r="T998" i="16"/>
  <c r="S491" i="16"/>
  <c r="AR742" i="16"/>
  <c r="X742" i="16" s="1"/>
  <c r="S998" i="16"/>
  <c r="V491" i="16"/>
  <c r="T253" i="16"/>
  <c r="U253" i="16"/>
  <c r="V253" i="16"/>
  <c r="S253" i="16"/>
  <c r="V867" i="16"/>
  <c r="S867" i="16"/>
  <c r="T867" i="16"/>
  <c r="U867" i="16"/>
  <c r="S234" i="16"/>
  <c r="V234" i="16"/>
  <c r="T234" i="16"/>
  <c r="U234" i="16"/>
  <c r="S242" i="16"/>
  <c r="V242" i="16"/>
  <c r="T242" i="16"/>
  <c r="U242" i="16"/>
  <c r="T237" i="16"/>
  <c r="U237" i="16"/>
  <c r="V237" i="16"/>
  <c r="S237" i="16"/>
  <c r="V505" i="16"/>
  <c r="S505" i="16"/>
  <c r="T505" i="16"/>
  <c r="U505" i="16"/>
  <c r="S246" i="16"/>
  <c r="V246" i="16"/>
  <c r="U246" i="16"/>
  <c r="T246" i="16"/>
  <c r="T245" i="16"/>
  <c r="U245" i="16"/>
  <c r="V245" i="16"/>
  <c r="S245" i="16"/>
  <c r="U742" i="16"/>
  <c r="S742" i="16"/>
  <c r="T742" i="16"/>
  <c r="V742" i="16"/>
  <c r="S805" i="16"/>
  <c r="T805" i="16"/>
  <c r="U805" i="16"/>
  <c r="V805" i="16"/>
  <c r="V1000" i="16"/>
  <c r="S1000" i="16"/>
  <c r="T1000" i="16"/>
  <c r="U1000" i="16"/>
  <c r="V1005" i="16"/>
  <c r="S1005" i="16"/>
  <c r="U1005" i="16"/>
  <c r="T1005" i="16"/>
  <c r="V1001" i="16"/>
  <c r="U1001" i="16"/>
  <c r="S1001" i="16"/>
  <c r="T1001" i="16"/>
  <c r="T247" i="16"/>
  <c r="U247" i="16"/>
  <c r="V247" i="16"/>
  <c r="S247" i="16"/>
  <c r="S996" i="16"/>
  <c r="V996" i="16"/>
  <c r="T996" i="16"/>
  <c r="U996" i="16"/>
  <c r="V995" i="16"/>
  <c r="S995" i="16"/>
  <c r="T995" i="16"/>
  <c r="U995" i="16"/>
  <c r="V993" i="16"/>
  <c r="S993" i="16"/>
  <c r="U993" i="16"/>
  <c r="T993" i="16"/>
  <c r="S826" i="16"/>
  <c r="T826" i="16"/>
  <c r="U826" i="16"/>
  <c r="V826" i="16"/>
  <c r="S846" i="16"/>
  <c r="T846" i="16"/>
  <c r="U846" i="16"/>
  <c r="V846" i="16"/>
  <c r="S1008" i="16"/>
  <c r="T1008" i="16"/>
  <c r="U1008" i="16"/>
  <c r="V1008" i="16"/>
  <c r="S990" i="16"/>
  <c r="T990" i="16"/>
  <c r="U990" i="16"/>
  <c r="V990" i="16"/>
  <c r="S741" i="16"/>
  <c r="T741" i="16"/>
  <c r="U741" i="16"/>
  <c r="V741" i="16"/>
  <c r="V1009" i="16"/>
  <c r="U1009" i="16"/>
  <c r="S1009" i="16"/>
  <c r="T1009" i="16"/>
  <c r="V1003" i="16"/>
  <c r="S1003" i="16"/>
  <c r="T1003" i="16"/>
  <c r="U1003" i="16"/>
  <c r="V501" i="16"/>
  <c r="U501" i="16"/>
  <c r="S501" i="16"/>
  <c r="T501" i="16"/>
  <c r="V489" i="16"/>
  <c r="S489" i="16"/>
  <c r="T489" i="16"/>
  <c r="U489" i="16"/>
  <c r="V994" i="16"/>
  <c r="S994" i="16"/>
  <c r="T994" i="16"/>
  <c r="U994" i="16"/>
  <c r="S240" i="16"/>
  <c r="V240" i="16"/>
  <c r="T240" i="16"/>
  <c r="U240" i="16"/>
  <c r="U744" i="16"/>
  <c r="S744" i="16"/>
  <c r="T744" i="16"/>
  <c r="V744" i="16"/>
  <c r="V888" i="16"/>
  <c r="S888" i="16"/>
  <c r="T888" i="16"/>
  <c r="U888" i="16"/>
  <c r="T251" i="16"/>
  <c r="U251" i="16"/>
  <c r="V251" i="16"/>
  <c r="S251" i="16"/>
  <c r="S496" i="16"/>
  <c r="V496" i="16"/>
  <c r="T496" i="16"/>
  <c r="U496" i="16"/>
  <c r="S492" i="16"/>
  <c r="V492" i="16"/>
  <c r="T492" i="16"/>
  <c r="U492" i="16"/>
  <c r="S502" i="16"/>
  <c r="V502" i="16"/>
  <c r="T502" i="16"/>
  <c r="U502" i="16"/>
  <c r="V999" i="16"/>
  <c r="S999" i="16"/>
  <c r="U999" i="16"/>
  <c r="T999" i="16"/>
  <c r="T243" i="16"/>
  <c r="U243" i="16"/>
  <c r="V243" i="16"/>
  <c r="S243" i="16"/>
  <c r="T239" i="16"/>
  <c r="U239" i="16"/>
  <c r="V239" i="16"/>
  <c r="S239" i="16"/>
  <c r="S488" i="16"/>
  <c r="V488" i="16"/>
  <c r="T488" i="16"/>
  <c r="U488" i="16"/>
  <c r="S110" i="16"/>
  <c r="T110" i="16"/>
  <c r="U110" i="16"/>
  <c r="V110" i="16"/>
  <c r="S992" i="16"/>
  <c r="T992" i="16"/>
  <c r="U992" i="16"/>
  <c r="V992" i="16"/>
  <c r="U738" i="16"/>
  <c r="T738" i="16"/>
  <c r="V738" i="16"/>
  <c r="S738" i="16"/>
  <c r="S500" i="16"/>
  <c r="V500" i="16"/>
  <c r="T500" i="16"/>
  <c r="U500" i="16"/>
  <c r="V1006" i="16"/>
  <c r="S1006" i="16"/>
  <c r="T1006" i="16"/>
  <c r="U1006" i="16"/>
  <c r="S1004" i="16"/>
  <c r="V1004" i="16"/>
  <c r="T1004" i="16"/>
  <c r="U1004" i="16"/>
  <c r="V1007" i="16"/>
  <c r="S1007" i="16"/>
  <c r="U1007" i="16"/>
  <c r="T1007" i="16"/>
  <c r="V493" i="16"/>
  <c r="S493" i="16"/>
  <c r="T493" i="16"/>
  <c r="U493" i="16"/>
  <c r="V997" i="16"/>
  <c r="S997" i="16"/>
  <c r="U997" i="16"/>
  <c r="T997" i="16"/>
  <c r="S498" i="16"/>
  <c r="V498" i="16"/>
  <c r="U498" i="16"/>
  <c r="T498" i="16"/>
  <c r="T235" i="16"/>
  <c r="U235" i="16"/>
  <c r="V235" i="16"/>
  <c r="S235" i="16"/>
  <c r="S490" i="16"/>
  <c r="V490" i="16"/>
  <c r="T490" i="16"/>
  <c r="U490" i="16"/>
  <c r="V991" i="16"/>
  <c r="U991" i="16"/>
  <c r="S991" i="16"/>
  <c r="T991" i="16"/>
  <c r="U740" i="16"/>
  <c r="S740" i="16"/>
  <c r="T740" i="16"/>
  <c r="V740" i="16"/>
  <c r="T241" i="16"/>
  <c r="U241" i="16"/>
  <c r="V241" i="16"/>
  <c r="S241" i="16"/>
  <c r="S238" i="16"/>
  <c r="V238" i="16"/>
  <c r="U238" i="16"/>
  <c r="T238" i="16"/>
  <c r="S250" i="16"/>
  <c r="V250" i="16"/>
  <c r="T250" i="16"/>
  <c r="U250" i="16"/>
  <c r="S248" i="16"/>
  <c r="V248" i="16"/>
  <c r="U248" i="16"/>
  <c r="T248" i="16"/>
  <c r="S106" i="16"/>
  <c r="T106" i="16"/>
  <c r="U106" i="16"/>
  <c r="V106" i="16"/>
  <c r="V105" i="16"/>
  <c r="T105" i="16"/>
  <c r="S105" i="16"/>
  <c r="U105" i="16"/>
  <c r="V487" i="16"/>
  <c r="S487" i="16"/>
  <c r="T487" i="16"/>
  <c r="U487" i="16"/>
  <c r="AQ867" i="16"/>
  <c r="W867" i="16" s="1"/>
  <c r="AR867" i="16"/>
  <c r="X867" i="16" s="1"/>
  <c r="AQ505" i="16"/>
  <c r="W505" i="16" s="1"/>
  <c r="AR505" i="16"/>
  <c r="X505" i="16" s="1"/>
  <c r="AQ805" i="16"/>
  <c r="W805" i="16" s="1"/>
  <c r="AR805" i="16"/>
  <c r="X805" i="16" s="1"/>
  <c r="AQ1000" i="16"/>
  <c r="W1000" i="16" s="1"/>
  <c r="AR1000" i="16"/>
  <c r="X1000" i="16" s="1"/>
  <c r="AQ1005" i="16"/>
  <c r="W1005" i="16" s="1"/>
  <c r="AR1005" i="16"/>
  <c r="X1005" i="16" s="1"/>
  <c r="AQ1001" i="16"/>
  <c r="W1001" i="16" s="1"/>
  <c r="AR1001" i="16"/>
  <c r="X1001" i="16" s="1"/>
  <c r="AQ996" i="16"/>
  <c r="W996" i="16" s="1"/>
  <c r="AR996" i="16"/>
  <c r="X996" i="16" s="1"/>
  <c r="AQ995" i="16"/>
  <c r="W995" i="16" s="1"/>
  <c r="AR995" i="16"/>
  <c r="X995" i="16" s="1"/>
  <c r="AQ994" i="16"/>
  <c r="W994" i="16" s="1"/>
  <c r="AR994" i="16"/>
  <c r="X994" i="16" s="1"/>
  <c r="AQ826" i="16"/>
  <c r="W826" i="16" s="1"/>
  <c r="AR826" i="16"/>
  <c r="X826" i="16" s="1"/>
  <c r="AQ846" i="16"/>
  <c r="W846" i="16" s="1"/>
  <c r="AR846" i="16"/>
  <c r="X846" i="16" s="1"/>
  <c r="AQ1008" i="16"/>
  <c r="W1008" i="16" s="1"/>
  <c r="AR1008" i="16"/>
  <c r="X1008" i="16" s="1"/>
  <c r="AQ990" i="16"/>
  <c r="W990" i="16" s="1"/>
  <c r="AR990" i="16"/>
  <c r="X990" i="16" s="1"/>
  <c r="AQ741" i="16"/>
  <c r="W741" i="16" s="1"/>
  <c r="AR741" i="16"/>
  <c r="X741" i="16" s="1"/>
  <c r="AQ1009" i="16"/>
  <c r="W1009" i="16" s="1"/>
  <c r="AR1009" i="16"/>
  <c r="X1009" i="16" s="1"/>
  <c r="AQ1003" i="16"/>
  <c r="W1003" i="16" s="1"/>
  <c r="AR1003" i="16"/>
  <c r="X1003" i="16" s="1"/>
  <c r="AQ501" i="16"/>
  <c r="W501" i="16" s="1"/>
  <c r="AR501" i="16"/>
  <c r="X501" i="16" s="1"/>
  <c r="AQ489" i="16"/>
  <c r="W489" i="16" s="1"/>
  <c r="AR489" i="16"/>
  <c r="X489" i="16" s="1"/>
  <c r="AQ888" i="16"/>
  <c r="W888" i="16" s="1"/>
  <c r="AR888" i="16"/>
  <c r="X888" i="16" s="1"/>
  <c r="AQ496" i="16"/>
  <c r="W496" i="16" s="1"/>
  <c r="AR496" i="16"/>
  <c r="X496" i="16" s="1"/>
  <c r="AQ492" i="16"/>
  <c r="W492" i="16" s="1"/>
  <c r="AR492" i="16"/>
  <c r="X492" i="16" s="1"/>
  <c r="AQ502" i="16"/>
  <c r="W502" i="16" s="1"/>
  <c r="AR502" i="16"/>
  <c r="X502" i="16" s="1"/>
  <c r="AQ999" i="16"/>
  <c r="W999" i="16" s="1"/>
  <c r="AR999" i="16"/>
  <c r="X999" i="16" s="1"/>
  <c r="AQ992" i="16"/>
  <c r="W992" i="16" s="1"/>
  <c r="AR992" i="16"/>
  <c r="X992" i="16" s="1"/>
  <c r="AQ738" i="16"/>
  <c r="W738" i="16" s="1"/>
  <c r="AR738" i="16"/>
  <c r="X738" i="16" s="1"/>
  <c r="AQ500" i="16"/>
  <c r="W500" i="16" s="1"/>
  <c r="AR500" i="16"/>
  <c r="X500" i="16" s="1"/>
  <c r="AQ1006" i="16"/>
  <c r="W1006" i="16" s="1"/>
  <c r="AR1006" i="16"/>
  <c r="X1006" i="16" s="1"/>
  <c r="AQ1004" i="16"/>
  <c r="W1004" i="16" s="1"/>
  <c r="AR1004" i="16"/>
  <c r="X1004" i="16" s="1"/>
  <c r="AQ1007" i="16"/>
  <c r="W1007" i="16" s="1"/>
  <c r="AR1007" i="16"/>
  <c r="X1007" i="16" s="1"/>
  <c r="AQ997" i="16"/>
  <c r="W997" i="16" s="1"/>
  <c r="AR997" i="16"/>
  <c r="X997" i="16" s="1"/>
  <c r="AQ498" i="16"/>
  <c r="W498" i="16" s="1"/>
  <c r="AR498" i="16"/>
  <c r="X498" i="16" s="1"/>
  <c r="AQ490" i="16"/>
  <c r="W490" i="16" s="1"/>
  <c r="AR490" i="16"/>
  <c r="X490" i="16" s="1"/>
  <c r="AQ991" i="16"/>
  <c r="W991" i="16" s="1"/>
  <c r="AR991" i="16"/>
  <c r="X991" i="16" s="1"/>
  <c r="AQ740" i="16"/>
  <c r="W740" i="16" s="1"/>
  <c r="AR740" i="16"/>
  <c r="X740" i="16" s="1"/>
  <c r="AQ744" i="16"/>
  <c r="W744" i="16" s="1"/>
  <c r="AR744" i="16"/>
  <c r="X744" i="16" s="1"/>
  <c r="AQ487" i="16"/>
  <c r="W487" i="16" s="1"/>
  <c r="AR487" i="16"/>
  <c r="X487" i="16" s="1"/>
  <c r="AQ488" i="16"/>
  <c r="W488" i="16" s="1"/>
  <c r="AR488" i="16"/>
  <c r="X488" i="16" s="1"/>
  <c r="AQ493" i="16"/>
  <c r="W493" i="16" s="1"/>
  <c r="AR493" i="16"/>
  <c r="X493" i="16" s="1"/>
  <c r="AQ993" i="16"/>
  <c r="W993" i="16" s="1"/>
  <c r="AR993" i="16"/>
  <c r="X993" i="16" s="1"/>
  <c r="AQ253" i="16"/>
  <c r="W253" i="16" s="1"/>
  <c r="AR253" i="16"/>
  <c r="X253" i="16" s="1"/>
  <c r="AQ240" i="16"/>
  <c r="W240" i="16" s="1"/>
  <c r="AR240" i="16"/>
  <c r="X240" i="16" s="1"/>
  <c r="AQ106" i="16"/>
  <c r="W106" i="16" s="1"/>
  <c r="AR106" i="16"/>
  <c r="X106" i="16" s="1"/>
  <c r="AQ234" i="16"/>
  <c r="W234" i="16" s="1"/>
  <c r="AR234" i="16"/>
  <c r="X234" i="16" s="1"/>
  <c r="AQ242" i="16"/>
  <c r="W242" i="16" s="1"/>
  <c r="AR242" i="16"/>
  <c r="X242" i="16" s="1"/>
  <c r="AQ237" i="16"/>
  <c r="W237" i="16" s="1"/>
  <c r="AR237" i="16"/>
  <c r="X237" i="16" s="1"/>
  <c r="AQ246" i="16"/>
  <c r="W246" i="16" s="1"/>
  <c r="AR246" i="16"/>
  <c r="X246" i="16" s="1"/>
  <c r="AQ245" i="16"/>
  <c r="W245" i="16" s="1"/>
  <c r="AR245" i="16"/>
  <c r="X245" i="16" s="1"/>
  <c r="AQ238" i="16"/>
  <c r="W238" i="16" s="1"/>
  <c r="AR238" i="16"/>
  <c r="X238" i="16" s="1"/>
  <c r="AQ105" i="16"/>
  <c r="W105" i="16" s="1"/>
  <c r="AR105" i="16"/>
  <c r="X105" i="16" s="1"/>
  <c r="AQ247" i="16"/>
  <c r="W247" i="16" s="1"/>
  <c r="AR247" i="16"/>
  <c r="X247" i="16" s="1"/>
  <c r="AQ248" i="16"/>
  <c r="W248" i="16" s="1"/>
  <c r="AR248" i="16"/>
  <c r="X248" i="16" s="1"/>
  <c r="I109" i="16"/>
  <c r="J109" i="16"/>
  <c r="AQ251" i="16"/>
  <c r="W251" i="16" s="1"/>
  <c r="AR251" i="16"/>
  <c r="X251" i="16" s="1"/>
  <c r="AQ243" i="16"/>
  <c r="W243" i="16" s="1"/>
  <c r="AR243" i="16"/>
  <c r="X243" i="16" s="1"/>
  <c r="AQ239" i="16"/>
  <c r="W239" i="16" s="1"/>
  <c r="AR239" i="16"/>
  <c r="X239" i="16" s="1"/>
  <c r="AQ250" i="16"/>
  <c r="W250" i="16" s="1"/>
  <c r="AR250" i="16"/>
  <c r="X250" i="16" s="1"/>
  <c r="AQ110" i="16"/>
  <c r="W110" i="16" s="1"/>
  <c r="AR110" i="16"/>
  <c r="X110" i="16" s="1"/>
  <c r="AQ235" i="16"/>
  <c r="W235" i="16" s="1"/>
  <c r="AR235" i="16"/>
  <c r="X235" i="16" s="1"/>
  <c r="AQ241" i="16"/>
  <c r="W241" i="16" s="1"/>
  <c r="AR241" i="16"/>
  <c r="X241" i="16" s="1"/>
  <c r="AA110" i="16"/>
  <c r="I110" i="16" s="1"/>
  <c r="R997" i="16"/>
  <c r="O997" i="16"/>
  <c r="Q997" i="16"/>
  <c r="P997" i="16"/>
  <c r="R1008" i="16"/>
  <c r="Q1008" i="16"/>
  <c r="O1008" i="16"/>
  <c r="P1008" i="16"/>
  <c r="P991" i="16"/>
  <c r="Q991" i="16"/>
  <c r="O991" i="16"/>
  <c r="R991" i="16"/>
  <c r="P1007" i="16"/>
  <c r="Q1007" i="16"/>
  <c r="O1007" i="16"/>
  <c r="R1007" i="16"/>
  <c r="O993" i="16"/>
  <c r="R993" i="16"/>
  <c r="P993" i="16"/>
  <c r="Q993" i="16"/>
  <c r="P1006" i="16"/>
  <c r="Q1006" i="16"/>
  <c r="O1006" i="16"/>
  <c r="R1006" i="16"/>
  <c r="P999" i="16"/>
  <c r="Q999" i="16"/>
  <c r="O999" i="16"/>
  <c r="R999" i="16"/>
  <c r="R1005" i="16"/>
  <c r="O1005" i="16"/>
  <c r="P1005" i="16"/>
  <c r="Q1005" i="16"/>
  <c r="O1009" i="16"/>
  <c r="R1009" i="16"/>
  <c r="Q1009" i="16"/>
  <c r="P1009" i="16"/>
  <c r="P992" i="16"/>
  <c r="R992" i="16"/>
  <c r="O992" i="16"/>
  <c r="Q992" i="16"/>
  <c r="P994" i="16"/>
  <c r="O994" i="16"/>
  <c r="Q994" i="16"/>
  <c r="R994" i="16"/>
  <c r="R1000" i="16"/>
  <c r="O1000" i="16"/>
  <c r="P1000" i="16"/>
  <c r="Q1000" i="16"/>
  <c r="Q995" i="16"/>
  <c r="R995" i="16"/>
  <c r="O995" i="16"/>
  <c r="P995" i="16"/>
  <c r="O1001" i="16"/>
  <c r="R1001" i="16"/>
  <c r="P1001" i="16"/>
  <c r="Q1001" i="16"/>
  <c r="P1002" i="16"/>
  <c r="R1002" i="16"/>
  <c r="O1002" i="16"/>
  <c r="Q1002" i="16"/>
  <c r="Q1003" i="16"/>
  <c r="R1003" i="16"/>
  <c r="O1003" i="16"/>
  <c r="P1003" i="16"/>
  <c r="R998" i="16"/>
  <c r="O998" i="16"/>
  <c r="Q998" i="16"/>
  <c r="P998" i="16"/>
  <c r="P990" i="16"/>
  <c r="R990" i="16"/>
  <c r="O990" i="16"/>
  <c r="Q990" i="16"/>
  <c r="Q1004" i="16"/>
  <c r="P1004" i="16"/>
  <c r="O1004" i="16"/>
  <c r="R1004" i="16"/>
  <c r="P989" i="16"/>
  <c r="Q989" i="16"/>
  <c r="R989" i="16"/>
  <c r="O989" i="16"/>
  <c r="P996" i="16"/>
  <c r="O996" i="16"/>
  <c r="R996" i="16"/>
  <c r="Q996" i="16"/>
  <c r="J88" i="1"/>
  <c r="E910" i="16"/>
  <c r="J908" i="16"/>
  <c r="H908" i="16"/>
  <c r="I908" i="16"/>
  <c r="N909" i="16"/>
  <c r="M909" i="16"/>
  <c r="K909" i="16"/>
  <c r="G909" i="16"/>
  <c r="L909" i="16"/>
  <c r="P908" i="16"/>
  <c r="O908" i="16"/>
  <c r="Q908" i="16"/>
  <c r="R908" i="16"/>
  <c r="H825" i="16"/>
  <c r="J825" i="16"/>
  <c r="I825" i="16"/>
  <c r="E806" i="16"/>
  <c r="AP806" i="16" s="1"/>
  <c r="E868" i="16"/>
  <c r="AP868" i="16" s="1"/>
  <c r="AA867" i="16"/>
  <c r="M867" i="16"/>
  <c r="L867" i="16"/>
  <c r="K867" i="16"/>
  <c r="N867" i="16"/>
  <c r="J887" i="16"/>
  <c r="H887" i="16"/>
  <c r="I887" i="16"/>
  <c r="N805" i="16"/>
  <c r="M805" i="16"/>
  <c r="L805" i="16"/>
  <c r="AA805" i="16"/>
  <c r="K805" i="16"/>
  <c r="R887" i="16"/>
  <c r="Q887" i="16"/>
  <c r="P887" i="16"/>
  <c r="O887" i="16"/>
  <c r="E847" i="16"/>
  <c r="AP847" i="16" s="1"/>
  <c r="R825" i="16"/>
  <c r="O825" i="16"/>
  <c r="P825" i="16"/>
  <c r="Q825" i="16"/>
  <c r="R866" i="16"/>
  <c r="O866" i="16"/>
  <c r="P866" i="16"/>
  <c r="Q866" i="16"/>
  <c r="I866" i="16"/>
  <c r="H866" i="16"/>
  <c r="J866" i="16"/>
  <c r="AA846" i="16"/>
  <c r="K846" i="16"/>
  <c r="M846" i="16"/>
  <c r="N846" i="16"/>
  <c r="L846" i="16"/>
  <c r="P804" i="16"/>
  <c r="R804" i="16"/>
  <c r="O804" i="16"/>
  <c r="Q804" i="16"/>
  <c r="H845" i="16"/>
  <c r="J845" i="16"/>
  <c r="I845" i="16"/>
  <c r="M826" i="16"/>
  <c r="K826" i="16"/>
  <c r="AA826" i="16"/>
  <c r="N826" i="16"/>
  <c r="L826" i="16"/>
  <c r="E889" i="16"/>
  <c r="AP889" i="16" s="1"/>
  <c r="R845" i="16"/>
  <c r="Q845" i="16"/>
  <c r="P845" i="16"/>
  <c r="O845" i="16"/>
  <c r="E827" i="16"/>
  <c r="AP827" i="16" s="1"/>
  <c r="I804" i="16"/>
  <c r="J804" i="16"/>
  <c r="H804" i="16"/>
  <c r="K888" i="16"/>
  <c r="AA888" i="16"/>
  <c r="N888" i="16"/>
  <c r="L888" i="16"/>
  <c r="M888" i="16"/>
  <c r="I368" i="16"/>
  <c r="I365" i="16"/>
  <c r="Q495" i="16"/>
  <c r="O495" i="16"/>
  <c r="R495" i="16"/>
  <c r="P495" i="16"/>
  <c r="O740" i="16"/>
  <c r="Q740" i="16"/>
  <c r="P740" i="16"/>
  <c r="R740" i="16"/>
  <c r="O487" i="16"/>
  <c r="P487" i="16"/>
  <c r="R487" i="16"/>
  <c r="Q487" i="16"/>
  <c r="P486" i="16"/>
  <c r="R486" i="16"/>
  <c r="O486" i="16"/>
  <c r="Q486" i="16"/>
  <c r="P503" i="16"/>
  <c r="Q503" i="16"/>
  <c r="R503" i="16"/>
  <c r="O503" i="16"/>
  <c r="P739" i="16"/>
  <c r="O739" i="16"/>
  <c r="Q739" i="16"/>
  <c r="R739" i="16"/>
  <c r="O497" i="16"/>
  <c r="P497" i="16"/>
  <c r="R497" i="16"/>
  <c r="Q497" i="16"/>
  <c r="Q742" i="16"/>
  <c r="O742" i="16"/>
  <c r="R742" i="16"/>
  <c r="P742" i="16"/>
  <c r="P505" i="16"/>
  <c r="R505" i="16"/>
  <c r="O505" i="16"/>
  <c r="Q505" i="16"/>
  <c r="R485" i="16"/>
  <c r="P485" i="16"/>
  <c r="O485" i="16"/>
  <c r="Q485" i="16"/>
  <c r="P500" i="16"/>
  <c r="O500" i="16"/>
  <c r="R500" i="16"/>
  <c r="Q500" i="16"/>
  <c r="P498" i="16"/>
  <c r="O498" i="16"/>
  <c r="R498" i="16"/>
  <c r="Q498" i="16"/>
  <c r="P504" i="16"/>
  <c r="R504" i="16"/>
  <c r="Q504" i="16"/>
  <c r="O504" i="16"/>
  <c r="P492" i="16"/>
  <c r="O492" i="16"/>
  <c r="R492" i="16"/>
  <c r="Q492" i="16"/>
  <c r="R496" i="16"/>
  <c r="P496" i="16"/>
  <c r="O496" i="16"/>
  <c r="Q496" i="16"/>
  <c r="R738" i="16"/>
  <c r="Q738" i="16"/>
  <c r="P738" i="16"/>
  <c r="O738" i="16"/>
  <c r="Q499" i="16"/>
  <c r="P499" i="16"/>
  <c r="O499" i="16"/>
  <c r="R499" i="16"/>
  <c r="P490" i="16"/>
  <c r="O490" i="16"/>
  <c r="R490" i="16"/>
  <c r="Q490" i="16"/>
  <c r="O491" i="16"/>
  <c r="P491" i="16"/>
  <c r="R491" i="16"/>
  <c r="Q491" i="16"/>
  <c r="P494" i="16"/>
  <c r="R494" i="16"/>
  <c r="O494" i="16"/>
  <c r="Q494" i="16"/>
  <c r="O737" i="16"/>
  <c r="R737" i="16"/>
  <c r="Q737" i="16"/>
  <c r="P737" i="16"/>
  <c r="Q488" i="16"/>
  <c r="P488" i="16"/>
  <c r="O488" i="16"/>
  <c r="R488" i="16"/>
  <c r="P501" i="16"/>
  <c r="O501" i="16"/>
  <c r="Q501" i="16"/>
  <c r="R501" i="16"/>
  <c r="P502" i="16"/>
  <c r="O502" i="16"/>
  <c r="R502" i="16"/>
  <c r="Q502" i="16"/>
  <c r="Q489" i="16"/>
  <c r="P489" i="16"/>
  <c r="O489" i="16"/>
  <c r="R489" i="16"/>
  <c r="R741" i="16"/>
  <c r="P741" i="16"/>
  <c r="O741" i="16"/>
  <c r="Q741" i="16"/>
  <c r="P493" i="16"/>
  <c r="O493" i="16"/>
  <c r="Q493" i="16"/>
  <c r="R493" i="16"/>
  <c r="H133" i="16"/>
  <c r="E515" i="16"/>
  <c r="G514" i="16"/>
  <c r="K514" i="16"/>
  <c r="L514" i="16"/>
  <c r="N514" i="16"/>
  <c r="M514" i="16"/>
  <c r="Q513" i="16"/>
  <c r="O513" i="16"/>
  <c r="R513" i="16"/>
  <c r="P513" i="16"/>
  <c r="Q743" i="16"/>
  <c r="R743" i="16"/>
  <c r="O743" i="16"/>
  <c r="P743" i="16"/>
  <c r="P534" i="16"/>
  <c r="O534" i="16"/>
  <c r="R534" i="16"/>
  <c r="Q534" i="16"/>
  <c r="E536" i="16"/>
  <c r="M744" i="16"/>
  <c r="L744" i="16"/>
  <c r="K744" i="16"/>
  <c r="N744" i="16"/>
  <c r="E745" i="16"/>
  <c r="AP745" i="16" s="1"/>
  <c r="K535" i="16"/>
  <c r="N535" i="16"/>
  <c r="M535" i="16"/>
  <c r="G535" i="16"/>
  <c r="L535" i="16"/>
  <c r="J141" i="16"/>
  <c r="J145" i="16"/>
  <c r="I141" i="16"/>
  <c r="H134" i="16"/>
  <c r="J142" i="16"/>
  <c r="J130" i="16"/>
  <c r="J144" i="16"/>
  <c r="H141" i="16"/>
  <c r="H148" i="16"/>
  <c r="I145" i="16"/>
  <c r="J148" i="16"/>
  <c r="J146" i="16"/>
  <c r="H144" i="16"/>
  <c r="I148" i="16"/>
  <c r="J134" i="16"/>
  <c r="H130" i="16"/>
  <c r="H146" i="16"/>
  <c r="I135" i="16"/>
  <c r="H129" i="16"/>
  <c r="I385" i="16"/>
  <c r="I133" i="16"/>
  <c r="I390" i="16"/>
  <c r="I138" i="16"/>
  <c r="J395" i="16"/>
  <c r="J143" i="16"/>
  <c r="I399" i="16"/>
  <c r="I147" i="16"/>
  <c r="J383" i="16"/>
  <c r="J131" i="16"/>
  <c r="H391" i="16"/>
  <c r="H139" i="16"/>
  <c r="I146" i="16"/>
  <c r="J390" i="16"/>
  <c r="J138" i="16"/>
  <c r="H389" i="16"/>
  <c r="H137" i="16"/>
  <c r="H388" i="16"/>
  <c r="H136" i="16"/>
  <c r="H392" i="16"/>
  <c r="H140" i="16"/>
  <c r="J129" i="16"/>
  <c r="H399" i="16"/>
  <c r="H147" i="16"/>
  <c r="I395" i="16"/>
  <c r="I143" i="16"/>
  <c r="J380" i="16"/>
  <c r="J128" i="16"/>
  <c r="I388" i="16"/>
  <c r="I136" i="16"/>
  <c r="J399" i="16"/>
  <c r="J147" i="16"/>
  <c r="J389" i="16"/>
  <c r="J137" i="16"/>
  <c r="J384" i="16"/>
  <c r="J132" i="16"/>
  <c r="J388" i="16"/>
  <c r="J136" i="16"/>
  <c r="H385" i="16"/>
  <c r="H390" i="16"/>
  <c r="H138" i="16"/>
  <c r="I134" i="16"/>
  <c r="H135" i="16"/>
  <c r="J385" i="16"/>
  <c r="J133" i="16"/>
  <c r="I384" i="16"/>
  <c r="I132" i="16"/>
  <c r="J391" i="16"/>
  <c r="J139" i="16"/>
  <c r="J392" i="16"/>
  <c r="J140" i="16"/>
  <c r="I144" i="16"/>
  <c r="H395" i="16"/>
  <c r="H143" i="16"/>
  <c r="I391" i="16"/>
  <c r="I139" i="16"/>
  <c r="H383" i="16"/>
  <c r="H131" i="16"/>
  <c r="H380" i="16"/>
  <c r="H128" i="16"/>
  <c r="I383" i="16"/>
  <c r="I131" i="16"/>
  <c r="H384" i="16"/>
  <c r="H132" i="16"/>
  <c r="H394" i="16"/>
  <c r="H142" i="16"/>
  <c r="H145" i="16"/>
  <c r="I129" i="16"/>
  <c r="J135" i="16"/>
  <c r="I392" i="16"/>
  <c r="I140" i="16"/>
  <c r="I380" i="16"/>
  <c r="I128" i="16"/>
  <c r="I389" i="16"/>
  <c r="I137" i="16"/>
  <c r="I130" i="16"/>
  <c r="I142" i="16"/>
  <c r="I104" i="16"/>
  <c r="H104" i="16"/>
  <c r="J104" i="16"/>
  <c r="J105" i="16"/>
  <c r="H105" i="16"/>
  <c r="I105" i="16"/>
  <c r="E111" i="16"/>
  <c r="AP111" i="16" s="1"/>
  <c r="S745" i="16" l="1"/>
  <c r="T745" i="16"/>
  <c r="U745" i="16"/>
  <c r="V745" i="16"/>
  <c r="V827" i="16"/>
  <c r="S827" i="16"/>
  <c r="T827" i="16"/>
  <c r="U827" i="16"/>
  <c r="V847" i="16"/>
  <c r="S847" i="16"/>
  <c r="T847" i="16"/>
  <c r="U847" i="16"/>
  <c r="S868" i="16"/>
  <c r="T868" i="16"/>
  <c r="U868" i="16"/>
  <c r="V868" i="16"/>
  <c r="V111" i="16"/>
  <c r="U111" i="16"/>
  <c r="S111" i="16"/>
  <c r="T111" i="16"/>
  <c r="V889" i="16"/>
  <c r="S889" i="16"/>
  <c r="T889" i="16"/>
  <c r="U889" i="16"/>
  <c r="U806" i="16"/>
  <c r="S806" i="16"/>
  <c r="T806" i="16"/>
  <c r="V806" i="16"/>
  <c r="AQ745" i="16"/>
  <c r="W745" i="16" s="1"/>
  <c r="AR745" i="16"/>
  <c r="X745" i="16" s="1"/>
  <c r="AQ847" i="16"/>
  <c r="W847" i="16" s="1"/>
  <c r="AR847" i="16"/>
  <c r="X847" i="16" s="1"/>
  <c r="AQ827" i="16"/>
  <c r="W827" i="16" s="1"/>
  <c r="AR827" i="16"/>
  <c r="X827" i="16" s="1"/>
  <c r="AQ868" i="16"/>
  <c r="W868" i="16" s="1"/>
  <c r="AR868" i="16"/>
  <c r="X868" i="16" s="1"/>
  <c r="AQ889" i="16"/>
  <c r="W889" i="16" s="1"/>
  <c r="AR889" i="16"/>
  <c r="X889" i="16" s="1"/>
  <c r="AQ806" i="16"/>
  <c r="W806" i="16" s="1"/>
  <c r="AR806" i="16"/>
  <c r="X806" i="16" s="1"/>
  <c r="AQ111" i="16"/>
  <c r="W111" i="16" s="1"/>
  <c r="AR111" i="16"/>
  <c r="X111" i="16" s="1"/>
  <c r="J110" i="16"/>
  <c r="H110" i="16"/>
  <c r="AA111" i="16"/>
  <c r="I111" i="16" s="1"/>
  <c r="J909" i="16"/>
  <c r="I909" i="16"/>
  <c r="H909" i="16"/>
  <c r="G910" i="16"/>
  <c r="N910" i="16"/>
  <c r="L910" i="16"/>
  <c r="M910" i="16"/>
  <c r="K910" i="16"/>
  <c r="O909" i="16"/>
  <c r="P909" i="16"/>
  <c r="R909" i="16"/>
  <c r="Q909" i="16"/>
  <c r="J89" i="1"/>
  <c r="E911" i="16"/>
  <c r="N889" i="16"/>
  <c r="M889" i="16"/>
  <c r="AA889" i="16"/>
  <c r="L889" i="16"/>
  <c r="K889" i="16"/>
  <c r="J846" i="16"/>
  <c r="H846" i="16"/>
  <c r="I846" i="16"/>
  <c r="AA868" i="16"/>
  <c r="L868" i="16"/>
  <c r="N868" i="16"/>
  <c r="K868" i="16"/>
  <c r="M868" i="16"/>
  <c r="E807" i="16"/>
  <c r="AP807" i="16" s="1"/>
  <c r="L827" i="16"/>
  <c r="K827" i="16"/>
  <c r="AA827" i="16"/>
  <c r="M827" i="16"/>
  <c r="N827" i="16"/>
  <c r="L806" i="16"/>
  <c r="N806" i="16"/>
  <c r="AA806" i="16"/>
  <c r="M806" i="16"/>
  <c r="K806" i="16"/>
  <c r="R888" i="16"/>
  <c r="O888" i="16"/>
  <c r="Q888" i="16"/>
  <c r="P888" i="16"/>
  <c r="Q805" i="16"/>
  <c r="P805" i="16"/>
  <c r="R805" i="16"/>
  <c r="O805" i="16"/>
  <c r="E890" i="16"/>
  <c r="AP890" i="16" s="1"/>
  <c r="E869" i="16"/>
  <c r="AP869" i="16" s="1"/>
  <c r="E828" i="16"/>
  <c r="AP828" i="16" s="1"/>
  <c r="Q867" i="16"/>
  <c r="O867" i="16"/>
  <c r="P867" i="16"/>
  <c r="R867" i="16"/>
  <c r="J805" i="16"/>
  <c r="I805" i="16"/>
  <c r="H805" i="16"/>
  <c r="H826" i="16"/>
  <c r="J826" i="16"/>
  <c r="I826" i="16"/>
  <c r="M847" i="16"/>
  <c r="L847" i="16"/>
  <c r="K847" i="16"/>
  <c r="AA847" i="16"/>
  <c r="N847" i="16"/>
  <c r="H888" i="16"/>
  <c r="I888" i="16"/>
  <c r="J888" i="16"/>
  <c r="Q826" i="16"/>
  <c r="P826" i="16"/>
  <c r="O826" i="16"/>
  <c r="R826" i="16"/>
  <c r="O846" i="16"/>
  <c r="P846" i="16"/>
  <c r="R846" i="16"/>
  <c r="Q846" i="16"/>
  <c r="E848" i="16"/>
  <c r="AP848" i="16" s="1"/>
  <c r="H867" i="16"/>
  <c r="I867" i="16"/>
  <c r="J867" i="16"/>
  <c r="P514" i="16"/>
  <c r="Q514" i="16"/>
  <c r="O514" i="16"/>
  <c r="R514" i="16"/>
  <c r="L515" i="16"/>
  <c r="G515" i="16"/>
  <c r="M515" i="16"/>
  <c r="K515" i="16"/>
  <c r="N515" i="16"/>
  <c r="E516" i="16"/>
  <c r="E537" i="16"/>
  <c r="N745" i="16"/>
  <c r="K745" i="16"/>
  <c r="M745" i="16"/>
  <c r="L745" i="16"/>
  <c r="O744" i="16"/>
  <c r="P744" i="16"/>
  <c r="Q744" i="16"/>
  <c r="R744" i="16"/>
  <c r="Q535" i="16"/>
  <c r="O535" i="16"/>
  <c r="P535" i="16"/>
  <c r="R535" i="16"/>
  <c r="E746" i="16"/>
  <c r="AP746" i="16" s="1"/>
  <c r="N536" i="16"/>
  <c r="G536" i="16"/>
  <c r="K536" i="16"/>
  <c r="L536" i="16"/>
  <c r="M536" i="16"/>
  <c r="E112" i="16"/>
  <c r="AP112" i="16" s="1"/>
  <c r="U746" i="16" l="1"/>
  <c r="V746" i="16"/>
  <c r="S746" i="16"/>
  <c r="T746" i="16"/>
  <c r="S848" i="16"/>
  <c r="T848" i="16"/>
  <c r="U848" i="16"/>
  <c r="V848" i="16"/>
  <c r="S828" i="16"/>
  <c r="T828" i="16"/>
  <c r="U828" i="16"/>
  <c r="V828" i="16"/>
  <c r="V869" i="16"/>
  <c r="S869" i="16"/>
  <c r="T869" i="16"/>
  <c r="U869" i="16"/>
  <c r="S890" i="16"/>
  <c r="T890" i="16"/>
  <c r="U890" i="16"/>
  <c r="V890" i="16"/>
  <c r="S112" i="16"/>
  <c r="T112" i="16"/>
  <c r="U112" i="16"/>
  <c r="V112" i="16"/>
  <c r="S807" i="16"/>
  <c r="T807" i="16"/>
  <c r="U807" i="16"/>
  <c r="V807" i="16"/>
  <c r="AQ890" i="16"/>
  <c r="W890" i="16" s="1"/>
  <c r="AR890" i="16"/>
  <c r="X890" i="16" s="1"/>
  <c r="AQ807" i="16"/>
  <c r="W807" i="16" s="1"/>
  <c r="AR807" i="16"/>
  <c r="X807" i="16" s="1"/>
  <c r="AQ746" i="16"/>
  <c r="W746" i="16" s="1"/>
  <c r="AR746" i="16"/>
  <c r="X746" i="16" s="1"/>
  <c r="AQ848" i="16"/>
  <c r="W848" i="16" s="1"/>
  <c r="AR848" i="16"/>
  <c r="X848" i="16" s="1"/>
  <c r="AQ828" i="16"/>
  <c r="W828" i="16" s="1"/>
  <c r="AR828" i="16"/>
  <c r="X828" i="16" s="1"/>
  <c r="AQ869" i="16"/>
  <c r="W869" i="16" s="1"/>
  <c r="AR869" i="16"/>
  <c r="X869" i="16" s="1"/>
  <c r="AQ112" i="16"/>
  <c r="W112" i="16" s="1"/>
  <c r="AR112" i="16"/>
  <c r="X112" i="16" s="1"/>
  <c r="J111" i="16"/>
  <c r="H111" i="16"/>
  <c r="AA112" i="16"/>
  <c r="H112" i="16" s="1"/>
  <c r="J90" i="1"/>
  <c r="E912" i="16"/>
  <c r="I910" i="16"/>
  <c r="H910" i="16"/>
  <c r="J910" i="16"/>
  <c r="P910" i="16"/>
  <c r="R910" i="16"/>
  <c r="Q910" i="16"/>
  <c r="O910" i="16"/>
  <c r="K911" i="16"/>
  <c r="G911" i="16"/>
  <c r="M911" i="16"/>
  <c r="L911" i="16"/>
  <c r="N911" i="16"/>
  <c r="AA848" i="16"/>
  <c r="N848" i="16"/>
  <c r="L848" i="16"/>
  <c r="K848" i="16"/>
  <c r="M848" i="16"/>
  <c r="E891" i="16"/>
  <c r="AP891" i="16" s="1"/>
  <c r="Q827" i="16"/>
  <c r="R827" i="16"/>
  <c r="O827" i="16"/>
  <c r="P827" i="16"/>
  <c r="R889" i="16"/>
  <c r="Q889" i="16"/>
  <c r="P889" i="16"/>
  <c r="O889" i="16"/>
  <c r="AA890" i="16"/>
  <c r="M890" i="16"/>
  <c r="K890" i="16"/>
  <c r="L890" i="16"/>
  <c r="N890" i="16"/>
  <c r="H868" i="16"/>
  <c r="I868" i="16"/>
  <c r="J868" i="16"/>
  <c r="I847" i="16"/>
  <c r="H847" i="16"/>
  <c r="J847" i="16"/>
  <c r="Q806" i="16"/>
  <c r="O806" i="16"/>
  <c r="P806" i="16"/>
  <c r="R806" i="16"/>
  <c r="K807" i="16"/>
  <c r="N807" i="16"/>
  <c r="AA807" i="16"/>
  <c r="M807" i="16"/>
  <c r="L807" i="16"/>
  <c r="E829" i="16"/>
  <c r="AP829" i="16" s="1"/>
  <c r="AA828" i="16"/>
  <c r="M828" i="16"/>
  <c r="L828" i="16"/>
  <c r="K828" i="16"/>
  <c r="N828" i="16"/>
  <c r="J889" i="16"/>
  <c r="H889" i="16"/>
  <c r="I889" i="16"/>
  <c r="J806" i="16"/>
  <c r="H806" i="16"/>
  <c r="I806" i="16"/>
  <c r="R868" i="16"/>
  <c r="P868" i="16"/>
  <c r="O868" i="16"/>
  <c r="Q868" i="16"/>
  <c r="E849" i="16"/>
  <c r="AP849" i="16" s="1"/>
  <c r="E808" i="16"/>
  <c r="AP808" i="16" s="1"/>
  <c r="Q847" i="16"/>
  <c r="P847" i="16"/>
  <c r="R847" i="16"/>
  <c r="O847" i="16"/>
  <c r="E870" i="16"/>
  <c r="AP870" i="16" s="1"/>
  <c r="AA869" i="16"/>
  <c r="M869" i="16"/>
  <c r="L869" i="16"/>
  <c r="K869" i="16"/>
  <c r="N869" i="16"/>
  <c r="J827" i="16"/>
  <c r="I827" i="16"/>
  <c r="H827" i="16"/>
  <c r="G516" i="16"/>
  <c r="L516" i="16"/>
  <c r="M516" i="16"/>
  <c r="N516" i="16"/>
  <c r="K516" i="16"/>
  <c r="R515" i="16"/>
  <c r="P515" i="16"/>
  <c r="Q515" i="16"/>
  <c r="O515" i="16"/>
  <c r="E517" i="16"/>
  <c r="O536" i="16"/>
  <c r="R536" i="16"/>
  <c r="Q536" i="16"/>
  <c r="P536" i="16"/>
  <c r="P745" i="16"/>
  <c r="R745" i="16"/>
  <c r="O745" i="16"/>
  <c r="Q745" i="16"/>
  <c r="E747" i="16"/>
  <c r="AP747" i="16" s="1"/>
  <c r="K537" i="16"/>
  <c r="G537" i="16"/>
  <c r="L537" i="16"/>
  <c r="N537" i="16"/>
  <c r="M537" i="16"/>
  <c r="M746" i="16"/>
  <c r="L746" i="16"/>
  <c r="K746" i="16"/>
  <c r="N746" i="16"/>
  <c r="E538" i="16"/>
  <c r="E113" i="16"/>
  <c r="AP113" i="16" s="1"/>
  <c r="S870" i="16" l="1"/>
  <c r="T870" i="16"/>
  <c r="U870" i="16"/>
  <c r="V870" i="16"/>
  <c r="V113" i="16"/>
  <c r="S113" i="16"/>
  <c r="T113" i="16"/>
  <c r="U113" i="16"/>
  <c r="V891" i="16"/>
  <c r="S891" i="16"/>
  <c r="T891" i="16"/>
  <c r="U891" i="16"/>
  <c r="S747" i="16"/>
  <c r="T747" i="16"/>
  <c r="U747" i="16"/>
  <c r="V747" i="16"/>
  <c r="U808" i="16"/>
  <c r="S808" i="16"/>
  <c r="T808" i="16"/>
  <c r="V808" i="16"/>
  <c r="V849" i="16"/>
  <c r="S849" i="16"/>
  <c r="T849" i="16"/>
  <c r="U849" i="16"/>
  <c r="V829" i="16"/>
  <c r="S829" i="16"/>
  <c r="T829" i="16"/>
  <c r="U829" i="16"/>
  <c r="AQ891" i="16"/>
  <c r="W891" i="16" s="1"/>
  <c r="AR891" i="16"/>
  <c r="X891" i="16" s="1"/>
  <c r="AQ870" i="16"/>
  <c r="W870" i="16" s="1"/>
  <c r="AR870" i="16"/>
  <c r="X870" i="16" s="1"/>
  <c r="AQ747" i="16"/>
  <c r="W747" i="16" s="1"/>
  <c r="AR747" i="16"/>
  <c r="X747" i="16" s="1"/>
  <c r="AQ808" i="16"/>
  <c r="W808" i="16" s="1"/>
  <c r="AR808" i="16"/>
  <c r="X808" i="16" s="1"/>
  <c r="AQ849" i="16"/>
  <c r="W849" i="16" s="1"/>
  <c r="AR849" i="16"/>
  <c r="X849" i="16" s="1"/>
  <c r="AQ829" i="16"/>
  <c r="W829" i="16" s="1"/>
  <c r="AR829" i="16"/>
  <c r="X829" i="16" s="1"/>
  <c r="AQ113" i="16"/>
  <c r="W113" i="16" s="1"/>
  <c r="AR113" i="16"/>
  <c r="X113" i="16" s="1"/>
  <c r="I112" i="16"/>
  <c r="AA113" i="16"/>
  <c r="J113" i="16" s="1"/>
  <c r="J112" i="16"/>
  <c r="I911" i="16"/>
  <c r="J911" i="16"/>
  <c r="H911" i="16"/>
  <c r="Q911" i="16"/>
  <c r="P911" i="16"/>
  <c r="O911" i="16"/>
  <c r="R911" i="16"/>
  <c r="L912" i="16"/>
  <c r="K912" i="16"/>
  <c r="G912" i="16"/>
  <c r="M912" i="16"/>
  <c r="N912" i="16"/>
  <c r="J91" i="1"/>
  <c r="E913" i="16"/>
  <c r="L808" i="16"/>
  <c r="N808" i="16"/>
  <c r="K808" i="16"/>
  <c r="M808" i="16"/>
  <c r="AA808" i="16"/>
  <c r="R807" i="16"/>
  <c r="Q807" i="16"/>
  <c r="P807" i="16"/>
  <c r="O807" i="16"/>
  <c r="E850" i="16"/>
  <c r="AP850" i="16" s="1"/>
  <c r="R848" i="16"/>
  <c r="O848" i="16"/>
  <c r="P848" i="16"/>
  <c r="Q848" i="16"/>
  <c r="K849" i="16"/>
  <c r="AA849" i="16"/>
  <c r="M849" i="16"/>
  <c r="L849" i="16"/>
  <c r="N849" i="16"/>
  <c r="O890" i="16"/>
  <c r="P890" i="16"/>
  <c r="R890" i="16"/>
  <c r="Q890" i="16"/>
  <c r="J869" i="16"/>
  <c r="I869" i="16"/>
  <c r="H869" i="16"/>
  <c r="Q828" i="16"/>
  <c r="O828" i="16"/>
  <c r="P828" i="16"/>
  <c r="R828" i="16"/>
  <c r="K829" i="16"/>
  <c r="L829" i="16"/>
  <c r="AA829" i="16"/>
  <c r="M829" i="16"/>
  <c r="N829" i="16"/>
  <c r="E871" i="16"/>
  <c r="AP871" i="16" s="1"/>
  <c r="N870" i="16"/>
  <c r="AA870" i="16"/>
  <c r="K870" i="16"/>
  <c r="M870" i="16"/>
  <c r="L870" i="16"/>
  <c r="R869" i="16"/>
  <c r="Q869" i="16"/>
  <c r="O869" i="16"/>
  <c r="P869" i="16"/>
  <c r="E830" i="16"/>
  <c r="AP830" i="16" s="1"/>
  <c r="J890" i="16"/>
  <c r="I890" i="16"/>
  <c r="H890" i="16"/>
  <c r="E809" i="16"/>
  <c r="AP809" i="16" s="1"/>
  <c r="H807" i="16"/>
  <c r="I807" i="16"/>
  <c r="J807" i="16"/>
  <c r="E892" i="16"/>
  <c r="AP892" i="16" s="1"/>
  <c r="H828" i="16"/>
  <c r="J828" i="16"/>
  <c r="I828" i="16"/>
  <c r="L891" i="16"/>
  <c r="K891" i="16"/>
  <c r="AA891" i="16"/>
  <c r="M891" i="16"/>
  <c r="N891" i="16"/>
  <c r="I848" i="16"/>
  <c r="J848" i="16"/>
  <c r="H848" i="16"/>
  <c r="P516" i="16"/>
  <c r="O516" i="16"/>
  <c r="R516" i="16"/>
  <c r="Q516" i="16"/>
  <c r="E518" i="16"/>
  <c r="L517" i="16"/>
  <c r="G517" i="16"/>
  <c r="K517" i="16"/>
  <c r="N517" i="16"/>
  <c r="M517" i="16"/>
  <c r="O746" i="16"/>
  <c r="R746" i="16"/>
  <c r="P746" i="16"/>
  <c r="Q746" i="16"/>
  <c r="K747" i="16"/>
  <c r="M747" i="16"/>
  <c r="L747" i="16"/>
  <c r="N747" i="16"/>
  <c r="Q537" i="16"/>
  <c r="O537" i="16"/>
  <c r="P537" i="16"/>
  <c r="R537" i="16"/>
  <c r="E539" i="16"/>
  <c r="K538" i="16"/>
  <c r="N538" i="16"/>
  <c r="G538" i="16"/>
  <c r="E748" i="16"/>
  <c r="AP748" i="16" s="1"/>
  <c r="M538" i="16"/>
  <c r="L538" i="16"/>
  <c r="E114" i="16"/>
  <c r="AP114" i="16" s="1"/>
  <c r="V850" i="16" l="1"/>
  <c r="S850" i="16"/>
  <c r="T850" i="16"/>
  <c r="U850" i="16"/>
  <c r="S114" i="16"/>
  <c r="T114" i="16"/>
  <c r="U114" i="16"/>
  <c r="V114" i="16"/>
  <c r="S809" i="16"/>
  <c r="T809" i="16"/>
  <c r="U809" i="16"/>
  <c r="V809" i="16"/>
  <c r="S892" i="16"/>
  <c r="V892" i="16"/>
  <c r="T892" i="16"/>
  <c r="U892" i="16"/>
  <c r="U748" i="16"/>
  <c r="V748" i="16"/>
  <c r="S748" i="16"/>
  <c r="T748" i="16"/>
  <c r="V871" i="16"/>
  <c r="S871" i="16"/>
  <c r="T871" i="16"/>
  <c r="U871" i="16"/>
  <c r="S830" i="16"/>
  <c r="T830" i="16"/>
  <c r="U830" i="16"/>
  <c r="V830" i="16"/>
  <c r="AQ892" i="16"/>
  <c r="W892" i="16" s="1"/>
  <c r="AR892" i="16"/>
  <c r="X892" i="16" s="1"/>
  <c r="AQ830" i="16"/>
  <c r="W830" i="16" s="1"/>
  <c r="AR830" i="16"/>
  <c r="X830" i="16" s="1"/>
  <c r="AQ871" i="16"/>
  <c r="W871" i="16" s="1"/>
  <c r="AR871" i="16"/>
  <c r="X871" i="16" s="1"/>
  <c r="AQ748" i="16"/>
  <c r="W748" i="16" s="1"/>
  <c r="AR748" i="16"/>
  <c r="X748" i="16" s="1"/>
  <c r="AQ809" i="16"/>
  <c r="W809" i="16" s="1"/>
  <c r="AR809" i="16"/>
  <c r="X809" i="16" s="1"/>
  <c r="AQ850" i="16"/>
  <c r="W850" i="16" s="1"/>
  <c r="AR850" i="16"/>
  <c r="X850" i="16" s="1"/>
  <c r="I113" i="16"/>
  <c r="H113" i="16"/>
  <c r="AQ114" i="16"/>
  <c r="W114" i="16" s="1"/>
  <c r="AR114" i="16"/>
  <c r="X114" i="16" s="1"/>
  <c r="AA114" i="16"/>
  <c r="J114" i="16" s="1"/>
  <c r="J92" i="1"/>
  <c r="E914" i="16"/>
  <c r="I912" i="16"/>
  <c r="H912" i="16"/>
  <c r="J912" i="16"/>
  <c r="Q912" i="16"/>
  <c r="P912" i="16"/>
  <c r="O912" i="16"/>
  <c r="R912" i="16"/>
  <c r="K913" i="16"/>
  <c r="G913" i="16"/>
  <c r="M913" i="16"/>
  <c r="L913" i="16"/>
  <c r="N913" i="16"/>
  <c r="H808" i="16"/>
  <c r="I808" i="16"/>
  <c r="J808" i="16"/>
  <c r="E831" i="16"/>
  <c r="AP831" i="16" s="1"/>
  <c r="E851" i="16"/>
  <c r="AP851" i="16" s="1"/>
  <c r="AA830" i="16"/>
  <c r="K830" i="16"/>
  <c r="M830" i="16"/>
  <c r="L830" i="16"/>
  <c r="N830" i="16"/>
  <c r="R870" i="16"/>
  <c r="Q870" i="16"/>
  <c r="P870" i="16"/>
  <c r="O870" i="16"/>
  <c r="K850" i="16"/>
  <c r="M850" i="16"/>
  <c r="AA850" i="16"/>
  <c r="L850" i="16"/>
  <c r="N850" i="16"/>
  <c r="O808" i="16"/>
  <c r="P808" i="16"/>
  <c r="R808" i="16"/>
  <c r="Q808" i="16"/>
  <c r="E810" i="16"/>
  <c r="AP810" i="16" s="1"/>
  <c r="J849" i="16"/>
  <c r="I849" i="16"/>
  <c r="H849" i="16"/>
  <c r="E872" i="16"/>
  <c r="AP872" i="16" s="1"/>
  <c r="K871" i="16"/>
  <c r="N871" i="16"/>
  <c r="AA871" i="16"/>
  <c r="M871" i="16"/>
  <c r="L871" i="16"/>
  <c r="H829" i="16"/>
  <c r="J829" i="16"/>
  <c r="I829" i="16"/>
  <c r="R849" i="16"/>
  <c r="Q849" i="16"/>
  <c r="O849" i="16"/>
  <c r="P849" i="16"/>
  <c r="R891" i="16"/>
  <c r="P891" i="16"/>
  <c r="O891" i="16"/>
  <c r="Q891" i="16"/>
  <c r="K809" i="16"/>
  <c r="AA809" i="16"/>
  <c r="L809" i="16"/>
  <c r="M809" i="16"/>
  <c r="N809" i="16"/>
  <c r="E893" i="16"/>
  <c r="AP893" i="16" s="1"/>
  <c r="J870" i="16"/>
  <c r="H870" i="16"/>
  <c r="I870" i="16"/>
  <c r="R829" i="16"/>
  <c r="O829" i="16"/>
  <c r="Q829" i="16"/>
  <c r="P829" i="16"/>
  <c r="J891" i="16"/>
  <c r="I891" i="16"/>
  <c r="H891" i="16"/>
  <c r="L892" i="16"/>
  <c r="K892" i="16"/>
  <c r="AA892" i="16"/>
  <c r="M892" i="16"/>
  <c r="N892" i="16"/>
  <c r="E519" i="16"/>
  <c r="M518" i="16"/>
  <c r="N518" i="16"/>
  <c r="G518" i="16"/>
  <c r="L518" i="16"/>
  <c r="K518" i="16"/>
  <c r="Q517" i="16"/>
  <c r="O517" i="16"/>
  <c r="P517" i="16"/>
  <c r="R517" i="16"/>
  <c r="E540" i="16"/>
  <c r="O538" i="16"/>
  <c r="Q538" i="16"/>
  <c r="P538" i="16"/>
  <c r="R538" i="16"/>
  <c r="N748" i="16"/>
  <c r="L748" i="16"/>
  <c r="M748" i="16"/>
  <c r="K748" i="16"/>
  <c r="L539" i="16"/>
  <c r="G539" i="16"/>
  <c r="N539" i="16"/>
  <c r="E749" i="16"/>
  <c r="AP749" i="16" s="1"/>
  <c r="K539" i="16"/>
  <c r="M539" i="16"/>
  <c r="P747" i="16"/>
  <c r="O747" i="16"/>
  <c r="R747" i="16"/>
  <c r="Q747" i="16"/>
  <c r="E115" i="16"/>
  <c r="AP115" i="16" s="1"/>
  <c r="S749" i="16" l="1"/>
  <c r="T749" i="16"/>
  <c r="U749" i="16"/>
  <c r="V749" i="16"/>
  <c r="U810" i="16"/>
  <c r="S810" i="16"/>
  <c r="T810" i="16"/>
  <c r="V810" i="16"/>
  <c r="V893" i="16"/>
  <c r="S893" i="16"/>
  <c r="T893" i="16"/>
  <c r="U893" i="16"/>
  <c r="V851" i="16"/>
  <c r="S851" i="16"/>
  <c r="T851" i="16"/>
  <c r="U851" i="16"/>
  <c r="S872" i="16"/>
  <c r="T872" i="16"/>
  <c r="U872" i="16"/>
  <c r="V872" i="16"/>
  <c r="V831" i="16"/>
  <c r="S831" i="16"/>
  <c r="T831" i="16"/>
  <c r="U831" i="16"/>
  <c r="V115" i="16"/>
  <c r="U115" i="16"/>
  <c r="T115" i="16"/>
  <c r="S115" i="16"/>
  <c r="AQ749" i="16"/>
  <c r="W749" i="16" s="1"/>
  <c r="AR749" i="16"/>
  <c r="X749" i="16" s="1"/>
  <c r="AQ810" i="16"/>
  <c r="W810" i="16" s="1"/>
  <c r="AR810" i="16"/>
  <c r="X810" i="16" s="1"/>
  <c r="AQ851" i="16"/>
  <c r="W851" i="16" s="1"/>
  <c r="AR851" i="16"/>
  <c r="X851" i="16" s="1"/>
  <c r="AQ872" i="16"/>
  <c r="W872" i="16" s="1"/>
  <c r="AR872" i="16"/>
  <c r="X872" i="16" s="1"/>
  <c r="AQ831" i="16"/>
  <c r="W831" i="16" s="1"/>
  <c r="AR831" i="16"/>
  <c r="X831" i="16" s="1"/>
  <c r="AQ893" i="16"/>
  <c r="W893" i="16" s="1"/>
  <c r="AR893" i="16"/>
  <c r="X893" i="16" s="1"/>
  <c r="AQ115" i="16"/>
  <c r="W115" i="16" s="1"/>
  <c r="AR115" i="16"/>
  <c r="X115" i="16" s="1"/>
  <c r="H114" i="16"/>
  <c r="I114" i="16"/>
  <c r="AA115" i="16"/>
  <c r="H115" i="16" s="1"/>
  <c r="I913" i="16"/>
  <c r="J913" i="16"/>
  <c r="H913" i="16"/>
  <c r="Q913" i="16"/>
  <c r="O913" i="16"/>
  <c r="R913" i="16"/>
  <c r="P913" i="16"/>
  <c r="L914" i="16"/>
  <c r="K914" i="16"/>
  <c r="G914" i="16"/>
  <c r="N914" i="16"/>
  <c r="M914" i="16"/>
  <c r="J93" i="1"/>
  <c r="E915" i="16"/>
  <c r="J809" i="16"/>
  <c r="H809" i="16"/>
  <c r="I809" i="16"/>
  <c r="O871" i="16"/>
  <c r="R871" i="16"/>
  <c r="P871" i="16"/>
  <c r="Q871" i="16"/>
  <c r="E873" i="16"/>
  <c r="AP873" i="16" s="1"/>
  <c r="E852" i="16"/>
  <c r="AP852" i="16" s="1"/>
  <c r="AA872" i="16"/>
  <c r="N872" i="16"/>
  <c r="K872" i="16"/>
  <c r="L872" i="16"/>
  <c r="M872" i="16"/>
  <c r="R850" i="16"/>
  <c r="P850" i="16"/>
  <c r="O850" i="16"/>
  <c r="Q850" i="16"/>
  <c r="K851" i="16"/>
  <c r="AA851" i="16"/>
  <c r="M851" i="16"/>
  <c r="L851" i="16"/>
  <c r="N851" i="16"/>
  <c r="E894" i="16"/>
  <c r="AP894" i="16" s="1"/>
  <c r="K893" i="16"/>
  <c r="N893" i="16"/>
  <c r="L893" i="16"/>
  <c r="AA893" i="16"/>
  <c r="M893" i="16"/>
  <c r="L831" i="16"/>
  <c r="K831" i="16"/>
  <c r="AA831" i="16"/>
  <c r="M831" i="16"/>
  <c r="N831" i="16"/>
  <c r="J892" i="16"/>
  <c r="H892" i="16"/>
  <c r="I892" i="16"/>
  <c r="E832" i="16"/>
  <c r="AP832" i="16" s="1"/>
  <c r="O892" i="16"/>
  <c r="Q892" i="16"/>
  <c r="R892" i="16"/>
  <c r="P892" i="16"/>
  <c r="J871" i="16"/>
  <c r="I871" i="16"/>
  <c r="H871" i="16"/>
  <c r="L810" i="16"/>
  <c r="N810" i="16"/>
  <c r="AA810" i="16"/>
  <c r="M810" i="16"/>
  <c r="K810" i="16"/>
  <c r="P809" i="16"/>
  <c r="R809" i="16"/>
  <c r="Q809" i="16"/>
  <c r="O809" i="16"/>
  <c r="E811" i="16"/>
  <c r="AP811" i="16" s="1"/>
  <c r="P830" i="16"/>
  <c r="R830" i="16"/>
  <c r="Q830" i="16"/>
  <c r="O830" i="16"/>
  <c r="I850" i="16"/>
  <c r="H850" i="16"/>
  <c r="J850" i="16"/>
  <c r="H830" i="16"/>
  <c r="J830" i="16"/>
  <c r="I830" i="16"/>
  <c r="E520" i="16"/>
  <c r="O518" i="16"/>
  <c r="R518" i="16"/>
  <c r="Q518" i="16"/>
  <c r="P518" i="16"/>
  <c r="L519" i="16"/>
  <c r="M519" i="16"/>
  <c r="N519" i="16"/>
  <c r="G519" i="16"/>
  <c r="K519" i="16"/>
  <c r="P748" i="16"/>
  <c r="Q748" i="16"/>
  <c r="R748" i="16"/>
  <c r="O748" i="16"/>
  <c r="L749" i="16"/>
  <c r="M749" i="16"/>
  <c r="K749" i="16"/>
  <c r="N749" i="16"/>
  <c r="E750" i="16"/>
  <c r="AP750" i="16" s="1"/>
  <c r="G540" i="16"/>
  <c r="L540" i="16"/>
  <c r="M540" i="16"/>
  <c r="N540" i="16"/>
  <c r="K540" i="16"/>
  <c r="Q539" i="16"/>
  <c r="P539" i="16"/>
  <c r="O539" i="16"/>
  <c r="R539" i="16"/>
  <c r="E541" i="16"/>
  <c r="E116" i="16"/>
  <c r="AP116" i="16" s="1"/>
  <c r="S852" i="16" l="1"/>
  <c r="T852" i="16"/>
  <c r="V852" i="16"/>
  <c r="U852" i="16"/>
  <c r="U750" i="16"/>
  <c r="S750" i="16"/>
  <c r="T750" i="16"/>
  <c r="V750" i="16"/>
  <c r="V873" i="16"/>
  <c r="S873" i="16"/>
  <c r="T873" i="16"/>
  <c r="U873" i="16"/>
  <c r="S116" i="16"/>
  <c r="T116" i="16"/>
  <c r="U116" i="16"/>
  <c r="V116" i="16"/>
  <c r="S811" i="16"/>
  <c r="T811" i="16"/>
  <c r="U811" i="16"/>
  <c r="V811" i="16"/>
  <c r="V894" i="16"/>
  <c r="S894" i="16"/>
  <c r="T894" i="16"/>
  <c r="U894" i="16"/>
  <c r="S832" i="16"/>
  <c r="T832" i="16"/>
  <c r="U832" i="16"/>
  <c r="V832" i="16"/>
  <c r="AQ894" i="16"/>
  <c r="W894" i="16" s="1"/>
  <c r="AR894" i="16"/>
  <c r="X894" i="16" s="1"/>
  <c r="AQ873" i="16"/>
  <c r="W873" i="16" s="1"/>
  <c r="AR873" i="16"/>
  <c r="X873" i="16" s="1"/>
  <c r="AQ811" i="16"/>
  <c r="W811" i="16" s="1"/>
  <c r="AR811" i="16"/>
  <c r="X811" i="16" s="1"/>
  <c r="AQ852" i="16"/>
  <c r="W852" i="16" s="1"/>
  <c r="AR852" i="16"/>
  <c r="X852" i="16" s="1"/>
  <c r="AQ832" i="16"/>
  <c r="W832" i="16" s="1"/>
  <c r="AR832" i="16"/>
  <c r="X832" i="16" s="1"/>
  <c r="AQ750" i="16"/>
  <c r="W750" i="16" s="1"/>
  <c r="AR750" i="16"/>
  <c r="X750" i="16" s="1"/>
  <c r="AQ116" i="16"/>
  <c r="W116" i="16" s="1"/>
  <c r="AR116" i="16"/>
  <c r="X116" i="16" s="1"/>
  <c r="I115" i="16"/>
  <c r="J115" i="16"/>
  <c r="AA116" i="16"/>
  <c r="I116" i="16" s="1"/>
  <c r="J94" i="1"/>
  <c r="E916" i="16"/>
  <c r="H914" i="16"/>
  <c r="I914" i="16"/>
  <c r="J914" i="16"/>
  <c r="K915" i="16"/>
  <c r="N915" i="16"/>
  <c r="L915" i="16"/>
  <c r="G915" i="16"/>
  <c r="M915" i="16"/>
  <c r="Q914" i="16"/>
  <c r="R914" i="16"/>
  <c r="O914" i="16"/>
  <c r="P914" i="16"/>
  <c r="P810" i="16"/>
  <c r="R810" i="16"/>
  <c r="O810" i="16"/>
  <c r="Q810" i="16"/>
  <c r="E833" i="16"/>
  <c r="AP833" i="16" s="1"/>
  <c r="J893" i="16"/>
  <c r="I893" i="16"/>
  <c r="H893" i="16"/>
  <c r="Q872" i="16"/>
  <c r="P872" i="16"/>
  <c r="O872" i="16"/>
  <c r="R872" i="16"/>
  <c r="AA832" i="16"/>
  <c r="N832" i="16"/>
  <c r="M832" i="16"/>
  <c r="L832" i="16"/>
  <c r="K832" i="16"/>
  <c r="I872" i="16"/>
  <c r="J872" i="16"/>
  <c r="H872" i="16"/>
  <c r="R831" i="16"/>
  <c r="O831" i="16"/>
  <c r="Q831" i="16"/>
  <c r="P831" i="16"/>
  <c r="E853" i="16"/>
  <c r="AP853" i="16" s="1"/>
  <c r="H810" i="16"/>
  <c r="J810" i="16"/>
  <c r="I810" i="16"/>
  <c r="R893" i="16"/>
  <c r="P893" i="16"/>
  <c r="O893" i="16"/>
  <c r="Q893" i="16"/>
  <c r="AA852" i="16"/>
  <c r="L852" i="16"/>
  <c r="K852" i="16"/>
  <c r="M852" i="16"/>
  <c r="N852" i="16"/>
  <c r="E812" i="16"/>
  <c r="AP812" i="16" s="1"/>
  <c r="H851" i="16"/>
  <c r="I851" i="16"/>
  <c r="J851" i="16"/>
  <c r="E874" i="16"/>
  <c r="AP874" i="16" s="1"/>
  <c r="H831" i="16"/>
  <c r="I831" i="16"/>
  <c r="J831" i="16"/>
  <c r="K811" i="16"/>
  <c r="M811" i="16"/>
  <c r="L811" i="16"/>
  <c r="N811" i="16"/>
  <c r="AA811" i="16"/>
  <c r="E895" i="16"/>
  <c r="AP895" i="16" s="1"/>
  <c r="M894" i="16"/>
  <c r="L894" i="16"/>
  <c r="AA894" i="16"/>
  <c r="K894" i="16"/>
  <c r="N894" i="16"/>
  <c r="Q851" i="16"/>
  <c r="R851" i="16"/>
  <c r="O851" i="16"/>
  <c r="P851" i="16"/>
  <c r="M873" i="16"/>
  <c r="N873" i="16"/>
  <c r="AA873" i="16"/>
  <c r="K873" i="16"/>
  <c r="L873" i="16"/>
  <c r="E521" i="16"/>
  <c r="K520" i="16"/>
  <c r="N520" i="16"/>
  <c r="L520" i="16"/>
  <c r="G520" i="16"/>
  <c r="M520" i="16"/>
  <c r="R519" i="16"/>
  <c r="O519" i="16"/>
  <c r="P519" i="16"/>
  <c r="Q519" i="16"/>
  <c r="E542" i="16"/>
  <c r="P749" i="16"/>
  <c r="Q749" i="16"/>
  <c r="O749" i="16"/>
  <c r="R749" i="16"/>
  <c r="E751" i="16"/>
  <c r="AP751" i="16" s="1"/>
  <c r="M541" i="16"/>
  <c r="L541" i="16"/>
  <c r="N541" i="16"/>
  <c r="K541" i="16"/>
  <c r="G541" i="16"/>
  <c r="K750" i="16"/>
  <c r="N750" i="16"/>
  <c r="M750" i="16"/>
  <c r="L750" i="16"/>
  <c r="O540" i="16"/>
  <c r="Q540" i="16"/>
  <c r="R540" i="16"/>
  <c r="P540" i="16"/>
  <c r="E117" i="16"/>
  <c r="AP117" i="16" s="1"/>
  <c r="V895" i="16" l="1"/>
  <c r="S895" i="16"/>
  <c r="T895" i="16"/>
  <c r="U895" i="16"/>
  <c r="S874" i="16"/>
  <c r="V874" i="16"/>
  <c r="T874" i="16"/>
  <c r="U874" i="16"/>
  <c r="S751" i="16"/>
  <c r="T751" i="16"/>
  <c r="U751" i="16"/>
  <c r="V751" i="16"/>
  <c r="V853" i="16"/>
  <c r="S853" i="16"/>
  <c r="T853" i="16"/>
  <c r="U853" i="16"/>
  <c r="V117" i="16"/>
  <c r="T117" i="16"/>
  <c r="U117" i="16"/>
  <c r="S117" i="16"/>
  <c r="U812" i="16"/>
  <c r="V812" i="16"/>
  <c r="S812" i="16"/>
  <c r="T812" i="16"/>
  <c r="V833" i="16"/>
  <c r="S833" i="16"/>
  <c r="T833" i="16"/>
  <c r="U833" i="16"/>
  <c r="AQ812" i="16"/>
  <c r="W812" i="16" s="1"/>
  <c r="AR812" i="16"/>
  <c r="X812" i="16" s="1"/>
  <c r="AQ833" i="16"/>
  <c r="W833" i="16" s="1"/>
  <c r="AR833" i="16"/>
  <c r="X833" i="16" s="1"/>
  <c r="AQ895" i="16"/>
  <c r="W895" i="16" s="1"/>
  <c r="AR895" i="16"/>
  <c r="X895" i="16" s="1"/>
  <c r="AQ874" i="16"/>
  <c r="W874" i="16" s="1"/>
  <c r="AR874" i="16"/>
  <c r="X874" i="16" s="1"/>
  <c r="AQ751" i="16"/>
  <c r="W751" i="16" s="1"/>
  <c r="AR751" i="16"/>
  <c r="X751" i="16" s="1"/>
  <c r="AQ853" i="16"/>
  <c r="W853" i="16" s="1"/>
  <c r="AR853" i="16"/>
  <c r="X853" i="16" s="1"/>
  <c r="AQ117" i="16"/>
  <c r="W117" i="16" s="1"/>
  <c r="AR117" i="16"/>
  <c r="X117" i="16" s="1"/>
  <c r="J116" i="16"/>
  <c r="H116" i="16"/>
  <c r="AA117" i="16"/>
  <c r="I117" i="16" s="1"/>
  <c r="Q915" i="16"/>
  <c r="R915" i="16"/>
  <c r="P915" i="16"/>
  <c r="O915" i="16"/>
  <c r="I915" i="16"/>
  <c r="J915" i="16"/>
  <c r="H915" i="16"/>
  <c r="G916" i="16"/>
  <c r="M916" i="16"/>
  <c r="N916" i="16"/>
  <c r="K916" i="16"/>
  <c r="L916" i="16"/>
  <c r="J95" i="1"/>
  <c r="E917" i="16"/>
  <c r="N874" i="16"/>
  <c r="M874" i="16"/>
  <c r="AA874" i="16"/>
  <c r="K874" i="16"/>
  <c r="L874" i="16"/>
  <c r="K853" i="16"/>
  <c r="AA853" i="16"/>
  <c r="M853" i="16"/>
  <c r="L853" i="16"/>
  <c r="N853" i="16"/>
  <c r="I832" i="16"/>
  <c r="J832" i="16"/>
  <c r="H832" i="16"/>
  <c r="Q873" i="16"/>
  <c r="P873" i="16"/>
  <c r="O873" i="16"/>
  <c r="R873" i="16"/>
  <c r="E834" i="16"/>
  <c r="AP834" i="16" s="1"/>
  <c r="H811" i="16"/>
  <c r="I811" i="16"/>
  <c r="J811" i="16"/>
  <c r="E854" i="16"/>
  <c r="AP854" i="16" s="1"/>
  <c r="O811" i="16"/>
  <c r="Q811" i="16"/>
  <c r="R811" i="16"/>
  <c r="P811" i="16"/>
  <c r="O832" i="16"/>
  <c r="P832" i="16"/>
  <c r="R832" i="16"/>
  <c r="Q832" i="16"/>
  <c r="H894" i="16"/>
  <c r="J894" i="16"/>
  <c r="I894" i="16"/>
  <c r="R852" i="16"/>
  <c r="P852" i="16"/>
  <c r="Q852" i="16"/>
  <c r="O852" i="16"/>
  <c r="I873" i="16"/>
  <c r="J873" i="16"/>
  <c r="H873" i="16"/>
  <c r="O894" i="16"/>
  <c r="P894" i="16"/>
  <c r="R894" i="16"/>
  <c r="Q894" i="16"/>
  <c r="M895" i="16"/>
  <c r="L895" i="16"/>
  <c r="K895" i="16"/>
  <c r="AA895" i="16"/>
  <c r="N895" i="16"/>
  <c r="M833" i="16"/>
  <c r="L833" i="16"/>
  <c r="K833" i="16"/>
  <c r="AA833" i="16"/>
  <c r="N833" i="16"/>
  <c r="E813" i="16"/>
  <c r="AP813" i="16" s="1"/>
  <c r="E875" i="16"/>
  <c r="AP875" i="16" s="1"/>
  <c r="E896" i="16"/>
  <c r="AP896" i="16" s="1"/>
  <c r="N812" i="16"/>
  <c r="K812" i="16"/>
  <c r="AA812" i="16"/>
  <c r="M812" i="16"/>
  <c r="L812" i="16"/>
  <c r="H852" i="16"/>
  <c r="J852" i="16"/>
  <c r="I852" i="16"/>
  <c r="R520" i="16"/>
  <c r="O520" i="16"/>
  <c r="Q520" i="16"/>
  <c r="P520" i="16"/>
  <c r="E522" i="16"/>
  <c r="K521" i="16"/>
  <c r="N521" i="16"/>
  <c r="M521" i="16"/>
  <c r="G521" i="16"/>
  <c r="L521" i="16"/>
  <c r="E543" i="16"/>
  <c r="Q750" i="16"/>
  <c r="P750" i="16"/>
  <c r="O750" i="16"/>
  <c r="R750" i="16"/>
  <c r="K751" i="16"/>
  <c r="N751" i="16"/>
  <c r="M751" i="16"/>
  <c r="L751" i="16"/>
  <c r="E752" i="16"/>
  <c r="AP752" i="16" s="1"/>
  <c r="K542" i="16"/>
  <c r="G542" i="16"/>
  <c r="M542" i="16"/>
  <c r="L542" i="16"/>
  <c r="N542" i="16"/>
  <c r="R541" i="16"/>
  <c r="Q541" i="16"/>
  <c r="O541" i="16"/>
  <c r="P541" i="16"/>
  <c r="E118" i="16"/>
  <c r="AP118" i="16" s="1"/>
  <c r="AV15" i="9"/>
  <c r="AV14" i="9"/>
  <c r="S896" i="16" l="1"/>
  <c r="T896" i="16"/>
  <c r="U896" i="16"/>
  <c r="V896" i="16"/>
  <c r="S834" i="16"/>
  <c r="T834" i="16"/>
  <c r="U834" i="16"/>
  <c r="V834" i="16"/>
  <c r="V875" i="16"/>
  <c r="S875" i="16"/>
  <c r="T875" i="16"/>
  <c r="U875" i="16"/>
  <c r="S118" i="16"/>
  <c r="T118" i="16"/>
  <c r="U118" i="16"/>
  <c r="V118" i="16"/>
  <c r="S813" i="16"/>
  <c r="T813" i="16"/>
  <c r="U813" i="16"/>
  <c r="V813" i="16"/>
  <c r="S854" i="16"/>
  <c r="T854" i="16"/>
  <c r="U854" i="16"/>
  <c r="V854" i="16"/>
  <c r="U752" i="16"/>
  <c r="T752" i="16"/>
  <c r="S752" i="16"/>
  <c r="V752" i="16"/>
  <c r="AQ875" i="16"/>
  <c r="W875" i="16" s="1"/>
  <c r="AR875" i="16"/>
  <c r="X875" i="16" s="1"/>
  <c r="AQ813" i="16"/>
  <c r="W813" i="16" s="1"/>
  <c r="AR813" i="16"/>
  <c r="X813" i="16" s="1"/>
  <c r="AQ854" i="16"/>
  <c r="W854" i="16" s="1"/>
  <c r="AR854" i="16"/>
  <c r="X854" i="16" s="1"/>
  <c r="AQ752" i="16"/>
  <c r="W752" i="16" s="1"/>
  <c r="AR752" i="16"/>
  <c r="X752" i="16" s="1"/>
  <c r="AQ834" i="16"/>
  <c r="W834" i="16" s="1"/>
  <c r="AR834" i="16"/>
  <c r="X834" i="16" s="1"/>
  <c r="AQ896" i="16"/>
  <c r="W896" i="16" s="1"/>
  <c r="AR896" i="16"/>
  <c r="X896" i="16" s="1"/>
  <c r="AQ118" i="16"/>
  <c r="W118" i="16" s="1"/>
  <c r="AR118" i="16"/>
  <c r="X118" i="16" s="1"/>
  <c r="J117" i="16"/>
  <c r="H117" i="16"/>
  <c r="AA118" i="16"/>
  <c r="J118" i="16" s="1"/>
  <c r="J96" i="1"/>
  <c r="E918" i="16"/>
  <c r="J916" i="16"/>
  <c r="I916" i="16"/>
  <c r="H916" i="16"/>
  <c r="R916" i="16"/>
  <c r="P916" i="16"/>
  <c r="O916" i="16"/>
  <c r="Q916" i="16"/>
  <c r="M917" i="16"/>
  <c r="K917" i="16"/>
  <c r="G917" i="16"/>
  <c r="N917" i="16"/>
  <c r="L917" i="16"/>
  <c r="E897" i="16"/>
  <c r="AP897" i="16" s="1"/>
  <c r="M875" i="16"/>
  <c r="K875" i="16"/>
  <c r="N875" i="16"/>
  <c r="AA875" i="16"/>
  <c r="L875" i="16"/>
  <c r="E814" i="16"/>
  <c r="AP814" i="16" s="1"/>
  <c r="E835" i="16"/>
  <c r="AP835" i="16" s="1"/>
  <c r="R812" i="16"/>
  <c r="P812" i="16"/>
  <c r="Q812" i="16"/>
  <c r="O812" i="16"/>
  <c r="E855" i="16"/>
  <c r="AP855" i="16" s="1"/>
  <c r="M854" i="16"/>
  <c r="K854" i="16"/>
  <c r="AA854" i="16"/>
  <c r="N854" i="16"/>
  <c r="L854" i="16"/>
  <c r="H833" i="16"/>
  <c r="J833" i="16"/>
  <c r="I833" i="16"/>
  <c r="O895" i="16"/>
  <c r="Q895" i="16"/>
  <c r="R895" i="16"/>
  <c r="P895" i="16"/>
  <c r="Q874" i="16"/>
  <c r="R874" i="16"/>
  <c r="P874" i="16"/>
  <c r="O874" i="16"/>
  <c r="J895" i="16"/>
  <c r="H895" i="16"/>
  <c r="I895" i="16"/>
  <c r="AA896" i="16"/>
  <c r="K896" i="16"/>
  <c r="L896" i="16"/>
  <c r="M896" i="16"/>
  <c r="N896" i="16"/>
  <c r="E876" i="16"/>
  <c r="AP876" i="16" s="1"/>
  <c r="R833" i="16"/>
  <c r="O833" i="16"/>
  <c r="P833" i="16"/>
  <c r="Q833" i="16"/>
  <c r="J874" i="16"/>
  <c r="I874" i="16"/>
  <c r="H874" i="16"/>
  <c r="I853" i="16"/>
  <c r="J853" i="16"/>
  <c r="H853" i="16"/>
  <c r="J812" i="16"/>
  <c r="H812" i="16"/>
  <c r="I812" i="16"/>
  <c r="M813" i="16"/>
  <c r="L813" i="16"/>
  <c r="K813" i="16"/>
  <c r="AA813" i="16"/>
  <c r="N813" i="16"/>
  <c r="AA834" i="16"/>
  <c r="M834" i="16"/>
  <c r="K834" i="16"/>
  <c r="N834" i="16"/>
  <c r="L834" i="16"/>
  <c r="R853" i="16"/>
  <c r="Q853" i="16"/>
  <c r="P853" i="16"/>
  <c r="O853" i="16"/>
  <c r="E523" i="16"/>
  <c r="P521" i="16"/>
  <c r="O521" i="16"/>
  <c r="Q521" i="16"/>
  <c r="R521" i="16"/>
  <c r="K522" i="16"/>
  <c r="N522" i="16"/>
  <c r="G522" i="16"/>
  <c r="L522" i="16"/>
  <c r="M522" i="16"/>
  <c r="O751" i="16"/>
  <c r="P751" i="16"/>
  <c r="Q751" i="16"/>
  <c r="R751" i="16"/>
  <c r="M752" i="16"/>
  <c r="L752" i="16"/>
  <c r="K752" i="16"/>
  <c r="N752" i="16"/>
  <c r="P542" i="16"/>
  <c r="R542" i="16"/>
  <c r="Q542" i="16"/>
  <c r="O542" i="16"/>
  <c r="E544" i="16"/>
  <c r="E753" i="16"/>
  <c r="AP753" i="16" s="1"/>
  <c r="K543" i="16"/>
  <c r="G543" i="16"/>
  <c r="N543" i="16"/>
  <c r="M543" i="16"/>
  <c r="L543" i="16"/>
  <c r="E119" i="16"/>
  <c r="AP119" i="16" s="1"/>
  <c r="AG232" i="16"/>
  <c r="M232" i="16"/>
  <c r="AG231" i="16"/>
  <c r="K231" i="16"/>
  <c r="AG230" i="16"/>
  <c r="G230" i="16"/>
  <c r="AG229" i="16"/>
  <c r="M229" i="16"/>
  <c r="AG228" i="16"/>
  <c r="M228" i="16"/>
  <c r="AG227" i="16"/>
  <c r="M227" i="16"/>
  <c r="AG226" i="16"/>
  <c r="G226" i="16"/>
  <c r="AG225" i="16"/>
  <c r="L225" i="16"/>
  <c r="AG224" i="16"/>
  <c r="M224" i="16"/>
  <c r="AG223" i="16"/>
  <c r="M223" i="16"/>
  <c r="AG222" i="16"/>
  <c r="G222" i="16"/>
  <c r="AG221" i="16"/>
  <c r="L221" i="16"/>
  <c r="AG220" i="16"/>
  <c r="M220" i="16"/>
  <c r="AG219" i="16"/>
  <c r="M219" i="16"/>
  <c r="AG218" i="16"/>
  <c r="G218" i="16"/>
  <c r="AG217" i="16"/>
  <c r="L217" i="16"/>
  <c r="AG216" i="16"/>
  <c r="M216" i="16"/>
  <c r="AG215" i="16"/>
  <c r="K215" i="16"/>
  <c r="AG214" i="16"/>
  <c r="G214" i="16"/>
  <c r="AG213" i="16"/>
  <c r="L213" i="16"/>
  <c r="AG212" i="16"/>
  <c r="M212" i="16"/>
  <c r="AG211" i="16"/>
  <c r="G211" i="16"/>
  <c r="AG210" i="16"/>
  <c r="L210" i="16"/>
  <c r="AG209" i="16"/>
  <c r="M209" i="16"/>
  <c r="AG208" i="16"/>
  <c r="M208" i="16"/>
  <c r="AG207" i="16"/>
  <c r="G207" i="16"/>
  <c r="AG206" i="16"/>
  <c r="L206" i="16"/>
  <c r="AG205" i="16"/>
  <c r="M205" i="16"/>
  <c r="AG204" i="16"/>
  <c r="K204" i="16"/>
  <c r="AG203" i="16"/>
  <c r="G203" i="16"/>
  <c r="AG202" i="16"/>
  <c r="L202" i="16"/>
  <c r="AG201" i="16"/>
  <c r="M201" i="16"/>
  <c r="AG200" i="16"/>
  <c r="M200" i="16"/>
  <c r="AG199" i="16"/>
  <c r="G199" i="16"/>
  <c r="AG198" i="16"/>
  <c r="L198" i="16"/>
  <c r="AG197" i="16"/>
  <c r="L197" i="16"/>
  <c r="AG196" i="16"/>
  <c r="G196" i="16"/>
  <c r="AG195" i="16"/>
  <c r="L195" i="16"/>
  <c r="AG194" i="16"/>
  <c r="L194" i="16"/>
  <c r="AG193" i="16"/>
  <c r="L193" i="16"/>
  <c r="AG192" i="16"/>
  <c r="G192" i="16"/>
  <c r="AG191" i="16"/>
  <c r="G191" i="16"/>
  <c r="AG190" i="16"/>
  <c r="G190" i="16"/>
  <c r="AG189" i="16"/>
  <c r="G189" i="16"/>
  <c r="AG188" i="16"/>
  <c r="L188" i="16"/>
  <c r="AG187" i="16"/>
  <c r="L187" i="16"/>
  <c r="AG186" i="16"/>
  <c r="M186" i="16"/>
  <c r="AG185" i="16"/>
  <c r="L185" i="16"/>
  <c r="AG184" i="16"/>
  <c r="K184" i="16"/>
  <c r="AG183" i="16"/>
  <c r="L183" i="16"/>
  <c r="AG182" i="16"/>
  <c r="L182" i="16"/>
  <c r="AG181" i="16"/>
  <c r="M181" i="16"/>
  <c r="AG180" i="16"/>
  <c r="M180" i="16"/>
  <c r="AG179" i="16"/>
  <c r="M179" i="16"/>
  <c r="AG178" i="16"/>
  <c r="L178" i="16"/>
  <c r="AG177" i="16"/>
  <c r="G177" i="16"/>
  <c r="AG176" i="16"/>
  <c r="M176" i="16"/>
  <c r="AG175" i="16"/>
  <c r="M175" i="16"/>
  <c r="AG174" i="16"/>
  <c r="M174" i="16"/>
  <c r="AG173" i="16"/>
  <c r="K173" i="16"/>
  <c r="AG172" i="16"/>
  <c r="G172" i="16"/>
  <c r="AG171" i="16"/>
  <c r="G171" i="16"/>
  <c r="AG170" i="16"/>
  <c r="K170" i="16"/>
  <c r="AG169" i="16"/>
  <c r="K169" i="16"/>
  <c r="AG168" i="16"/>
  <c r="M168" i="16"/>
  <c r="AG167" i="16"/>
  <c r="L167" i="16"/>
  <c r="AG166" i="16"/>
  <c r="K166" i="16"/>
  <c r="AG165" i="16"/>
  <c r="K165" i="16"/>
  <c r="AG164" i="16"/>
  <c r="M164" i="16"/>
  <c r="AG163" i="16"/>
  <c r="M163" i="16"/>
  <c r="AG162" i="16"/>
  <c r="M162" i="16"/>
  <c r="AG161" i="16"/>
  <c r="K161" i="16"/>
  <c r="AG160" i="16"/>
  <c r="M160" i="16"/>
  <c r="AG159" i="16"/>
  <c r="M159" i="16"/>
  <c r="AG158" i="16"/>
  <c r="M158" i="16"/>
  <c r="AG157" i="16"/>
  <c r="K157" i="16"/>
  <c r="AG156" i="16"/>
  <c r="M156" i="16"/>
  <c r="AG155" i="16"/>
  <c r="M155" i="16"/>
  <c r="AG154" i="16"/>
  <c r="M154" i="16"/>
  <c r="AG153" i="16"/>
  <c r="K153" i="16"/>
  <c r="AG152" i="16"/>
  <c r="M152" i="16"/>
  <c r="AG151" i="16"/>
  <c r="M151" i="16"/>
  <c r="AG150" i="16"/>
  <c r="M150" i="16"/>
  <c r="AG149" i="16"/>
  <c r="G149" i="16"/>
  <c r="AG127" i="16"/>
  <c r="AG126" i="16"/>
  <c r="AG125" i="16"/>
  <c r="AG124" i="16"/>
  <c r="AG123" i="16"/>
  <c r="AG122" i="16"/>
  <c r="AG121" i="16"/>
  <c r="AG120" i="16"/>
  <c r="AG119" i="16"/>
  <c r="AG118" i="16"/>
  <c r="L118" i="16"/>
  <c r="AG117" i="16"/>
  <c r="K117" i="16"/>
  <c r="AG116" i="16"/>
  <c r="M116" i="16"/>
  <c r="AG115" i="16"/>
  <c r="M115" i="16"/>
  <c r="AG114" i="16"/>
  <c r="L114" i="16"/>
  <c r="AG113" i="16"/>
  <c r="K113" i="16"/>
  <c r="AG112" i="16"/>
  <c r="M112" i="16"/>
  <c r="AG111" i="16"/>
  <c r="AG110" i="16"/>
  <c r="L110" i="16"/>
  <c r="AG109" i="16"/>
  <c r="K109" i="16"/>
  <c r="AG108" i="16"/>
  <c r="AG107" i="16"/>
  <c r="M107" i="16"/>
  <c r="AG106" i="16"/>
  <c r="K106" i="16"/>
  <c r="AG105" i="16"/>
  <c r="K105" i="16"/>
  <c r="AG104" i="16"/>
  <c r="K104" i="16"/>
  <c r="AG103" i="16"/>
  <c r="L103" i="16"/>
  <c r="AG102" i="16"/>
  <c r="AG101" i="16"/>
  <c r="K101" i="16"/>
  <c r="AG100" i="16"/>
  <c r="AG99" i="16"/>
  <c r="M99" i="16"/>
  <c r="AG98" i="16"/>
  <c r="AG97" i="16"/>
  <c r="M97" i="16"/>
  <c r="AG96" i="16"/>
  <c r="K96" i="16"/>
  <c r="AG95" i="16"/>
  <c r="AG94" i="16"/>
  <c r="AG93" i="16"/>
  <c r="K93" i="16"/>
  <c r="AG92" i="16"/>
  <c r="M92" i="16"/>
  <c r="AG91" i="16"/>
  <c r="AG90" i="16"/>
  <c r="AG89" i="16"/>
  <c r="AG88" i="16"/>
  <c r="M88" i="16"/>
  <c r="AG87" i="16"/>
  <c r="M87" i="16"/>
  <c r="AG86" i="16"/>
  <c r="AG43" i="16"/>
  <c r="AG42" i="16"/>
  <c r="AG41" i="16"/>
  <c r="AG40" i="16"/>
  <c r="AG39" i="16"/>
  <c r="AG38" i="16"/>
  <c r="AG37" i="16"/>
  <c r="AG36" i="16"/>
  <c r="AG35" i="16"/>
  <c r="AG34" i="16"/>
  <c r="AG33" i="16"/>
  <c r="AG32" i="16"/>
  <c r="AG31" i="16"/>
  <c r="AG30" i="16"/>
  <c r="AG29" i="16"/>
  <c r="AG28" i="16"/>
  <c r="N28" i="16" s="1"/>
  <c r="AG27" i="16"/>
  <c r="AG26" i="16"/>
  <c r="AG25" i="16"/>
  <c r="AG24" i="16"/>
  <c r="AG23" i="16"/>
  <c r="AG22" i="16"/>
  <c r="AG21" i="16"/>
  <c r="AG20" i="16"/>
  <c r="AG19" i="16"/>
  <c r="AG18" i="16"/>
  <c r="AG17" i="16"/>
  <c r="AG16" i="16"/>
  <c r="AG15" i="16"/>
  <c r="AG14" i="16"/>
  <c r="AG13" i="16"/>
  <c r="AG12" i="16"/>
  <c r="AG11" i="16"/>
  <c r="AG10" i="16"/>
  <c r="AG9" i="16"/>
  <c r="AG8" i="16"/>
  <c r="AG7" i="16"/>
  <c r="AG6" i="16"/>
  <c r="AG5" i="16"/>
  <c r="AG4" i="16"/>
  <c r="AG3" i="16"/>
  <c r="AG2" i="16"/>
  <c r="N2" i="16" s="1"/>
  <c r="BB4" i="9"/>
  <c r="BB5" i="9"/>
  <c r="BB6" i="9"/>
  <c r="BB7" i="9"/>
  <c r="BB8" i="9"/>
  <c r="BB9" i="9"/>
  <c r="BB10" i="9"/>
  <c r="BB3" i="9"/>
  <c r="L87" i="11"/>
  <c r="M87" i="11"/>
  <c r="N87" i="11"/>
  <c r="L88" i="11"/>
  <c r="M88" i="11"/>
  <c r="N88" i="11"/>
  <c r="L89" i="11"/>
  <c r="M89" i="11"/>
  <c r="N89" i="11"/>
  <c r="L90" i="11"/>
  <c r="M90" i="11"/>
  <c r="N90" i="11"/>
  <c r="L91" i="11"/>
  <c r="M91" i="11"/>
  <c r="N91" i="11"/>
  <c r="L92" i="11"/>
  <c r="M92" i="11"/>
  <c r="N92" i="11"/>
  <c r="L93" i="11"/>
  <c r="M93" i="11"/>
  <c r="N93" i="11"/>
  <c r="L94" i="11"/>
  <c r="M94" i="11"/>
  <c r="N94" i="11"/>
  <c r="L95" i="11"/>
  <c r="M95" i="11"/>
  <c r="N95" i="11"/>
  <c r="L96" i="11"/>
  <c r="M96" i="11"/>
  <c r="N96" i="11"/>
  <c r="L97" i="11"/>
  <c r="M97" i="11"/>
  <c r="N97" i="11"/>
  <c r="L98" i="11"/>
  <c r="M98" i="11"/>
  <c r="N98" i="11"/>
  <c r="L99" i="11"/>
  <c r="M99" i="11"/>
  <c r="N99" i="11"/>
  <c r="L100" i="11"/>
  <c r="M100" i="11"/>
  <c r="N100" i="11"/>
  <c r="L101" i="11"/>
  <c r="M101" i="11"/>
  <c r="N101" i="11"/>
  <c r="L102" i="11"/>
  <c r="M102" i="11"/>
  <c r="N102" i="11"/>
  <c r="L103" i="11"/>
  <c r="M103" i="11"/>
  <c r="N103" i="11"/>
  <c r="L104" i="11"/>
  <c r="M104" i="11"/>
  <c r="N104" i="11"/>
  <c r="L105" i="11"/>
  <c r="M105" i="11"/>
  <c r="N105" i="11"/>
  <c r="L106" i="11"/>
  <c r="M106" i="11"/>
  <c r="N106" i="11"/>
  <c r="L107" i="11"/>
  <c r="M107" i="11"/>
  <c r="N107" i="11"/>
  <c r="L108" i="11"/>
  <c r="M108" i="11"/>
  <c r="N108" i="11"/>
  <c r="L109" i="11"/>
  <c r="M109" i="11"/>
  <c r="N109" i="11"/>
  <c r="L110" i="11"/>
  <c r="M110" i="11"/>
  <c r="N110" i="11"/>
  <c r="L111" i="11"/>
  <c r="M111" i="11"/>
  <c r="N111" i="11"/>
  <c r="L112" i="11"/>
  <c r="M112" i="11"/>
  <c r="N112" i="11"/>
  <c r="L113" i="11"/>
  <c r="M113" i="11"/>
  <c r="N113" i="11"/>
  <c r="L114" i="11"/>
  <c r="M114" i="11"/>
  <c r="N114" i="11"/>
  <c r="L115" i="11"/>
  <c r="M115" i="11"/>
  <c r="N115" i="11"/>
  <c r="L116" i="11"/>
  <c r="M116" i="11"/>
  <c r="N116" i="11"/>
  <c r="L117" i="11"/>
  <c r="M117" i="11"/>
  <c r="N117" i="11"/>
  <c r="L118" i="11"/>
  <c r="M118" i="11"/>
  <c r="N118" i="11"/>
  <c r="L119" i="11"/>
  <c r="M119" i="11"/>
  <c r="N119" i="11"/>
  <c r="L120" i="11"/>
  <c r="M120" i="11"/>
  <c r="N120" i="11"/>
  <c r="L121" i="11"/>
  <c r="M121" i="11"/>
  <c r="N121" i="11"/>
  <c r="L122" i="11"/>
  <c r="M122" i="11"/>
  <c r="N122" i="11"/>
  <c r="L123" i="11"/>
  <c r="M123" i="11"/>
  <c r="N123" i="11"/>
  <c r="L124" i="11"/>
  <c r="M124" i="11"/>
  <c r="N124" i="11"/>
  <c r="L125" i="11"/>
  <c r="M125" i="11"/>
  <c r="N125" i="11"/>
  <c r="L126" i="11"/>
  <c r="M126" i="11"/>
  <c r="N126" i="11"/>
  <c r="L127" i="11"/>
  <c r="M127" i="11"/>
  <c r="N127" i="11"/>
  <c r="L128" i="11"/>
  <c r="M128" i="11"/>
  <c r="N128" i="11"/>
  <c r="I340" i="11"/>
  <c r="J340" i="11"/>
  <c r="K340" i="11"/>
  <c r="I341" i="11"/>
  <c r="J341" i="11"/>
  <c r="K341" i="11"/>
  <c r="I342" i="11"/>
  <c r="J342" i="11"/>
  <c r="K342" i="11"/>
  <c r="I343" i="11"/>
  <c r="J343" i="11"/>
  <c r="K343" i="11"/>
  <c r="I344" i="11"/>
  <c r="J344" i="11"/>
  <c r="K344" i="11"/>
  <c r="I345" i="11"/>
  <c r="J345" i="11"/>
  <c r="K345" i="11"/>
  <c r="I346" i="11"/>
  <c r="J346" i="11"/>
  <c r="K346" i="11"/>
  <c r="I347" i="11"/>
  <c r="J347" i="11"/>
  <c r="K347" i="11"/>
  <c r="I348" i="11"/>
  <c r="J348" i="11"/>
  <c r="K348" i="11"/>
  <c r="I349" i="11"/>
  <c r="J349" i="11"/>
  <c r="K349" i="11"/>
  <c r="I350" i="11"/>
  <c r="J350" i="11"/>
  <c r="K350" i="11"/>
  <c r="I351" i="11"/>
  <c r="J351" i="11"/>
  <c r="K351" i="11"/>
  <c r="I352" i="11"/>
  <c r="J352" i="11"/>
  <c r="K352" i="11"/>
  <c r="I353" i="11"/>
  <c r="J353" i="11"/>
  <c r="K353" i="11"/>
  <c r="I354" i="11"/>
  <c r="J354" i="11"/>
  <c r="K354" i="11"/>
  <c r="I355" i="11"/>
  <c r="J355" i="11"/>
  <c r="K355" i="11"/>
  <c r="I356" i="11"/>
  <c r="J356" i="11"/>
  <c r="K356" i="11"/>
  <c r="I357" i="11"/>
  <c r="J357" i="11"/>
  <c r="K357" i="11"/>
  <c r="I358" i="11"/>
  <c r="J358" i="11"/>
  <c r="K358" i="11"/>
  <c r="I359" i="11"/>
  <c r="J359" i="11"/>
  <c r="K359" i="11"/>
  <c r="I360" i="11"/>
  <c r="J360" i="11"/>
  <c r="K360" i="11"/>
  <c r="I361" i="11"/>
  <c r="J361" i="11"/>
  <c r="K361" i="11"/>
  <c r="I362" i="11"/>
  <c r="J362" i="11"/>
  <c r="K362" i="11"/>
  <c r="I363" i="11"/>
  <c r="J363" i="11"/>
  <c r="K363" i="11"/>
  <c r="I364" i="11"/>
  <c r="J364" i="11"/>
  <c r="K364" i="11"/>
  <c r="I365" i="11"/>
  <c r="J365" i="11"/>
  <c r="K365" i="11"/>
  <c r="I366" i="11"/>
  <c r="J366" i="11"/>
  <c r="K366" i="11"/>
  <c r="I367" i="11"/>
  <c r="J367" i="11"/>
  <c r="K367" i="11"/>
  <c r="I368" i="11"/>
  <c r="J368" i="11"/>
  <c r="K368" i="11"/>
  <c r="I369" i="11"/>
  <c r="J369" i="11"/>
  <c r="K369" i="11"/>
  <c r="I370" i="11"/>
  <c r="J370" i="11"/>
  <c r="K370" i="11"/>
  <c r="I371" i="11"/>
  <c r="J371" i="11"/>
  <c r="K371" i="11"/>
  <c r="I372" i="11"/>
  <c r="J372" i="11"/>
  <c r="K372" i="11"/>
  <c r="I373" i="11"/>
  <c r="J373" i="11"/>
  <c r="K373" i="11"/>
  <c r="I374" i="11"/>
  <c r="J374" i="11"/>
  <c r="K374" i="11"/>
  <c r="I375" i="11"/>
  <c r="J375" i="11"/>
  <c r="K375" i="11"/>
  <c r="I376" i="11"/>
  <c r="J376" i="11"/>
  <c r="K376" i="11"/>
  <c r="I377" i="11"/>
  <c r="J377" i="11"/>
  <c r="K377" i="11"/>
  <c r="I378" i="11"/>
  <c r="J378" i="11"/>
  <c r="K378" i="11"/>
  <c r="I379" i="11"/>
  <c r="J379" i="11"/>
  <c r="K379" i="11"/>
  <c r="I380" i="11"/>
  <c r="J380" i="11"/>
  <c r="K380" i="11"/>
  <c r="I381" i="11"/>
  <c r="J381" i="11"/>
  <c r="K381" i="11"/>
  <c r="I382" i="11"/>
  <c r="J382" i="11"/>
  <c r="K382" i="11"/>
  <c r="I383" i="11"/>
  <c r="J383" i="11"/>
  <c r="K383" i="11"/>
  <c r="I384" i="11"/>
  <c r="J384" i="11"/>
  <c r="K384" i="11"/>
  <c r="I385" i="11"/>
  <c r="J385" i="11"/>
  <c r="K385" i="11"/>
  <c r="I386" i="11"/>
  <c r="J386" i="11"/>
  <c r="K386" i="11"/>
  <c r="I387" i="11"/>
  <c r="J387" i="11"/>
  <c r="K387" i="11"/>
  <c r="I388" i="11"/>
  <c r="J388" i="11"/>
  <c r="K388" i="11"/>
  <c r="I389" i="11"/>
  <c r="J389" i="11"/>
  <c r="K389" i="11"/>
  <c r="I390" i="11"/>
  <c r="J390" i="11"/>
  <c r="K390" i="11"/>
  <c r="I391" i="11"/>
  <c r="J391" i="11"/>
  <c r="K391" i="11"/>
  <c r="I392" i="11"/>
  <c r="J392" i="11"/>
  <c r="K392" i="11"/>
  <c r="I393" i="11"/>
  <c r="J393" i="11"/>
  <c r="K393" i="11"/>
  <c r="I394" i="11"/>
  <c r="J394" i="11"/>
  <c r="K394" i="11"/>
  <c r="I395" i="11"/>
  <c r="J395" i="11"/>
  <c r="K395" i="11"/>
  <c r="I396" i="11"/>
  <c r="J396" i="11"/>
  <c r="K396" i="11"/>
  <c r="I397" i="11"/>
  <c r="J397" i="11"/>
  <c r="K397" i="11"/>
  <c r="I398" i="11"/>
  <c r="J398" i="11"/>
  <c r="K398" i="11"/>
  <c r="I399" i="11"/>
  <c r="J399" i="11"/>
  <c r="K399" i="11"/>
  <c r="I400" i="11"/>
  <c r="J400" i="11"/>
  <c r="K400" i="11"/>
  <c r="I401" i="11"/>
  <c r="J401" i="11"/>
  <c r="K401" i="11"/>
  <c r="I402" i="11"/>
  <c r="J402" i="11"/>
  <c r="K402" i="11"/>
  <c r="I403" i="11"/>
  <c r="J403" i="11"/>
  <c r="K403" i="11"/>
  <c r="I404" i="11"/>
  <c r="J404" i="11"/>
  <c r="K404" i="11"/>
  <c r="I405" i="11"/>
  <c r="J405" i="11"/>
  <c r="K405" i="11"/>
  <c r="I406" i="11"/>
  <c r="J406" i="11"/>
  <c r="K406" i="11"/>
  <c r="I407" i="11"/>
  <c r="J407" i="11"/>
  <c r="K407" i="11"/>
  <c r="I408" i="11"/>
  <c r="J408" i="11"/>
  <c r="K408" i="11"/>
  <c r="I409" i="11"/>
  <c r="J409" i="11"/>
  <c r="K409" i="11"/>
  <c r="I410" i="11"/>
  <c r="J410" i="11"/>
  <c r="K410" i="11"/>
  <c r="I411" i="11"/>
  <c r="J411" i="11"/>
  <c r="K411" i="11"/>
  <c r="I412" i="11"/>
  <c r="J412" i="11"/>
  <c r="K412" i="11"/>
  <c r="I413" i="11"/>
  <c r="J413" i="11"/>
  <c r="K413" i="11"/>
  <c r="I414" i="11"/>
  <c r="J414" i="11"/>
  <c r="K414" i="11"/>
  <c r="I415" i="11"/>
  <c r="J415" i="11"/>
  <c r="K415" i="11"/>
  <c r="I416" i="11"/>
  <c r="J416" i="11"/>
  <c r="K416" i="11"/>
  <c r="I417" i="11"/>
  <c r="J417" i="11"/>
  <c r="K417" i="11"/>
  <c r="I418" i="11"/>
  <c r="J418" i="11"/>
  <c r="K418" i="11"/>
  <c r="I419" i="11"/>
  <c r="J419" i="11"/>
  <c r="K419" i="11"/>
  <c r="I420" i="11"/>
  <c r="J420" i="11"/>
  <c r="K420" i="11"/>
  <c r="I421" i="11"/>
  <c r="J421" i="11"/>
  <c r="K421" i="11"/>
  <c r="I422" i="11"/>
  <c r="J422" i="11"/>
  <c r="K422" i="11"/>
  <c r="J339" i="11"/>
  <c r="K339" i="11"/>
  <c r="I339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3" i="11"/>
  <c r="E130" i="11"/>
  <c r="H130" i="11" s="1"/>
  <c r="E131" i="11"/>
  <c r="H131" i="11" s="1"/>
  <c r="E132" i="11"/>
  <c r="H132" i="11" s="1"/>
  <c r="E133" i="11"/>
  <c r="H133" i="11" s="1"/>
  <c r="E134" i="11"/>
  <c r="H134" i="11" s="1"/>
  <c r="E135" i="11"/>
  <c r="H135" i="11" s="1"/>
  <c r="E136" i="11"/>
  <c r="H136" i="11" s="1"/>
  <c r="E137" i="11"/>
  <c r="H137" i="11" s="1"/>
  <c r="E138" i="11"/>
  <c r="H138" i="11" s="1"/>
  <c r="E139" i="11"/>
  <c r="H139" i="11" s="1"/>
  <c r="E140" i="11"/>
  <c r="H140" i="11" s="1"/>
  <c r="E141" i="11"/>
  <c r="H141" i="11" s="1"/>
  <c r="E142" i="11"/>
  <c r="H142" i="11" s="1"/>
  <c r="E143" i="11"/>
  <c r="H143" i="11" s="1"/>
  <c r="E144" i="11"/>
  <c r="H144" i="11" s="1"/>
  <c r="E145" i="11"/>
  <c r="O145" i="11" s="1"/>
  <c r="E146" i="11"/>
  <c r="H146" i="11" s="1"/>
  <c r="E147" i="11"/>
  <c r="H147" i="11" s="1"/>
  <c r="E148" i="11"/>
  <c r="H148" i="11" s="1"/>
  <c r="E149" i="11"/>
  <c r="H149" i="11" s="1"/>
  <c r="E150" i="11"/>
  <c r="H150" i="11" s="1"/>
  <c r="E151" i="11"/>
  <c r="H151" i="11" s="1"/>
  <c r="E152" i="11"/>
  <c r="H152" i="11" s="1"/>
  <c r="E153" i="11"/>
  <c r="H153" i="11" s="1"/>
  <c r="E154" i="11"/>
  <c r="H154" i="11" s="1"/>
  <c r="E155" i="11"/>
  <c r="H155" i="11" s="1"/>
  <c r="E156" i="11"/>
  <c r="H156" i="11" s="1"/>
  <c r="E157" i="11"/>
  <c r="H157" i="11" s="1"/>
  <c r="E158" i="11"/>
  <c r="H158" i="11" s="1"/>
  <c r="E159" i="11"/>
  <c r="H159" i="11" s="1"/>
  <c r="E160" i="11"/>
  <c r="H160" i="11" s="1"/>
  <c r="E161" i="11"/>
  <c r="H161" i="11" s="1"/>
  <c r="E162" i="11"/>
  <c r="H162" i="11" s="1"/>
  <c r="E163" i="11"/>
  <c r="H163" i="11" s="1"/>
  <c r="E164" i="11"/>
  <c r="H164" i="11" s="1"/>
  <c r="E165" i="11"/>
  <c r="H165" i="11" s="1"/>
  <c r="E166" i="11"/>
  <c r="H166" i="11" s="1"/>
  <c r="E167" i="11"/>
  <c r="H167" i="11" s="1"/>
  <c r="E168" i="11"/>
  <c r="H168" i="11" s="1"/>
  <c r="E169" i="11"/>
  <c r="H169" i="11" s="1"/>
  <c r="E170" i="11"/>
  <c r="H170" i="11" s="1"/>
  <c r="E171" i="11"/>
  <c r="H171" i="11" s="1"/>
  <c r="E172" i="11"/>
  <c r="H172" i="11" s="1"/>
  <c r="E173" i="11"/>
  <c r="Q173" i="11" s="1"/>
  <c r="E174" i="11"/>
  <c r="H174" i="11" s="1"/>
  <c r="E175" i="11"/>
  <c r="H175" i="11" s="1"/>
  <c r="E176" i="11"/>
  <c r="H176" i="11" s="1"/>
  <c r="E177" i="11"/>
  <c r="O177" i="11" s="1"/>
  <c r="E178" i="11"/>
  <c r="H178" i="11" s="1"/>
  <c r="E179" i="11"/>
  <c r="H179" i="11" s="1"/>
  <c r="E180" i="11"/>
  <c r="H180" i="11" s="1"/>
  <c r="E181" i="11"/>
  <c r="H181" i="11" s="1"/>
  <c r="E182" i="11"/>
  <c r="H182" i="11" s="1"/>
  <c r="E183" i="11"/>
  <c r="H183" i="11" s="1"/>
  <c r="E184" i="11"/>
  <c r="H184" i="11" s="1"/>
  <c r="E185" i="11"/>
  <c r="H185" i="11" s="1"/>
  <c r="E186" i="11"/>
  <c r="H186" i="11" s="1"/>
  <c r="E187" i="11"/>
  <c r="H187" i="11" s="1"/>
  <c r="E188" i="11"/>
  <c r="H188" i="11" s="1"/>
  <c r="E189" i="11"/>
  <c r="H189" i="11" s="1"/>
  <c r="E190" i="11"/>
  <c r="H190" i="11" s="1"/>
  <c r="E191" i="11"/>
  <c r="O191" i="11" s="1"/>
  <c r="E192" i="11"/>
  <c r="H192" i="11" s="1"/>
  <c r="E193" i="11"/>
  <c r="H193" i="11" s="1"/>
  <c r="E194" i="11"/>
  <c r="H194" i="11" s="1"/>
  <c r="E195" i="11"/>
  <c r="H195" i="11" s="1"/>
  <c r="E196" i="11"/>
  <c r="H196" i="11" s="1"/>
  <c r="E197" i="11"/>
  <c r="H197" i="11" s="1"/>
  <c r="E198" i="11"/>
  <c r="H198" i="11" s="1"/>
  <c r="E199" i="11"/>
  <c r="H199" i="11" s="1"/>
  <c r="E200" i="11"/>
  <c r="H200" i="11" s="1"/>
  <c r="E201" i="11"/>
  <c r="H201" i="11" s="1"/>
  <c r="E202" i="11"/>
  <c r="H202" i="11" s="1"/>
  <c r="E203" i="11"/>
  <c r="H203" i="11" s="1"/>
  <c r="E204" i="11"/>
  <c r="H204" i="11" s="1"/>
  <c r="E205" i="11"/>
  <c r="H205" i="11" s="1"/>
  <c r="E206" i="11"/>
  <c r="H206" i="11" s="1"/>
  <c r="E207" i="11"/>
  <c r="H207" i="11" s="1"/>
  <c r="E208" i="11"/>
  <c r="H208" i="11" s="1"/>
  <c r="E209" i="11"/>
  <c r="H209" i="11" s="1"/>
  <c r="E210" i="11"/>
  <c r="H210" i="11" s="1"/>
  <c r="E211" i="11"/>
  <c r="H211" i="11" s="1"/>
  <c r="E212" i="11"/>
  <c r="H212" i="11" s="1"/>
  <c r="E129" i="11"/>
  <c r="H129" i="11" s="1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3" i="10"/>
  <c r="AA4" i="10"/>
  <c r="AB4" i="10"/>
  <c r="AC4" i="10"/>
  <c r="AA5" i="10"/>
  <c r="AB5" i="10"/>
  <c r="AC5" i="10"/>
  <c r="AA6" i="10"/>
  <c r="AB6" i="10"/>
  <c r="AC6" i="10"/>
  <c r="AA7" i="10"/>
  <c r="AB7" i="10"/>
  <c r="AC7" i="10"/>
  <c r="AA8" i="10"/>
  <c r="AB8" i="10"/>
  <c r="AC8" i="10"/>
  <c r="AA9" i="10"/>
  <c r="AB9" i="10"/>
  <c r="AC9" i="10"/>
  <c r="AA10" i="10"/>
  <c r="AB10" i="10"/>
  <c r="AC10" i="10"/>
  <c r="AA11" i="10"/>
  <c r="AB11" i="10"/>
  <c r="AC11" i="10"/>
  <c r="AA12" i="10"/>
  <c r="AB12" i="10"/>
  <c r="AC12" i="10"/>
  <c r="AA13" i="10"/>
  <c r="AB13" i="10"/>
  <c r="AC13" i="10"/>
  <c r="AA14" i="10"/>
  <c r="AB14" i="10"/>
  <c r="AC14" i="10"/>
  <c r="AA15" i="10"/>
  <c r="AB15" i="10"/>
  <c r="AC15" i="10"/>
  <c r="AA16" i="10"/>
  <c r="AB16" i="10"/>
  <c r="AC16" i="10"/>
  <c r="AA17" i="10"/>
  <c r="AB17" i="10"/>
  <c r="AC17" i="10"/>
  <c r="AA18" i="10"/>
  <c r="AB18" i="10"/>
  <c r="AC18" i="10"/>
  <c r="AA19" i="10"/>
  <c r="AB19" i="10"/>
  <c r="AC19" i="10"/>
  <c r="AA20" i="10"/>
  <c r="AB20" i="10"/>
  <c r="AC20" i="10"/>
  <c r="AA21" i="10"/>
  <c r="AB21" i="10"/>
  <c r="AC21" i="10"/>
  <c r="AA22" i="10"/>
  <c r="AB22" i="10"/>
  <c r="AC22" i="10"/>
  <c r="AA23" i="10"/>
  <c r="AB23" i="10"/>
  <c r="AC23" i="10"/>
  <c r="AA24" i="10"/>
  <c r="AB24" i="10"/>
  <c r="AC24" i="10"/>
  <c r="AA25" i="10"/>
  <c r="AB25" i="10"/>
  <c r="AC25" i="10"/>
  <c r="AA26" i="10"/>
  <c r="AB26" i="10"/>
  <c r="AC26" i="10"/>
  <c r="AA27" i="10"/>
  <c r="AB27" i="10"/>
  <c r="AC27" i="10"/>
  <c r="AA28" i="10"/>
  <c r="AB28" i="10"/>
  <c r="AC28" i="10"/>
  <c r="AA29" i="10"/>
  <c r="AB29" i="10"/>
  <c r="AC29" i="10"/>
  <c r="AA30" i="10"/>
  <c r="AB30" i="10"/>
  <c r="AC30" i="10"/>
  <c r="AA31" i="10"/>
  <c r="AB31" i="10"/>
  <c r="AC31" i="10"/>
  <c r="AA32" i="10"/>
  <c r="AB32" i="10"/>
  <c r="AC32" i="10"/>
  <c r="AA33" i="10"/>
  <c r="AB33" i="10"/>
  <c r="AC33" i="10"/>
  <c r="AA34" i="10"/>
  <c r="AB34" i="10"/>
  <c r="AC34" i="10"/>
  <c r="AA35" i="10"/>
  <c r="AB35" i="10"/>
  <c r="AC35" i="10"/>
  <c r="AA36" i="10"/>
  <c r="AB36" i="10"/>
  <c r="AC36" i="10"/>
  <c r="AA37" i="10"/>
  <c r="AB37" i="10"/>
  <c r="AC37" i="10"/>
  <c r="AA38" i="10"/>
  <c r="AB38" i="10"/>
  <c r="AC38" i="10"/>
  <c r="AA39" i="10"/>
  <c r="AB39" i="10"/>
  <c r="AC39" i="10"/>
  <c r="AA40" i="10"/>
  <c r="AB40" i="10"/>
  <c r="AC40" i="10"/>
  <c r="AA41" i="10"/>
  <c r="AB41" i="10"/>
  <c r="AC41" i="10"/>
  <c r="AA42" i="10"/>
  <c r="AB42" i="10"/>
  <c r="AC42" i="10"/>
  <c r="AA43" i="10"/>
  <c r="AB43" i="10"/>
  <c r="AC43" i="10"/>
  <c r="AA44" i="10"/>
  <c r="AB44" i="10"/>
  <c r="AC44" i="10"/>
  <c r="AA45" i="10"/>
  <c r="AB45" i="10"/>
  <c r="AC45" i="10"/>
  <c r="AA46" i="10"/>
  <c r="AB46" i="10"/>
  <c r="AC46" i="10"/>
  <c r="AA47" i="10"/>
  <c r="AB47" i="10"/>
  <c r="AC47" i="10"/>
  <c r="AA48" i="10"/>
  <c r="AB48" i="10"/>
  <c r="AC48" i="10"/>
  <c r="AA49" i="10"/>
  <c r="AB49" i="10"/>
  <c r="AC49" i="10"/>
  <c r="AA50" i="10"/>
  <c r="AB50" i="10"/>
  <c r="AC50" i="10"/>
  <c r="AA51" i="10"/>
  <c r="AB51" i="10"/>
  <c r="AC51" i="10"/>
  <c r="AA52" i="10"/>
  <c r="AB52" i="10"/>
  <c r="AC52" i="10"/>
  <c r="AA53" i="10"/>
  <c r="AB53" i="10"/>
  <c r="AC53" i="10"/>
  <c r="AA54" i="10"/>
  <c r="AB54" i="10"/>
  <c r="AC54" i="10"/>
  <c r="AA55" i="10"/>
  <c r="AB55" i="10"/>
  <c r="AC55" i="10"/>
  <c r="AA56" i="10"/>
  <c r="AB56" i="10"/>
  <c r="AC56" i="10"/>
  <c r="AA57" i="10"/>
  <c r="AB57" i="10"/>
  <c r="AC57" i="10"/>
  <c r="AA58" i="10"/>
  <c r="AB58" i="10"/>
  <c r="AC58" i="10"/>
  <c r="AA59" i="10"/>
  <c r="AB59" i="10"/>
  <c r="AC59" i="10"/>
  <c r="AA60" i="10"/>
  <c r="AB60" i="10"/>
  <c r="AC60" i="10"/>
  <c r="AA61" i="10"/>
  <c r="AB61" i="10"/>
  <c r="AC61" i="10"/>
  <c r="AA62" i="10"/>
  <c r="AB62" i="10"/>
  <c r="AC62" i="10"/>
  <c r="AA63" i="10"/>
  <c r="AB63" i="10"/>
  <c r="AC63" i="10"/>
  <c r="AA64" i="10"/>
  <c r="AB64" i="10"/>
  <c r="AC64" i="10"/>
  <c r="AA65" i="10"/>
  <c r="AB65" i="10"/>
  <c r="AC65" i="10"/>
  <c r="AA66" i="10"/>
  <c r="AB66" i="10"/>
  <c r="AC66" i="10"/>
  <c r="AA67" i="10"/>
  <c r="AB67" i="10"/>
  <c r="AC67" i="10"/>
  <c r="AA68" i="10"/>
  <c r="AB68" i="10"/>
  <c r="AC68" i="10"/>
  <c r="AA69" i="10"/>
  <c r="AB69" i="10"/>
  <c r="AC69" i="10"/>
  <c r="AA70" i="10"/>
  <c r="AB70" i="10"/>
  <c r="AC70" i="10"/>
  <c r="AA71" i="10"/>
  <c r="AB71" i="10"/>
  <c r="AC71" i="10"/>
  <c r="AA72" i="10"/>
  <c r="AB72" i="10"/>
  <c r="AC72" i="10"/>
  <c r="AA73" i="10"/>
  <c r="AB73" i="10"/>
  <c r="AC73" i="10"/>
  <c r="AA74" i="10"/>
  <c r="AB74" i="10"/>
  <c r="AC74" i="10"/>
  <c r="AA75" i="10"/>
  <c r="AB75" i="10"/>
  <c r="AC75" i="10"/>
  <c r="AA76" i="10"/>
  <c r="AB76" i="10"/>
  <c r="AC76" i="10"/>
  <c r="AA77" i="10"/>
  <c r="AB77" i="10"/>
  <c r="AC77" i="10"/>
  <c r="AA78" i="10"/>
  <c r="AB78" i="10"/>
  <c r="AC78" i="10"/>
  <c r="AA79" i="10"/>
  <c r="AB79" i="10"/>
  <c r="AC79" i="10"/>
  <c r="AA80" i="10"/>
  <c r="AB80" i="10"/>
  <c r="AC80" i="10"/>
  <c r="AA81" i="10"/>
  <c r="AB81" i="10"/>
  <c r="AC81" i="10"/>
  <c r="AA82" i="10"/>
  <c r="AB82" i="10"/>
  <c r="AC82" i="10"/>
  <c r="AA83" i="10"/>
  <c r="AB83" i="10"/>
  <c r="AC83" i="10"/>
  <c r="AA84" i="10"/>
  <c r="AB84" i="10"/>
  <c r="AC84" i="10"/>
  <c r="AA85" i="10"/>
  <c r="AB85" i="10"/>
  <c r="AC85" i="10"/>
  <c r="AA86" i="10"/>
  <c r="AB86" i="10"/>
  <c r="AC86" i="10"/>
  <c r="AB3" i="10"/>
  <c r="AC3" i="10"/>
  <c r="AA3" i="10"/>
  <c r="AT8" i="10"/>
  <c r="Y3" i="10"/>
  <c r="Y4" i="10"/>
  <c r="Y5" i="10"/>
  <c r="Y6" i="10"/>
  <c r="Y7" i="10"/>
  <c r="Y8" i="10"/>
  <c r="Y9" i="10"/>
  <c r="G429" i="11" s="1"/>
  <c r="Y10" i="10"/>
  <c r="Y11" i="10"/>
  <c r="Y12" i="10"/>
  <c r="Y13" i="10"/>
  <c r="Y14" i="10"/>
  <c r="Y15" i="10"/>
  <c r="Y16" i="10"/>
  <c r="Y17" i="10"/>
  <c r="G437" i="11" s="1"/>
  <c r="Y18" i="10"/>
  <c r="Y19" i="10"/>
  <c r="Y20" i="10"/>
  <c r="Y21" i="10"/>
  <c r="Y22" i="10"/>
  <c r="Y23" i="10"/>
  <c r="Y24" i="10"/>
  <c r="Y25" i="10"/>
  <c r="Y26" i="10"/>
  <c r="Y27" i="10"/>
  <c r="Y28" i="10"/>
  <c r="G469" i="11" s="1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G483" i="11" s="1"/>
  <c r="Y43" i="10"/>
  <c r="Y44" i="10"/>
  <c r="Y66" i="10"/>
  <c r="Y67" i="10"/>
  <c r="Y68" i="10"/>
  <c r="X86" i="10"/>
  <c r="Y86" i="10" s="1"/>
  <c r="M12" i="13"/>
  <c r="N12" i="13"/>
  <c r="V835" i="16" l="1"/>
  <c r="S835" i="16"/>
  <c r="T835" i="16"/>
  <c r="U835" i="16"/>
  <c r="V119" i="16"/>
  <c r="S119" i="16"/>
  <c r="T119" i="16"/>
  <c r="U119" i="16"/>
  <c r="S814" i="16"/>
  <c r="T814" i="16"/>
  <c r="U814" i="16"/>
  <c r="V814" i="16"/>
  <c r="S753" i="16"/>
  <c r="T753" i="16"/>
  <c r="U753" i="16"/>
  <c r="V753" i="16"/>
  <c r="S876" i="16"/>
  <c r="T876" i="16"/>
  <c r="U876" i="16"/>
  <c r="V876" i="16"/>
  <c r="V855" i="16"/>
  <c r="S855" i="16"/>
  <c r="T855" i="16"/>
  <c r="U855" i="16"/>
  <c r="V897" i="16"/>
  <c r="S897" i="16"/>
  <c r="T897" i="16"/>
  <c r="U897" i="16"/>
  <c r="AQ814" i="16"/>
  <c r="W814" i="16" s="1"/>
  <c r="AR814" i="16"/>
  <c r="X814" i="16" s="1"/>
  <c r="AQ835" i="16"/>
  <c r="W835" i="16" s="1"/>
  <c r="AR835" i="16"/>
  <c r="X835" i="16" s="1"/>
  <c r="AQ876" i="16"/>
  <c r="W876" i="16" s="1"/>
  <c r="AR876" i="16"/>
  <c r="X876" i="16" s="1"/>
  <c r="AQ855" i="16"/>
  <c r="W855" i="16" s="1"/>
  <c r="AR855" i="16"/>
  <c r="X855" i="16" s="1"/>
  <c r="AQ753" i="16"/>
  <c r="W753" i="16" s="1"/>
  <c r="AR753" i="16"/>
  <c r="X753" i="16" s="1"/>
  <c r="AQ897" i="16"/>
  <c r="W897" i="16" s="1"/>
  <c r="AR897" i="16"/>
  <c r="X897" i="16" s="1"/>
  <c r="AQ119" i="16"/>
  <c r="W119" i="16" s="1"/>
  <c r="AR119" i="16"/>
  <c r="X119" i="16" s="1"/>
  <c r="I118" i="16"/>
  <c r="H118" i="16"/>
  <c r="AA119" i="16"/>
  <c r="H119" i="16" s="1"/>
  <c r="I917" i="16"/>
  <c r="J917" i="16"/>
  <c r="H917" i="16"/>
  <c r="R917" i="16"/>
  <c r="P917" i="16"/>
  <c r="Q917" i="16"/>
  <c r="O917" i="16"/>
  <c r="M918" i="16"/>
  <c r="G918" i="16"/>
  <c r="L918" i="16"/>
  <c r="K918" i="16"/>
  <c r="N918" i="16"/>
  <c r="J97" i="1"/>
  <c r="E919" i="16"/>
  <c r="J875" i="16"/>
  <c r="H875" i="16"/>
  <c r="I875" i="16"/>
  <c r="J854" i="16"/>
  <c r="I854" i="16"/>
  <c r="H854" i="16"/>
  <c r="R896" i="16"/>
  <c r="Q896" i="16"/>
  <c r="P896" i="16"/>
  <c r="O896" i="16"/>
  <c r="AA876" i="16"/>
  <c r="L876" i="16"/>
  <c r="N876" i="16"/>
  <c r="K876" i="16"/>
  <c r="M876" i="16"/>
  <c r="J896" i="16"/>
  <c r="H896" i="16"/>
  <c r="I896" i="16"/>
  <c r="M835" i="16"/>
  <c r="L835" i="16"/>
  <c r="K835" i="16"/>
  <c r="AA835" i="16"/>
  <c r="N835" i="16"/>
  <c r="P875" i="16"/>
  <c r="R875" i="16"/>
  <c r="Q875" i="16"/>
  <c r="O875" i="16"/>
  <c r="E836" i="16"/>
  <c r="AP836" i="16" s="1"/>
  <c r="E856" i="16"/>
  <c r="AP856" i="16" s="1"/>
  <c r="E815" i="16"/>
  <c r="AP815" i="16" s="1"/>
  <c r="J834" i="16"/>
  <c r="I834" i="16"/>
  <c r="H834" i="16"/>
  <c r="P854" i="16"/>
  <c r="Q854" i="16"/>
  <c r="O854" i="16"/>
  <c r="R854" i="16"/>
  <c r="M855" i="16"/>
  <c r="L855" i="16"/>
  <c r="K855" i="16"/>
  <c r="AA855" i="16"/>
  <c r="N855" i="16"/>
  <c r="L814" i="16"/>
  <c r="M814" i="16"/>
  <c r="N814" i="16"/>
  <c r="AA814" i="16"/>
  <c r="K814" i="16"/>
  <c r="E877" i="16"/>
  <c r="AP877" i="16" s="1"/>
  <c r="R834" i="16"/>
  <c r="Q834" i="16"/>
  <c r="P834" i="16"/>
  <c r="O834" i="16"/>
  <c r="J813" i="16"/>
  <c r="I813" i="16"/>
  <c r="H813" i="16"/>
  <c r="E898" i="16"/>
  <c r="AP898" i="16" s="1"/>
  <c r="P813" i="16"/>
  <c r="Q813" i="16"/>
  <c r="O813" i="16"/>
  <c r="R813" i="16"/>
  <c r="N897" i="16"/>
  <c r="AA897" i="16"/>
  <c r="L897" i="16"/>
  <c r="K897" i="16"/>
  <c r="M897" i="16"/>
  <c r="Z44" i="10"/>
  <c r="E485" i="11" s="1"/>
  <c r="Z36" i="10"/>
  <c r="E477" i="11" s="1"/>
  <c r="Z28" i="10"/>
  <c r="E469" i="11" s="1"/>
  <c r="Q522" i="16"/>
  <c r="R522" i="16"/>
  <c r="P522" i="16"/>
  <c r="O522" i="16"/>
  <c r="G523" i="16"/>
  <c r="N523" i="16"/>
  <c r="K523" i="16"/>
  <c r="M523" i="16"/>
  <c r="L523" i="16"/>
  <c r="E524" i="16"/>
  <c r="E545" i="16"/>
  <c r="N753" i="16"/>
  <c r="M753" i="16"/>
  <c r="L753" i="16"/>
  <c r="K753" i="16"/>
  <c r="Q543" i="16"/>
  <c r="P543" i="16"/>
  <c r="R543" i="16"/>
  <c r="O543" i="16"/>
  <c r="E754" i="16"/>
  <c r="AP754" i="16" s="1"/>
  <c r="G544" i="16"/>
  <c r="L544" i="16"/>
  <c r="M544" i="16"/>
  <c r="K544" i="16"/>
  <c r="N544" i="16"/>
  <c r="P752" i="16"/>
  <c r="O752" i="16"/>
  <c r="Q752" i="16"/>
  <c r="R752" i="16"/>
  <c r="H190" i="16"/>
  <c r="I190" i="16"/>
  <c r="J190" i="16"/>
  <c r="H171" i="16"/>
  <c r="J171" i="16"/>
  <c r="I171" i="16"/>
  <c r="H149" i="16"/>
  <c r="J149" i="16"/>
  <c r="I149" i="16"/>
  <c r="H189" i="16"/>
  <c r="J189" i="16"/>
  <c r="I189" i="16"/>
  <c r="I172" i="16"/>
  <c r="H172" i="16"/>
  <c r="J172" i="16"/>
  <c r="J177" i="16"/>
  <c r="H177" i="16"/>
  <c r="I177" i="16"/>
  <c r="AD51" i="10"/>
  <c r="I450" i="11" s="1"/>
  <c r="AD82" i="10"/>
  <c r="I502" i="11" s="1"/>
  <c r="AE79" i="10"/>
  <c r="J499" i="11" s="1"/>
  <c r="AF76" i="10"/>
  <c r="K496" i="11" s="1"/>
  <c r="AD74" i="10"/>
  <c r="I494" i="11" s="1"/>
  <c r="AE71" i="10"/>
  <c r="J491" i="11" s="1"/>
  <c r="AF68" i="10"/>
  <c r="K488" i="11" s="1"/>
  <c r="AD66" i="10"/>
  <c r="I486" i="11" s="1"/>
  <c r="AE63" i="10"/>
  <c r="J462" i="11" s="1"/>
  <c r="AF60" i="10"/>
  <c r="K459" i="11" s="1"/>
  <c r="AD58" i="10"/>
  <c r="I457" i="11" s="1"/>
  <c r="AE55" i="10"/>
  <c r="J454" i="11" s="1"/>
  <c r="AF52" i="10"/>
  <c r="K451" i="11" s="1"/>
  <c r="AD50" i="10"/>
  <c r="I449" i="11" s="1"/>
  <c r="AE47" i="10"/>
  <c r="J446" i="11" s="1"/>
  <c r="AF44" i="10"/>
  <c r="AD42" i="10"/>
  <c r="H230" i="16" s="1"/>
  <c r="AE39" i="10"/>
  <c r="AF36" i="10"/>
  <c r="AD34" i="10"/>
  <c r="H222" i="16" s="1"/>
  <c r="AE31" i="10"/>
  <c r="AF28" i="10"/>
  <c r="AD26" i="10"/>
  <c r="AE23" i="10"/>
  <c r="AF20" i="10"/>
  <c r="K440" i="11" s="1"/>
  <c r="AD18" i="10"/>
  <c r="AE15" i="10"/>
  <c r="I203" i="16" s="1"/>
  <c r="AF12" i="10"/>
  <c r="K432" i="11" s="1"/>
  <c r="AD10" i="10"/>
  <c r="AE7" i="10"/>
  <c r="AF4" i="10"/>
  <c r="AE84" i="10"/>
  <c r="J504" i="11" s="1"/>
  <c r="AD71" i="10"/>
  <c r="I491" i="11" s="1"/>
  <c r="AD63" i="10"/>
  <c r="I462" i="11" s="1"/>
  <c r="AE60" i="10"/>
  <c r="J459" i="11" s="1"/>
  <c r="AF57" i="10"/>
  <c r="K456" i="11" s="1"/>
  <c r="AD55" i="10"/>
  <c r="I454" i="11" s="1"/>
  <c r="AE52" i="10"/>
  <c r="J451" i="11" s="1"/>
  <c r="AF49" i="10"/>
  <c r="K448" i="11" s="1"/>
  <c r="AD47" i="10"/>
  <c r="I446" i="11" s="1"/>
  <c r="AE44" i="10"/>
  <c r="J485" i="11" s="1"/>
  <c r="AF41" i="10"/>
  <c r="K482" i="11" s="1"/>
  <c r="AD39" i="10"/>
  <c r="AE36" i="10"/>
  <c r="AF33" i="10"/>
  <c r="AD31" i="10"/>
  <c r="AE28" i="10"/>
  <c r="AF25" i="10"/>
  <c r="AD23" i="10"/>
  <c r="H211" i="16" s="1"/>
  <c r="AE20" i="10"/>
  <c r="AF17" i="10"/>
  <c r="K437" i="11" s="1"/>
  <c r="N437" i="11" s="1"/>
  <c r="AD15" i="10"/>
  <c r="H203" i="16" s="1"/>
  <c r="AE12" i="10"/>
  <c r="AF9" i="10"/>
  <c r="AD7" i="10"/>
  <c r="AE4" i="10"/>
  <c r="AF3" i="10"/>
  <c r="J191" i="16" s="1"/>
  <c r="AF73" i="10"/>
  <c r="K493" i="11" s="1"/>
  <c r="AE81" i="10"/>
  <c r="J501" i="11" s="1"/>
  <c r="AF70" i="10"/>
  <c r="K490" i="11" s="1"/>
  <c r="AF62" i="10"/>
  <c r="K461" i="11" s="1"/>
  <c r="AE57" i="10"/>
  <c r="J456" i="11" s="1"/>
  <c r="AD52" i="10"/>
  <c r="I451" i="11" s="1"/>
  <c r="AF46" i="10"/>
  <c r="K445" i="11" s="1"/>
  <c r="AE41" i="10"/>
  <c r="AD36" i="10"/>
  <c r="AE33" i="10"/>
  <c r="AD28" i="10"/>
  <c r="AE25" i="10"/>
  <c r="AF22" i="10"/>
  <c r="AD20" i="10"/>
  <c r="AE17" i="10"/>
  <c r="AF14" i="10"/>
  <c r="K434" i="11" s="1"/>
  <c r="AD12" i="10"/>
  <c r="I432" i="11" s="1"/>
  <c r="AE9" i="10"/>
  <c r="J429" i="11" s="1"/>
  <c r="M429" i="11" s="1"/>
  <c r="AF6" i="10"/>
  <c r="AD4" i="10"/>
  <c r="I424" i="11" s="1"/>
  <c r="AF81" i="10"/>
  <c r="K501" i="11" s="1"/>
  <c r="AF86" i="10"/>
  <c r="K506" i="11" s="1"/>
  <c r="AF78" i="10"/>
  <c r="K498" i="11" s="1"/>
  <c r="AD68" i="10"/>
  <c r="I488" i="11" s="1"/>
  <c r="AD60" i="10"/>
  <c r="I459" i="11" s="1"/>
  <c r="AF54" i="10"/>
  <c r="K453" i="11" s="1"/>
  <c r="AE49" i="10"/>
  <c r="J448" i="11" s="1"/>
  <c r="AD44" i="10"/>
  <c r="I485" i="11" s="1"/>
  <c r="AF38" i="10"/>
  <c r="AF30" i="10"/>
  <c r="AE86" i="10"/>
  <c r="J506" i="11" s="1"/>
  <c r="AF83" i="10"/>
  <c r="K503" i="11" s="1"/>
  <c r="AD81" i="10"/>
  <c r="I501" i="11" s="1"/>
  <c r="AE78" i="10"/>
  <c r="J498" i="11" s="1"/>
  <c r="AF75" i="10"/>
  <c r="K495" i="11" s="1"/>
  <c r="AD73" i="10"/>
  <c r="I493" i="11" s="1"/>
  <c r="AE70" i="10"/>
  <c r="J490" i="11" s="1"/>
  <c r="AF67" i="10"/>
  <c r="K487" i="11" s="1"/>
  <c r="AD65" i="10"/>
  <c r="I464" i="11" s="1"/>
  <c r="AF43" i="10"/>
  <c r="K484" i="11" s="1"/>
  <c r="AE22" i="10"/>
  <c r="AD79" i="10"/>
  <c r="I499" i="11" s="1"/>
  <c r="AD84" i="10"/>
  <c r="I504" i="11" s="1"/>
  <c r="AE73" i="10"/>
  <c r="J493" i="11" s="1"/>
  <c r="AD86" i="10"/>
  <c r="I506" i="11" s="1"/>
  <c r="AF80" i="10"/>
  <c r="K500" i="11" s="1"/>
  <c r="AE75" i="10"/>
  <c r="J495" i="11" s="1"/>
  <c r="AD70" i="10"/>
  <c r="I490" i="11" s="1"/>
  <c r="AF64" i="10"/>
  <c r="K463" i="11" s="1"/>
  <c r="AE59" i="10"/>
  <c r="J458" i="11" s="1"/>
  <c r="AD54" i="10"/>
  <c r="I453" i="11" s="1"/>
  <c r="AF48" i="10"/>
  <c r="K447" i="11" s="1"/>
  <c r="AE43" i="10"/>
  <c r="AD38" i="10"/>
  <c r="AF32" i="10"/>
  <c r="AE27" i="10"/>
  <c r="AF24" i="10"/>
  <c r="AE19" i="10"/>
  <c r="I207" i="16" s="1"/>
  <c r="AF16" i="10"/>
  <c r="AD14" i="10"/>
  <c r="AE11" i="10"/>
  <c r="I199" i="16" s="1"/>
  <c r="AF8" i="10"/>
  <c r="AD6" i="10"/>
  <c r="AF84" i="10"/>
  <c r="K504" i="11" s="1"/>
  <c r="AE68" i="10"/>
  <c r="J488" i="11" s="1"/>
  <c r="AD76" i="10"/>
  <c r="I496" i="11" s="1"/>
  <c r="AE65" i="10"/>
  <c r="J464" i="11" s="1"/>
  <c r="AE83" i="10"/>
  <c r="J503" i="11" s="1"/>
  <c r="AD78" i="10"/>
  <c r="I498" i="11" s="1"/>
  <c r="AF72" i="10"/>
  <c r="K492" i="11" s="1"/>
  <c r="AE67" i="10"/>
  <c r="J487" i="11" s="1"/>
  <c r="AD62" i="10"/>
  <c r="I461" i="11" s="1"/>
  <c r="AF56" i="10"/>
  <c r="K455" i="11" s="1"/>
  <c r="AE51" i="10"/>
  <c r="J450" i="11" s="1"/>
  <c r="AD46" i="10"/>
  <c r="I445" i="11" s="1"/>
  <c r="AF40" i="10"/>
  <c r="AE35" i="10"/>
  <c r="AD30" i="10"/>
  <c r="AD22" i="10"/>
  <c r="AF85" i="10"/>
  <c r="K505" i="11" s="1"/>
  <c r="AD83" i="10"/>
  <c r="I503" i="11" s="1"/>
  <c r="AE80" i="10"/>
  <c r="J500" i="11" s="1"/>
  <c r="AF77" i="10"/>
  <c r="K497" i="11" s="1"/>
  <c r="AD75" i="10"/>
  <c r="I495" i="11" s="1"/>
  <c r="AE72" i="10"/>
  <c r="J492" i="11" s="1"/>
  <c r="AF69" i="10"/>
  <c r="K489" i="11" s="1"/>
  <c r="AD67" i="10"/>
  <c r="I487" i="11" s="1"/>
  <c r="AE64" i="10"/>
  <c r="J463" i="11" s="1"/>
  <c r="AF61" i="10"/>
  <c r="K460" i="11" s="1"/>
  <c r="AD59" i="10"/>
  <c r="I458" i="11" s="1"/>
  <c r="AE56" i="10"/>
  <c r="J455" i="11" s="1"/>
  <c r="AF53" i="10"/>
  <c r="K452" i="11" s="1"/>
  <c r="AF29" i="10"/>
  <c r="AE8" i="10"/>
  <c r="I196" i="16" s="1"/>
  <c r="AE3" i="10"/>
  <c r="AF65" i="10"/>
  <c r="K464" i="11" s="1"/>
  <c r="AF82" i="10"/>
  <c r="K502" i="11" s="1"/>
  <c r="AD80" i="10"/>
  <c r="I500" i="11" s="1"/>
  <c r="AE77" i="10"/>
  <c r="J497" i="11" s="1"/>
  <c r="AF74" i="10"/>
  <c r="K494" i="11" s="1"/>
  <c r="AD72" i="10"/>
  <c r="I492" i="11" s="1"/>
  <c r="AE69" i="10"/>
  <c r="J489" i="11" s="1"/>
  <c r="AF66" i="10"/>
  <c r="K486" i="11" s="1"/>
  <c r="AD64" i="10"/>
  <c r="I463" i="11" s="1"/>
  <c r="AE61" i="10"/>
  <c r="J460" i="11" s="1"/>
  <c r="AF58" i="10"/>
  <c r="K457" i="11" s="1"/>
  <c r="AD56" i="10"/>
  <c r="I455" i="11" s="1"/>
  <c r="AE53" i="10"/>
  <c r="J452" i="11" s="1"/>
  <c r="AF50" i="10"/>
  <c r="K449" i="11" s="1"/>
  <c r="AD48" i="10"/>
  <c r="I447" i="11" s="1"/>
  <c r="AE45" i="10"/>
  <c r="J444" i="11" s="1"/>
  <c r="AF42" i="10"/>
  <c r="J230" i="16" s="1"/>
  <c r="AD40" i="10"/>
  <c r="AE37" i="10"/>
  <c r="AF34" i="10"/>
  <c r="J222" i="16" s="1"/>
  <c r="AD32" i="10"/>
  <c r="AE29" i="10"/>
  <c r="AF26" i="10"/>
  <c r="AD24" i="10"/>
  <c r="AE21" i="10"/>
  <c r="AF18" i="10"/>
  <c r="AD16" i="10"/>
  <c r="AE13" i="10"/>
  <c r="J433" i="11" s="1"/>
  <c r="AF10" i="10"/>
  <c r="AD8" i="10"/>
  <c r="AE5" i="10"/>
  <c r="AE76" i="10"/>
  <c r="J496" i="11" s="1"/>
  <c r="AE85" i="10"/>
  <c r="J505" i="11" s="1"/>
  <c r="AD3" i="10"/>
  <c r="H191" i="16" s="1"/>
  <c r="AD85" i="10"/>
  <c r="I505" i="11" s="1"/>
  <c r="AE82" i="10"/>
  <c r="J502" i="11" s="1"/>
  <c r="AF79" i="10"/>
  <c r="K499" i="11" s="1"/>
  <c r="AD77" i="10"/>
  <c r="I497" i="11" s="1"/>
  <c r="AE74" i="10"/>
  <c r="J494" i="11" s="1"/>
  <c r="AF71" i="10"/>
  <c r="K491" i="11" s="1"/>
  <c r="AD69" i="10"/>
  <c r="I489" i="11" s="1"/>
  <c r="AE66" i="10"/>
  <c r="J486" i="11" s="1"/>
  <c r="AF63" i="10"/>
  <c r="K462" i="11" s="1"/>
  <c r="AD61" i="10"/>
  <c r="I460" i="11" s="1"/>
  <c r="AE58" i="10"/>
  <c r="J457" i="11" s="1"/>
  <c r="AF55" i="10"/>
  <c r="K454" i="11" s="1"/>
  <c r="AD53" i="10"/>
  <c r="I452" i="11" s="1"/>
  <c r="AE50" i="10"/>
  <c r="J449" i="11" s="1"/>
  <c r="AF47" i="10"/>
  <c r="K446" i="11" s="1"/>
  <c r="AD45" i="10"/>
  <c r="I444" i="11" s="1"/>
  <c r="AE42" i="10"/>
  <c r="AF39" i="10"/>
  <c r="AD37" i="10"/>
  <c r="AE34" i="10"/>
  <c r="AF31" i="10"/>
  <c r="AD29" i="10"/>
  <c r="AE26" i="10"/>
  <c r="J467" i="11" s="1"/>
  <c r="AF23" i="10"/>
  <c r="K443" i="11" s="1"/>
  <c r="AD21" i="10"/>
  <c r="AE18" i="10"/>
  <c r="AF15" i="10"/>
  <c r="J203" i="16" s="1"/>
  <c r="AD13" i="10"/>
  <c r="AE10" i="10"/>
  <c r="AF7" i="10"/>
  <c r="AD5" i="10"/>
  <c r="I425" i="11" s="1"/>
  <c r="L119" i="16"/>
  <c r="AE48" i="10"/>
  <c r="J447" i="11" s="1"/>
  <c r="AF45" i="10"/>
  <c r="K444" i="11" s="1"/>
  <c r="AD43" i="10"/>
  <c r="AE40" i="10"/>
  <c r="AF37" i="10"/>
  <c r="AD35" i="10"/>
  <c r="AE32" i="10"/>
  <c r="AD27" i="10"/>
  <c r="AE24" i="10"/>
  <c r="AF21" i="10"/>
  <c r="AD19" i="10"/>
  <c r="AE16" i="10"/>
  <c r="AF13" i="10"/>
  <c r="AD11" i="10"/>
  <c r="AF5" i="10"/>
  <c r="I480" i="11"/>
  <c r="AE62" i="10"/>
  <c r="J461" i="11" s="1"/>
  <c r="AF59" i="10"/>
  <c r="K458" i="11" s="1"/>
  <c r="AD57" i="10"/>
  <c r="I456" i="11" s="1"/>
  <c r="AE54" i="10"/>
  <c r="J453" i="11" s="1"/>
  <c r="AF51" i="10"/>
  <c r="K450" i="11" s="1"/>
  <c r="AD49" i="10"/>
  <c r="I448" i="11" s="1"/>
  <c r="AE46" i="10"/>
  <c r="J445" i="11" s="1"/>
  <c r="AD41" i="10"/>
  <c r="AE38" i="10"/>
  <c r="AF35" i="10"/>
  <c r="AD33" i="10"/>
  <c r="AE30" i="10"/>
  <c r="AF27" i="10"/>
  <c r="AD25" i="10"/>
  <c r="AF19" i="10"/>
  <c r="AD17" i="10"/>
  <c r="AE14" i="10"/>
  <c r="AF11" i="10"/>
  <c r="AD9" i="10"/>
  <c r="AE6" i="10"/>
  <c r="E120" i="16"/>
  <c r="AP120" i="16" s="1"/>
  <c r="H173" i="11"/>
  <c r="H177" i="11"/>
  <c r="H145" i="11"/>
  <c r="H191" i="11"/>
  <c r="O93" i="16"/>
  <c r="R93" i="16"/>
  <c r="P93" i="16"/>
  <c r="Q93" i="16"/>
  <c r="R101" i="16"/>
  <c r="Q101" i="16"/>
  <c r="O101" i="16"/>
  <c r="P101" i="16"/>
  <c r="R109" i="16"/>
  <c r="P109" i="16"/>
  <c r="Q109" i="16"/>
  <c r="O109" i="16"/>
  <c r="R117" i="16"/>
  <c r="O117" i="16"/>
  <c r="P117" i="16"/>
  <c r="Q117" i="16"/>
  <c r="Q161" i="16"/>
  <c r="R161" i="16"/>
  <c r="O161" i="16"/>
  <c r="P161" i="16"/>
  <c r="Q106" i="16"/>
  <c r="R106" i="16"/>
  <c r="O106" i="16"/>
  <c r="P106" i="16"/>
  <c r="R184" i="16"/>
  <c r="O184" i="16"/>
  <c r="P184" i="16"/>
  <c r="Q184" i="16"/>
  <c r="R204" i="16"/>
  <c r="P204" i="16"/>
  <c r="Q204" i="16"/>
  <c r="O204" i="16"/>
  <c r="Q165" i="16"/>
  <c r="R165" i="16"/>
  <c r="P165" i="16"/>
  <c r="O165" i="16"/>
  <c r="Q153" i="16"/>
  <c r="R153" i="16"/>
  <c r="O153" i="16"/>
  <c r="P153" i="16"/>
  <c r="Q215" i="16"/>
  <c r="R215" i="16"/>
  <c r="P215" i="16"/>
  <c r="O215" i="16"/>
  <c r="Q231" i="16"/>
  <c r="R231" i="16"/>
  <c r="P231" i="16"/>
  <c r="O231" i="16"/>
  <c r="Q104" i="16"/>
  <c r="R104" i="16"/>
  <c r="O104" i="16"/>
  <c r="P104" i="16"/>
  <c r="Q169" i="16"/>
  <c r="R169" i="16"/>
  <c r="O169" i="16"/>
  <c r="P169" i="16"/>
  <c r="R105" i="16"/>
  <c r="O105" i="16"/>
  <c r="P105" i="16"/>
  <c r="Q105" i="16"/>
  <c r="R113" i="16"/>
  <c r="O113" i="16"/>
  <c r="P113" i="16"/>
  <c r="Q113" i="16"/>
  <c r="Q96" i="16"/>
  <c r="R96" i="16"/>
  <c r="P96" i="16"/>
  <c r="O96" i="16"/>
  <c r="Q157" i="16"/>
  <c r="R157" i="16"/>
  <c r="O157" i="16"/>
  <c r="P157" i="16"/>
  <c r="Q173" i="16"/>
  <c r="R173" i="16"/>
  <c r="O173" i="16"/>
  <c r="P173" i="16"/>
  <c r="R166" i="16"/>
  <c r="O166" i="16"/>
  <c r="P166" i="16"/>
  <c r="Q166" i="16"/>
  <c r="R170" i="16"/>
  <c r="Q170" i="16"/>
  <c r="O170" i="16"/>
  <c r="P170" i="16"/>
  <c r="M27" i="16"/>
  <c r="M237" i="16"/>
  <c r="M35" i="16"/>
  <c r="M245" i="16"/>
  <c r="M43" i="16"/>
  <c r="M253" i="16"/>
  <c r="M23" i="16"/>
  <c r="M233" i="16"/>
  <c r="M31" i="16"/>
  <c r="L241" i="16"/>
  <c r="M39" i="16"/>
  <c r="M249" i="16"/>
  <c r="L30" i="16"/>
  <c r="K240" i="16"/>
  <c r="L38" i="16"/>
  <c r="K248" i="16"/>
  <c r="L42" i="16"/>
  <c r="K252" i="16"/>
  <c r="L26" i="16"/>
  <c r="K236" i="16"/>
  <c r="L34" i="16"/>
  <c r="K244" i="16"/>
  <c r="G29" i="16"/>
  <c r="L239" i="16"/>
  <c r="G37" i="16"/>
  <c r="N247" i="16"/>
  <c r="G25" i="16"/>
  <c r="L235" i="16"/>
  <c r="G33" i="16"/>
  <c r="N243" i="16"/>
  <c r="G41" i="16"/>
  <c r="N251" i="16"/>
  <c r="G28" i="16"/>
  <c r="M238" i="16"/>
  <c r="G36" i="16"/>
  <c r="M246" i="16"/>
  <c r="G24" i="16"/>
  <c r="M234" i="16"/>
  <c r="G32" i="16"/>
  <c r="M242" i="16"/>
  <c r="G40" i="16"/>
  <c r="M250" i="16"/>
  <c r="G210" i="16"/>
  <c r="G202" i="16"/>
  <c r="G194" i="16"/>
  <c r="G186" i="16"/>
  <c r="G178" i="16"/>
  <c r="G170" i="16"/>
  <c r="G162" i="16"/>
  <c r="G154" i="16"/>
  <c r="G225" i="16"/>
  <c r="G217" i="16"/>
  <c r="G209" i="16"/>
  <c r="G201" i="16"/>
  <c r="G193" i="16"/>
  <c r="G185" i="16"/>
  <c r="G169" i="16"/>
  <c r="G161" i="16"/>
  <c r="G153" i="16"/>
  <c r="G39" i="16"/>
  <c r="G31" i="16"/>
  <c r="G23" i="16"/>
  <c r="G232" i="16"/>
  <c r="G224" i="16"/>
  <c r="G216" i="16"/>
  <c r="G208" i="16"/>
  <c r="G200" i="16"/>
  <c r="G184" i="16"/>
  <c r="G176" i="16"/>
  <c r="G168" i="16"/>
  <c r="G160" i="16"/>
  <c r="G152" i="16"/>
  <c r="G38" i="16"/>
  <c r="G30" i="16"/>
  <c r="G231" i="16"/>
  <c r="G223" i="16"/>
  <c r="G215" i="16"/>
  <c r="G183" i="16"/>
  <c r="G175" i="16"/>
  <c r="G167" i="16"/>
  <c r="G159" i="16"/>
  <c r="G151" i="16"/>
  <c r="G206" i="16"/>
  <c r="G198" i="16"/>
  <c r="G182" i="16"/>
  <c r="G174" i="16"/>
  <c r="G166" i="16"/>
  <c r="G158" i="16"/>
  <c r="G150" i="16"/>
  <c r="G229" i="16"/>
  <c r="G221" i="16"/>
  <c r="G213" i="16"/>
  <c r="G205" i="16"/>
  <c r="G197" i="16"/>
  <c r="G181" i="16"/>
  <c r="G173" i="16"/>
  <c r="G165" i="16"/>
  <c r="G157" i="16"/>
  <c r="G43" i="16"/>
  <c r="G35" i="16"/>
  <c r="G27" i="16"/>
  <c r="G228" i="16"/>
  <c r="G220" i="16"/>
  <c r="G212" i="16"/>
  <c r="G204" i="16"/>
  <c r="G188" i="16"/>
  <c r="G180" i="16"/>
  <c r="G164" i="16"/>
  <c r="G156" i="16"/>
  <c r="G42" i="16"/>
  <c r="G34" i="16"/>
  <c r="G26" i="16"/>
  <c r="G227" i="16"/>
  <c r="G219" i="16"/>
  <c r="G195" i="16"/>
  <c r="G187" i="16"/>
  <c r="G179" i="16"/>
  <c r="G163" i="16"/>
  <c r="G155" i="16"/>
  <c r="L200" i="16"/>
  <c r="K201" i="16"/>
  <c r="K202" i="16"/>
  <c r="N91" i="16"/>
  <c r="K198" i="16"/>
  <c r="K164" i="16"/>
  <c r="L154" i="16"/>
  <c r="L212" i="16"/>
  <c r="K213" i="16"/>
  <c r="K92" i="16"/>
  <c r="N154" i="16"/>
  <c r="L116" i="16"/>
  <c r="L150" i="16"/>
  <c r="K110" i="16"/>
  <c r="M185" i="16"/>
  <c r="N200" i="16"/>
  <c r="N213" i="16"/>
  <c r="N172" i="16"/>
  <c r="L208" i="16"/>
  <c r="L91" i="16"/>
  <c r="L112" i="16"/>
  <c r="N25" i="16"/>
  <c r="N33" i="16"/>
  <c r="N41" i="16"/>
  <c r="N112" i="16"/>
  <c r="M193" i="16"/>
  <c r="N36" i="16"/>
  <c r="M105" i="16"/>
  <c r="N190" i="16"/>
  <c r="L87" i="16"/>
  <c r="M96" i="16"/>
  <c r="K99" i="16"/>
  <c r="K154" i="16"/>
  <c r="K23" i="16"/>
  <c r="K91" i="16"/>
  <c r="K150" i="16"/>
  <c r="M167" i="16"/>
  <c r="K168" i="16"/>
  <c r="M188" i="16"/>
  <c r="K208" i="16"/>
  <c r="N221" i="16"/>
  <c r="N231" i="16"/>
  <c r="M197" i="16"/>
  <c r="L204" i="16"/>
  <c r="K114" i="16"/>
  <c r="L162" i="16"/>
  <c r="N102" i="16"/>
  <c r="K160" i="16"/>
  <c r="N177" i="16"/>
  <c r="K193" i="16"/>
  <c r="N202" i="16"/>
  <c r="L93" i="16"/>
  <c r="K103" i="16"/>
  <c r="K172" i="16"/>
  <c r="N90" i="16"/>
  <c r="M93" i="16"/>
  <c r="N212" i="16"/>
  <c r="N209" i="16"/>
  <c r="N24" i="16"/>
  <c r="N32" i="16"/>
  <c r="N40" i="16"/>
  <c r="N162" i="16"/>
  <c r="N171" i="16"/>
  <c r="N173" i="16"/>
  <c r="N189" i="16"/>
  <c r="N181" i="16"/>
  <c r="N166" i="16"/>
  <c r="N170" i="16"/>
  <c r="K2" i="16"/>
  <c r="M91" i="16"/>
  <c r="N206" i="16"/>
  <c r="N186" i="16"/>
  <c r="N225" i="16"/>
  <c r="N29" i="16"/>
  <c r="N37" i="16"/>
  <c r="N98" i="16"/>
  <c r="N115" i="16"/>
  <c r="M119" i="16"/>
  <c r="K118" i="16"/>
  <c r="K152" i="16"/>
  <c r="K158" i="16"/>
  <c r="K177" i="16"/>
  <c r="K179" i="16"/>
  <c r="K181" i="16"/>
  <c r="K183" i="16"/>
  <c r="K186" i="16"/>
  <c r="K209" i="16"/>
  <c r="K219" i="16"/>
  <c r="L231" i="16"/>
  <c r="K232" i="16"/>
  <c r="N158" i="16"/>
  <c r="N94" i="16"/>
  <c r="M101" i="16"/>
  <c r="N149" i="16"/>
  <c r="N150" i="16"/>
  <c r="K156" i="16"/>
  <c r="L158" i="16"/>
  <c r="K162" i="16"/>
  <c r="L166" i="16"/>
  <c r="K175" i="16"/>
  <c r="L177" i="16"/>
  <c r="L181" i="16"/>
  <c r="N182" i="16"/>
  <c r="N185" i="16"/>
  <c r="L186" i="16"/>
  <c r="M187" i="16"/>
  <c r="N193" i="16"/>
  <c r="N196" i="16"/>
  <c r="N208" i="16"/>
  <c r="L209" i="16"/>
  <c r="K212" i="16"/>
  <c r="L215" i="16"/>
  <c r="N217" i="16"/>
  <c r="L219" i="16"/>
  <c r="K223" i="16"/>
  <c r="K227" i="16"/>
  <c r="K35" i="16"/>
  <c r="K39" i="16"/>
  <c r="M108" i="16"/>
  <c r="L108" i="16"/>
  <c r="K192" i="16"/>
  <c r="N192" i="16"/>
  <c r="M192" i="16"/>
  <c r="L192" i="16"/>
  <c r="M2" i="16"/>
  <c r="K24" i="16"/>
  <c r="K25" i="16"/>
  <c r="K28" i="16"/>
  <c r="K29" i="16"/>
  <c r="K32" i="16"/>
  <c r="K33" i="16"/>
  <c r="K36" i="16"/>
  <c r="K37" i="16"/>
  <c r="K40" i="16"/>
  <c r="K41" i="16"/>
  <c r="N99" i="16"/>
  <c r="L99" i="16"/>
  <c r="L191" i="16"/>
  <c r="M191" i="16"/>
  <c r="N191" i="16"/>
  <c r="N23" i="16"/>
  <c r="L25" i="16"/>
  <c r="N27" i="16"/>
  <c r="L29" i="16"/>
  <c r="N31" i="16"/>
  <c r="L33" i="16"/>
  <c r="N35" i="16"/>
  <c r="L37" i="16"/>
  <c r="N39" i="16"/>
  <c r="L41" i="16"/>
  <c r="N43" i="16"/>
  <c r="N87" i="16"/>
  <c r="K87" i="16"/>
  <c r="L151" i="16"/>
  <c r="N151" i="16"/>
  <c r="N241" i="16"/>
  <c r="N95" i="16"/>
  <c r="L95" i="16"/>
  <c r="L23" i="16"/>
  <c r="L35" i="16"/>
  <c r="M25" i="16"/>
  <c r="M29" i="16"/>
  <c r="M33" i="16"/>
  <c r="M37" i="16"/>
  <c r="M41" i="16"/>
  <c r="K95" i="16"/>
  <c r="N111" i="16"/>
  <c r="M111" i="16"/>
  <c r="L155" i="16"/>
  <c r="N155" i="16"/>
  <c r="L27" i="16"/>
  <c r="L43" i="16"/>
  <c r="K89" i="16"/>
  <c r="L89" i="16"/>
  <c r="M89" i="16"/>
  <c r="M26" i="16"/>
  <c r="M30" i="16"/>
  <c r="M34" i="16"/>
  <c r="M38" i="16"/>
  <c r="M42" i="16"/>
  <c r="M95" i="16"/>
  <c r="N103" i="16"/>
  <c r="M103" i="16"/>
  <c r="L159" i="16"/>
  <c r="N159" i="16"/>
  <c r="K27" i="16"/>
  <c r="L31" i="16"/>
  <c r="L39" i="16"/>
  <c r="M86" i="16"/>
  <c r="N86" i="16"/>
  <c r="K97" i="16"/>
  <c r="N97" i="16"/>
  <c r="L97" i="16"/>
  <c r="N106" i="16"/>
  <c r="N108" i="16"/>
  <c r="L163" i="16"/>
  <c r="N163" i="16"/>
  <c r="M171" i="16"/>
  <c r="K171" i="16"/>
  <c r="N176" i="16"/>
  <c r="K176" i="16"/>
  <c r="N180" i="16"/>
  <c r="K180" i="16"/>
  <c r="K31" i="16"/>
  <c r="K43" i="16"/>
  <c r="N26" i="16"/>
  <c r="N30" i="16"/>
  <c r="N34" i="16"/>
  <c r="N38" i="16"/>
  <c r="N42" i="16"/>
  <c r="N89" i="16"/>
  <c r="N93" i="16"/>
  <c r="N110" i="16"/>
  <c r="M110" i="16"/>
  <c r="M166" i="16"/>
  <c r="L170" i="16"/>
  <c r="M170" i="16"/>
  <c r="N174" i="16"/>
  <c r="N178" i="16"/>
  <c r="L101" i="16"/>
  <c r="L105" i="16"/>
  <c r="N175" i="16"/>
  <c r="N179" i="16"/>
  <c r="M172" i="16"/>
  <c r="N101" i="16"/>
  <c r="N105" i="16"/>
  <c r="N118" i="16"/>
  <c r="M118" i="16"/>
  <c r="N119" i="16"/>
  <c r="N167" i="16"/>
  <c r="L173" i="16"/>
  <c r="M177" i="16"/>
  <c r="N187" i="16"/>
  <c r="N107" i="16"/>
  <c r="N114" i="16"/>
  <c r="M114" i="16"/>
  <c r="N116" i="16"/>
  <c r="K149" i="16"/>
  <c r="N152" i="16"/>
  <c r="N156" i="16"/>
  <c r="N160" i="16"/>
  <c r="N164" i="16"/>
  <c r="N168" i="16"/>
  <c r="M173" i="16"/>
  <c r="K178" i="16"/>
  <c r="K182" i="16"/>
  <c r="L189" i="16"/>
  <c r="K190" i="16"/>
  <c r="N117" i="16"/>
  <c r="M149" i="16"/>
  <c r="N153" i="16"/>
  <c r="M153" i="16"/>
  <c r="N157" i="16"/>
  <c r="M157" i="16"/>
  <c r="N161" i="16"/>
  <c r="M161" i="16"/>
  <c r="N165" i="16"/>
  <c r="M165" i="16"/>
  <c r="N169" i="16"/>
  <c r="M169" i="16"/>
  <c r="M178" i="16"/>
  <c r="M182" i="16"/>
  <c r="N188" i="16"/>
  <c r="L190" i="16"/>
  <c r="L174" i="16"/>
  <c r="K174" i="16"/>
  <c r="M190" i="16"/>
  <c r="N194" i="16"/>
  <c r="M195" i="16"/>
  <c r="M204" i="16"/>
  <c r="N210" i="16"/>
  <c r="M215" i="16"/>
  <c r="L223" i="16"/>
  <c r="L227" i="16"/>
  <c r="L232" i="16"/>
  <c r="K196" i="16"/>
  <c r="N197" i="16"/>
  <c r="L201" i="16"/>
  <c r="K205" i="16"/>
  <c r="K216" i="16"/>
  <c r="K220" i="16"/>
  <c r="K224" i="16"/>
  <c r="K228" i="16"/>
  <c r="N195" i="16"/>
  <c r="L196" i="16"/>
  <c r="M198" i="16"/>
  <c r="N204" i="16"/>
  <c r="L205" i="16"/>
  <c r="N215" i="16"/>
  <c r="L216" i="16"/>
  <c r="N219" i="16"/>
  <c r="L220" i="16"/>
  <c r="N223" i="16"/>
  <c r="L224" i="16"/>
  <c r="N227" i="16"/>
  <c r="L228" i="16"/>
  <c r="N232" i="16"/>
  <c r="M196" i="16"/>
  <c r="N201" i="16"/>
  <c r="N198" i="16"/>
  <c r="K200" i="16"/>
  <c r="M202" i="16"/>
  <c r="N205" i="16"/>
  <c r="K206" i="16"/>
  <c r="M213" i="16"/>
  <c r="N216" i="16"/>
  <c r="K217" i="16"/>
  <c r="N220" i="16"/>
  <c r="K221" i="16"/>
  <c r="N224" i="16"/>
  <c r="K225" i="16"/>
  <c r="N228" i="16"/>
  <c r="K229" i="16"/>
  <c r="K194" i="16"/>
  <c r="K197" i="16"/>
  <c r="M206" i="16"/>
  <c r="K210" i="16"/>
  <c r="M217" i="16"/>
  <c r="M221" i="16"/>
  <c r="M225" i="16"/>
  <c r="M194" i="16"/>
  <c r="M210" i="16"/>
  <c r="N229" i="16"/>
  <c r="L2" i="16"/>
  <c r="N100" i="16"/>
  <c r="M100" i="16"/>
  <c r="L100" i="16"/>
  <c r="K100" i="16"/>
  <c r="L24" i="16"/>
  <c r="L28" i="16"/>
  <c r="L32" i="16"/>
  <c r="L36" i="16"/>
  <c r="L40" i="16"/>
  <c r="K88" i="16"/>
  <c r="N96" i="16"/>
  <c r="L96" i="16"/>
  <c r="M24" i="16"/>
  <c r="M28" i="16"/>
  <c r="M32" i="16"/>
  <c r="M36" i="16"/>
  <c r="M40" i="16"/>
  <c r="K237" i="16"/>
  <c r="K241" i="16"/>
  <c r="K249" i="16"/>
  <c r="N92" i="16"/>
  <c r="L92" i="16"/>
  <c r="K102" i="16"/>
  <c r="M102" i="16"/>
  <c r="L102" i="16"/>
  <c r="K86" i="16"/>
  <c r="N88" i="16"/>
  <c r="L88" i="16"/>
  <c r="K26" i="16"/>
  <c r="K30" i="16"/>
  <c r="K34" i="16"/>
  <c r="K38" i="16"/>
  <c r="K42" i="16"/>
  <c r="L86" i="16"/>
  <c r="K98" i="16"/>
  <c r="M98" i="16"/>
  <c r="L98" i="16"/>
  <c r="N104" i="16"/>
  <c r="M104" i="16"/>
  <c r="L104" i="16"/>
  <c r="K94" i="16"/>
  <c r="M94" i="16"/>
  <c r="L94" i="16"/>
  <c r="K90" i="16"/>
  <c r="M90" i="16"/>
  <c r="L90" i="16"/>
  <c r="L106" i="16"/>
  <c r="L109" i="16"/>
  <c r="L113" i="16"/>
  <c r="L117" i="16"/>
  <c r="M106" i="16"/>
  <c r="K108" i="16"/>
  <c r="M109" i="16"/>
  <c r="K112" i="16"/>
  <c r="M113" i="16"/>
  <c r="K116" i="16"/>
  <c r="M117" i="16"/>
  <c r="K107" i="16"/>
  <c r="N109" i="16"/>
  <c r="K111" i="16"/>
  <c r="N113" i="16"/>
  <c r="K115" i="16"/>
  <c r="K119" i="16"/>
  <c r="L107" i="16"/>
  <c r="L111" i="16"/>
  <c r="L115" i="16"/>
  <c r="L184" i="16"/>
  <c r="N203" i="16"/>
  <c r="M203" i="16"/>
  <c r="L203" i="16"/>
  <c r="K203" i="16"/>
  <c r="N214" i="16"/>
  <c r="M214" i="16"/>
  <c r="L214" i="16"/>
  <c r="K214" i="16"/>
  <c r="N230" i="16"/>
  <c r="M230" i="16"/>
  <c r="L230" i="16"/>
  <c r="K230" i="16"/>
  <c r="L149" i="16"/>
  <c r="L153" i="16"/>
  <c r="L157" i="16"/>
  <c r="L161" i="16"/>
  <c r="L165" i="16"/>
  <c r="L169" i="16"/>
  <c r="L172" i="16"/>
  <c r="L176" i="16"/>
  <c r="L180" i="16"/>
  <c r="M184" i="16"/>
  <c r="K189" i="16"/>
  <c r="N207" i="16"/>
  <c r="M207" i="16"/>
  <c r="L207" i="16"/>
  <c r="K207" i="16"/>
  <c r="N218" i="16"/>
  <c r="M218" i="16"/>
  <c r="L218" i="16"/>
  <c r="K218" i="16"/>
  <c r="N222" i="16"/>
  <c r="M222" i="16"/>
  <c r="L222" i="16"/>
  <c r="K222" i="16"/>
  <c r="N226" i="16"/>
  <c r="M226" i="16"/>
  <c r="L226" i="16"/>
  <c r="K226" i="16"/>
  <c r="N211" i="16"/>
  <c r="M211" i="16"/>
  <c r="L211" i="16"/>
  <c r="K211" i="16"/>
  <c r="L152" i="16"/>
  <c r="L156" i="16"/>
  <c r="L160" i="16"/>
  <c r="L164" i="16"/>
  <c r="L168" i="16"/>
  <c r="L171" i="16"/>
  <c r="L175" i="16"/>
  <c r="L179" i="16"/>
  <c r="M183" i="16"/>
  <c r="N184" i="16"/>
  <c r="M189" i="16"/>
  <c r="K151" i="16"/>
  <c r="K155" i="16"/>
  <c r="K159" i="16"/>
  <c r="K163" i="16"/>
  <c r="K167" i="16"/>
  <c r="K185" i="16"/>
  <c r="K188" i="16"/>
  <c r="N183" i="16"/>
  <c r="K191" i="16"/>
  <c r="K195" i="16"/>
  <c r="N199" i="16"/>
  <c r="L199" i="16"/>
  <c r="K199" i="16"/>
  <c r="M199" i="16"/>
  <c r="K187" i="16"/>
  <c r="M231" i="16"/>
  <c r="L229" i="16"/>
  <c r="Z32" i="10"/>
  <c r="E473" i="11" s="1"/>
  <c r="O473" i="11" s="1"/>
  <c r="G473" i="11"/>
  <c r="Z68" i="10"/>
  <c r="E488" i="11" s="1"/>
  <c r="S488" i="11" s="1"/>
  <c r="G488" i="11"/>
  <c r="Z39" i="10"/>
  <c r="E480" i="11" s="1"/>
  <c r="P480" i="11" s="1"/>
  <c r="G480" i="11"/>
  <c r="Z31" i="10"/>
  <c r="E472" i="11" s="1"/>
  <c r="O472" i="11" s="1"/>
  <c r="G472" i="11"/>
  <c r="Z23" i="10"/>
  <c r="G443" i="11"/>
  <c r="C15" i="10"/>
  <c r="I15" i="10" s="1"/>
  <c r="L15" i="10" s="1"/>
  <c r="G435" i="11"/>
  <c r="Z7" i="10"/>
  <c r="E427" i="11" s="1"/>
  <c r="P427" i="11" s="1"/>
  <c r="G427" i="11"/>
  <c r="Z86" i="10"/>
  <c r="E506" i="11" s="1"/>
  <c r="O506" i="11" s="1"/>
  <c r="G506" i="11"/>
  <c r="Z8" i="10"/>
  <c r="E428" i="11" s="1"/>
  <c r="S428" i="11" s="1"/>
  <c r="G428" i="11"/>
  <c r="Z14" i="10"/>
  <c r="E434" i="11" s="1"/>
  <c r="S434" i="11" s="1"/>
  <c r="G434" i="11"/>
  <c r="Z13" i="10"/>
  <c r="E433" i="11" s="1"/>
  <c r="P433" i="11" s="1"/>
  <c r="G433" i="11"/>
  <c r="Z24" i="10"/>
  <c r="E465" i="11" s="1"/>
  <c r="P465" i="11" s="1"/>
  <c r="G465" i="11"/>
  <c r="Z22" i="10"/>
  <c r="E442" i="11" s="1"/>
  <c r="Q442" i="11" s="1"/>
  <c r="G442" i="11"/>
  <c r="Z66" i="10"/>
  <c r="E486" i="11" s="1"/>
  <c r="S486" i="11" s="1"/>
  <c r="G486" i="11"/>
  <c r="Z4" i="10"/>
  <c r="E424" i="11" s="1"/>
  <c r="O424" i="11" s="1"/>
  <c r="G424" i="11"/>
  <c r="Z40" i="10"/>
  <c r="E481" i="11" s="1"/>
  <c r="S481" i="11" s="1"/>
  <c r="G481" i="11"/>
  <c r="Z38" i="10"/>
  <c r="E479" i="11" s="1"/>
  <c r="O479" i="11" s="1"/>
  <c r="G479" i="11"/>
  <c r="Z29" i="10"/>
  <c r="E470" i="11" s="1"/>
  <c r="O470" i="11" s="1"/>
  <c r="G470" i="11"/>
  <c r="Z20" i="10"/>
  <c r="E440" i="11" s="1"/>
  <c r="O440" i="11" s="1"/>
  <c r="G440" i="11"/>
  <c r="Z12" i="10"/>
  <c r="E432" i="11" s="1"/>
  <c r="O432" i="11" s="1"/>
  <c r="G432" i="11"/>
  <c r="Z43" i="10"/>
  <c r="E484" i="11" s="1"/>
  <c r="Q484" i="11" s="1"/>
  <c r="G484" i="11"/>
  <c r="Z35" i="10"/>
  <c r="E476" i="11" s="1"/>
  <c r="S476" i="11" s="1"/>
  <c r="G476" i="11"/>
  <c r="Z27" i="10"/>
  <c r="E468" i="11" s="1"/>
  <c r="O468" i="11" s="1"/>
  <c r="G468" i="11"/>
  <c r="Z19" i="10"/>
  <c r="G439" i="11"/>
  <c r="Z11" i="10"/>
  <c r="E431" i="11" s="1"/>
  <c r="P431" i="11" s="1"/>
  <c r="G431" i="11"/>
  <c r="Z3" i="10"/>
  <c r="E423" i="11" s="1"/>
  <c r="Q423" i="11" s="1"/>
  <c r="G423" i="11"/>
  <c r="Z16" i="10"/>
  <c r="E436" i="11" s="1"/>
  <c r="Q436" i="11" s="1"/>
  <c r="G436" i="11"/>
  <c r="Z30" i="10"/>
  <c r="E471" i="11" s="1"/>
  <c r="Q471" i="11" s="1"/>
  <c r="G471" i="11"/>
  <c r="Z21" i="10"/>
  <c r="E441" i="11" s="1"/>
  <c r="O441" i="11" s="1"/>
  <c r="G441" i="11"/>
  <c r="Z34" i="10"/>
  <c r="E475" i="11" s="1"/>
  <c r="S475" i="11" s="1"/>
  <c r="G475" i="11"/>
  <c r="Z26" i="10"/>
  <c r="E467" i="11" s="1"/>
  <c r="O467" i="11" s="1"/>
  <c r="G467" i="11"/>
  <c r="Z18" i="10"/>
  <c r="E438" i="11" s="1"/>
  <c r="Q438" i="11" s="1"/>
  <c r="G438" i="11"/>
  <c r="Z10" i="10"/>
  <c r="E430" i="11" s="1"/>
  <c r="O430" i="11" s="1"/>
  <c r="G430" i="11"/>
  <c r="G485" i="11"/>
  <c r="Z67" i="10"/>
  <c r="E487" i="11" s="1"/>
  <c r="O487" i="11" s="1"/>
  <c r="G487" i="11"/>
  <c r="Z6" i="10"/>
  <c r="E426" i="11" s="1"/>
  <c r="P426" i="11" s="1"/>
  <c r="G426" i="11"/>
  <c r="Z37" i="10"/>
  <c r="E478" i="11" s="1"/>
  <c r="P478" i="11" s="1"/>
  <c r="G478" i="11"/>
  <c r="Z5" i="10"/>
  <c r="E425" i="11" s="1"/>
  <c r="P425" i="11" s="1"/>
  <c r="G425" i="11"/>
  <c r="Z41" i="10"/>
  <c r="E482" i="11" s="1"/>
  <c r="Q482" i="11" s="1"/>
  <c r="G482" i="11"/>
  <c r="Z33" i="10"/>
  <c r="E474" i="11" s="1"/>
  <c r="S474" i="11" s="1"/>
  <c r="G474" i="11"/>
  <c r="Z25" i="10"/>
  <c r="E466" i="11" s="1"/>
  <c r="Q466" i="11" s="1"/>
  <c r="G466" i="11"/>
  <c r="G477" i="11"/>
  <c r="S167" i="11"/>
  <c r="P167" i="11"/>
  <c r="O167" i="11"/>
  <c r="Q167" i="11"/>
  <c r="S199" i="11"/>
  <c r="P199" i="11"/>
  <c r="Q199" i="11"/>
  <c r="O199" i="11"/>
  <c r="S135" i="11"/>
  <c r="Q135" i="11"/>
  <c r="P135" i="11"/>
  <c r="O135" i="11"/>
  <c r="S206" i="11"/>
  <c r="P206" i="11"/>
  <c r="O206" i="11"/>
  <c r="Q206" i="11"/>
  <c r="S198" i="11"/>
  <c r="P198" i="11"/>
  <c r="Q198" i="11"/>
  <c r="O198" i="11"/>
  <c r="S190" i="11"/>
  <c r="P190" i="11"/>
  <c r="Q190" i="11"/>
  <c r="S182" i="11"/>
  <c r="P182" i="11"/>
  <c r="O182" i="11"/>
  <c r="Q182" i="11"/>
  <c r="S174" i="11"/>
  <c r="P174" i="11"/>
  <c r="O174" i="11"/>
  <c r="S166" i="11"/>
  <c r="P166" i="11"/>
  <c r="Q166" i="11"/>
  <c r="O166" i="11"/>
  <c r="S158" i="11"/>
  <c r="P158" i="11"/>
  <c r="Q158" i="11"/>
  <c r="O158" i="11"/>
  <c r="S150" i="11"/>
  <c r="P150" i="11"/>
  <c r="Q150" i="11"/>
  <c r="O150" i="11"/>
  <c r="S142" i="11"/>
  <c r="P142" i="11"/>
  <c r="Q142" i="11"/>
  <c r="P134" i="11"/>
  <c r="S134" i="11"/>
  <c r="Q134" i="11"/>
  <c r="O134" i="11"/>
  <c r="O190" i="11"/>
  <c r="S207" i="11"/>
  <c r="P207" i="11"/>
  <c r="O207" i="11"/>
  <c r="Q207" i="11"/>
  <c r="S143" i="11"/>
  <c r="Q143" i="11"/>
  <c r="P143" i="11"/>
  <c r="S205" i="11"/>
  <c r="P205" i="11"/>
  <c r="Q205" i="11"/>
  <c r="O205" i="11"/>
  <c r="S157" i="11"/>
  <c r="Q157" i="11"/>
  <c r="O157" i="11"/>
  <c r="P157" i="11"/>
  <c r="S151" i="11"/>
  <c r="Q151" i="11"/>
  <c r="P151" i="11"/>
  <c r="O151" i="11"/>
  <c r="S189" i="11"/>
  <c r="Q189" i="11"/>
  <c r="O189" i="11"/>
  <c r="P189" i="11"/>
  <c r="S141" i="11"/>
  <c r="Q141" i="11"/>
  <c r="P141" i="11"/>
  <c r="O141" i="11"/>
  <c r="S212" i="11"/>
  <c r="P212" i="11"/>
  <c r="Q212" i="11"/>
  <c r="O212" i="11"/>
  <c r="S204" i="11"/>
  <c r="P204" i="11"/>
  <c r="Q204" i="11"/>
  <c r="O204" i="11"/>
  <c r="S196" i="11"/>
  <c r="P196" i="11"/>
  <c r="Q196" i="11"/>
  <c r="O196" i="11"/>
  <c r="S188" i="11"/>
  <c r="P188" i="11"/>
  <c r="Q188" i="11"/>
  <c r="O188" i="11"/>
  <c r="S180" i="11"/>
  <c r="P180" i="11"/>
  <c r="Q180" i="11"/>
  <c r="O180" i="11"/>
  <c r="S172" i="11"/>
  <c r="P172" i="11"/>
  <c r="Q172" i="11"/>
  <c r="O172" i="11"/>
  <c r="S164" i="11"/>
  <c r="P164" i="11"/>
  <c r="Q164" i="11"/>
  <c r="O164" i="11"/>
  <c r="S156" i="11"/>
  <c r="P156" i="11"/>
  <c r="Q156" i="11"/>
  <c r="O156" i="11"/>
  <c r="S148" i="11"/>
  <c r="O148" i="11"/>
  <c r="Q148" i="11"/>
  <c r="P148" i="11"/>
  <c r="S140" i="11"/>
  <c r="P140" i="11"/>
  <c r="O140" i="11"/>
  <c r="Q140" i="11"/>
  <c r="S132" i="11"/>
  <c r="P132" i="11"/>
  <c r="Q132" i="11"/>
  <c r="O132" i="11"/>
  <c r="S175" i="11"/>
  <c r="P175" i="11"/>
  <c r="O175" i="11"/>
  <c r="S181" i="11"/>
  <c r="Q181" i="11"/>
  <c r="O181" i="11"/>
  <c r="P181" i="11"/>
  <c r="S133" i="11"/>
  <c r="P133" i="11"/>
  <c r="Q133" i="11"/>
  <c r="O133" i="11"/>
  <c r="O187" i="11"/>
  <c r="Q187" i="11"/>
  <c r="P187" i="11"/>
  <c r="S187" i="11"/>
  <c r="S171" i="11"/>
  <c r="P171" i="11"/>
  <c r="O171" i="11"/>
  <c r="Q171" i="11"/>
  <c r="Q155" i="11"/>
  <c r="S155" i="11"/>
  <c r="O155" i="11"/>
  <c r="P155" i="11"/>
  <c r="Q147" i="11"/>
  <c r="P147" i="11"/>
  <c r="S147" i="11"/>
  <c r="O147" i="11"/>
  <c r="Q139" i="11"/>
  <c r="S139" i="11"/>
  <c r="O139" i="11"/>
  <c r="P139" i="11"/>
  <c r="Q131" i="11"/>
  <c r="P131" i="11"/>
  <c r="O131" i="11"/>
  <c r="S131" i="11"/>
  <c r="S427" i="11"/>
  <c r="O427" i="11"/>
  <c r="O143" i="11"/>
  <c r="S183" i="11"/>
  <c r="P183" i="11"/>
  <c r="Q183" i="11"/>
  <c r="O183" i="11"/>
  <c r="S197" i="11"/>
  <c r="P197" i="11"/>
  <c r="Q197" i="11"/>
  <c r="O197" i="11"/>
  <c r="S149" i="11"/>
  <c r="P149" i="11"/>
  <c r="O149" i="11"/>
  <c r="Q149" i="11"/>
  <c r="S211" i="11"/>
  <c r="O211" i="11"/>
  <c r="P211" i="11"/>
  <c r="O179" i="11"/>
  <c r="P179" i="11"/>
  <c r="Q179" i="11"/>
  <c r="S179" i="11"/>
  <c r="S210" i="11"/>
  <c r="P210" i="11"/>
  <c r="O210" i="11"/>
  <c r="Q210" i="11"/>
  <c r="P194" i="11"/>
  <c r="O194" i="11"/>
  <c r="S194" i="11"/>
  <c r="Q194" i="11"/>
  <c r="S178" i="11"/>
  <c r="P178" i="11"/>
  <c r="O178" i="11"/>
  <c r="Q178" i="11"/>
  <c r="S170" i="11"/>
  <c r="P170" i="11"/>
  <c r="Q170" i="11"/>
  <c r="O170" i="11"/>
  <c r="P162" i="11"/>
  <c r="O162" i="11"/>
  <c r="S162" i="11"/>
  <c r="Q162" i="11"/>
  <c r="S154" i="11"/>
  <c r="O154" i="11"/>
  <c r="P154" i="11"/>
  <c r="Q154" i="11"/>
  <c r="Q146" i="11"/>
  <c r="S146" i="11"/>
  <c r="O146" i="11"/>
  <c r="P146" i="11"/>
  <c r="P138" i="11"/>
  <c r="Q138" i="11"/>
  <c r="S138" i="11"/>
  <c r="O138" i="11"/>
  <c r="P130" i="11"/>
  <c r="Q130" i="11"/>
  <c r="O130" i="11"/>
  <c r="S130" i="11"/>
  <c r="S485" i="11"/>
  <c r="P485" i="11"/>
  <c r="Q485" i="11"/>
  <c r="O485" i="11"/>
  <c r="S477" i="11"/>
  <c r="O477" i="11"/>
  <c r="P477" i="11"/>
  <c r="Q477" i="11"/>
  <c r="S469" i="11"/>
  <c r="P469" i="11"/>
  <c r="Q469" i="11"/>
  <c r="O469" i="11"/>
  <c r="O142" i="11"/>
  <c r="Q211" i="11"/>
  <c r="S159" i="11"/>
  <c r="P159" i="11"/>
  <c r="Q159" i="11"/>
  <c r="O159" i="11"/>
  <c r="P466" i="11"/>
  <c r="Q129" i="11"/>
  <c r="S129" i="11"/>
  <c r="P129" i="11"/>
  <c r="O129" i="11"/>
  <c r="S173" i="11"/>
  <c r="P173" i="11"/>
  <c r="O173" i="11"/>
  <c r="S203" i="11"/>
  <c r="P203" i="11"/>
  <c r="O203" i="11"/>
  <c r="Q203" i="11"/>
  <c r="Q163" i="11"/>
  <c r="O163" i="11"/>
  <c r="S163" i="11"/>
  <c r="P163" i="11"/>
  <c r="S202" i="11"/>
  <c r="P202" i="11"/>
  <c r="Q202" i="11"/>
  <c r="O202" i="11"/>
  <c r="S186" i="11"/>
  <c r="P186" i="11"/>
  <c r="O186" i="11"/>
  <c r="Q186" i="11"/>
  <c r="S209" i="11"/>
  <c r="P209" i="11"/>
  <c r="Q209" i="11"/>
  <c r="O209" i="11"/>
  <c r="S201" i="11"/>
  <c r="P201" i="11"/>
  <c r="Q201" i="11"/>
  <c r="O201" i="11"/>
  <c r="S193" i="11"/>
  <c r="O193" i="11"/>
  <c r="P193" i="11"/>
  <c r="Q193" i="11"/>
  <c r="S185" i="11"/>
  <c r="P185" i="11"/>
  <c r="Q185" i="11"/>
  <c r="O185" i="11"/>
  <c r="S177" i="11"/>
  <c r="P177" i="11"/>
  <c r="Q177" i="11"/>
  <c r="S169" i="11"/>
  <c r="P169" i="11"/>
  <c r="O169" i="11"/>
  <c r="Q169" i="11"/>
  <c r="S161" i="11"/>
  <c r="Q161" i="11"/>
  <c r="O161" i="11"/>
  <c r="P161" i="11"/>
  <c r="S153" i="11"/>
  <c r="Q153" i="11"/>
  <c r="P153" i="11"/>
  <c r="O153" i="11"/>
  <c r="S145" i="11"/>
  <c r="P145" i="11"/>
  <c r="Q145" i="11"/>
  <c r="S137" i="11"/>
  <c r="P137" i="11"/>
  <c r="Q137" i="11"/>
  <c r="O137" i="11"/>
  <c r="Q433" i="11"/>
  <c r="S433" i="11"/>
  <c r="O433" i="11"/>
  <c r="Q468" i="11"/>
  <c r="Q175" i="11"/>
  <c r="S191" i="11"/>
  <c r="P191" i="11"/>
  <c r="Q191" i="11"/>
  <c r="S165" i="11"/>
  <c r="P165" i="11"/>
  <c r="Q165" i="11"/>
  <c r="O165" i="11"/>
  <c r="S480" i="11"/>
  <c r="O480" i="11"/>
  <c r="Q195" i="11"/>
  <c r="O195" i="11"/>
  <c r="S195" i="11"/>
  <c r="P195" i="11"/>
  <c r="S208" i="11"/>
  <c r="P208" i="11"/>
  <c r="Q208" i="11"/>
  <c r="O208" i="11"/>
  <c r="S200" i="11"/>
  <c r="P200" i="11"/>
  <c r="Q200" i="11"/>
  <c r="O200" i="11"/>
  <c r="S192" i="11"/>
  <c r="P192" i="11"/>
  <c r="Q192" i="11"/>
  <c r="O192" i="11"/>
  <c r="S184" i="11"/>
  <c r="P184" i="11"/>
  <c r="Q184" i="11"/>
  <c r="O184" i="11"/>
  <c r="S176" i="11"/>
  <c r="P176" i="11"/>
  <c r="Q176" i="11"/>
  <c r="O176" i="11"/>
  <c r="S168" i="11"/>
  <c r="P168" i="11"/>
  <c r="Q168" i="11"/>
  <c r="O168" i="11"/>
  <c r="S160" i="11"/>
  <c r="P160" i="11"/>
  <c r="Q160" i="11"/>
  <c r="O160" i="11"/>
  <c r="S152" i="11"/>
  <c r="P152" i="11"/>
  <c r="Q152" i="11"/>
  <c r="O152" i="11"/>
  <c r="S144" i="11"/>
  <c r="Q144" i="11"/>
  <c r="P144" i="11"/>
  <c r="O144" i="11"/>
  <c r="S136" i="11"/>
  <c r="Q136" i="11"/>
  <c r="O136" i="11"/>
  <c r="P136" i="11"/>
  <c r="Q440" i="11"/>
  <c r="S424" i="11"/>
  <c r="P424" i="11"/>
  <c r="Q174" i="11"/>
  <c r="X65" i="10"/>
  <c r="Y65" i="10" s="1"/>
  <c r="C44" i="10" s="1"/>
  <c r="E15" i="10" a="1"/>
  <c r="E15" i="10" s="1"/>
  <c r="F15" i="10" a="1"/>
  <c r="F15" i="10" s="1"/>
  <c r="G15" i="10" a="1"/>
  <c r="G15" i="10" s="1"/>
  <c r="C18" i="10"/>
  <c r="I18" i="10" s="1"/>
  <c r="L18" i="10" s="1"/>
  <c r="D22" i="10"/>
  <c r="J22" i="10" s="1"/>
  <c r="C22" i="10"/>
  <c r="C14" i="10"/>
  <c r="I14" i="10" s="1"/>
  <c r="Z15" i="10"/>
  <c r="E435" i="11" s="1"/>
  <c r="O435" i="11" s="1"/>
  <c r="C23" i="10"/>
  <c r="I23" i="10" s="1"/>
  <c r="L23" i="10" s="1"/>
  <c r="C12" i="10"/>
  <c r="I12" i="10" s="1"/>
  <c r="D14" i="10"/>
  <c r="C9" i="10"/>
  <c r="C20" i="10"/>
  <c r="I20" i="10" s="1"/>
  <c r="X85" i="10"/>
  <c r="Y85" i="10" s="1"/>
  <c r="C19" i="10"/>
  <c r="I19" i="10" s="1"/>
  <c r="L19" i="10" s="1"/>
  <c r="Z42" i="10"/>
  <c r="Z17" i="10"/>
  <c r="Z9" i="10"/>
  <c r="C16" i="10"/>
  <c r="C21" i="10"/>
  <c r="I21" i="10" s="1"/>
  <c r="C17" i="10"/>
  <c r="I17" i="10" s="1"/>
  <c r="X64" i="10"/>
  <c r="Y64" i="10" s="1"/>
  <c r="G463" i="11" s="1"/>
  <c r="C8" i="10"/>
  <c r="I8" i="10" s="1"/>
  <c r="C13" i="10"/>
  <c r="I13" i="10" s="1"/>
  <c r="D13" i="10"/>
  <c r="J13" i="10" s="1"/>
  <c r="C11" i="10"/>
  <c r="I11" i="10" s="1"/>
  <c r="D18" i="10"/>
  <c r="C6" i="10"/>
  <c r="I6" i="10" s="1"/>
  <c r="C3" i="10"/>
  <c r="I3" i="10" s="1"/>
  <c r="C10" i="10"/>
  <c r="I10" i="10" s="1"/>
  <c r="D8" i="10"/>
  <c r="J8" i="10" s="1"/>
  <c r="D16" i="10"/>
  <c r="J16" i="10" s="1"/>
  <c r="E59" i="7"/>
  <c r="D59" i="7"/>
  <c r="C59" i="7" a="1"/>
  <c r="C59" i="7" s="1"/>
  <c r="G56" i="7"/>
  <c r="S856" i="16" l="1"/>
  <c r="V856" i="16"/>
  <c r="T856" i="16"/>
  <c r="U856" i="16"/>
  <c r="S836" i="16"/>
  <c r="T836" i="16"/>
  <c r="U836" i="16"/>
  <c r="V836" i="16"/>
  <c r="S120" i="16"/>
  <c r="T120" i="16"/>
  <c r="U120" i="16"/>
  <c r="V120" i="16"/>
  <c r="U754" i="16"/>
  <c r="T754" i="16"/>
  <c r="V754" i="16"/>
  <c r="S754" i="16"/>
  <c r="S898" i="16"/>
  <c r="T898" i="16"/>
  <c r="U898" i="16"/>
  <c r="V898" i="16"/>
  <c r="V877" i="16"/>
  <c r="S877" i="16"/>
  <c r="T877" i="16"/>
  <c r="U877" i="16"/>
  <c r="V815" i="16"/>
  <c r="S815" i="16"/>
  <c r="T815" i="16"/>
  <c r="U815" i="16"/>
  <c r="AQ898" i="16"/>
  <c r="W898" i="16" s="1"/>
  <c r="AR898" i="16"/>
  <c r="X898" i="16" s="1"/>
  <c r="AQ877" i="16"/>
  <c r="W877" i="16" s="1"/>
  <c r="AR877" i="16"/>
  <c r="X877" i="16" s="1"/>
  <c r="AQ815" i="16"/>
  <c r="W815" i="16" s="1"/>
  <c r="AR815" i="16"/>
  <c r="X815" i="16" s="1"/>
  <c r="AQ856" i="16"/>
  <c r="W856" i="16" s="1"/>
  <c r="AR856" i="16"/>
  <c r="X856" i="16" s="1"/>
  <c r="AQ836" i="16"/>
  <c r="W836" i="16" s="1"/>
  <c r="AR836" i="16"/>
  <c r="X836" i="16" s="1"/>
  <c r="AQ754" i="16"/>
  <c r="W754" i="16" s="1"/>
  <c r="AR754" i="16"/>
  <c r="X754" i="16" s="1"/>
  <c r="I119" i="16"/>
  <c r="AQ120" i="16"/>
  <c r="W120" i="16" s="1"/>
  <c r="AR120" i="16"/>
  <c r="X120" i="16" s="1"/>
  <c r="J119" i="16"/>
  <c r="AA120" i="16"/>
  <c r="I120" i="16" s="1"/>
  <c r="J98" i="1"/>
  <c r="E920" i="16"/>
  <c r="Q918" i="16"/>
  <c r="O918" i="16"/>
  <c r="P918" i="16"/>
  <c r="R918" i="16"/>
  <c r="H918" i="16"/>
  <c r="I918" i="16"/>
  <c r="J918" i="16"/>
  <c r="M919" i="16"/>
  <c r="L919" i="16"/>
  <c r="K919" i="16"/>
  <c r="G919" i="16"/>
  <c r="N919" i="16"/>
  <c r="I855" i="16"/>
  <c r="H855" i="16"/>
  <c r="J855" i="16"/>
  <c r="E857" i="16"/>
  <c r="AP857" i="16" s="1"/>
  <c r="J835" i="16"/>
  <c r="I835" i="16"/>
  <c r="H835" i="16"/>
  <c r="Q897" i="16"/>
  <c r="P897" i="16"/>
  <c r="O897" i="16"/>
  <c r="R897" i="16"/>
  <c r="AA856" i="16"/>
  <c r="N856" i="16"/>
  <c r="L856" i="16"/>
  <c r="K856" i="16"/>
  <c r="M856" i="16"/>
  <c r="E899" i="16"/>
  <c r="AP899" i="16" s="1"/>
  <c r="L836" i="16"/>
  <c r="K836" i="16"/>
  <c r="AA836" i="16"/>
  <c r="N836" i="16"/>
  <c r="M836" i="16"/>
  <c r="H897" i="16"/>
  <c r="I897" i="16"/>
  <c r="J897" i="16"/>
  <c r="E878" i="16"/>
  <c r="AP878" i="16" s="1"/>
  <c r="O835" i="16"/>
  <c r="R835" i="16"/>
  <c r="Q835" i="16"/>
  <c r="P835" i="16"/>
  <c r="E837" i="16"/>
  <c r="AP837" i="16" s="1"/>
  <c r="M877" i="16"/>
  <c r="N877" i="16"/>
  <c r="AA877" i="16"/>
  <c r="K877" i="16"/>
  <c r="L877" i="16"/>
  <c r="L898" i="16"/>
  <c r="AA898" i="16"/>
  <c r="M898" i="16"/>
  <c r="K898" i="16"/>
  <c r="N898" i="16"/>
  <c r="P855" i="16"/>
  <c r="R855" i="16"/>
  <c r="O855" i="16"/>
  <c r="Q855" i="16"/>
  <c r="O814" i="16"/>
  <c r="R814" i="16"/>
  <c r="Q814" i="16"/>
  <c r="P814" i="16"/>
  <c r="E816" i="16"/>
  <c r="AP816" i="16" s="1"/>
  <c r="I876" i="16"/>
  <c r="J876" i="16"/>
  <c r="H876" i="16"/>
  <c r="H814" i="16"/>
  <c r="J814" i="16"/>
  <c r="I814" i="16"/>
  <c r="N815" i="16"/>
  <c r="M815" i="16"/>
  <c r="K815" i="16"/>
  <c r="L815" i="16"/>
  <c r="AA815" i="16"/>
  <c r="Q876" i="16"/>
  <c r="P876" i="16"/>
  <c r="O876" i="16"/>
  <c r="R876" i="16"/>
  <c r="I483" i="11"/>
  <c r="L483" i="11" s="1"/>
  <c r="I443" i="11"/>
  <c r="L443" i="11" s="1"/>
  <c r="K483" i="11"/>
  <c r="N483" i="11" s="1"/>
  <c r="M463" i="11"/>
  <c r="J482" i="11"/>
  <c r="K423" i="11"/>
  <c r="N423" i="11" s="1"/>
  <c r="D15" i="10"/>
  <c r="Q427" i="11"/>
  <c r="Q424" i="11"/>
  <c r="J441" i="11"/>
  <c r="M441" i="11" s="1"/>
  <c r="J480" i="11"/>
  <c r="J231" i="16"/>
  <c r="J468" i="11"/>
  <c r="I438" i="11"/>
  <c r="L438" i="11" s="1"/>
  <c r="J440" i="11"/>
  <c r="M440" i="11" s="1"/>
  <c r="I481" i="11"/>
  <c r="L481" i="11" s="1"/>
  <c r="K465" i="11"/>
  <c r="N465" i="11" s="1"/>
  <c r="K436" i="11"/>
  <c r="N436" i="11" s="1"/>
  <c r="K438" i="11"/>
  <c r="N438" i="11" s="1"/>
  <c r="J439" i="11"/>
  <c r="J15" i="10"/>
  <c r="M15" i="10" s="1"/>
  <c r="J442" i="11"/>
  <c r="M442" i="11" s="1"/>
  <c r="I477" i="11"/>
  <c r="L477" i="11" s="1"/>
  <c r="H200" i="16"/>
  <c r="D12" i="10"/>
  <c r="J12" i="10" s="1"/>
  <c r="M12" i="10" s="1"/>
  <c r="J211" i="16"/>
  <c r="P440" i="11"/>
  <c r="Q480" i="11"/>
  <c r="I423" i="11"/>
  <c r="L423" i="11" s="1"/>
  <c r="J18" i="10"/>
  <c r="M18" i="10" s="1"/>
  <c r="J14" i="10"/>
  <c r="M14" i="10" s="1"/>
  <c r="D6" i="10"/>
  <c r="J6" i="10" s="1"/>
  <c r="M6" i="10" s="1"/>
  <c r="X84" i="10"/>
  <c r="X63" i="10" s="1"/>
  <c r="Y63" i="10" s="1"/>
  <c r="G462" i="11" s="1"/>
  <c r="N462" i="11" s="1"/>
  <c r="K15" i="10"/>
  <c r="N15" i="10" s="1"/>
  <c r="S440" i="11"/>
  <c r="S426" i="11"/>
  <c r="Q425" i="11"/>
  <c r="D11" i="10"/>
  <c r="J11" i="10" s="1"/>
  <c r="M11" i="10" s="1"/>
  <c r="S425" i="11"/>
  <c r="K477" i="11"/>
  <c r="N477" i="11" s="1"/>
  <c r="J435" i="11"/>
  <c r="M435" i="11" s="1"/>
  <c r="J427" i="11"/>
  <c r="M427" i="11" s="1"/>
  <c r="K480" i="11"/>
  <c r="N480" i="11" s="1"/>
  <c r="J474" i="11"/>
  <c r="M474" i="11" s="1"/>
  <c r="I469" i="11"/>
  <c r="L469" i="11" s="1"/>
  <c r="J200" i="16"/>
  <c r="I475" i="11"/>
  <c r="L475" i="11" s="1"/>
  <c r="K475" i="11"/>
  <c r="N475" i="11" s="1"/>
  <c r="I201" i="16"/>
  <c r="I435" i="11"/>
  <c r="L435" i="11" s="1"/>
  <c r="J478" i="11"/>
  <c r="M478" i="11" s="1"/>
  <c r="J477" i="11"/>
  <c r="M477" i="11" s="1"/>
  <c r="I430" i="11"/>
  <c r="L430" i="11" s="1"/>
  <c r="H232" i="16"/>
  <c r="J472" i="11"/>
  <c r="M472" i="11" s="1"/>
  <c r="J466" i="11"/>
  <c r="M466" i="11" s="1"/>
  <c r="K430" i="11"/>
  <c r="N430" i="11" s="1"/>
  <c r="I473" i="11"/>
  <c r="L473" i="11" s="1"/>
  <c r="I478" i="11"/>
  <c r="L478" i="11" s="1"/>
  <c r="I434" i="11"/>
  <c r="L434" i="11" s="1"/>
  <c r="J432" i="11"/>
  <c r="M432" i="11" s="1"/>
  <c r="K474" i="11"/>
  <c r="N474" i="11" s="1"/>
  <c r="K481" i="11"/>
  <c r="N481" i="11" s="1"/>
  <c r="I464" i="16"/>
  <c r="I716" i="16"/>
  <c r="J455" i="16"/>
  <c r="J707" i="16"/>
  <c r="H729" i="16"/>
  <c r="H477" i="16"/>
  <c r="J450" i="16"/>
  <c r="J702" i="16"/>
  <c r="H724" i="16"/>
  <c r="H472" i="16"/>
  <c r="J480" i="16"/>
  <c r="J732" i="16"/>
  <c r="H706" i="16"/>
  <c r="H454" i="16"/>
  <c r="H736" i="16"/>
  <c r="H484" i="16"/>
  <c r="H192" i="16"/>
  <c r="H696" i="16"/>
  <c r="H444" i="16"/>
  <c r="I465" i="16"/>
  <c r="I717" i="16"/>
  <c r="I452" i="16"/>
  <c r="I704" i="16"/>
  <c r="J473" i="16"/>
  <c r="J725" i="16"/>
  <c r="H702" i="16"/>
  <c r="H450" i="16"/>
  <c r="I471" i="16"/>
  <c r="I723" i="16"/>
  <c r="I454" i="16"/>
  <c r="I706" i="16"/>
  <c r="I478" i="16"/>
  <c r="I730" i="16"/>
  <c r="H719" i="16"/>
  <c r="H467" i="16"/>
  <c r="I458" i="16"/>
  <c r="I710" i="16"/>
  <c r="J479" i="16"/>
  <c r="J731" i="16"/>
  <c r="I453" i="16"/>
  <c r="I705" i="16"/>
  <c r="J474" i="16"/>
  <c r="J726" i="16"/>
  <c r="J456" i="16"/>
  <c r="J708" i="16"/>
  <c r="K426" i="11"/>
  <c r="J446" i="16"/>
  <c r="J698" i="16"/>
  <c r="H720" i="16"/>
  <c r="H468" i="16"/>
  <c r="H707" i="16"/>
  <c r="H455" i="16"/>
  <c r="I476" i="16"/>
  <c r="I728" i="16"/>
  <c r="J452" i="16"/>
  <c r="J704" i="16"/>
  <c r="H726" i="16"/>
  <c r="H474" i="16"/>
  <c r="H709" i="16"/>
  <c r="H457" i="16"/>
  <c r="H733" i="16"/>
  <c r="H481" i="16"/>
  <c r="J445" i="16"/>
  <c r="J697" i="16"/>
  <c r="I472" i="16"/>
  <c r="I724" i="16"/>
  <c r="H209" i="16"/>
  <c r="H713" i="16"/>
  <c r="H461" i="16"/>
  <c r="I230" i="16"/>
  <c r="I482" i="16"/>
  <c r="I734" i="16"/>
  <c r="H204" i="16"/>
  <c r="H708" i="16"/>
  <c r="H456" i="16"/>
  <c r="I477" i="16"/>
  <c r="I729" i="16"/>
  <c r="I459" i="16"/>
  <c r="I711" i="16"/>
  <c r="I449" i="16"/>
  <c r="I701" i="16"/>
  <c r="I473" i="16"/>
  <c r="I725" i="16"/>
  <c r="J457" i="16"/>
  <c r="J709" i="16"/>
  <c r="H731" i="16"/>
  <c r="H479" i="16"/>
  <c r="I455" i="16"/>
  <c r="I707" i="16"/>
  <c r="J476" i="16"/>
  <c r="J728" i="16"/>
  <c r="J451" i="16"/>
  <c r="J703" i="16"/>
  <c r="J459" i="16"/>
  <c r="J711" i="16"/>
  <c r="H703" i="16"/>
  <c r="H451" i="16"/>
  <c r="H727" i="16"/>
  <c r="H475" i="16"/>
  <c r="J463" i="16"/>
  <c r="J715" i="16"/>
  <c r="H695" i="16"/>
  <c r="H443" i="16"/>
  <c r="J458" i="16"/>
  <c r="J710" i="16"/>
  <c r="H732" i="16"/>
  <c r="H480" i="16"/>
  <c r="J464" i="16"/>
  <c r="J716" i="16"/>
  <c r="I462" i="16"/>
  <c r="I714" i="16"/>
  <c r="H704" i="16"/>
  <c r="H452" i="16"/>
  <c r="H728" i="16"/>
  <c r="H476" i="16"/>
  <c r="I460" i="16"/>
  <c r="I712" i="16"/>
  <c r="J229" i="16"/>
  <c r="J481" i="16"/>
  <c r="J733" i="16"/>
  <c r="H710" i="16"/>
  <c r="H458" i="16"/>
  <c r="I479" i="16"/>
  <c r="I731" i="16"/>
  <c r="J475" i="16"/>
  <c r="J727" i="16"/>
  <c r="H717" i="16"/>
  <c r="H465" i="16"/>
  <c r="J453" i="16"/>
  <c r="J705" i="16"/>
  <c r="J477" i="16"/>
  <c r="J729" i="16"/>
  <c r="H193" i="16"/>
  <c r="H697" i="16"/>
  <c r="H445" i="16"/>
  <c r="I214" i="16"/>
  <c r="I466" i="16"/>
  <c r="I718" i="16"/>
  <c r="I461" i="16"/>
  <c r="I713" i="16"/>
  <c r="J482" i="16"/>
  <c r="J734" i="16"/>
  <c r="I467" i="16"/>
  <c r="I719" i="16"/>
  <c r="J483" i="16"/>
  <c r="J735" i="16"/>
  <c r="J202" i="16"/>
  <c r="J454" i="16"/>
  <c r="J706" i="16"/>
  <c r="I481" i="16"/>
  <c r="I733" i="16"/>
  <c r="J443" i="16"/>
  <c r="J695" i="16"/>
  <c r="H715" i="16"/>
  <c r="H463" i="16"/>
  <c r="I484" i="16"/>
  <c r="I736" i="16"/>
  <c r="J460" i="16"/>
  <c r="J712" i="16"/>
  <c r="H734" i="16"/>
  <c r="H482" i="16"/>
  <c r="I456" i="16"/>
  <c r="I708" i="16"/>
  <c r="I480" i="16"/>
  <c r="I732" i="16"/>
  <c r="J195" i="16"/>
  <c r="J447" i="16"/>
  <c r="J699" i="16"/>
  <c r="I470" i="11"/>
  <c r="L470" i="11" s="1"/>
  <c r="H721" i="16"/>
  <c r="H469" i="16"/>
  <c r="I465" i="11"/>
  <c r="L465" i="11" s="1"/>
  <c r="H716" i="16"/>
  <c r="H464" i="16"/>
  <c r="I191" i="16"/>
  <c r="I443" i="16"/>
  <c r="I695" i="16"/>
  <c r="I442" i="11"/>
  <c r="L442" i="11" s="1"/>
  <c r="H714" i="16"/>
  <c r="H462" i="16"/>
  <c r="H194" i="16"/>
  <c r="H698" i="16"/>
  <c r="H446" i="16"/>
  <c r="K473" i="11"/>
  <c r="N473" i="11" s="1"/>
  <c r="J472" i="16"/>
  <c r="J724" i="16"/>
  <c r="I205" i="16"/>
  <c r="I457" i="16"/>
  <c r="I709" i="16"/>
  <c r="I192" i="16"/>
  <c r="I444" i="16"/>
  <c r="I696" i="16"/>
  <c r="J213" i="16"/>
  <c r="J465" i="16"/>
  <c r="J717" i="16"/>
  <c r="J443" i="11"/>
  <c r="M443" i="11" s="1"/>
  <c r="I463" i="16"/>
  <c r="I715" i="16"/>
  <c r="J232" i="16"/>
  <c r="J484" i="16"/>
  <c r="J736" i="16"/>
  <c r="J467" i="16"/>
  <c r="J719" i="16"/>
  <c r="I446" i="16"/>
  <c r="I698" i="16"/>
  <c r="I470" i="16"/>
  <c r="I722" i="16"/>
  <c r="H711" i="16"/>
  <c r="H459" i="16"/>
  <c r="H735" i="16"/>
  <c r="H483" i="16"/>
  <c r="I198" i="16"/>
  <c r="I450" i="16"/>
  <c r="I702" i="16"/>
  <c r="K472" i="11"/>
  <c r="N472" i="11" s="1"/>
  <c r="J471" i="16"/>
  <c r="J723" i="16"/>
  <c r="I193" i="16"/>
  <c r="I445" i="16"/>
  <c r="I697" i="16"/>
  <c r="K467" i="11"/>
  <c r="N467" i="11" s="1"/>
  <c r="J466" i="16"/>
  <c r="J718" i="16"/>
  <c r="J428" i="11"/>
  <c r="M428" i="11" s="1"/>
  <c r="I448" i="16"/>
  <c r="I700" i="16"/>
  <c r="I471" i="11"/>
  <c r="L471" i="11" s="1"/>
  <c r="H722" i="16"/>
  <c r="H470" i="16"/>
  <c r="K428" i="11"/>
  <c r="N428" i="11" s="1"/>
  <c r="J448" i="16"/>
  <c r="J700" i="16"/>
  <c r="H226" i="16"/>
  <c r="H730" i="16"/>
  <c r="H478" i="16"/>
  <c r="K471" i="11"/>
  <c r="N471" i="11" s="1"/>
  <c r="J470" i="16"/>
  <c r="J722" i="16"/>
  <c r="H208" i="16"/>
  <c r="H712" i="16"/>
  <c r="H460" i="16"/>
  <c r="I427" i="11"/>
  <c r="L427" i="11" s="1"/>
  <c r="H699" i="16"/>
  <c r="H447" i="16"/>
  <c r="I216" i="16"/>
  <c r="I468" i="16"/>
  <c r="I720" i="16"/>
  <c r="K424" i="11"/>
  <c r="N424" i="11" s="1"/>
  <c r="J444" i="16"/>
  <c r="J696" i="16"/>
  <c r="H214" i="16"/>
  <c r="H718" i="16"/>
  <c r="H466" i="16"/>
  <c r="N426" i="11"/>
  <c r="H701" i="16"/>
  <c r="H449" i="16"/>
  <c r="H725" i="16"/>
  <c r="H473" i="16"/>
  <c r="K435" i="11"/>
  <c r="N435" i="11" s="1"/>
  <c r="J461" i="16"/>
  <c r="J713" i="16"/>
  <c r="I433" i="11"/>
  <c r="L433" i="11" s="1"/>
  <c r="H705" i="16"/>
  <c r="H453" i="16"/>
  <c r="I222" i="16"/>
  <c r="I474" i="16"/>
  <c r="I726" i="16"/>
  <c r="I428" i="11"/>
  <c r="L428" i="11" s="1"/>
  <c r="H700" i="16"/>
  <c r="H448" i="16"/>
  <c r="I217" i="16"/>
  <c r="I469" i="16"/>
  <c r="I721" i="16"/>
  <c r="K470" i="11"/>
  <c r="N470" i="11" s="1"/>
  <c r="J469" i="16"/>
  <c r="J721" i="16"/>
  <c r="I223" i="16"/>
  <c r="I475" i="16"/>
  <c r="I727" i="16"/>
  <c r="J431" i="11"/>
  <c r="M431" i="11" s="1"/>
  <c r="I451" i="16"/>
  <c r="I703" i="16"/>
  <c r="I231" i="16"/>
  <c r="I483" i="16"/>
  <c r="I735" i="16"/>
  <c r="J478" i="16"/>
  <c r="J730" i="16"/>
  <c r="K442" i="11"/>
  <c r="N442" i="11" s="1"/>
  <c r="J462" i="16"/>
  <c r="J714" i="16"/>
  <c r="J197" i="16"/>
  <c r="J449" i="16"/>
  <c r="J701" i="16"/>
  <c r="H219" i="16"/>
  <c r="H723" i="16"/>
  <c r="H471" i="16"/>
  <c r="I447" i="16"/>
  <c r="I699" i="16"/>
  <c r="J216" i="16"/>
  <c r="J468" i="16"/>
  <c r="J720" i="16"/>
  <c r="K524" i="16"/>
  <c r="N524" i="16"/>
  <c r="L524" i="16"/>
  <c r="G524" i="16"/>
  <c r="M524" i="16"/>
  <c r="P523" i="16"/>
  <c r="O523" i="16"/>
  <c r="R523" i="16"/>
  <c r="Q523" i="16"/>
  <c r="E526" i="16"/>
  <c r="E525" i="16"/>
  <c r="O544" i="16"/>
  <c r="Q544" i="16"/>
  <c r="R544" i="16"/>
  <c r="P544" i="16"/>
  <c r="R753" i="16"/>
  <c r="O753" i="16"/>
  <c r="Q753" i="16"/>
  <c r="P753" i="16"/>
  <c r="E755" i="16"/>
  <c r="AP755" i="16" s="1"/>
  <c r="L545" i="16"/>
  <c r="K545" i="16"/>
  <c r="N545" i="16"/>
  <c r="G545" i="16"/>
  <c r="M545" i="16"/>
  <c r="L754" i="16"/>
  <c r="K754" i="16"/>
  <c r="N754" i="16"/>
  <c r="M754" i="16"/>
  <c r="E547" i="16"/>
  <c r="E546" i="16"/>
  <c r="I184" i="16"/>
  <c r="J184" i="16"/>
  <c r="H184" i="16"/>
  <c r="H163" i="16"/>
  <c r="I163" i="16"/>
  <c r="J163" i="16"/>
  <c r="H228" i="16"/>
  <c r="J228" i="16"/>
  <c r="I197" i="16"/>
  <c r="I174" i="16"/>
  <c r="H174" i="16"/>
  <c r="J174" i="16"/>
  <c r="H183" i="16"/>
  <c r="J183" i="16"/>
  <c r="I183" i="16"/>
  <c r="I168" i="16"/>
  <c r="H168" i="16"/>
  <c r="J168" i="16"/>
  <c r="I186" i="16"/>
  <c r="H186" i="16"/>
  <c r="J186" i="16"/>
  <c r="H179" i="16"/>
  <c r="J179" i="16"/>
  <c r="I179" i="16"/>
  <c r="I156" i="16"/>
  <c r="H156" i="16"/>
  <c r="J156" i="16"/>
  <c r="J205" i="16"/>
  <c r="J182" i="16"/>
  <c r="H182" i="16"/>
  <c r="I182" i="16"/>
  <c r="I215" i="16"/>
  <c r="I176" i="16"/>
  <c r="H176" i="16"/>
  <c r="J176" i="16"/>
  <c r="I209" i="16"/>
  <c r="J194" i="16"/>
  <c r="I164" i="16"/>
  <c r="H164" i="16"/>
  <c r="J164" i="16"/>
  <c r="I195" i="16"/>
  <c r="I180" i="16"/>
  <c r="H180" i="16"/>
  <c r="J180" i="16"/>
  <c r="J221" i="16"/>
  <c r="I221" i="16"/>
  <c r="H206" i="16"/>
  <c r="J206" i="16"/>
  <c r="I200" i="16"/>
  <c r="J153" i="16"/>
  <c r="H153" i="16"/>
  <c r="I153" i="16"/>
  <c r="I225" i="16"/>
  <c r="H225" i="16"/>
  <c r="I210" i="16"/>
  <c r="H187" i="16"/>
  <c r="I187" i="16"/>
  <c r="J187" i="16"/>
  <c r="I213" i="16"/>
  <c r="J217" i="16"/>
  <c r="I219" i="16"/>
  <c r="I188" i="16"/>
  <c r="J188" i="16"/>
  <c r="H188" i="16"/>
  <c r="H157" i="16"/>
  <c r="J157" i="16"/>
  <c r="I157" i="16"/>
  <c r="I229" i="16"/>
  <c r="H151" i="16"/>
  <c r="J151" i="16"/>
  <c r="I151" i="16"/>
  <c r="I208" i="16"/>
  <c r="J208" i="16"/>
  <c r="J161" i="16"/>
  <c r="I161" i="16"/>
  <c r="H161" i="16"/>
  <c r="I154" i="16"/>
  <c r="J154" i="16"/>
  <c r="H154" i="16"/>
  <c r="H202" i="16"/>
  <c r="H227" i="16"/>
  <c r="I227" i="16"/>
  <c r="J227" i="16"/>
  <c r="J204" i="16"/>
  <c r="H165" i="16"/>
  <c r="J165" i="16"/>
  <c r="I165" i="16"/>
  <c r="I150" i="16"/>
  <c r="H150" i="16"/>
  <c r="J150" i="16"/>
  <c r="H159" i="16"/>
  <c r="J159" i="16"/>
  <c r="I159" i="16"/>
  <c r="H216" i="16"/>
  <c r="J169" i="16"/>
  <c r="H169" i="16"/>
  <c r="I169" i="16"/>
  <c r="I162" i="16"/>
  <c r="H162" i="16"/>
  <c r="J162" i="16"/>
  <c r="J212" i="16"/>
  <c r="H173" i="16"/>
  <c r="J173" i="16"/>
  <c r="I173" i="16"/>
  <c r="J158" i="16"/>
  <c r="I158" i="16"/>
  <c r="H158" i="16"/>
  <c r="H167" i="16"/>
  <c r="J167" i="16"/>
  <c r="I167" i="16"/>
  <c r="I152" i="16"/>
  <c r="H152" i="16"/>
  <c r="J152" i="16"/>
  <c r="I224" i="16"/>
  <c r="H224" i="16"/>
  <c r="J224" i="16"/>
  <c r="J185" i="16"/>
  <c r="H185" i="16"/>
  <c r="I185" i="16"/>
  <c r="I170" i="16"/>
  <c r="H170" i="16"/>
  <c r="J170" i="16"/>
  <c r="H198" i="16"/>
  <c r="J198" i="16"/>
  <c r="H155" i="16"/>
  <c r="I155" i="16"/>
  <c r="J155" i="16"/>
  <c r="H220" i="16"/>
  <c r="H181" i="16"/>
  <c r="J181" i="16"/>
  <c r="I181" i="16"/>
  <c r="J166" i="16"/>
  <c r="H166" i="16"/>
  <c r="I166" i="16"/>
  <c r="H175" i="16"/>
  <c r="J175" i="16"/>
  <c r="I175" i="16"/>
  <c r="I160" i="16"/>
  <c r="H160" i="16"/>
  <c r="J160" i="16"/>
  <c r="I232" i="16"/>
  <c r="I178" i="16"/>
  <c r="J178" i="16"/>
  <c r="H178" i="16"/>
  <c r="H195" i="16"/>
  <c r="K429" i="11"/>
  <c r="N429" i="11" s="1"/>
  <c r="J475" i="11"/>
  <c r="M475" i="11" s="1"/>
  <c r="H196" i="16"/>
  <c r="H218" i="16"/>
  <c r="J425" i="11"/>
  <c r="M425" i="11" s="1"/>
  <c r="I472" i="11"/>
  <c r="L472" i="11" s="1"/>
  <c r="K469" i="11"/>
  <c r="N469" i="11" s="1"/>
  <c r="J430" i="11"/>
  <c r="M430" i="11" s="1"/>
  <c r="J210" i="16"/>
  <c r="J470" i="11"/>
  <c r="M470" i="11" s="1"/>
  <c r="J219" i="16"/>
  <c r="J476" i="11"/>
  <c r="M476" i="11" s="1"/>
  <c r="H201" i="16"/>
  <c r="J196" i="16"/>
  <c r="J484" i="11"/>
  <c r="M484" i="11" s="1"/>
  <c r="P474" i="11"/>
  <c r="P471" i="11"/>
  <c r="O465" i="11"/>
  <c r="L424" i="11"/>
  <c r="L480" i="11"/>
  <c r="Q472" i="11"/>
  <c r="Q481" i="11"/>
  <c r="P475" i="11"/>
  <c r="O425" i="11"/>
  <c r="P434" i="11"/>
  <c r="S472" i="11"/>
  <c r="O438" i="11"/>
  <c r="P442" i="11"/>
  <c r="S470" i="11"/>
  <c r="S442" i="11"/>
  <c r="P472" i="11"/>
  <c r="S471" i="11"/>
  <c r="P481" i="11"/>
  <c r="Q431" i="11"/>
  <c r="M506" i="11"/>
  <c r="S478" i="11"/>
  <c r="M468" i="11"/>
  <c r="Q479" i="11"/>
  <c r="S431" i="11"/>
  <c r="P484" i="11"/>
  <c r="Q506" i="11"/>
  <c r="S479" i="11"/>
  <c r="Q465" i="11"/>
  <c r="S484" i="11"/>
  <c r="Q426" i="11"/>
  <c r="S506" i="11"/>
  <c r="O428" i="11"/>
  <c r="O474" i="11"/>
  <c r="Q473" i="11"/>
  <c r="N482" i="11"/>
  <c r="Q428" i="11"/>
  <c r="P473" i="11"/>
  <c r="O431" i="11"/>
  <c r="Q432" i="11"/>
  <c r="S432" i="11"/>
  <c r="P428" i="11"/>
  <c r="S473" i="11"/>
  <c r="O442" i="11"/>
  <c r="O481" i="11"/>
  <c r="N440" i="11"/>
  <c r="J218" i="16"/>
  <c r="H217" i="16"/>
  <c r="J437" i="11"/>
  <c r="M437" i="11" s="1"/>
  <c r="I211" i="16"/>
  <c r="H212" i="16"/>
  <c r="H210" i="16"/>
  <c r="J220" i="16"/>
  <c r="N487" i="11"/>
  <c r="K466" i="11"/>
  <c r="N466" i="11" s="1"/>
  <c r="J192" i="16"/>
  <c r="I467" i="11"/>
  <c r="L467" i="11" s="1"/>
  <c r="I479" i="11"/>
  <c r="L479" i="11" s="1"/>
  <c r="L486" i="11"/>
  <c r="N488" i="11"/>
  <c r="I440" i="11"/>
  <c r="L440" i="11" s="1"/>
  <c r="K427" i="11"/>
  <c r="N427" i="11" s="1"/>
  <c r="J424" i="11"/>
  <c r="M424" i="11" s="1"/>
  <c r="J469" i="11"/>
  <c r="M469" i="11" s="1"/>
  <c r="I426" i="11"/>
  <c r="L426" i="11" s="1"/>
  <c r="J214" i="16"/>
  <c r="K485" i="11"/>
  <c r="N485" i="11" s="1"/>
  <c r="J423" i="11"/>
  <c r="M423" i="11" s="1"/>
  <c r="I441" i="11"/>
  <c r="L441" i="11" s="1"/>
  <c r="I436" i="11"/>
  <c r="L436" i="11" s="1"/>
  <c r="L485" i="11"/>
  <c r="J483" i="11"/>
  <c r="M483" i="11" s="1"/>
  <c r="I206" i="16"/>
  <c r="J438" i="11"/>
  <c r="M438" i="11" s="1"/>
  <c r="K479" i="11"/>
  <c r="N479" i="11" s="1"/>
  <c r="J226" i="16"/>
  <c r="M120" i="16"/>
  <c r="L120" i="16"/>
  <c r="N120" i="16"/>
  <c r="K120" i="16"/>
  <c r="Q120" i="16" s="1"/>
  <c r="I204" i="16"/>
  <c r="J436" i="11"/>
  <c r="M436" i="11" s="1"/>
  <c r="I228" i="16"/>
  <c r="J481" i="11"/>
  <c r="M481" i="11" s="1"/>
  <c r="I429" i="11"/>
  <c r="L429" i="11" s="1"/>
  <c r="H197" i="16"/>
  <c r="I474" i="11"/>
  <c r="L474" i="11" s="1"/>
  <c r="H221" i="16"/>
  <c r="H207" i="16"/>
  <c r="I439" i="11"/>
  <c r="L439" i="11" s="1"/>
  <c r="H231" i="16"/>
  <c r="I484" i="11"/>
  <c r="L484" i="11" s="1"/>
  <c r="J199" i="16"/>
  <c r="K431" i="11"/>
  <c r="N431" i="11" s="1"/>
  <c r="K476" i="11"/>
  <c r="N476" i="11" s="1"/>
  <c r="J223" i="16"/>
  <c r="J209" i="16"/>
  <c r="K441" i="11"/>
  <c r="N441" i="11" s="1"/>
  <c r="I194" i="16"/>
  <c r="J426" i="11"/>
  <c r="M426" i="11" s="1"/>
  <c r="J471" i="11"/>
  <c r="M471" i="11" s="1"/>
  <c r="I218" i="16"/>
  <c r="I202" i="16"/>
  <c r="J434" i="11"/>
  <c r="M434" i="11" s="1"/>
  <c r="J479" i="11"/>
  <c r="M479" i="11" s="1"/>
  <c r="I226" i="16"/>
  <c r="I212" i="16"/>
  <c r="J465" i="11"/>
  <c r="M465" i="11" s="1"/>
  <c r="H205" i="16"/>
  <c r="I437" i="11"/>
  <c r="L437" i="11" s="1"/>
  <c r="I482" i="11"/>
  <c r="L482" i="11" s="1"/>
  <c r="H229" i="16"/>
  <c r="H215" i="16"/>
  <c r="I468" i="11"/>
  <c r="L468" i="11" s="1"/>
  <c r="J207" i="16"/>
  <c r="K439" i="11"/>
  <c r="N439" i="11" s="1"/>
  <c r="J193" i="16"/>
  <c r="K425" i="11"/>
  <c r="N425" i="11" s="1"/>
  <c r="I220" i="16"/>
  <c r="J473" i="11"/>
  <c r="M473" i="11" s="1"/>
  <c r="I466" i="11"/>
  <c r="L466" i="11" s="1"/>
  <c r="H213" i="16"/>
  <c r="H199" i="16"/>
  <c r="I431" i="11"/>
  <c r="L431" i="11" s="1"/>
  <c r="H223" i="16"/>
  <c r="I476" i="11"/>
  <c r="L476" i="11" s="1"/>
  <c r="K468" i="11"/>
  <c r="N468" i="11" s="1"/>
  <c r="J215" i="16"/>
  <c r="J201" i="16"/>
  <c r="K433" i="11"/>
  <c r="N433" i="11" s="1"/>
  <c r="J225" i="16"/>
  <c r="K478" i="11"/>
  <c r="N478" i="11" s="1"/>
  <c r="E121" i="16"/>
  <c r="AP121" i="16" s="1"/>
  <c r="L250" i="16"/>
  <c r="L238" i="16"/>
  <c r="N252" i="16"/>
  <c r="M241" i="16"/>
  <c r="L252" i="16"/>
  <c r="K250" i="16"/>
  <c r="Q250" i="16" s="1"/>
  <c r="L237" i="16"/>
  <c r="M247" i="16"/>
  <c r="K247" i="16"/>
  <c r="O247" i="16" s="1"/>
  <c r="N237" i="16"/>
  <c r="K238" i="16"/>
  <c r="Q238" i="16" s="1"/>
  <c r="M252" i="16"/>
  <c r="N250" i="16"/>
  <c r="K246" i="16"/>
  <c r="O246" i="16" s="1"/>
  <c r="N236" i="16"/>
  <c r="L246" i="16"/>
  <c r="K245" i="16"/>
  <c r="Q245" i="16" s="1"/>
  <c r="N245" i="16"/>
  <c r="L245" i="16"/>
  <c r="M236" i="16"/>
  <c r="N238" i="16"/>
  <c r="N235" i="16"/>
  <c r="L247" i="16"/>
  <c r="N246" i="16"/>
  <c r="N249" i="16"/>
  <c r="L236" i="16"/>
  <c r="L249" i="16"/>
  <c r="O475" i="11"/>
  <c r="Q476" i="11"/>
  <c r="Q470" i="11"/>
  <c r="O434" i="11"/>
  <c r="Q475" i="11"/>
  <c r="P432" i="11"/>
  <c r="P476" i="11"/>
  <c r="O488" i="11"/>
  <c r="Q434" i="11"/>
  <c r="P470" i="11"/>
  <c r="P506" i="11"/>
  <c r="P479" i="11"/>
  <c r="O423" i="11"/>
  <c r="O486" i="11"/>
  <c r="Q488" i="11"/>
  <c r="P423" i="11"/>
  <c r="P488" i="11"/>
  <c r="Q486" i="11"/>
  <c r="P486" i="11"/>
  <c r="O476" i="11"/>
  <c r="O471" i="11"/>
  <c r="S465" i="11"/>
  <c r="L432" i="11"/>
  <c r="M482" i="11"/>
  <c r="N434" i="11"/>
  <c r="M433" i="11"/>
  <c r="L506" i="11"/>
  <c r="M485" i="11"/>
  <c r="N506" i="11"/>
  <c r="O484" i="11"/>
  <c r="P435" i="11"/>
  <c r="S436" i="11"/>
  <c r="N486" i="11"/>
  <c r="M439" i="11"/>
  <c r="L463" i="11"/>
  <c r="M487" i="11"/>
  <c r="N484" i="11"/>
  <c r="N463" i="11"/>
  <c r="L488" i="11"/>
  <c r="L462" i="11"/>
  <c r="M480" i="11"/>
  <c r="M462" i="11"/>
  <c r="N432" i="11"/>
  <c r="M488" i="11"/>
  <c r="P482" i="11"/>
  <c r="P487" i="11"/>
  <c r="P438" i="11"/>
  <c r="S482" i="11"/>
  <c r="N443" i="11"/>
  <c r="M486" i="11"/>
  <c r="L487" i="11"/>
  <c r="M467" i="11"/>
  <c r="S438" i="11"/>
  <c r="L425" i="11"/>
  <c r="R107" i="16"/>
  <c r="O107" i="16"/>
  <c r="P107" i="16"/>
  <c r="Q107" i="16"/>
  <c r="Q100" i="16"/>
  <c r="R100" i="16"/>
  <c r="O100" i="16"/>
  <c r="P100" i="16"/>
  <c r="Q24" i="16"/>
  <c r="R24" i="16"/>
  <c r="O24" i="16"/>
  <c r="P24" i="16"/>
  <c r="Q26" i="16"/>
  <c r="R26" i="16"/>
  <c r="P26" i="16"/>
  <c r="O26" i="16"/>
  <c r="P241" i="16"/>
  <c r="O241" i="16"/>
  <c r="R241" i="16"/>
  <c r="Q241" i="16"/>
  <c r="Q225" i="16"/>
  <c r="R225" i="16"/>
  <c r="O225" i="16"/>
  <c r="P225" i="16"/>
  <c r="R206" i="16"/>
  <c r="O206" i="16"/>
  <c r="P206" i="16"/>
  <c r="Q206" i="16"/>
  <c r="R216" i="16"/>
  <c r="O216" i="16"/>
  <c r="Q216" i="16"/>
  <c r="P216" i="16"/>
  <c r="R190" i="16"/>
  <c r="O190" i="16"/>
  <c r="P190" i="16"/>
  <c r="Q190" i="16"/>
  <c r="R176" i="16"/>
  <c r="O176" i="16"/>
  <c r="P176" i="16"/>
  <c r="Q176" i="16"/>
  <c r="O87" i="16"/>
  <c r="R87" i="16"/>
  <c r="P87" i="16"/>
  <c r="Q87" i="16"/>
  <c r="R156" i="16"/>
  <c r="P156" i="16"/>
  <c r="Q156" i="16"/>
  <c r="O156" i="16"/>
  <c r="R160" i="16"/>
  <c r="O160" i="16"/>
  <c r="P160" i="16"/>
  <c r="Q160" i="16"/>
  <c r="R164" i="16"/>
  <c r="Q164" i="16"/>
  <c r="O164" i="16"/>
  <c r="P164" i="16"/>
  <c r="Q30" i="16"/>
  <c r="R30" i="16"/>
  <c r="P30" i="16"/>
  <c r="O30" i="16"/>
  <c r="O89" i="16"/>
  <c r="R89" i="16"/>
  <c r="P89" i="16"/>
  <c r="Q89" i="16"/>
  <c r="Q227" i="16"/>
  <c r="R227" i="16"/>
  <c r="O227" i="16"/>
  <c r="P227" i="16"/>
  <c r="Q110" i="16"/>
  <c r="R110" i="16"/>
  <c r="O110" i="16"/>
  <c r="P110" i="16"/>
  <c r="P248" i="16"/>
  <c r="Q248" i="16"/>
  <c r="R248" i="16"/>
  <c r="O248" i="16"/>
  <c r="O33" i="16"/>
  <c r="R33" i="16"/>
  <c r="P33" i="16"/>
  <c r="Q33" i="16"/>
  <c r="Q223" i="16"/>
  <c r="R223" i="16"/>
  <c r="P223" i="16"/>
  <c r="O223" i="16"/>
  <c r="Q209" i="16"/>
  <c r="R209" i="16"/>
  <c r="P209" i="16"/>
  <c r="O209" i="16"/>
  <c r="R158" i="16"/>
  <c r="O158" i="16"/>
  <c r="P158" i="16"/>
  <c r="Q158" i="16"/>
  <c r="O23" i="16"/>
  <c r="R23" i="16"/>
  <c r="P23" i="16"/>
  <c r="Q23" i="16"/>
  <c r="R154" i="16"/>
  <c r="O154" i="16"/>
  <c r="Q154" i="16"/>
  <c r="P154" i="16"/>
  <c r="R198" i="16"/>
  <c r="O198" i="16"/>
  <c r="P198" i="16"/>
  <c r="Q198" i="16"/>
  <c r="P244" i="16"/>
  <c r="Q244" i="16"/>
  <c r="R244" i="16"/>
  <c r="O244" i="16"/>
  <c r="P240" i="16"/>
  <c r="Q240" i="16"/>
  <c r="R240" i="16"/>
  <c r="O240" i="16"/>
  <c r="Q221" i="16"/>
  <c r="R221" i="16"/>
  <c r="O221" i="16"/>
  <c r="P221" i="16"/>
  <c r="R182" i="16"/>
  <c r="O182" i="16"/>
  <c r="P182" i="16"/>
  <c r="Q182" i="16"/>
  <c r="Q171" i="16"/>
  <c r="R171" i="16"/>
  <c r="O171" i="16"/>
  <c r="P171" i="16"/>
  <c r="O27" i="16"/>
  <c r="R27" i="16"/>
  <c r="P27" i="16"/>
  <c r="Q27" i="16"/>
  <c r="Q32" i="16"/>
  <c r="R32" i="16"/>
  <c r="O32" i="16"/>
  <c r="P32" i="16"/>
  <c r="Q175" i="16"/>
  <c r="R175" i="16"/>
  <c r="P175" i="16"/>
  <c r="O175" i="16"/>
  <c r="R152" i="16"/>
  <c r="O152" i="16"/>
  <c r="P152" i="16"/>
  <c r="Q152" i="16"/>
  <c r="R99" i="16"/>
  <c r="Q99" i="16"/>
  <c r="O99" i="16"/>
  <c r="P99" i="16"/>
  <c r="Q98" i="16"/>
  <c r="R98" i="16"/>
  <c r="P98" i="16"/>
  <c r="O98" i="16"/>
  <c r="Q149" i="16"/>
  <c r="R149" i="16"/>
  <c r="O149" i="16"/>
  <c r="P149" i="16"/>
  <c r="Q36" i="16"/>
  <c r="R36" i="16"/>
  <c r="O36" i="16"/>
  <c r="P36" i="16"/>
  <c r="R103" i="16"/>
  <c r="O103" i="16"/>
  <c r="P103" i="16"/>
  <c r="Q103" i="16"/>
  <c r="R208" i="16"/>
  <c r="O208" i="16"/>
  <c r="P208" i="16"/>
  <c r="Q208" i="16"/>
  <c r="Q163" i="16"/>
  <c r="R163" i="16"/>
  <c r="O163" i="16"/>
  <c r="P163" i="16"/>
  <c r="Q203" i="16"/>
  <c r="R203" i="16"/>
  <c r="O203" i="16"/>
  <c r="P203" i="16"/>
  <c r="Q207" i="16"/>
  <c r="R207" i="16"/>
  <c r="P207" i="16"/>
  <c r="O207" i="16"/>
  <c r="Q102" i="16"/>
  <c r="R102" i="16"/>
  <c r="O102" i="16"/>
  <c r="P102" i="16"/>
  <c r="Q155" i="16"/>
  <c r="R155" i="16"/>
  <c r="O155" i="16"/>
  <c r="P155" i="16"/>
  <c r="R119" i="16"/>
  <c r="O119" i="16"/>
  <c r="P119" i="16"/>
  <c r="Q119" i="16"/>
  <c r="R115" i="16"/>
  <c r="Q115" i="16"/>
  <c r="O115" i="16"/>
  <c r="P115" i="16"/>
  <c r="Q197" i="16"/>
  <c r="R197" i="16"/>
  <c r="O197" i="16"/>
  <c r="P197" i="16"/>
  <c r="R200" i="16"/>
  <c r="O200" i="16"/>
  <c r="P200" i="16"/>
  <c r="Q200" i="16"/>
  <c r="R174" i="16"/>
  <c r="P174" i="16"/>
  <c r="O174" i="16"/>
  <c r="Q174" i="16"/>
  <c r="O43" i="16"/>
  <c r="R43" i="16"/>
  <c r="P43" i="16"/>
  <c r="Q43" i="16"/>
  <c r="O41" i="16"/>
  <c r="R41" i="16"/>
  <c r="P41" i="16"/>
  <c r="Q41" i="16"/>
  <c r="O29" i="16"/>
  <c r="R29" i="16"/>
  <c r="Q29" i="16"/>
  <c r="P29" i="16"/>
  <c r="R192" i="16"/>
  <c r="O192" i="16"/>
  <c r="P192" i="16"/>
  <c r="Q192" i="16"/>
  <c r="O39" i="16"/>
  <c r="R39" i="16"/>
  <c r="P39" i="16"/>
  <c r="Q39" i="16"/>
  <c r="R186" i="16"/>
  <c r="O186" i="16"/>
  <c r="P186" i="16"/>
  <c r="Q186" i="16"/>
  <c r="R168" i="16"/>
  <c r="O168" i="16"/>
  <c r="P168" i="16"/>
  <c r="Q168" i="16"/>
  <c r="Q92" i="16"/>
  <c r="R92" i="16"/>
  <c r="P92" i="16"/>
  <c r="O92" i="16"/>
  <c r="R202" i="16"/>
  <c r="Q202" i="16"/>
  <c r="O202" i="16"/>
  <c r="P202" i="16"/>
  <c r="P236" i="16"/>
  <c r="Q236" i="16"/>
  <c r="R236" i="16"/>
  <c r="O236" i="16"/>
  <c r="R210" i="16"/>
  <c r="Q210" i="16"/>
  <c r="O210" i="16"/>
  <c r="P210" i="16"/>
  <c r="P237" i="16"/>
  <c r="O237" i="16"/>
  <c r="Q237" i="16"/>
  <c r="R237" i="16"/>
  <c r="Q42" i="16"/>
  <c r="R42" i="16"/>
  <c r="P42" i="16"/>
  <c r="O42" i="16"/>
  <c r="Q88" i="16"/>
  <c r="R88" i="16"/>
  <c r="P88" i="16"/>
  <c r="O88" i="16"/>
  <c r="R194" i="16"/>
  <c r="Q194" i="16"/>
  <c r="O194" i="16"/>
  <c r="P194" i="16"/>
  <c r="Q217" i="16"/>
  <c r="R217" i="16"/>
  <c r="O217" i="16"/>
  <c r="P217" i="16"/>
  <c r="R196" i="16"/>
  <c r="P196" i="16"/>
  <c r="Q196" i="16"/>
  <c r="O196" i="16"/>
  <c r="R178" i="16"/>
  <c r="Q178" i="16"/>
  <c r="P178" i="16"/>
  <c r="O178" i="16"/>
  <c r="O31" i="16"/>
  <c r="R31" i="16"/>
  <c r="P31" i="16"/>
  <c r="Q31" i="16"/>
  <c r="R97" i="16"/>
  <c r="O97" i="16"/>
  <c r="P97" i="16"/>
  <c r="Q97" i="16"/>
  <c r="Q40" i="16"/>
  <c r="R40" i="16"/>
  <c r="O40" i="16"/>
  <c r="P40" i="16"/>
  <c r="Q28" i="16"/>
  <c r="R28" i="16"/>
  <c r="O28" i="16"/>
  <c r="P28" i="16"/>
  <c r="R232" i="16"/>
  <c r="O232" i="16"/>
  <c r="P232" i="16"/>
  <c r="Q232" i="16"/>
  <c r="Q183" i="16"/>
  <c r="R183" i="16"/>
  <c r="P183" i="16"/>
  <c r="O183" i="16"/>
  <c r="Q118" i="16"/>
  <c r="R118" i="16"/>
  <c r="O118" i="16"/>
  <c r="P118" i="16"/>
  <c r="Q213" i="16"/>
  <c r="R213" i="16"/>
  <c r="O213" i="16"/>
  <c r="P213" i="16"/>
  <c r="Q201" i="16"/>
  <c r="R201" i="16"/>
  <c r="O201" i="16"/>
  <c r="P201" i="16"/>
  <c r="Q205" i="16"/>
  <c r="R205" i="16"/>
  <c r="O205" i="16"/>
  <c r="P205" i="16"/>
  <c r="Q199" i="16"/>
  <c r="R199" i="16"/>
  <c r="O199" i="16"/>
  <c r="P199" i="16"/>
  <c r="Q94" i="16"/>
  <c r="R94" i="16"/>
  <c r="O94" i="16"/>
  <c r="P94" i="16"/>
  <c r="Q187" i="16"/>
  <c r="R187" i="16"/>
  <c r="O187" i="16"/>
  <c r="P187" i="16"/>
  <c r="Q195" i="16"/>
  <c r="R195" i="16"/>
  <c r="O195" i="16"/>
  <c r="P195" i="16"/>
  <c r="Q185" i="16"/>
  <c r="R185" i="16"/>
  <c r="O185" i="16"/>
  <c r="P185" i="16"/>
  <c r="R226" i="16"/>
  <c r="Q226" i="16"/>
  <c r="O226" i="16"/>
  <c r="P226" i="16"/>
  <c r="R218" i="16"/>
  <c r="Q218" i="16"/>
  <c r="O218" i="16"/>
  <c r="P218" i="16"/>
  <c r="Q189" i="16"/>
  <c r="R189" i="16"/>
  <c r="O189" i="16"/>
  <c r="P189" i="16"/>
  <c r="R111" i="16"/>
  <c r="Q111" i="16"/>
  <c r="P111" i="16"/>
  <c r="O111" i="16"/>
  <c r="Q38" i="16"/>
  <c r="R38" i="16"/>
  <c r="P38" i="16"/>
  <c r="O38" i="16"/>
  <c r="Q86" i="16"/>
  <c r="R86" i="16"/>
  <c r="O86" i="16"/>
  <c r="P86" i="16"/>
  <c r="Q229" i="16"/>
  <c r="R229" i="16"/>
  <c r="O229" i="16"/>
  <c r="P229" i="16"/>
  <c r="R228" i="16"/>
  <c r="P228" i="16"/>
  <c r="O228" i="16"/>
  <c r="Q228" i="16"/>
  <c r="O35" i="16"/>
  <c r="R35" i="16"/>
  <c r="P35" i="16"/>
  <c r="Q35" i="16"/>
  <c r="Q181" i="16"/>
  <c r="R181" i="16"/>
  <c r="O181" i="16"/>
  <c r="P181" i="16"/>
  <c r="R172" i="16"/>
  <c r="P172" i="16"/>
  <c r="Q172" i="16"/>
  <c r="O172" i="16"/>
  <c r="Q193" i="16"/>
  <c r="R193" i="16"/>
  <c r="O193" i="16"/>
  <c r="P193" i="16"/>
  <c r="Q114" i="16"/>
  <c r="R114" i="16"/>
  <c r="P114" i="16"/>
  <c r="O114" i="16"/>
  <c r="R150" i="16"/>
  <c r="O150" i="16"/>
  <c r="P150" i="16"/>
  <c r="Q150" i="16"/>
  <c r="P252" i="16"/>
  <c r="Q252" i="16"/>
  <c r="R252" i="16"/>
  <c r="O252" i="16"/>
  <c r="Q167" i="16"/>
  <c r="R167" i="16"/>
  <c r="P167" i="16"/>
  <c r="O167" i="16"/>
  <c r="R220" i="16"/>
  <c r="P220" i="16"/>
  <c r="Q220" i="16"/>
  <c r="O220" i="16"/>
  <c r="Q177" i="16"/>
  <c r="R177" i="16"/>
  <c r="O177" i="16"/>
  <c r="P177" i="16"/>
  <c r="Q211" i="16"/>
  <c r="R211" i="16"/>
  <c r="O211" i="16"/>
  <c r="P211" i="16"/>
  <c r="R230" i="16"/>
  <c r="O230" i="16"/>
  <c r="P230" i="16"/>
  <c r="Q230" i="16"/>
  <c r="Q159" i="16"/>
  <c r="R159" i="16"/>
  <c r="P159" i="16"/>
  <c r="O159" i="16"/>
  <c r="R222" i="16"/>
  <c r="O222" i="16"/>
  <c r="P222" i="16"/>
  <c r="Q222" i="16"/>
  <c r="Q116" i="16"/>
  <c r="R116" i="16"/>
  <c r="O116" i="16"/>
  <c r="P116" i="16"/>
  <c r="Q151" i="16"/>
  <c r="R151" i="16"/>
  <c r="O151" i="16"/>
  <c r="P151" i="16"/>
  <c r="R188" i="16"/>
  <c r="P188" i="16"/>
  <c r="Q188" i="16"/>
  <c r="O188" i="16"/>
  <c r="R214" i="16"/>
  <c r="O214" i="16"/>
  <c r="P214" i="16"/>
  <c r="Q214" i="16"/>
  <c r="Q112" i="16"/>
  <c r="R112" i="16"/>
  <c r="P112" i="16"/>
  <c r="O112" i="16"/>
  <c r="Q191" i="16"/>
  <c r="R191" i="16"/>
  <c r="P191" i="16"/>
  <c r="O191" i="16"/>
  <c r="Q108" i="16"/>
  <c r="R108" i="16"/>
  <c r="O108" i="16"/>
  <c r="P108" i="16"/>
  <c r="Q90" i="16"/>
  <c r="R90" i="16"/>
  <c r="O90" i="16"/>
  <c r="P90" i="16"/>
  <c r="Q34" i="16"/>
  <c r="R34" i="16"/>
  <c r="P34" i="16"/>
  <c r="O34" i="16"/>
  <c r="P249" i="16"/>
  <c r="O249" i="16"/>
  <c r="Q249" i="16"/>
  <c r="R249" i="16"/>
  <c r="R224" i="16"/>
  <c r="O224" i="16"/>
  <c r="P224" i="16"/>
  <c r="Q224" i="16"/>
  <c r="R180" i="16"/>
  <c r="P180" i="16"/>
  <c r="O180" i="16"/>
  <c r="Q180" i="16"/>
  <c r="O95" i="16"/>
  <c r="R95" i="16"/>
  <c r="Q95" i="16"/>
  <c r="P95" i="16"/>
  <c r="O37" i="16"/>
  <c r="R37" i="16"/>
  <c r="Q37" i="16"/>
  <c r="P37" i="16"/>
  <c r="O25" i="16"/>
  <c r="R25" i="16"/>
  <c r="Q25" i="16"/>
  <c r="P25" i="16"/>
  <c r="R212" i="16"/>
  <c r="Q212" i="16"/>
  <c r="O212" i="16"/>
  <c r="P212" i="16"/>
  <c r="R162" i="16"/>
  <c r="Q162" i="16"/>
  <c r="O162" i="16"/>
  <c r="P162" i="16"/>
  <c r="Q219" i="16"/>
  <c r="R219" i="16"/>
  <c r="O219" i="16"/>
  <c r="P219" i="16"/>
  <c r="Q179" i="16"/>
  <c r="R179" i="16"/>
  <c r="O179" i="16"/>
  <c r="P179" i="16"/>
  <c r="O91" i="16"/>
  <c r="R91" i="16"/>
  <c r="P91" i="16"/>
  <c r="Q91" i="16"/>
  <c r="P2" i="16"/>
  <c r="Q2" i="16"/>
  <c r="R2" i="16"/>
  <c r="O2" i="16"/>
  <c r="L242" i="16"/>
  <c r="M248" i="16"/>
  <c r="K242" i="16"/>
  <c r="N233" i="16"/>
  <c r="K251" i="16"/>
  <c r="M244" i="16"/>
  <c r="N234" i="16"/>
  <c r="K233" i="16"/>
  <c r="N248" i="16"/>
  <c r="K253" i="16"/>
  <c r="N244" i="16"/>
  <c r="L243" i="16"/>
  <c r="M243" i="16"/>
  <c r="K234" i="16"/>
  <c r="M240" i="16"/>
  <c r="L248" i="16"/>
  <c r="N253" i="16"/>
  <c r="M251" i="16"/>
  <c r="L234" i="16"/>
  <c r="N239" i="16"/>
  <c r="L244" i="16"/>
  <c r="L240" i="16"/>
  <c r="M239" i="16"/>
  <c r="K243" i="16"/>
  <c r="N240" i="16"/>
  <c r="N242" i="16"/>
  <c r="K239" i="16"/>
  <c r="L253" i="16"/>
  <c r="K1013" i="16" s="1"/>
  <c r="L233" i="16"/>
  <c r="M235" i="16"/>
  <c r="K235" i="16"/>
  <c r="L251" i="16"/>
  <c r="D21" i="10"/>
  <c r="E483" i="11"/>
  <c r="D10" i="10"/>
  <c r="Z85" i="10"/>
  <c r="E505" i="11" s="1"/>
  <c r="G505" i="11"/>
  <c r="O436" i="11"/>
  <c r="S468" i="11"/>
  <c r="Q441" i="11"/>
  <c r="S435" i="11"/>
  <c r="Q487" i="11"/>
  <c r="P436" i="11"/>
  <c r="Q474" i="11"/>
  <c r="Q430" i="11"/>
  <c r="S466" i="11"/>
  <c r="Z65" i="10"/>
  <c r="G464" i="11"/>
  <c r="S441" i="11"/>
  <c r="L14" i="10"/>
  <c r="M16" i="10"/>
  <c r="I16" i="10"/>
  <c r="L16" i="10" s="1"/>
  <c r="I9" i="10"/>
  <c r="L9" i="10" s="1"/>
  <c r="I22" i="10"/>
  <c r="L22" i="10" s="1"/>
  <c r="P467" i="11"/>
  <c r="O426" i="11"/>
  <c r="O478" i="11"/>
  <c r="S487" i="11"/>
  <c r="S430" i="11"/>
  <c r="D9" i="10"/>
  <c r="E429" i="11"/>
  <c r="D20" i="10"/>
  <c r="Q467" i="11"/>
  <c r="O482" i="11"/>
  <c r="P441" i="11"/>
  <c r="P430" i="11"/>
  <c r="O466" i="11"/>
  <c r="Q478" i="11"/>
  <c r="D17" i="10"/>
  <c r="E437" i="11"/>
  <c r="S467" i="11"/>
  <c r="S423" i="11"/>
  <c r="D23" i="10"/>
  <c r="E443" i="11"/>
  <c r="P468" i="11"/>
  <c r="Q435" i="11"/>
  <c r="D19" i="10"/>
  <c r="E439" i="11"/>
  <c r="M22" i="10"/>
  <c r="M13" i="10"/>
  <c r="E13" i="10" a="1"/>
  <c r="E13" i="10" s="1"/>
  <c r="F13" i="10" a="1"/>
  <c r="F13" i="10" s="1"/>
  <c r="G13" i="10" a="1"/>
  <c r="G13" i="10" s="1"/>
  <c r="F3" i="10" a="1"/>
  <c r="F3" i="10" s="1"/>
  <c r="G3" i="10" a="1"/>
  <c r="G3" i="10" s="1"/>
  <c r="E3" i="10" a="1"/>
  <c r="E3" i="10" s="1"/>
  <c r="G8" i="10" a="1"/>
  <c r="G8" i="10" s="1"/>
  <c r="E8" i="10" a="1"/>
  <c r="E8" i="10" s="1"/>
  <c r="F8" i="10" a="1"/>
  <c r="F8" i="10" s="1"/>
  <c r="E9" i="10" a="1"/>
  <c r="E9" i="10" s="1"/>
  <c r="F9" i="10" a="1"/>
  <c r="F9" i="10" s="1"/>
  <c r="G9" i="10" a="1"/>
  <c r="G9" i="10" s="1"/>
  <c r="E22" i="10" a="1"/>
  <c r="E22" i="10" s="1"/>
  <c r="F22" i="10" a="1"/>
  <c r="F22" i="10" s="1"/>
  <c r="G22" i="10" a="1"/>
  <c r="G22" i="10" s="1"/>
  <c r="E11" i="10" a="1"/>
  <c r="E11" i="10" s="1"/>
  <c r="F11" i="10" a="1"/>
  <c r="F11" i="10" s="1"/>
  <c r="G11" i="10" a="1"/>
  <c r="G11" i="10" s="1"/>
  <c r="E17" i="10" a="1"/>
  <c r="E17" i="10" s="1"/>
  <c r="F17" i="10" a="1"/>
  <c r="F17" i="10" s="1"/>
  <c r="G17" i="10" a="1"/>
  <c r="G17" i="10" s="1"/>
  <c r="Z63" i="10"/>
  <c r="C42" i="10"/>
  <c r="G23" i="10" a="1"/>
  <c r="G23" i="10" s="1"/>
  <c r="F23" i="10" a="1"/>
  <c r="F23" i="10" s="1"/>
  <c r="E23" i="10" a="1"/>
  <c r="E23" i="10" s="1"/>
  <c r="E18" i="10" a="1"/>
  <c r="E18" i="10" s="1"/>
  <c r="F18" i="10" a="1"/>
  <c r="F18" i="10" s="1"/>
  <c r="G18" i="10" a="1"/>
  <c r="G18" i="10" s="1"/>
  <c r="F21" i="10" a="1"/>
  <c r="F21" i="10" s="1"/>
  <c r="G21" i="10" a="1"/>
  <c r="G21" i="10" s="1"/>
  <c r="E21" i="10" a="1"/>
  <c r="E21" i="10" s="1"/>
  <c r="F19" i="10" a="1"/>
  <c r="F19" i="10" s="1"/>
  <c r="G19" i="10" a="1"/>
  <c r="G19" i="10" s="1"/>
  <c r="E19" i="10" a="1"/>
  <c r="E19" i="10" s="1"/>
  <c r="Z64" i="10"/>
  <c r="C43" i="10"/>
  <c r="G6" i="10" a="1"/>
  <c r="G6" i="10" s="1"/>
  <c r="E6" i="10" a="1"/>
  <c r="E6" i="10" s="1"/>
  <c r="F6" i="10" a="1"/>
  <c r="F6" i="10" s="1"/>
  <c r="E16" i="10" a="1"/>
  <c r="E16" i="10" s="1"/>
  <c r="F16" i="10" a="1"/>
  <c r="F16" i="10" s="1"/>
  <c r="G16" i="10" a="1"/>
  <c r="G16" i="10" s="1"/>
  <c r="G10" i="10" a="1"/>
  <c r="G10" i="10" s="1"/>
  <c r="F10" i="10" a="1"/>
  <c r="F10" i="10" s="1"/>
  <c r="E10" i="10" a="1"/>
  <c r="E10" i="10" s="1"/>
  <c r="L20" i="10"/>
  <c r="E20" i="10" a="1"/>
  <c r="E20" i="10" s="1"/>
  <c r="F20" i="10" a="1"/>
  <c r="F20" i="10" s="1"/>
  <c r="G20" i="10" a="1"/>
  <c r="G20" i="10" s="1"/>
  <c r="L12" i="10"/>
  <c r="G12" i="10" a="1"/>
  <c r="G12" i="10" s="1"/>
  <c r="E12" i="10" a="1"/>
  <c r="E12" i="10" s="1"/>
  <c r="F12" i="10" a="1"/>
  <c r="F12" i="10" s="1"/>
  <c r="G14" i="10" a="1"/>
  <c r="G14" i="10" s="1"/>
  <c r="E14" i="10" a="1"/>
  <c r="E14" i="10" s="1"/>
  <c r="F14" i="10" a="1"/>
  <c r="F14" i="10" s="1"/>
  <c r="L21" i="10"/>
  <c r="X83" i="10"/>
  <c r="Y84" i="10"/>
  <c r="L17" i="10"/>
  <c r="L6" i="10"/>
  <c r="M8" i="10"/>
  <c r="L8" i="10"/>
  <c r="D7" i="10"/>
  <c r="J7" i="10" s="1"/>
  <c r="C7" i="10"/>
  <c r="I7" i="10" s="1"/>
  <c r="L13" i="10"/>
  <c r="L11" i="10"/>
  <c r="D3" i="10"/>
  <c r="L3" i="10"/>
  <c r="D4" i="10"/>
  <c r="J4" i="10" s="1"/>
  <c r="C4" i="10"/>
  <c r="I4" i="10" s="1"/>
  <c r="D5" i="10"/>
  <c r="J5" i="10" s="1"/>
  <c r="C5" i="10"/>
  <c r="I5" i="10" s="1"/>
  <c r="L10" i="10"/>
  <c r="V121" i="16" l="1"/>
  <c r="T121" i="16"/>
  <c r="U121" i="16"/>
  <c r="S121" i="16"/>
  <c r="V899" i="16"/>
  <c r="S899" i="16"/>
  <c r="U899" i="16"/>
  <c r="T899" i="16"/>
  <c r="V837" i="16"/>
  <c r="S837" i="16"/>
  <c r="T837" i="16"/>
  <c r="U837" i="16"/>
  <c r="S755" i="16"/>
  <c r="T755" i="16"/>
  <c r="U755" i="16"/>
  <c r="V755" i="16"/>
  <c r="V857" i="16"/>
  <c r="S857" i="16"/>
  <c r="T857" i="16"/>
  <c r="U857" i="16"/>
  <c r="S816" i="16"/>
  <c r="T816" i="16"/>
  <c r="U816" i="16"/>
  <c r="V816" i="16"/>
  <c r="V878" i="16"/>
  <c r="S878" i="16"/>
  <c r="T878" i="16"/>
  <c r="U878" i="16"/>
  <c r="AQ837" i="16"/>
  <c r="W837" i="16" s="1"/>
  <c r="AR837" i="16"/>
  <c r="X837" i="16" s="1"/>
  <c r="AQ857" i="16"/>
  <c r="W857" i="16" s="1"/>
  <c r="AR857" i="16"/>
  <c r="X857" i="16" s="1"/>
  <c r="AQ816" i="16"/>
  <c r="W816" i="16" s="1"/>
  <c r="AR816" i="16"/>
  <c r="X816" i="16" s="1"/>
  <c r="AQ878" i="16"/>
  <c r="W878" i="16" s="1"/>
  <c r="AR878" i="16"/>
  <c r="X878" i="16" s="1"/>
  <c r="AQ755" i="16"/>
  <c r="W755" i="16" s="1"/>
  <c r="AR755" i="16"/>
  <c r="X755" i="16" s="1"/>
  <c r="AQ899" i="16"/>
  <c r="W899" i="16" s="1"/>
  <c r="AR899" i="16"/>
  <c r="X899" i="16" s="1"/>
  <c r="AQ121" i="16"/>
  <c r="W121" i="16" s="1"/>
  <c r="AR121" i="16"/>
  <c r="X121" i="16" s="1"/>
  <c r="J120" i="16"/>
  <c r="H120" i="16"/>
  <c r="AA121" i="16"/>
  <c r="I121" i="16" s="1"/>
  <c r="P919" i="16"/>
  <c r="Q919" i="16"/>
  <c r="R919" i="16"/>
  <c r="O919" i="16"/>
  <c r="H919" i="16"/>
  <c r="I919" i="16"/>
  <c r="J919" i="16"/>
  <c r="N920" i="16"/>
  <c r="G920" i="16"/>
  <c r="M920" i="16"/>
  <c r="L920" i="16"/>
  <c r="K920" i="16"/>
  <c r="J99" i="1"/>
  <c r="E921" i="16"/>
  <c r="E879" i="16"/>
  <c r="AP879" i="16" s="1"/>
  <c r="H877" i="16"/>
  <c r="J877" i="16"/>
  <c r="I877" i="16"/>
  <c r="E900" i="16"/>
  <c r="AP900" i="16" s="1"/>
  <c r="H898" i="16"/>
  <c r="J898" i="16"/>
  <c r="I898" i="16"/>
  <c r="M899" i="16"/>
  <c r="L899" i="16"/>
  <c r="K899" i="16"/>
  <c r="AA899" i="16"/>
  <c r="N899" i="16"/>
  <c r="H856" i="16"/>
  <c r="J856" i="16"/>
  <c r="I856" i="16"/>
  <c r="E817" i="16"/>
  <c r="AP817" i="16" s="1"/>
  <c r="R815" i="16"/>
  <c r="Q815" i="16"/>
  <c r="P815" i="16"/>
  <c r="O815" i="16"/>
  <c r="E838" i="16"/>
  <c r="AP838" i="16" s="1"/>
  <c r="J836" i="16"/>
  <c r="H836" i="16"/>
  <c r="I836" i="16"/>
  <c r="H815" i="16"/>
  <c r="I815" i="16"/>
  <c r="J815" i="16"/>
  <c r="M857" i="16"/>
  <c r="L857" i="16"/>
  <c r="K857" i="16"/>
  <c r="AA857" i="16"/>
  <c r="N857" i="16"/>
  <c r="M837" i="16"/>
  <c r="L837" i="16"/>
  <c r="K837" i="16"/>
  <c r="AA837" i="16"/>
  <c r="N837" i="16"/>
  <c r="Q836" i="16"/>
  <c r="O836" i="16"/>
  <c r="R836" i="16"/>
  <c r="P836" i="16"/>
  <c r="K816" i="16"/>
  <c r="L816" i="16"/>
  <c r="M816" i="16"/>
  <c r="N816" i="16"/>
  <c r="AA816" i="16"/>
  <c r="O898" i="16"/>
  <c r="R898" i="16"/>
  <c r="P898" i="16"/>
  <c r="Q898" i="16"/>
  <c r="P877" i="16"/>
  <c r="Q877" i="16"/>
  <c r="O877" i="16"/>
  <c r="R877" i="16"/>
  <c r="R856" i="16"/>
  <c r="P856" i="16"/>
  <c r="O856" i="16"/>
  <c r="Q856" i="16"/>
  <c r="E858" i="16"/>
  <c r="AP858" i="16" s="1"/>
  <c r="AA878" i="16"/>
  <c r="N878" i="16"/>
  <c r="L878" i="16"/>
  <c r="K878" i="16"/>
  <c r="M878" i="16"/>
  <c r="K16" i="10"/>
  <c r="N16" i="10" s="1"/>
  <c r="K14" i="10"/>
  <c r="N14" i="10" s="1"/>
  <c r="K20" i="10"/>
  <c r="N20" i="10" s="1"/>
  <c r="K21" i="10"/>
  <c r="N21" i="10" s="1"/>
  <c r="K11" i="10"/>
  <c r="N11" i="10" s="1"/>
  <c r="K8" i="10"/>
  <c r="N8" i="10" s="1"/>
  <c r="J21" i="10"/>
  <c r="M21" i="10" s="1"/>
  <c r="K13" i="10"/>
  <c r="N13" i="10" s="1"/>
  <c r="K10" i="10"/>
  <c r="N10" i="10" s="1"/>
  <c r="K3" i="10"/>
  <c r="N3" i="10" s="1"/>
  <c r="J23" i="10"/>
  <c r="M23" i="10" s="1"/>
  <c r="J3" i="10"/>
  <c r="M3" i="10" s="1"/>
  <c r="K12" i="10"/>
  <c r="N12" i="10" s="1"/>
  <c r="K22" i="10"/>
  <c r="N22" i="10" s="1"/>
  <c r="J19" i="10"/>
  <c r="M19" i="10" s="1"/>
  <c r="J17" i="10"/>
  <c r="M17" i="10" s="1"/>
  <c r="J20" i="10"/>
  <c r="M20" i="10" s="1"/>
  <c r="K19" i="10"/>
  <c r="N19" i="10" s="1"/>
  <c r="K18" i="10"/>
  <c r="N18" i="10" s="1"/>
  <c r="K17" i="10"/>
  <c r="N17" i="10" s="1"/>
  <c r="J9" i="10"/>
  <c r="M9" i="10" s="1"/>
  <c r="K6" i="10"/>
  <c r="N6" i="10" s="1"/>
  <c r="K23" i="10"/>
  <c r="N23" i="10" s="1"/>
  <c r="K9" i="10"/>
  <c r="N9" i="10" s="1"/>
  <c r="J10" i="10"/>
  <c r="M10" i="10" s="1"/>
  <c r="L526" i="16"/>
  <c r="M526" i="16"/>
  <c r="N526" i="16"/>
  <c r="G526" i="16"/>
  <c r="K526" i="16"/>
  <c r="L525" i="16"/>
  <c r="G525" i="16"/>
  <c r="M525" i="16"/>
  <c r="N525" i="16"/>
  <c r="K525" i="16"/>
  <c r="R524" i="16"/>
  <c r="O524" i="16"/>
  <c r="Q524" i="16"/>
  <c r="P524" i="16"/>
  <c r="R754" i="16"/>
  <c r="Q754" i="16"/>
  <c r="P754" i="16"/>
  <c r="O754" i="16"/>
  <c r="R545" i="16"/>
  <c r="Q545" i="16"/>
  <c r="O545" i="16"/>
  <c r="P545" i="16"/>
  <c r="L546" i="16"/>
  <c r="M546" i="16"/>
  <c r="E756" i="16"/>
  <c r="AP756" i="16" s="1"/>
  <c r="K546" i="16"/>
  <c r="N546" i="16"/>
  <c r="G546" i="16"/>
  <c r="K755" i="16"/>
  <c r="N755" i="16"/>
  <c r="M755" i="16"/>
  <c r="L755" i="16"/>
  <c r="M547" i="16"/>
  <c r="L547" i="16"/>
  <c r="N547" i="16"/>
  <c r="K547" i="16"/>
  <c r="E757" i="16"/>
  <c r="G547" i="16"/>
  <c r="O120" i="16"/>
  <c r="P120" i="16"/>
  <c r="R120" i="16"/>
  <c r="Q246" i="16"/>
  <c r="P250" i="16"/>
  <c r="E122" i="16"/>
  <c r="AP122" i="16" s="1"/>
  <c r="N121" i="16"/>
  <c r="K121" i="16"/>
  <c r="M121" i="16"/>
  <c r="L121" i="16"/>
  <c r="O250" i="16"/>
  <c r="R250" i="16"/>
  <c r="P246" i="16"/>
  <c r="P247" i="16"/>
  <c r="P238" i="16"/>
  <c r="O238" i="16"/>
  <c r="R238" i="16"/>
  <c r="R246" i="16"/>
  <c r="Q247" i="16"/>
  <c r="R247" i="16"/>
  <c r="O245" i="16"/>
  <c r="P245" i="16"/>
  <c r="R245" i="16"/>
  <c r="N505" i="11"/>
  <c r="L505" i="11"/>
  <c r="M505" i="11"/>
  <c r="N464" i="11"/>
  <c r="M464" i="11"/>
  <c r="L464" i="11"/>
  <c r="O243" i="16"/>
  <c r="P243" i="16"/>
  <c r="Q243" i="16"/>
  <c r="R243" i="16"/>
  <c r="P239" i="16"/>
  <c r="O239" i="16"/>
  <c r="R239" i="16"/>
  <c r="Q239" i="16"/>
  <c r="P253" i="16"/>
  <c r="O253" i="16"/>
  <c r="Q253" i="16"/>
  <c r="R253" i="16"/>
  <c r="Q235" i="16"/>
  <c r="R235" i="16"/>
  <c r="P235" i="16"/>
  <c r="O235" i="16"/>
  <c r="Q233" i="16"/>
  <c r="R233" i="16"/>
  <c r="O233" i="16"/>
  <c r="P233" i="16"/>
  <c r="R234" i="16"/>
  <c r="O234" i="16"/>
  <c r="P234" i="16"/>
  <c r="Q234" i="16"/>
  <c r="P242" i="16"/>
  <c r="Q242" i="16"/>
  <c r="R242" i="16"/>
  <c r="O242" i="16"/>
  <c r="O251" i="16"/>
  <c r="P251" i="16"/>
  <c r="Q251" i="16"/>
  <c r="R251" i="16"/>
  <c r="E462" i="11"/>
  <c r="D44" i="10"/>
  <c r="E464" i="11"/>
  <c r="Z84" i="10"/>
  <c r="E504" i="11" s="1"/>
  <c r="G504" i="11"/>
  <c r="Q437" i="11"/>
  <c r="O437" i="11"/>
  <c r="S437" i="11"/>
  <c r="P437" i="11"/>
  <c r="O439" i="11"/>
  <c r="P439" i="11"/>
  <c r="S439" i="11"/>
  <c r="Q439" i="11"/>
  <c r="S443" i="11"/>
  <c r="P443" i="11"/>
  <c r="Q443" i="11"/>
  <c r="O443" i="11"/>
  <c r="P505" i="11"/>
  <c r="O505" i="11"/>
  <c r="Q505" i="11"/>
  <c r="S505" i="11"/>
  <c r="S429" i="11"/>
  <c r="P429" i="11"/>
  <c r="Q429" i="11"/>
  <c r="O429" i="11"/>
  <c r="D43" i="10"/>
  <c r="E463" i="11"/>
  <c r="P483" i="11"/>
  <c r="Q483" i="11"/>
  <c r="S483" i="11"/>
  <c r="O483" i="11"/>
  <c r="E7" i="10" a="1"/>
  <c r="E7" i="10" s="1"/>
  <c r="F7" i="10" a="1"/>
  <c r="F7" i="10" s="1"/>
  <c r="G7" i="10" a="1"/>
  <c r="G7" i="10" s="1"/>
  <c r="E4" i="10" a="1"/>
  <c r="E4" i="10" s="1"/>
  <c r="F4" i="10" a="1"/>
  <c r="F4" i="10" s="1"/>
  <c r="G4" i="10" a="1"/>
  <c r="G4" i="10" s="1"/>
  <c r="E5" i="10" a="1"/>
  <c r="E5" i="10" s="1"/>
  <c r="F5" i="10" a="1"/>
  <c r="F5" i="10" s="1"/>
  <c r="G5" i="10" a="1"/>
  <c r="G5" i="10" s="1"/>
  <c r="X82" i="10"/>
  <c r="Y83" i="10"/>
  <c r="X62" i="10"/>
  <c r="Y62" i="10" s="1"/>
  <c r="G461" i="11" s="1"/>
  <c r="M7" i="10"/>
  <c r="L7" i="10"/>
  <c r="M5" i="10"/>
  <c r="L5" i="10"/>
  <c r="M4" i="10"/>
  <c r="L4" i="10"/>
  <c r="AP4" i="9"/>
  <c r="T107" i="9" s="1"/>
  <c r="G380" i="11" s="1"/>
  <c r="AQ4" i="9"/>
  <c r="T128" i="9" s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3" i="9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3" i="3"/>
  <c r="BF68" i="3"/>
  <c r="BG68" i="3" s="1"/>
  <c r="BF69" i="3"/>
  <c r="BG69" i="3" s="1"/>
  <c r="BF70" i="3"/>
  <c r="BG70" i="3" s="1"/>
  <c r="BF71" i="3"/>
  <c r="BG71" i="3" s="1"/>
  <c r="BF72" i="3"/>
  <c r="BG72" i="3" s="1"/>
  <c r="BF67" i="3"/>
  <c r="BG67" i="3" s="1"/>
  <c r="B23" i="7"/>
  <c r="AC157" i="3"/>
  <c r="AD157" i="3" s="1"/>
  <c r="AC158" i="3"/>
  <c r="AD158" i="3" s="1"/>
  <c r="AC159" i="3"/>
  <c r="AD159" i="3" s="1"/>
  <c r="AC160" i="3"/>
  <c r="AD160" i="3" s="1"/>
  <c r="AC156" i="3"/>
  <c r="AD156" i="3" s="1"/>
  <c r="AP3" i="9"/>
  <c r="T44" i="9" s="1"/>
  <c r="G359" i="11" s="1"/>
  <c r="AQ3" i="9"/>
  <c r="T65" i="9" s="1"/>
  <c r="AB4" i="2"/>
  <c r="AB7" i="2"/>
  <c r="AA13" i="2"/>
  <c r="AA31" i="2"/>
  <c r="R4" i="2"/>
  <c r="T4" i="2" s="1"/>
  <c r="R5" i="2"/>
  <c r="AC5" i="2" s="1"/>
  <c r="R6" i="2"/>
  <c r="AC6" i="2" s="1"/>
  <c r="R7" i="2"/>
  <c r="AA7" i="2" s="1"/>
  <c r="R8" i="2"/>
  <c r="AB8" i="2" s="1"/>
  <c r="R9" i="2"/>
  <c r="T9" i="2" s="1"/>
  <c r="R10" i="2"/>
  <c r="T10" i="2" s="1"/>
  <c r="R11" i="2"/>
  <c r="T11" i="2" s="1"/>
  <c r="R12" i="2"/>
  <c r="T12" i="2" s="1"/>
  <c r="R13" i="2"/>
  <c r="AC13" i="2" s="1"/>
  <c r="R14" i="2"/>
  <c r="R15" i="2"/>
  <c r="R16" i="2"/>
  <c r="R17" i="2"/>
  <c r="R18" i="2"/>
  <c r="R19" i="2"/>
  <c r="R20" i="2"/>
  <c r="R21" i="2"/>
  <c r="T21" i="2" s="1"/>
  <c r="R22" i="2"/>
  <c r="T22" i="2" s="1"/>
  <c r="R23" i="2"/>
  <c r="AA23" i="2" s="1"/>
  <c r="R24" i="2"/>
  <c r="C3" i="2" s="1"/>
  <c r="R25" i="2"/>
  <c r="R26" i="2"/>
  <c r="R27" i="2"/>
  <c r="R28" i="2"/>
  <c r="C7" i="2" s="1"/>
  <c r="R29" i="2"/>
  <c r="T29" i="2" s="1"/>
  <c r="R30" i="2"/>
  <c r="T30" i="2" s="1"/>
  <c r="R31" i="2"/>
  <c r="C10" i="2" s="1"/>
  <c r="R32" i="2"/>
  <c r="C11" i="2" s="1"/>
  <c r="R33" i="2"/>
  <c r="R34" i="2"/>
  <c r="R35" i="2"/>
  <c r="R36" i="2"/>
  <c r="C15" i="2" s="1"/>
  <c r="R37" i="2"/>
  <c r="T37" i="2" s="1"/>
  <c r="R38" i="2"/>
  <c r="T38" i="2" s="1"/>
  <c r="R39" i="2"/>
  <c r="T39" i="2" s="1"/>
  <c r="R40" i="2"/>
  <c r="T40" i="2" s="1"/>
  <c r="R41" i="2"/>
  <c r="T41" i="2" s="1"/>
  <c r="R42" i="2"/>
  <c r="R43" i="2"/>
  <c r="R44" i="2"/>
  <c r="C23" i="2" s="1"/>
  <c r="R45" i="2"/>
  <c r="D3" i="2" s="1"/>
  <c r="R46" i="2"/>
  <c r="D4" i="2" s="1"/>
  <c r="R47" i="2"/>
  <c r="D5" i="2" s="1"/>
  <c r="R48" i="2"/>
  <c r="R49" i="2"/>
  <c r="AB49" i="2" s="1"/>
  <c r="R50" i="2"/>
  <c r="R51" i="2"/>
  <c r="R52" i="2"/>
  <c r="D10" i="2" s="1"/>
  <c r="R53" i="2"/>
  <c r="D11" i="2" s="1"/>
  <c r="R54" i="2"/>
  <c r="D12" i="2" s="1"/>
  <c r="R55" i="2"/>
  <c r="AA55" i="2" s="1"/>
  <c r="R56" i="2"/>
  <c r="R57" i="2"/>
  <c r="R58" i="2"/>
  <c r="R59" i="2"/>
  <c r="R60" i="2"/>
  <c r="D18" i="2" s="1"/>
  <c r="R61" i="2"/>
  <c r="AB61" i="2" s="1"/>
  <c r="R62" i="2"/>
  <c r="D20" i="2" s="1"/>
  <c r="R63" i="2"/>
  <c r="AA63" i="2" s="1"/>
  <c r="R64" i="2"/>
  <c r="R65" i="2"/>
  <c r="R66" i="2"/>
  <c r="R67" i="2"/>
  <c r="R68" i="2"/>
  <c r="T68" i="2" s="1"/>
  <c r="R69" i="2"/>
  <c r="AB69" i="2" s="1"/>
  <c r="R70" i="2"/>
  <c r="T70" i="2" s="1"/>
  <c r="R71" i="2"/>
  <c r="R72" i="2"/>
  <c r="R73" i="2"/>
  <c r="R74" i="2"/>
  <c r="R75" i="2"/>
  <c r="R76" i="2"/>
  <c r="T76" i="2" s="1"/>
  <c r="R77" i="2"/>
  <c r="T77" i="2" s="1"/>
  <c r="R78" i="2"/>
  <c r="T78" i="2" s="1"/>
  <c r="R79" i="2"/>
  <c r="T79" i="2" s="1"/>
  <c r="R80" i="2"/>
  <c r="R81" i="2"/>
  <c r="AB81" i="2" s="1"/>
  <c r="R82" i="2"/>
  <c r="R83" i="2"/>
  <c r="R84" i="2"/>
  <c r="T84" i="2" s="1"/>
  <c r="R85" i="2"/>
  <c r="T85" i="2" s="1"/>
  <c r="R86" i="2"/>
  <c r="T86" i="2" s="1"/>
  <c r="R87" i="2"/>
  <c r="AA87" i="2" s="1"/>
  <c r="R88" i="2"/>
  <c r="R89" i="2"/>
  <c r="R90" i="2"/>
  <c r="R91" i="2"/>
  <c r="R92" i="2"/>
  <c r="T92" i="2" s="1"/>
  <c r="R93" i="2"/>
  <c r="AB93" i="2" s="1"/>
  <c r="R94" i="2"/>
  <c r="T94" i="2" s="1"/>
  <c r="R95" i="2"/>
  <c r="T95" i="2" s="1"/>
  <c r="R96" i="2"/>
  <c r="R97" i="2"/>
  <c r="R98" i="2"/>
  <c r="R99" i="2"/>
  <c r="R100" i="2"/>
  <c r="T100" i="2" s="1"/>
  <c r="R101" i="2"/>
  <c r="AB101" i="2" s="1"/>
  <c r="R102" i="2"/>
  <c r="T102" i="2" s="1"/>
  <c r="R103" i="2"/>
  <c r="T103" i="2" s="1"/>
  <c r="R104" i="2"/>
  <c r="R105" i="2"/>
  <c r="R106" i="2"/>
  <c r="R107" i="2"/>
  <c r="R108" i="2"/>
  <c r="T108" i="2" s="1"/>
  <c r="R109" i="2"/>
  <c r="T109" i="2" s="1"/>
  <c r="R110" i="2"/>
  <c r="T110" i="2" s="1"/>
  <c r="R111" i="2"/>
  <c r="T111" i="2" s="1"/>
  <c r="R112" i="2"/>
  <c r="R113" i="2"/>
  <c r="AB113" i="2" s="1"/>
  <c r="R114" i="2"/>
  <c r="R115" i="2"/>
  <c r="R116" i="2"/>
  <c r="T116" i="2" s="1"/>
  <c r="R117" i="2"/>
  <c r="T117" i="2" s="1"/>
  <c r="R118" i="2"/>
  <c r="T118" i="2" s="1"/>
  <c r="R119" i="2"/>
  <c r="AA119" i="2" s="1"/>
  <c r="R120" i="2"/>
  <c r="R121" i="2"/>
  <c r="R122" i="2"/>
  <c r="R123" i="2"/>
  <c r="R124" i="2"/>
  <c r="T124" i="2" s="1"/>
  <c r="R125" i="2"/>
  <c r="AB125" i="2" s="1"/>
  <c r="R126" i="2"/>
  <c r="T126" i="2" s="1"/>
  <c r="R127" i="2"/>
  <c r="AA127" i="2" s="1"/>
  <c r="R128" i="2"/>
  <c r="R129" i="2"/>
  <c r="C24" i="2" s="1"/>
  <c r="R130" i="2"/>
  <c r="C25" i="2" s="1"/>
  <c r="R131" i="2"/>
  <c r="C26" i="2" s="1"/>
  <c r="R132" i="2"/>
  <c r="T132" i="2" s="1"/>
  <c r="R133" i="2"/>
  <c r="AB133" i="2" s="1"/>
  <c r="R134" i="2"/>
  <c r="T134" i="2" s="1"/>
  <c r="R135" i="2"/>
  <c r="T135" i="2" s="1"/>
  <c r="R136" i="2"/>
  <c r="C31" i="2" s="1"/>
  <c r="R137" i="2"/>
  <c r="C32" i="2" s="1"/>
  <c r="R138" i="2"/>
  <c r="C33" i="2" s="1"/>
  <c r="R139" i="2"/>
  <c r="C34" i="2" s="1"/>
  <c r="R140" i="2"/>
  <c r="T140" i="2" s="1"/>
  <c r="R141" i="2"/>
  <c r="T141" i="2" s="1"/>
  <c r="R142" i="2"/>
  <c r="T142" i="2" s="1"/>
  <c r="R143" i="2"/>
  <c r="T143" i="2" s="1"/>
  <c r="R144" i="2"/>
  <c r="C39" i="2" s="1"/>
  <c r="R145" i="2"/>
  <c r="AB145" i="2" s="1"/>
  <c r="R146" i="2"/>
  <c r="C41" i="2" s="1"/>
  <c r="R147" i="2"/>
  <c r="C42" i="2" s="1"/>
  <c r="R148" i="2"/>
  <c r="T148" i="2" s="1"/>
  <c r="R149" i="2"/>
  <c r="T149" i="2" s="1"/>
  <c r="R150" i="2"/>
  <c r="T150" i="2" s="1"/>
  <c r="R151" i="2"/>
  <c r="AA151" i="2" s="1"/>
  <c r="R152" i="2"/>
  <c r="D26" i="2" s="1"/>
  <c r="R153" i="2"/>
  <c r="D27" i="2" s="1"/>
  <c r="R154" i="2"/>
  <c r="D28" i="2" s="1"/>
  <c r="R155" i="2"/>
  <c r="D29" i="2" s="1"/>
  <c r="R156" i="2"/>
  <c r="T156" i="2" s="1"/>
  <c r="R157" i="2"/>
  <c r="AB157" i="2" s="1"/>
  <c r="R158" i="2"/>
  <c r="T158" i="2" s="1"/>
  <c r="R159" i="2"/>
  <c r="T159" i="2" s="1"/>
  <c r="R160" i="2"/>
  <c r="D34" i="2" s="1"/>
  <c r="R161" i="2"/>
  <c r="D35" i="2" s="1"/>
  <c r="R162" i="2"/>
  <c r="D36" i="2" s="1"/>
  <c r="R163" i="2"/>
  <c r="D37" i="2" s="1"/>
  <c r="R164" i="2"/>
  <c r="T164" i="2" s="1"/>
  <c r="R165" i="2"/>
  <c r="AB165" i="2" s="1"/>
  <c r="R166" i="2"/>
  <c r="T166" i="2" s="1"/>
  <c r="R167" i="2"/>
  <c r="T167" i="2" s="1"/>
  <c r="R168" i="2"/>
  <c r="D42" i="2" s="1"/>
  <c r="R169" i="2"/>
  <c r="D43" i="2" s="1"/>
  <c r="R170" i="2"/>
  <c r="D44" i="2" s="1"/>
  <c r="R171" i="2"/>
  <c r="R172" i="2"/>
  <c r="T172" i="2" s="1"/>
  <c r="R173" i="2"/>
  <c r="T173" i="2" s="1"/>
  <c r="R174" i="2"/>
  <c r="T174" i="2" s="1"/>
  <c r="R175" i="2"/>
  <c r="T175" i="2" s="1"/>
  <c r="R176" i="2"/>
  <c r="R177" i="2"/>
  <c r="AB177" i="2" s="1"/>
  <c r="R178" i="2"/>
  <c r="R179" i="2"/>
  <c r="R180" i="2"/>
  <c r="T180" i="2" s="1"/>
  <c r="R181" i="2"/>
  <c r="T181" i="2" s="1"/>
  <c r="R182" i="2"/>
  <c r="T182" i="2" s="1"/>
  <c r="R183" i="2"/>
  <c r="AA183" i="2" s="1"/>
  <c r="R184" i="2"/>
  <c r="R185" i="2"/>
  <c r="R186" i="2"/>
  <c r="R187" i="2"/>
  <c r="R188" i="2"/>
  <c r="T188" i="2" s="1"/>
  <c r="R189" i="2"/>
  <c r="AB189" i="2" s="1"/>
  <c r="R190" i="2"/>
  <c r="T190" i="2" s="1"/>
  <c r="R191" i="2"/>
  <c r="T191" i="2" s="1"/>
  <c r="R192" i="2"/>
  <c r="R193" i="2"/>
  <c r="R194" i="2"/>
  <c r="R195" i="2"/>
  <c r="R196" i="2"/>
  <c r="T196" i="2" s="1"/>
  <c r="R197" i="2"/>
  <c r="AB197" i="2" s="1"/>
  <c r="R198" i="2"/>
  <c r="T198" i="2" s="1"/>
  <c r="R199" i="2"/>
  <c r="T199" i="2" s="1"/>
  <c r="R200" i="2"/>
  <c r="R201" i="2"/>
  <c r="R202" i="2"/>
  <c r="R203" i="2"/>
  <c r="T203" i="2" s="1"/>
  <c r="R204" i="2"/>
  <c r="T204" i="2" s="1"/>
  <c r="R205" i="2"/>
  <c r="T205" i="2" s="1"/>
  <c r="R206" i="2"/>
  <c r="T206" i="2" s="1"/>
  <c r="R207" i="2"/>
  <c r="T207" i="2" s="1"/>
  <c r="R208" i="2"/>
  <c r="R209" i="2"/>
  <c r="AB209" i="2" s="1"/>
  <c r="R210" i="2"/>
  <c r="R211" i="2"/>
  <c r="R212" i="2"/>
  <c r="T212" i="2" s="1"/>
  <c r="R3" i="2"/>
  <c r="AA3" i="2" s="1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V3" i="2"/>
  <c r="W3" i="2"/>
  <c r="U3" i="2"/>
  <c r="S122" i="16" l="1"/>
  <c r="T122" i="16"/>
  <c r="U122" i="16"/>
  <c r="V122" i="16"/>
  <c r="U756" i="16"/>
  <c r="S756" i="16"/>
  <c r="T756" i="16"/>
  <c r="V756" i="16"/>
  <c r="V817" i="16"/>
  <c r="S817" i="16"/>
  <c r="T817" i="16"/>
  <c r="U817" i="16"/>
  <c r="V879" i="16"/>
  <c r="S879" i="16"/>
  <c r="U879" i="16"/>
  <c r="T879" i="16"/>
  <c r="S838" i="16"/>
  <c r="T838" i="16"/>
  <c r="U838" i="16"/>
  <c r="V838" i="16"/>
  <c r="S900" i="16"/>
  <c r="V900" i="16"/>
  <c r="T900" i="16"/>
  <c r="U900" i="16"/>
  <c r="S858" i="16"/>
  <c r="T858" i="16"/>
  <c r="U858" i="16"/>
  <c r="V858" i="16"/>
  <c r="AP757" i="16"/>
  <c r="AQ757" i="16" s="1"/>
  <c r="W757" i="16" s="1"/>
  <c r="AQ838" i="16"/>
  <c r="W838" i="16" s="1"/>
  <c r="AR838" i="16"/>
  <c r="X838" i="16" s="1"/>
  <c r="AQ900" i="16"/>
  <c r="W900" i="16" s="1"/>
  <c r="AR900" i="16"/>
  <c r="X900" i="16" s="1"/>
  <c r="AQ858" i="16"/>
  <c r="W858" i="16" s="1"/>
  <c r="AR858" i="16"/>
  <c r="X858" i="16" s="1"/>
  <c r="AQ756" i="16"/>
  <c r="W756" i="16" s="1"/>
  <c r="AR756" i="16"/>
  <c r="X756" i="16" s="1"/>
  <c r="AQ817" i="16"/>
  <c r="W817" i="16" s="1"/>
  <c r="AR817" i="16"/>
  <c r="X817" i="16" s="1"/>
  <c r="AQ879" i="16"/>
  <c r="W879" i="16" s="1"/>
  <c r="AR879" i="16"/>
  <c r="X879" i="16" s="1"/>
  <c r="AQ122" i="16"/>
  <c r="W122" i="16" s="1"/>
  <c r="AR122" i="16"/>
  <c r="X122" i="16" s="1"/>
  <c r="H121" i="16"/>
  <c r="J121" i="16"/>
  <c r="AA122" i="16"/>
  <c r="I122" i="16" s="1"/>
  <c r="AB904" i="16"/>
  <c r="G904" i="16" s="1"/>
  <c r="AB903" i="16"/>
  <c r="AB902" i="16"/>
  <c r="AB901" i="16"/>
  <c r="AB900" i="16"/>
  <c r="AB899" i="16"/>
  <c r="G899" i="16" s="1"/>
  <c r="AB898" i="16"/>
  <c r="G898" i="16" s="1"/>
  <c r="AB897" i="16"/>
  <c r="G897" i="16" s="1"/>
  <c r="AB896" i="16"/>
  <c r="G896" i="16" s="1"/>
  <c r="AB895" i="16"/>
  <c r="G895" i="16" s="1"/>
  <c r="AB894" i="16"/>
  <c r="G894" i="16" s="1"/>
  <c r="AB893" i="16"/>
  <c r="G893" i="16" s="1"/>
  <c r="AB892" i="16"/>
  <c r="G892" i="16" s="1"/>
  <c r="AB891" i="16"/>
  <c r="G891" i="16" s="1"/>
  <c r="AB890" i="16"/>
  <c r="G890" i="16" s="1"/>
  <c r="AB889" i="16"/>
  <c r="G889" i="16" s="1"/>
  <c r="AB888" i="16"/>
  <c r="G888" i="16" s="1"/>
  <c r="AB887" i="16"/>
  <c r="G887" i="16" s="1"/>
  <c r="AB886" i="16"/>
  <c r="G886" i="16" s="1"/>
  <c r="AB885" i="16"/>
  <c r="G885" i="16" s="1"/>
  <c r="AB884" i="16"/>
  <c r="G884" i="16" s="1"/>
  <c r="AB883" i="16"/>
  <c r="G883" i="16" s="1"/>
  <c r="AB882" i="16"/>
  <c r="AB881" i="16"/>
  <c r="AB880" i="16"/>
  <c r="AB879" i="16"/>
  <c r="AB878" i="16"/>
  <c r="G878" i="16" s="1"/>
  <c r="AB877" i="16"/>
  <c r="G877" i="16" s="1"/>
  <c r="AB876" i="16"/>
  <c r="G876" i="16" s="1"/>
  <c r="AB875" i="16"/>
  <c r="G875" i="16" s="1"/>
  <c r="AB874" i="16"/>
  <c r="G874" i="16" s="1"/>
  <c r="AB873" i="16"/>
  <c r="G873" i="16" s="1"/>
  <c r="AB872" i="16"/>
  <c r="G872" i="16" s="1"/>
  <c r="AB871" i="16"/>
  <c r="G871" i="16" s="1"/>
  <c r="AB870" i="16"/>
  <c r="G870" i="16" s="1"/>
  <c r="AB869" i="16"/>
  <c r="G869" i="16" s="1"/>
  <c r="AB868" i="16"/>
  <c r="G868" i="16" s="1"/>
  <c r="AB867" i="16"/>
  <c r="G867" i="16" s="1"/>
  <c r="AB866" i="16"/>
  <c r="G866" i="16" s="1"/>
  <c r="AB865" i="16"/>
  <c r="G865" i="16" s="1"/>
  <c r="AB864" i="16"/>
  <c r="G864" i="16" s="1"/>
  <c r="AB863" i="16"/>
  <c r="G863" i="16" s="1"/>
  <c r="AB862" i="16"/>
  <c r="G862" i="16" s="1"/>
  <c r="AB861" i="16"/>
  <c r="AB860" i="16"/>
  <c r="AB859" i="16"/>
  <c r="AB858" i="16"/>
  <c r="AB857" i="16"/>
  <c r="G857" i="16" s="1"/>
  <c r="AB856" i="16"/>
  <c r="G856" i="16" s="1"/>
  <c r="AB855" i="16"/>
  <c r="G855" i="16" s="1"/>
  <c r="AB854" i="16"/>
  <c r="G854" i="16" s="1"/>
  <c r="AB853" i="16"/>
  <c r="G853" i="16" s="1"/>
  <c r="AB852" i="16"/>
  <c r="G852" i="16" s="1"/>
  <c r="AB851" i="16"/>
  <c r="G851" i="16" s="1"/>
  <c r="AB850" i="16"/>
  <c r="G850" i="16" s="1"/>
  <c r="AB849" i="16"/>
  <c r="G849" i="16" s="1"/>
  <c r="AB848" i="16"/>
  <c r="G848" i="16" s="1"/>
  <c r="AB847" i="16"/>
  <c r="G847" i="16" s="1"/>
  <c r="AB846" i="16"/>
  <c r="G846" i="16" s="1"/>
  <c r="AB845" i="16"/>
  <c r="G845" i="16" s="1"/>
  <c r="AB844" i="16"/>
  <c r="G844" i="16" s="1"/>
  <c r="AB843" i="16"/>
  <c r="G843" i="16" s="1"/>
  <c r="AB842" i="16"/>
  <c r="G842" i="16" s="1"/>
  <c r="AB841" i="16"/>
  <c r="G841" i="16" s="1"/>
  <c r="AB840" i="16"/>
  <c r="AB839" i="16"/>
  <c r="AB838" i="16"/>
  <c r="AB837" i="16"/>
  <c r="G837" i="16" s="1"/>
  <c r="AB836" i="16"/>
  <c r="G836" i="16" s="1"/>
  <c r="AB835" i="16"/>
  <c r="G835" i="16" s="1"/>
  <c r="AB834" i="16"/>
  <c r="G834" i="16" s="1"/>
  <c r="AB833" i="16"/>
  <c r="G833" i="16" s="1"/>
  <c r="AB832" i="16"/>
  <c r="G832" i="16" s="1"/>
  <c r="AB831" i="16"/>
  <c r="G831" i="16" s="1"/>
  <c r="AB830" i="16"/>
  <c r="G830" i="16" s="1"/>
  <c r="AB829" i="16"/>
  <c r="G829" i="16" s="1"/>
  <c r="AB828" i="16"/>
  <c r="G828" i="16" s="1"/>
  <c r="AB827" i="16"/>
  <c r="G827" i="16" s="1"/>
  <c r="AB826" i="16"/>
  <c r="G826" i="16" s="1"/>
  <c r="AB825" i="16"/>
  <c r="G825" i="16" s="1"/>
  <c r="AB824" i="16"/>
  <c r="G824" i="16" s="1"/>
  <c r="AB823" i="16"/>
  <c r="G823" i="16" s="1"/>
  <c r="AB822" i="16"/>
  <c r="G822" i="16" s="1"/>
  <c r="AB821" i="16"/>
  <c r="G821" i="16" s="1"/>
  <c r="AB820" i="16"/>
  <c r="G820" i="16" s="1"/>
  <c r="AB819" i="16"/>
  <c r="AB818" i="16"/>
  <c r="AB817" i="16"/>
  <c r="AB816" i="16"/>
  <c r="G816" i="16" s="1"/>
  <c r="AB815" i="16"/>
  <c r="G815" i="16" s="1"/>
  <c r="AB814" i="16"/>
  <c r="G814" i="16" s="1"/>
  <c r="AB813" i="16"/>
  <c r="G813" i="16" s="1"/>
  <c r="AB812" i="16"/>
  <c r="G812" i="16" s="1"/>
  <c r="AB811" i="16"/>
  <c r="G811" i="16" s="1"/>
  <c r="AB810" i="16"/>
  <c r="G810" i="16" s="1"/>
  <c r="AB809" i="16"/>
  <c r="G809" i="16" s="1"/>
  <c r="AB808" i="16"/>
  <c r="G808" i="16" s="1"/>
  <c r="AB807" i="16"/>
  <c r="G807" i="16" s="1"/>
  <c r="AB806" i="16"/>
  <c r="G806" i="16" s="1"/>
  <c r="AB805" i="16"/>
  <c r="G805" i="16" s="1"/>
  <c r="AB804" i="16"/>
  <c r="G804" i="16" s="1"/>
  <c r="AB803" i="16"/>
  <c r="G803" i="16" s="1"/>
  <c r="AB802" i="16"/>
  <c r="G802" i="16" s="1"/>
  <c r="AB801" i="16"/>
  <c r="G801" i="16" s="1"/>
  <c r="AB800" i="16"/>
  <c r="G800" i="16" s="1"/>
  <c r="J100" i="1"/>
  <c r="E922" i="16"/>
  <c r="O920" i="16"/>
  <c r="Q920" i="16"/>
  <c r="P920" i="16"/>
  <c r="R920" i="16"/>
  <c r="M921" i="16"/>
  <c r="K921" i="16"/>
  <c r="G921" i="16"/>
  <c r="N921" i="16"/>
  <c r="L921" i="16"/>
  <c r="J920" i="16"/>
  <c r="H920" i="16"/>
  <c r="I920" i="16"/>
  <c r="J899" i="16"/>
  <c r="H899" i="16"/>
  <c r="I899" i="16"/>
  <c r="E901" i="16"/>
  <c r="AP901" i="16" s="1"/>
  <c r="M838" i="16"/>
  <c r="K838" i="16"/>
  <c r="AA838" i="16"/>
  <c r="L838" i="16"/>
  <c r="N838" i="16"/>
  <c r="R899" i="16"/>
  <c r="Q899" i="16"/>
  <c r="P899" i="16"/>
  <c r="O899" i="16"/>
  <c r="L900" i="16"/>
  <c r="K900" i="16"/>
  <c r="AA900" i="16"/>
  <c r="M900" i="16"/>
  <c r="N900" i="16"/>
  <c r="E839" i="16"/>
  <c r="AP839" i="16" s="1"/>
  <c r="E840" i="16"/>
  <c r="Q878" i="16"/>
  <c r="O878" i="16"/>
  <c r="P878" i="16"/>
  <c r="R878" i="16"/>
  <c r="Q816" i="16"/>
  <c r="P816" i="16"/>
  <c r="O816" i="16"/>
  <c r="R816" i="16"/>
  <c r="J837" i="16"/>
  <c r="I837" i="16"/>
  <c r="H837" i="16"/>
  <c r="I857" i="16"/>
  <c r="H857" i="16"/>
  <c r="J857" i="16"/>
  <c r="I816" i="16"/>
  <c r="H816" i="16"/>
  <c r="J816" i="16"/>
  <c r="I878" i="16"/>
  <c r="J878" i="16"/>
  <c r="H878" i="16"/>
  <c r="R837" i="16"/>
  <c r="P837" i="16"/>
  <c r="Q837" i="16"/>
  <c r="O837" i="16"/>
  <c r="R857" i="16"/>
  <c r="O857" i="16"/>
  <c r="Q857" i="16"/>
  <c r="P857" i="16"/>
  <c r="E859" i="16"/>
  <c r="AP859" i="16" s="1"/>
  <c r="E818" i="16"/>
  <c r="AP818" i="16" s="1"/>
  <c r="E819" i="16"/>
  <c r="E880" i="16"/>
  <c r="AP880" i="16" s="1"/>
  <c r="M858" i="16"/>
  <c r="K858" i="16"/>
  <c r="AA858" i="16"/>
  <c r="N858" i="16"/>
  <c r="L858" i="16"/>
  <c r="AA817" i="16"/>
  <c r="K817" i="16"/>
  <c r="M817" i="16"/>
  <c r="L817" i="16"/>
  <c r="N817" i="16"/>
  <c r="M879" i="16"/>
  <c r="N879" i="16"/>
  <c r="AA879" i="16"/>
  <c r="L879" i="16"/>
  <c r="K879" i="16"/>
  <c r="AB650" i="16"/>
  <c r="G650" i="16" s="1"/>
  <c r="AB642" i="16"/>
  <c r="G642" i="16" s="1"/>
  <c r="AB634" i="16"/>
  <c r="G634" i="16" s="1"/>
  <c r="AB626" i="16"/>
  <c r="G626" i="16" s="1"/>
  <c r="AB618" i="16"/>
  <c r="G618" i="16" s="1"/>
  <c r="AB610" i="16"/>
  <c r="G610" i="16" s="1"/>
  <c r="AB602" i="16"/>
  <c r="G602" i="16" s="1"/>
  <c r="AB594" i="16"/>
  <c r="G594" i="16" s="1"/>
  <c r="AB586" i="16"/>
  <c r="G586" i="16" s="1"/>
  <c r="AB578" i="16"/>
  <c r="G578" i="16" s="1"/>
  <c r="AB570" i="16"/>
  <c r="G570" i="16" s="1"/>
  <c r="AB562" i="16"/>
  <c r="G562" i="16" s="1"/>
  <c r="AB554" i="16"/>
  <c r="G554" i="16" s="1"/>
  <c r="AB399" i="16"/>
  <c r="G399" i="16" s="1"/>
  <c r="AB391" i="16"/>
  <c r="G391" i="16" s="1"/>
  <c r="AB383" i="16"/>
  <c r="G383" i="16" s="1"/>
  <c r="AB375" i="16"/>
  <c r="G375" i="16" s="1"/>
  <c r="AB367" i="16"/>
  <c r="G367" i="16" s="1"/>
  <c r="AB359" i="16"/>
  <c r="G359" i="16" s="1"/>
  <c r="AB351" i="16"/>
  <c r="G351" i="16" s="1"/>
  <c r="AB343" i="16"/>
  <c r="G343" i="16" s="1"/>
  <c r="AB335" i="16"/>
  <c r="G335" i="16" s="1"/>
  <c r="AB327" i="16"/>
  <c r="G327" i="16" s="1"/>
  <c r="AB319" i="16"/>
  <c r="G319" i="16" s="1"/>
  <c r="AB311" i="16"/>
  <c r="G311" i="16" s="1"/>
  <c r="AB303" i="16"/>
  <c r="G303" i="16" s="1"/>
  <c r="AB645" i="16"/>
  <c r="G645" i="16" s="1"/>
  <c r="AB637" i="16"/>
  <c r="G637" i="16" s="1"/>
  <c r="AB629" i="16"/>
  <c r="G629" i="16" s="1"/>
  <c r="AB621" i="16"/>
  <c r="G621" i="16" s="1"/>
  <c r="AB613" i="16"/>
  <c r="G613" i="16" s="1"/>
  <c r="AB605" i="16"/>
  <c r="G605" i="16" s="1"/>
  <c r="AB597" i="16"/>
  <c r="G597" i="16" s="1"/>
  <c r="AB589" i="16"/>
  <c r="G589" i="16" s="1"/>
  <c r="AB581" i="16"/>
  <c r="G581" i="16" s="1"/>
  <c r="AB573" i="16"/>
  <c r="G573" i="16" s="1"/>
  <c r="AB565" i="16"/>
  <c r="G565" i="16" s="1"/>
  <c r="AB557" i="16"/>
  <c r="G557" i="16" s="1"/>
  <c r="AB549" i="16"/>
  <c r="G549" i="16" s="1"/>
  <c r="AB394" i="16"/>
  <c r="G394" i="16" s="1"/>
  <c r="AB386" i="16"/>
  <c r="G386" i="16" s="1"/>
  <c r="AB378" i="16"/>
  <c r="G378" i="16" s="1"/>
  <c r="AB370" i="16"/>
  <c r="G370" i="16" s="1"/>
  <c r="AB362" i="16"/>
  <c r="G362" i="16" s="1"/>
  <c r="AB354" i="16"/>
  <c r="G354" i="16" s="1"/>
  <c r="AB346" i="16"/>
  <c r="G346" i="16" s="1"/>
  <c r="AB338" i="16"/>
  <c r="G338" i="16" s="1"/>
  <c r="AB330" i="16"/>
  <c r="G330" i="16" s="1"/>
  <c r="AB322" i="16"/>
  <c r="G322" i="16" s="1"/>
  <c r="AB314" i="16"/>
  <c r="G314" i="16" s="1"/>
  <c r="AB306" i="16"/>
  <c r="G306" i="16" s="1"/>
  <c r="AB298" i="16"/>
  <c r="G298" i="16" s="1"/>
  <c r="AB648" i="16"/>
  <c r="G648" i="16" s="1"/>
  <c r="AB640" i="16"/>
  <c r="G640" i="16" s="1"/>
  <c r="AB632" i="16"/>
  <c r="G632" i="16" s="1"/>
  <c r="AB624" i="16"/>
  <c r="G624" i="16" s="1"/>
  <c r="AB616" i="16"/>
  <c r="G616" i="16" s="1"/>
  <c r="AB608" i="16"/>
  <c r="G608" i="16" s="1"/>
  <c r="AB600" i="16"/>
  <c r="G600" i="16" s="1"/>
  <c r="AB592" i="16"/>
  <c r="G592" i="16" s="1"/>
  <c r="AB584" i="16"/>
  <c r="G584" i="16" s="1"/>
  <c r="AB576" i="16"/>
  <c r="G576" i="16" s="1"/>
  <c r="AB568" i="16"/>
  <c r="G568" i="16" s="1"/>
  <c r="AB560" i="16"/>
  <c r="G560" i="16" s="1"/>
  <c r="AB552" i="16"/>
  <c r="G552" i="16" s="1"/>
  <c r="AB397" i="16"/>
  <c r="G397" i="16" s="1"/>
  <c r="AB389" i="16"/>
  <c r="G389" i="16" s="1"/>
  <c r="AB381" i="16"/>
  <c r="G381" i="16" s="1"/>
  <c r="AB373" i="16"/>
  <c r="G373" i="16" s="1"/>
  <c r="AB365" i="16"/>
  <c r="G365" i="16" s="1"/>
  <c r="AB357" i="16"/>
  <c r="G357" i="16" s="1"/>
  <c r="AB349" i="16"/>
  <c r="G349" i="16" s="1"/>
  <c r="AB341" i="16"/>
  <c r="G341" i="16" s="1"/>
  <c r="AB333" i="16"/>
  <c r="G333" i="16" s="1"/>
  <c r="AB325" i="16"/>
  <c r="G325" i="16" s="1"/>
  <c r="AB317" i="16"/>
  <c r="G317" i="16" s="1"/>
  <c r="AB309" i="16"/>
  <c r="G309" i="16" s="1"/>
  <c r="AB301" i="16"/>
  <c r="G301" i="16" s="1"/>
  <c r="AB651" i="16"/>
  <c r="G651" i="16" s="1"/>
  <c r="AB643" i="16"/>
  <c r="G643" i="16" s="1"/>
  <c r="AB635" i="16"/>
  <c r="G635" i="16" s="1"/>
  <c r="AB627" i="16"/>
  <c r="G627" i="16" s="1"/>
  <c r="AB619" i="16"/>
  <c r="G619" i="16" s="1"/>
  <c r="AB611" i="16"/>
  <c r="G611" i="16" s="1"/>
  <c r="AB603" i="16"/>
  <c r="G603" i="16" s="1"/>
  <c r="AB595" i="16"/>
  <c r="G595" i="16" s="1"/>
  <c r="AB587" i="16"/>
  <c r="G587" i="16" s="1"/>
  <c r="AB579" i="16"/>
  <c r="G579" i="16" s="1"/>
  <c r="AB571" i="16"/>
  <c r="G571" i="16" s="1"/>
  <c r="AB563" i="16"/>
  <c r="G563" i="16" s="1"/>
  <c r="AB555" i="16"/>
  <c r="G555" i="16" s="1"/>
  <c r="AB400" i="16"/>
  <c r="G400" i="16" s="1"/>
  <c r="AB392" i="16"/>
  <c r="G392" i="16" s="1"/>
  <c r="AB384" i="16"/>
  <c r="G384" i="16" s="1"/>
  <c r="AB376" i="16"/>
  <c r="G376" i="16" s="1"/>
  <c r="AB368" i="16"/>
  <c r="G368" i="16" s="1"/>
  <c r="AB360" i="16"/>
  <c r="G360" i="16" s="1"/>
  <c r="AB352" i="16"/>
  <c r="G352" i="16" s="1"/>
  <c r="AB344" i="16"/>
  <c r="G344" i="16" s="1"/>
  <c r="AB336" i="16"/>
  <c r="G336" i="16" s="1"/>
  <c r="AB328" i="16"/>
  <c r="G328" i="16" s="1"/>
  <c r="AB320" i="16"/>
  <c r="G320" i="16" s="1"/>
  <c r="AB312" i="16"/>
  <c r="G312" i="16" s="1"/>
  <c r="AB304" i="16"/>
  <c r="G304" i="16" s="1"/>
  <c r="AB296" i="16"/>
  <c r="G296" i="16" s="1"/>
  <c r="AB646" i="16"/>
  <c r="G646" i="16" s="1"/>
  <c r="AB638" i="16"/>
  <c r="G638" i="16" s="1"/>
  <c r="AB630" i="16"/>
  <c r="G630" i="16" s="1"/>
  <c r="AB622" i="16"/>
  <c r="G622" i="16" s="1"/>
  <c r="AB614" i="16"/>
  <c r="G614" i="16" s="1"/>
  <c r="AB606" i="16"/>
  <c r="G606" i="16" s="1"/>
  <c r="AB598" i="16"/>
  <c r="G598" i="16" s="1"/>
  <c r="AB590" i="16"/>
  <c r="G590" i="16" s="1"/>
  <c r="AB582" i="16"/>
  <c r="G582" i="16" s="1"/>
  <c r="AB574" i="16"/>
  <c r="G574" i="16" s="1"/>
  <c r="AB566" i="16"/>
  <c r="G566" i="16" s="1"/>
  <c r="AB558" i="16"/>
  <c r="G558" i="16" s="1"/>
  <c r="AB550" i="16"/>
  <c r="G550" i="16" s="1"/>
  <c r="AB395" i="16"/>
  <c r="G395" i="16" s="1"/>
  <c r="AB387" i="16"/>
  <c r="G387" i="16" s="1"/>
  <c r="AB379" i="16"/>
  <c r="G379" i="16" s="1"/>
  <c r="AB371" i="16"/>
  <c r="G371" i="16" s="1"/>
  <c r="AB363" i="16"/>
  <c r="G363" i="16" s="1"/>
  <c r="AB355" i="16"/>
  <c r="G355" i="16" s="1"/>
  <c r="AB347" i="16"/>
  <c r="G347" i="16" s="1"/>
  <c r="AB339" i="16"/>
  <c r="G339" i="16" s="1"/>
  <c r="AB331" i="16"/>
  <c r="G331" i="16" s="1"/>
  <c r="AB323" i="16"/>
  <c r="G323" i="16" s="1"/>
  <c r="AB315" i="16"/>
  <c r="G315" i="16" s="1"/>
  <c r="AB307" i="16"/>
  <c r="G307" i="16" s="1"/>
  <c r="AB299" i="16"/>
  <c r="G299" i="16" s="1"/>
  <c r="AB649" i="16"/>
  <c r="G649" i="16" s="1"/>
  <c r="AB641" i="16"/>
  <c r="G641" i="16" s="1"/>
  <c r="AB633" i="16"/>
  <c r="G633" i="16" s="1"/>
  <c r="AB625" i="16"/>
  <c r="G625" i="16" s="1"/>
  <c r="AB617" i="16"/>
  <c r="G617" i="16" s="1"/>
  <c r="AB609" i="16"/>
  <c r="G609" i="16" s="1"/>
  <c r="AB601" i="16"/>
  <c r="G601" i="16" s="1"/>
  <c r="AB593" i="16"/>
  <c r="G593" i="16" s="1"/>
  <c r="AB585" i="16"/>
  <c r="G585" i="16" s="1"/>
  <c r="AB577" i="16"/>
  <c r="G577" i="16" s="1"/>
  <c r="AB569" i="16"/>
  <c r="G569" i="16" s="1"/>
  <c r="AB561" i="16"/>
  <c r="G561" i="16" s="1"/>
  <c r="AB553" i="16"/>
  <c r="G553" i="16" s="1"/>
  <c r="AB398" i="16"/>
  <c r="G398" i="16" s="1"/>
  <c r="AB390" i="16"/>
  <c r="G390" i="16" s="1"/>
  <c r="AB382" i="16"/>
  <c r="G382" i="16" s="1"/>
  <c r="AB374" i="16"/>
  <c r="G374" i="16" s="1"/>
  <c r="AB366" i="16"/>
  <c r="G366" i="16" s="1"/>
  <c r="AB358" i="16"/>
  <c r="G358" i="16" s="1"/>
  <c r="AB350" i="16"/>
  <c r="G350" i="16" s="1"/>
  <c r="AB342" i="16"/>
  <c r="G342" i="16" s="1"/>
  <c r="AB334" i="16"/>
  <c r="G334" i="16" s="1"/>
  <c r="AB326" i="16"/>
  <c r="G326" i="16" s="1"/>
  <c r="AB318" i="16"/>
  <c r="G318" i="16" s="1"/>
  <c r="AB310" i="16"/>
  <c r="G310" i="16" s="1"/>
  <c r="AB302" i="16"/>
  <c r="G302" i="16" s="1"/>
  <c r="AB652" i="16"/>
  <c r="G652" i="16" s="1"/>
  <c r="AB644" i="16"/>
  <c r="G644" i="16" s="1"/>
  <c r="AB636" i="16"/>
  <c r="G636" i="16" s="1"/>
  <c r="AB628" i="16"/>
  <c r="G628" i="16" s="1"/>
  <c r="AB620" i="16"/>
  <c r="G620" i="16" s="1"/>
  <c r="AB612" i="16"/>
  <c r="G612" i="16" s="1"/>
  <c r="AB604" i="16"/>
  <c r="G604" i="16" s="1"/>
  <c r="AB596" i="16"/>
  <c r="G596" i="16" s="1"/>
  <c r="AB588" i="16"/>
  <c r="G588" i="16" s="1"/>
  <c r="AB580" i="16"/>
  <c r="G580" i="16" s="1"/>
  <c r="AB572" i="16"/>
  <c r="G572" i="16" s="1"/>
  <c r="AB564" i="16"/>
  <c r="G564" i="16" s="1"/>
  <c r="AB556" i="16"/>
  <c r="G556" i="16" s="1"/>
  <c r="AB548" i="16"/>
  <c r="G548" i="16" s="1"/>
  <c r="AB393" i="16"/>
  <c r="G393" i="16" s="1"/>
  <c r="AB385" i="16"/>
  <c r="G385" i="16" s="1"/>
  <c r="AB377" i="16"/>
  <c r="G377" i="16" s="1"/>
  <c r="AB369" i="16"/>
  <c r="G369" i="16" s="1"/>
  <c r="AB361" i="16"/>
  <c r="G361" i="16" s="1"/>
  <c r="AB353" i="16"/>
  <c r="G353" i="16" s="1"/>
  <c r="AB345" i="16"/>
  <c r="G345" i="16" s="1"/>
  <c r="AB337" i="16"/>
  <c r="G337" i="16" s="1"/>
  <c r="AB329" i="16"/>
  <c r="G329" i="16" s="1"/>
  <c r="AB321" i="16"/>
  <c r="G321" i="16" s="1"/>
  <c r="AB313" i="16"/>
  <c r="G313" i="16" s="1"/>
  <c r="AB305" i="16"/>
  <c r="G305" i="16" s="1"/>
  <c r="AB297" i="16"/>
  <c r="G297" i="16" s="1"/>
  <c r="AB647" i="16"/>
  <c r="G647" i="16" s="1"/>
  <c r="AB639" i="16"/>
  <c r="G639" i="16" s="1"/>
  <c r="AB631" i="16"/>
  <c r="G631" i="16" s="1"/>
  <c r="AB623" i="16"/>
  <c r="G623" i="16" s="1"/>
  <c r="AB615" i="16"/>
  <c r="G615" i="16" s="1"/>
  <c r="AB607" i="16"/>
  <c r="G607" i="16" s="1"/>
  <c r="AB599" i="16"/>
  <c r="G599" i="16" s="1"/>
  <c r="AB591" i="16"/>
  <c r="G591" i="16" s="1"/>
  <c r="AB583" i="16"/>
  <c r="G583" i="16" s="1"/>
  <c r="AB575" i="16"/>
  <c r="G575" i="16" s="1"/>
  <c r="AB567" i="16"/>
  <c r="G567" i="16" s="1"/>
  <c r="AB559" i="16"/>
  <c r="G559" i="16" s="1"/>
  <c r="AB551" i="16"/>
  <c r="G551" i="16" s="1"/>
  <c r="AB396" i="16"/>
  <c r="G396" i="16" s="1"/>
  <c r="AB388" i="16"/>
  <c r="G388" i="16" s="1"/>
  <c r="AB380" i="16"/>
  <c r="G380" i="16" s="1"/>
  <c r="AB372" i="16"/>
  <c r="G372" i="16" s="1"/>
  <c r="AB364" i="16"/>
  <c r="G364" i="16" s="1"/>
  <c r="AB356" i="16"/>
  <c r="G356" i="16" s="1"/>
  <c r="AB348" i="16"/>
  <c r="G348" i="16" s="1"/>
  <c r="AB340" i="16"/>
  <c r="G340" i="16" s="1"/>
  <c r="AB332" i="16"/>
  <c r="G332" i="16" s="1"/>
  <c r="AB324" i="16"/>
  <c r="G324" i="16" s="1"/>
  <c r="AB316" i="16"/>
  <c r="G316" i="16" s="1"/>
  <c r="AB308" i="16"/>
  <c r="G308" i="16" s="1"/>
  <c r="AB300" i="16"/>
  <c r="G300" i="16" s="1"/>
  <c r="K5" i="10"/>
  <c r="N5" i="10" s="1"/>
  <c r="K4" i="10"/>
  <c r="N4" i="10" s="1"/>
  <c r="K7" i="10"/>
  <c r="N7" i="10" s="1"/>
  <c r="P526" i="16"/>
  <c r="Q526" i="16"/>
  <c r="R526" i="16"/>
  <c r="O526" i="16"/>
  <c r="R525" i="16"/>
  <c r="O525" i="16"/>
  <c r="Q525" i="16"/>
  <c r="P525" i="16"/>
  <c r="M756" i="16"/>
  <c r="N756" i="16"/>
  <c r="K756" i="16"/>
  <c r="L756" i="16"/>
  <c r="Q755" i="16"/>
  <c r="P755" i="16"/>
  <c r="O755" i="16"/>
  <c r="R755" i="16"/>
  <c r="L757" i="16"/>
  <c r="N757" i="16"/>
  <c r="M757" i="16"/>
  <c r="K757" i="16"/>
  <c r="O546" i="16"/>
  <c r="Q546" i="16"/>
  <c r="R546" i="16"/>
  <c r="P546" i="16"/>
  <c r="R547" i="16"/>
  <c r="O547" i="16"/>
  <c r="P547" i="16"/>
  <c r="Q547" i="16"/>
  <c r="W43" i="2"/>
  <c r="W64" i="2" s="1"/>
  <c r="K316" i="11"/>
  <c r="N316" i="11" s="1"/>
  <c r="V38" i="2"/>
  <c r="J143" i="11" s="1"/>
  <c r="M143" i="11" s="1"/>
  <c r="J311" i="11"/>
  <c r="M311" i="11" s="1"/>
  <c r="U33" i="2"/>
  <c r="U54" i="2" s="1"/>
  <c r="I306" i="11"/>
  <c r="L306" i="11" s="1"/>
  <c r="V30" i="2"/>
  <c r="J135" i="11" s="1"/>
  <c r="M135" i="11" s="1"/>
  <c r="J303" i="11"/>
  <c r="M303" i="11" s="1"/>
  <c r="U38" i="2"/>
  <c r="U59" i="2" s="1"/>
  <c r="I311" i="11"/>
  <c r="L311" i="11" s="1"/>
  <c r="U30" i="2"/>
  <c r="U51" i="2" s="1"/>
  <c r="I303" i="11"/>
  <c r="L303" i="11" s="1"/>
  <c r="V27" i="2"/>
  <c r="V48" i="2" s="1"/>
  <c r="J300" i="11"/>
  <c r="M300" i="11" s="1"/>
  <c r="U35" i="2"/>
  <c r="U56" i="2" s="1"/>
  <c r="I308" i="11"/>
  <c r="L308" i="11" s="1"/>
  <c r="W24" i="2"/>
  <c r="W45" i="2" s="1"/>
  <c r="K297" i="11"/>
  <c r="N297" i="11" s="1"/>
  <c r="W42" i="2"/>
  <c r="W63" i="2" s="1"/>
  <c r="K315" i="11"/>
  <c r="N315" i="11" s="1"/>
  <c r="U40" i="2"/>
  <c r="I145" i="11" s="1"/>
  <c r="L145" i="11" s="1"/>
  <c r="I313" i="11"/>
  <c r="L313" i="11" s="1"/>
  <c r="V37" i="2"/>
  <c r="V58" i="2" s="1"/>
  <c r="J310" i="11"/>
  <c r="M310" i="11" s="1"/>
  <c r="W34" i="2"/>
  <c r="W55" i="2" s="1"/>
  <c r="K307" i="11"/>
  <c r="N307" i="11" s="1"/>
  <c r="U32" i="2"/>
  <c r="U53" i="2" s="1"/>
  <c r="I305" i="11"/>
  <c r="L305" i="11" s="1"/>
  <c r="V29" i="2"/>
  <c r="J134" i="11" s="1"/>
  <c r="M134" i="11" s="1"/>
  <c r="J302" i="11"/>
  <c r="M302" i="11" s="1"/>
  <c r="W26" i="2"/>
  <c r="W47" i="2" s="1"/>
  <c r="K299" i="11"/>
  <c r="N299" i="11" s="1"/>
  <c r="W37" i="2"/>
  <c r="W58" i="2" s="1"/>
  <c r="K310" i="11"/>
  <c r="N310" i="11" s="1"/>
  <c r="U41" i="2"/>
  <c r="U62" i="2" s="1"/>
  <c r="I314" i="11"/>
  <c r="L314" i="11" s="1"/>
  <c r="W35" i="2"/>
  <c r="W56" i="2" s="1"/>
  <c r="K308" i="11"/>
  <c r="N308" i="11" s="1"/>
  <c r="U25" i="2"/>
  <c r="U46" i="2" s="1"/>
  <c r="I298" i="11"/>
  <c r="L298" i="11" s="1"/>
  <c r="U27" i="2"/>
  <c r="U48" i="2" s="1"/>
  <c r="I300" i="11"/>
  <c r="L300" i="11" s="1"/>
  <c r="V24" i="2"/>
  <c r="V45" i="2" s="1"/>
  <c r="J297" i="11"/>
  <c r="M297" i="11" s="1"/>
  <c r="U37" i="2"/>
  <c r="U58" i="2" s="1"/>
  <c r="I310" i="11"/>
  <c r="L310" i="11" s="1"/>
  <c r="U29" i="2"/>
  <c r="I134" i="11" s="1"/>
  <c r="L134" i="11" s="1"/>
  <c r="I302" i="11"/>
  <c r="L302" i="11" s="1"/>
  <c r="W44" i="2"/>
  <c r="W65" i="2" s="1"/>
  <c r="K317" i="11"/>
  <c r="N317" i="11" s="1"/>
  <c r="U42" i="2"/>
  <c r="U63" i="2" s="1"/>
  <c r="I315" i="11"/>
  <c r="L315" i="11" s="1"/>
  <c r="V39" i="2"/>
  <c r="V60" i="2" s="1"/>
  <c r="J312" i="11"/>
  <c r="M312" i="11" s="1"/>
  <c r="W36" i="2"/>
  <c r="K141" i="11" s="1"/>
  <c r="N141" i="11" s="1"/>
  <c r="K309" i="11"/>
  <c r="N309" i="11" s="1"/>
  <c r="U34" i="2"/>
  <c r="U55" i="2" s="1"/>
  <c r="I307" i="11"/>
  <c r="L307" i="11" s="1"/>
  <c r="V31" i="2"/>
  <c r="V52" i="2" s="1"/>
  <c r="J304" i="11"/>
  <c r="M304" i="11" s="1"/>
  <c r="W28" i="2"/>
  <c r="W49" i="2" s="1"/>
  <c r="K301" i="11"/>
  <c r="N301" i="11" s="1"/>
  <c r="U26" i="2"/>
  <c r="I131" i="11" s="1"/>
  <c r="L131" i="11" s="1"/>
  <c r="I299" i="11"/>
  <c r="L299" i="11" s="1"/>
  <c r="W40" i="2"/>
  <c r="W61" i="2" s="1"/>
  <c r="K313" i="11"/>
  <c r="N313" i="11" s="1"/>
  <c r="W32" i="2"/>
  <c r="K137" i="11" s="1"/>
  <c r="N137" i="11" s="1"/>
  <c r="K305" i="11"/>
  <c r="N305" i="11" s="1"/>
  <c r="U43" i="2"/>
  <c r="U64" i="2" s="1"/>
  <c r="I316" i="11"/>
  <c r="L316" i="11" s="1"/>
  <c r="V32" i="2"/>
  <c r="J305" i="11"/>
  <c r="M305" i="11" s="1"/>
  <c r="W31" i="2"/>
  <c r="W52" i="2" s="1"/>
  <c r="K304" i="11"/>
  <c r="N304" i="11" s="1"/>
  <c r="V44" i="2"/>
  <c r="J149" i="11" s="1"/>
  <c r="M149" i="11" s="1"/>
  <c r="J317" i="11"/>
  <c r="M317" i="11" s="1"/>
  <c r="W41" i="2"/>
  <c r="W62" i="2" s="1"/>
  <c r="K314" i="11"/>
  <c r="N314" i="11" s="1"/>
  <c r="U39" i="2"/>
  <c r="I144" i="11" s="1"/>
  <c r="L144" i="11" s="1"/>
  <c r="I312" i="11"/>
  <c r="L312" i="11" s="1"/>
  <c r="V36" i="2"/>
  <c r="J141" i="11" s="1"/>
  <c r="M141" i="11" s="1"/>
  <c r="J309" i="11"/>
  <c r="M309" i="11" s="1"/>
  <c r="W33" i="2"/>
  <c r="W54" i="2" s="1"/>
  <c r="K306" i="11"/>
  <c r="N306" i="11" s="1"/>
  <c r="U31" i="2"/>
  <c r="I136" i="11" s="1"/>
  <c r="L136" i="11" s="1"/>
  <c r="I304" i="11"/>
  <c r="L304" i="11" s="1"/>
  <c r="V28" i="2"/>
  <c r="J133" i="11" s="1"/>
  <c r="M133" i="11" s="1"/>
  <c r="J301" i="11"/>
  <c r="M301" i="11" s="1"/>
  <c r="W25" i="2"/>
  <c r="W46" i="2" s="1"/>
  <c r="K298" i="11"/>
  <c r="N298" i="11" s="1"/>
  <c r="AB49" i="16"/>
  <c r="G49" i="16" s="1"/>
  <c r="AB57" i="16"/>
  <c r="G57" i="16" s="1"/>
  <c r="AB65" i="16"/>
  <c r="G65" i="16" s="1"/>
  <c r="AB73" i="16"/>
  <c r="G73" i="16" s="1"/>
  <c r="AB81" i="16"/>
  <c r="G81" i="16" s="1"/>
  <c r="AB89" i="16"/>
  <c r="G89" i="16" s="1"/>
  <c r="AB97" i="16"/>
  <c r="G97" i="16" s="1"/>
  <c r="AB105" i="16"/>
  <c r="G105" i="16" s="1"/>
  <c r="AB113" i="16"/>
  <c r="G113" i="16" s="1"/>
  <c r="AB121" i="16"/>
  <c r="G121" i="16" s="1"/>
  <c r="AB129" i="16"/>
  <c r="G129" i="16" s="1"/>
  <c r="AB137" i="16"/>
  <c r="G137" i="16" s="1"/>
  <c r="AB145" i="16"/>
  <c r="G145" i="16" s="1"/>
  <c r="AB50" i="16"/>
  <c r="G50" i="16" s="1"/>
  <c r="AB58" i="16"/>
  <c r="G58" i="16" s="1"/>
  <c r="AB66" i="16"/>
  <c r="G66" i="16" s="1"/>
  <c r="AB74" i="16"/>
  <c r="G74" i="16" s="1"/>
  <c r="AB82" i="16"/>
  <c r="G82" i="16" s="1"/>
  <c r="AB90" i="16"/>
  <c r="G90" i="16" s="1"/>
  <c r="AB98" i="16"/>
  <c r="G98" i="16" s="1"/>
  <c r="AB106" i="16"/>
  <c r="G106" i="16" s="1"/>
  <c r="AB114" i="16"/>
  <c r="G114" i="16" s="1"/>
  <c r="AB122" i="16"/>
  <c r="AB130" i="16"/>
  <c r="G130" i="16" s="1"/>
  <c r="AB138" i="16"/>
  <c r="G138" i="16" s="1"/>
  <c r="AB146" i="16"/>
  <c r="G146" i="16" s="1"/>
  <c r="AB51" i="16"/>
  <c r="G51" i="16" s="1"/>
  <c r="AB59" i="16"/>
  <c r="G59" i="16" s="1"/>
  <c r="AB67" i="16"/>
  <c r="G67" i="16" s="1"/>
  <c r="AB75" i="16"/>
  <c r="G75" i="16" s="1"/>
  <c r="AB83" i="16"/>
  <c r="G83" i="16" s="1"/>
  <c r="AB91" i="16"/>
  <c r="G91" i="16" s="1"/>
  <c r="AB99" i="16"/>
  <c r="G99" i="16" s="1"/>
  <c r="AB107" i="16"/>
  <c r="G107" i="16" s="1"/>
  <c r="AB115" i="16"/>
  <c r="G115" i="16" s="1"/>
  <c r="AB123" i="16"/>
  <c r="AB131" i="16"/>
  <c r="G131" i="16" s="1"/>
  <c r="AB139" i="16"/>
  <c r="G139" i="16" s="1"/>
  <c r="AB147" i="16"/>
  <c r="G147" i="16" s="1"/>
  <c r="AB52" i="16"/>
  <c r="G52" i="16" s="1"/>
  <c r="AB60" i="16"/>
  <c r="G60" i="16" s="1"/>
  <c r="AB68" i="16"/>
  <c r="G68" i="16" s="1"/>
  <c r="AB76" i="16"/>
  <c r="G76" i="16" s="1"/>
  <c r="AB84" i="16"/>
  <c r="G84" i="16" s="1"/>
  <c r="AB92" i="16"/>
  <c r="G92" i="16" s="1"/>
  <c r="AB100" i="16"/>
  <c r="G100" i="16" s="1"/>
  <c r="AB108" i="16"/>
  <c r="G108" i="16" s="1"/>
  <c r="AB116" i="16"/>
  <c r="G116" i="16" s="1"/>
  <c r="AB124" i="16"/>
  <c r="AB132" i="16"/>
  <c r="G132" i="16" s="1"/>
  <c r="AB140" i="16"/>
  <c r="G140" i="16" s="1"/>
  <c r="AB148" i="16"/>
  <c r="G148" i="16" s="1"/>
  <c r="AB45" i="16"/>
  <c r="G45" i="16" s="1"/>
  <c r="AB53" i="16"/>
  <c r="G53" i="16" s="1"/>
  <c r="AB61" i="16"/>
  <c r="G61" i="16" s="1"/>
  <c r="AB69" i="16"/>
  <c r="G69" i="16" s="1"/>
  <c r="AB77" i="16"/>
  <c r="G77" i="16" s="1"/>
  <c r="AB85" i="16"/>
  <c r="G85" i="16" s="1"/>
  <c r="AB93" i="16"/>
  <c r="G93" i="16" s="1"/>
  <c r="AB101" i="16"/>
  <c r="G101" i="16" s="1"/>
  <c r="AB109" i="16"/>
  <c r="G109" i="16" s="1"/>
  <c r="AB117" i="16"/>
  <c r="G117" i="16" s="1"/>
  <c r="AB125" i="16"/>
  <c r="AB133" i="16"/>
  <c r="G133" i="16" s="1"/>
  <c r="AB141" i="16"/>
  <c r="G141" i="16" s="1"/>
  <c r="B24" i="7"/>
  <c r="G321" i="11"/>
  <c r="AB55" i="16"/>
  <c r="G55" i="16" s="1"/>
  <c r="AB78" i="16"/>
  <c r="G78" i="16" s="1"/>
  <c r="AB96" i="16"/>
  <c r="G96" i="16" s="1"/>
  <c r="AB119" i="16"/>
  <c r="G119" i="16" s="1"/>
  <c r="AB142" i="16"/>
  <c r="G142" i="16" s="1"/>
  <c r="G219" i="11"/>
  <c r="AB56" i="16"/>
  <c r="G56" i="16" s="1"/>
  <c r="AB79" i="16"/>
  <c r="G79" i="16" s="1"/>
  <c r="AB102" i="16"/>
  <c r="G102" i="16" s="1"/>
  <c r="AB120" i="16"/>
  <c r="G120" i="16" s="1"/>
  <c r="AB143" i="16"/>
  <c r="G143" i="16" s="1"/>
  <c r="G297" i="11"/>
  <c r="G309" i="11"/>
  <c r="AB62" i="16"/>
  <c r="G62" i="16" s="1"/>
  <c r="AB80" i="16"/>
  <c r="G80" i="16" s="1"/>
  <c r="AB103" i="16"/>
  <c r="G103" i="16" s="1"/>
  <c r="AB126" i="16"/>
  <c r="AB144" i="16"/>
  <c r="G144" i="16" s="1"/>
  <c r="AB72" i="16"/>
  <c r="G72" i="16" s="1"/>
  <c r="AB136" i="16"/>
  <c r="G136" i="16" s="1"/>
  <c r="G243" i="11"/>
  <c r="AB63" i="16"/>
  <c r="G63" i="16" s="1"/>
  <c r="AB86" i="16"/>
  <c r="G86" i="16" s="1"/>
  <c r="AB104" i="16"/>
  <c r="G104" i="16" s="1"/>
  <c r="AB127" i="16"/>
  <c r="AB54" i="16"/>
  <c r="G54" i="16" s="1"/>
  <c r="AB95" i="16"/>
  <c r="G95" i="16" s="1"/>
  <c r="AB118" i="16"/>
  <c r="G118" i="16" s="1"/>
  <c r="AB46" i="16"/>
  <c r="G46" i="16" s="1"/>
  <c r="AB64" i="16"/>
  <c r="G64" i="16" s="1"/>
  <c r="AB87" i="16"/>
  <c r="G87" i="16" s="1"/>
  <c r="AB110" i="16"/>
  <c r="G110" i="16" s="1"/>
  <c r="AB128" i="16"/>
  <c r="G128" i="16" s="1"/>
  <c r="G301" i="11"/>
  <c r="AB47" i="16"/>
  <c r="G47" i="16" s="1"/>
  <c r="AB70" i="16"/>
  <c r="G70" i="16" s="1"/>
  <c r="AB88" i="16"/>
  <c r="G88" i="16" s="1"/>
  <c r="AB111" i="16"/>
  <c r="G111" i="16" s="1"/>
  <c r="AB134" i="16"/>
  <c r="G134" i="16" s="1"/>
  <c r="AB48" i="16"/>
  <c r="G48" i="16" s="1"/>
  <c r="AB71" i="16"/>
  <c r="G71" i="16" s="1"/>
  <c r="AB94" i="16"/>
  <c r="G94" i="16" s="1"/>
  <c r="AB112" i="16"/>
  <c r="G112" i="16" s="1"/>
  <c r="AB135" i="16"/>
  <c r="G135" i="16" s="1"/>
  <c r="G231" i="11"/>
  <c r="G338" i="11"/>
  <c r="G317" i="11"/>
  <c r="G316" i="11"/>
  <c r="G288" i="11"/>
  <c r="G292" i="11"/>
  <c r="G313" i="11"/>
  <c r="G259" i="11"/>
  <c r="G221" i="11"/>
  <c r="G293" i="11"/>
  <c r="G215" i="11"/>
  <c r="G331" i="11"/>
  <c r="G319" i="11"/>
  <c r="G285" i="11"/>
  <c r="G282" i="11"/>
  <c r="G233" i="11"/>
  <c r="G214" i="11"/>
  <c r="G241" i="11"/>
  <c r="G223" i="11"/>
  <c r="G257" i="11"/>
  <c r="G277" i="11"/>
  <c r="G268" i="11"/>
  <c r="G255" i="11"/>
  <c r="G324" i="11"/>
  <c r="G284" i="11"/>
  <c r="G305" i="11"/>
  <c r="G229" i="11"/>
  <c r="G335" i="11"/>
  <c r="G272" i="11"/>
  <c r="G263" i="11"/>
  <c r="G234" i="11"/>
  <c r="G245" i="11"/>
  <c r="G261" i="11"/>
  <c r="G227" i="11"/>
  <c r="G249" i="11"/>
  <c r="G337" i="11"/>
  <c r="G276" i="11"/>
  <c r="G218" i="11"/>
  <c r="G239" i="11"/>
  <c r="G251" i="11"/>
  <c r="G289" i="11"/>
  <c r="G271" i="11"/>
  <c r="G217" i="11"/>
  <c r="G265" i="11"/>
  <c r="G253" i="11"/>
  <c r="G296" i="11"/>
  <c r="G281" i="11"/>
  <c r="G304" i="11"/>
  <c r="G247" i="11"/>
  <c r="G225" i="11"/>
  <c r="G230" i="11"/>
  <c r="G237" i="11"/>
  <c r="G325" i="11"/>
  <c r="G329" i="11"/>
  <c r="G213" i="11"/>
  <c r="G300" i="11"/>
  <c r="G333" i="11"/>
  <c r="G226" i="11"/>
  <c r="G235" i="11"/>
  <c r="G334" i="11"/>
  <c r="G308" i="11"/>
  <c r="G312" i="11"/>
  <c r="G222" i="11"/>
  <c r="G279" i="11"/>
  <c r="G322" i="11"/>
  <c r="G286" i="11"/>
  <c r="G274" i="11"/>
  <c r="G269" i="11"/>
  <c r="G260" i="11"/>
  <c r="G254" i="11"/>
  <c r="G295" i="11"/>
  <c r="G303" i="11"/>
  <c r="G328" i="11"/>
  <c r="G330" i="11"/>
  <c r="G336" i="11"/>
  <c r="G283" i="11"/>
  <c r="G315" i="11"/>
  <c r="G228" i="11"/>
  <c r="G306" i="11"/>
  <c r="G294" i="11"/>
  <c r="G267" i="11"/>
  <c r="G298" i="11"/>
  <c r="G242" i="11"/>
  <c r="G256" i="11"/>
  <c r="G273" i="11"/>
  <c r="G270" i="11"/>
  <c r="G275" i="11"/>
  <c r="G258" i="11"/>
  <c r="G302" i="11"/>
  <c r="G307" i="11"/>
  <c r="G220" i="11"/>
  <c r="G216" i="11"/>
  <c r="G311" i="11"/>
  <c r="G323" i="11"/>
  <c r="G299" i="11"/>
  <c r="G280" i="11"/>
  <c r="G246" i="11"/>
  <c r="G240" i="11"/>
  <c r="G310" i="11"/>
  <c r="G314" i="11"/>
  <c r="G318" i="11"/>
  <c r="G232" i="11"/>
  <c r="G326" i="11"/>
  <c r="G244" i="11"/>
  <c r="G278" i="11"/>
  <c r="G327" i="11"/>
  <c r="G290" i="11"/>
  <c r="G248" i="11"/>
  <c r="G224" i="11"/>
  <c r="G252" i="11"/>
  <c r="G238" i="11"/>
  <c r="G264" i="11"/>
  <c r="G236" i="11"/>
  <c r="G262" i="11"/>
  <c r="G291" i="11"/>
  <c r="G332" i="11"/>
  <c r="G320" i="11"/>
  <c r="G250" i="11"/>
  <c r="G287" i="11"/>
  <c r="G266" i="11"/>
  <c r="W27" i="2"/>
  <c r="K132" i="11" s="1"/>
  <c r="N132" i="11" s="1"/>
  <c r="K300" i="11"/>
  <c r="N300" i="11" s="1"/>
  <c r="V43" i="2"/>
  <c r="V64" i="2" s="1"/>
  <c r="J316" i="11"/>
  <c r="M316" i="11" s="1"/>
  <c r="V35" i="2"/>
  <c r="V56" i="2" s="1"/>
  <c r="J308" i="11"/>
  <c r="M308" i="11" s="1"/>
  <c r="U24" i="2"/>
  <c r="U45" i="2" s="1"/>
  <c r="I297" i="11"/>
  <c r="L297" i="11" s="1"/>
  <c r="V40" i="2"/>
  <c r="V61" i="2" s="1"/>
  <c r="J313" i="11"/>
  <c r="M313" i="11" s="1"/>
  <c r="W29" i="2"/>
  <c r="W50" i="2" s="1"/>
  <c r="K302" i="11"/>
  <c r="N302" i="11" s="1"/>
  <c r="V42" i="2"/>
  <c r="V63" i="2" s="1"/>
  <c r="J315" i="11"/>
  <c r="M315" i="11" s="1"/>
  <c r="W39" i="2"/>
  <c r="W60" i="2" s="1"/>
  <c r="K312" i="11"/>
  <c r="N312" i="11" s="1"/>
  <c r="V34" i="2"/>
  <c r="V55" i="2" s="1"/>
  <c r="J307" i="11"/>
  <c r="M307" i="11" s="1"/>
  <c r="V26" i="2"/>
  <c r="J131" i="11" s="1"/>
  <c r="M131" i="11" s="1"/>
  <c r="J299" i="11"/>
  <c r="M299" i="11" s="1"/>
  <c r="U44" i="2"/>
  <c r="U65" i="2" s="1"/>
  <c r="I317" i="11"/>
  <c r="L317" i="11" s="1"/>
  <c r="V41" i="2"/>
  <c r="J146" i="11" s="1"/>
  <c r="M146" i="11" s="1"/>
  <c r="J314" i="11"/>
  <c r="M314" i="11" s="1"/>
  <c r="W38" i="2"/>
  <c r="K143" i="11" s="1"/>
  <c r="N143" i="11" s="1"/>
  <c r="K311" i="11"/>
  <c r="N311" i="11" s="1"/>
  <c r="U36" i="2"/>
  <c r="U57" i="2" s="1"/>
  <c r="I309" i="11"/>
  <c r="L309" i="11" s="1"/>
  <c r="V33" i="2"/>
  <c r="J138" i="11" s="1"/>
  <c r="M138" i="11" s="1"/>
  <c r="J306" i="11"/>
  <c r="M306" i="11" s="1"/>
  <c r="W30" i="2"/>
  <c r="W51" i="2" s="1"/>
  <c r="K303" i="11"/>
  <c r="N303" i="11" s="1"/>
  <c r="U28" i="2"/>
  <c r="U49" i="2" s="1"/>
  <c r="I301" i="11"/>
  <c r="L301" i="11" s="1"/>
  <c r="V25" i="2"/>
  <c r="V46" i="2" s="1"/>
  <c r="J298" i="11"/>
  <c r="M298" i="11" s="1"/>
  <c r="AB44" i="16"/>
  <c r="G44" i="16" s="1"/>
  <c r="G90" i="7"/>
  <c r="G203" i="11"/>
  <c r="G161" i="11"/>
  <c r="G143" i="11"/>
  <c r="G199" i="11"/>
  <c r="G197" i="11"/>
  <c r="G208" i="11"/>
  <c r="G192" i="11"/>
  <c r="G172" i="11"/>
  <c r="G163" i="11"/>
  <c r="G170" i="11"/>
  <c r="G159" i="11"/>
  <c r="G137" i="11"/>
  <c r="G135" i="11"/>
  <c r="G198" i="11"/>
  <c r="G181" i="11"/>
  <c r="G184" i="11"/>
  <c r="G194" i="11"/>
  <c r="G164" i="11"/>
  <c r="G155" i="11"/>
  <c r="G162" i="11"/>
  <c r="G129" i="11"/>
  <c r="G206" i="11"/>
  <c r="G151" i="11"/>
  <c r="G205" i="11"/>
  <c r="G157" i="11"/>
  <c r="G160" i="11"/>
  <c r="G200" i="11"/>
  <c r="G148" i="11"/>
  <c r="G147" i="11"/>
  <c r="G146" i="11"/>
  <c r="G202" i="11"/>
  <c r="G211" i="11"/>
  <c r="G209" i="11"/>
  <c r="G166" i="11"/>
  <c r="G165" i="11"/>
  <c r="G141" i="11"/>
  <c r="G152" i="11"/>
  <c r="G176" i="11"/>
  <c r="G132" i="11"/>
  <c r="G139" i="11"/>
  <c r="G138" i="11"/>
  <c r="G131" i="11"/>
  <c r="G183" i="11"/>
  <c r="G193" i="11"/>
  <c r="G158" i="11"/>
  <c r="G149" i="11"/>
  <c r="G187" i="11"/>
  <c r="G144" i="11"/>
  <c r="G212" i="11"/>
  <c r="G130" i="11"/>
  <c r="G156" i="11"/>
  <c r="G167" i="11"/>
  <c r="G190" i="11"/>
  <c r="G169" i="11"/>
  <c r="G150" i="11"/>
  <c r="G133" i="11"/>
  <c r="G136" i="11"/>
  <c r="G196" i="11"/>
  <c r="G168" i="11"/>
  <c r="G140" i="11"/>
  <c r="G174" i="11"/>
  <c r="G201" i="11"/>
  <c r="G153" i="11"/>
  <c r="G142" i="11"/>
  <c r="G175" i="11"/>
  <c r="G204" i="11"/>
  <c r="G154" i="11"/>
  <c r="G188" i="11"/>
  <c r="G179" i="11"/>
  <c r="G186" i="11"/>
  <c r="G189" i="11"/>
  <c r="G185" i="11"/>
  <c r="G207" i="11"/>
  <c r="G134" i="11"/>
  <c r="G182" i="11"/>
  <c r="G195" i="11"/>
  <c r="G210" i="11"/>
  <c r="G180" i="11"/>
  <c r="G171" i="11"/>
  <c r="G178" i="11"/>
  <c r="G191" i="11"/>
  <c r="G173" i="11"/>
  <c r="G145" i="11"/>
  <c r="G177" i="11"/>
  <c r="U47" i="2"/>
  <c r="I139" i="11"/>
  <c r="L139" i="11" s="1"/>
  <c r="U60" i="2"/>
  <c r="V51" i="2"/>
  <c r="W57" i="2"/>
  <c r="V62" i="2"/>
  <c r="I129" i="11"/>
  <c r="L129" i="11" s="1"/>
  <c r="I140" i="11"/>
  <c r="L140" i="11" s="1"/>
  <c r="V53" i="2"/>
  <c r="J137" i="11"/>
  <c r="M137" i="11" s="1"/>
  <c r="V57" i="2"/>
  <c r="I149" i="11"/>
  <c r="L149" i="11" s="1"/>
  <c r="I130" i="11"/>
  <c r="L130" i="11" s="1"/>
  <c r="J140" i="11"/>
  <c r="M140" i="11" s="1"/>
  <c r="J142" i="11"/>
  <c r="M142" i="11" s="1"/>
  <c r="K131" i="11"/>
  <c r="N131" i="11" s="1"/>
  <c r="K144" i="11"/>
  <c r="N144" i="11" s="1"/>
  <c r="U50" i="2"/>
  <c r="R121" i="16"/>
  <c r="P121" i="16"/>
  <c r="O121" i="16"/>
  <c r="Q121" i="16"/>
  <c r="E123" i="16"/>
  <c r="AP123" i="16" s="1"/>
  <c r="L122" i="16"/>
  <c r="M122" i="16"/>
  <c r="K122" i="16"/>
  <c r="N122" i="16"/>
  <c r="N504" i="11"/>
  <c r="M504" i="11"/>
  <c r="L504" i="11"/>
  <c r="N461" i="11"/>
  <c r="L461" i="11"/>
  <c r="M461" i="11"/>
  <c r="T64" i="9"/>
  <c r="G400" i="11" s="1"/>
  <c r="G401" i="11"/>
  <c r="T124" i="9"/>
  <c r="G418" i="11" s="1"/>
  <c r="G422" i="11"/>
  <c r="L380" i="11"/>
  <c r="M380" i="11"/>
  <c r="N380" i="11"/>
  <c r="L359" i="11"/>
  <c r="M359" i="11"/>
  <c r="N359" i="11"/>
  <c r="S504" i="11"/>
  <c r="P504" i="11"/>
  <c r="Q504" i="11"/>
  <c r="O504" i="11"/>
  <c r="S464" i="11"/>
  <c r="Q464" i="11"/>
  <c r="O464" i="11"/>
  <c r="P464" i="11"/>
  <c r="P463" i="11"/>
  <c r="Q463" i="11"/>
  <c r="S463" i="11"/>
  <c r="O463" i="11"/>
  <c r="O462" i="11"/>
  <c r="P462" i="11"/>
  <c r="S462" i="11"/>
  <c r="Q462" i="11"/>
  <c r="Z83" i="10"/>
  <c r="E503" i="11" s="1"/>
  <c r="G503" i="11"/>
  <c r="D42" i="10"/>
  <c r="BF73" i="3"/>
  <c r="BG73" i="3" s="1"/>
  <c r="G30" i="11"/>
  <c r="BF77" i="3"/>
  <c r="BG77" i="3" s="1"/>
  <c r="G34" i="11"/>
  <c r="BF76" i="3"/>
  <c r="BG76" i="3" s="1"/>
  <c r="G33" i="11"/>
  <c r="BF75" i="3"/>
  <c r="BG75" i="3" s="1"/>
  <c r="G32" i="11"/>
  <c r="BF74" i="3"/>
  <c r="BG74" i="3" s="1"/>
  <c r="G31" i="11"/>
  <c r="Z62" i="10"/>
  <c r="C41" i="10"/>
  <c r="X81" i="10"/>
  <c r="Y82" i="10"/>
  <c r="X61" i="10"/>
  <c r="Y61" i="10" s="1"/>
  <c r="G460" i="11" s="1"/>
  <c r="F92" i="7"/>
  <c r="F100" i="7"/>
  <c r="T59" i="9"/>
  <c r="T123" i="9"/>
  <c r="G417" i="11" s="1"/>
  <c r="T122" i="9"/>
  <c r="G416" i="11" s="1"/>
  <c r="T127" i="9"/>
  <c r="G421" i="11" s="1"/>
  <c r="T126" i="9"/>
  <c r="G420" i="11" s="1"/>
  <c r="T125" i="9"/>
  <c r="G419" i="11" s="1"/>
  <c r="U65" i="9"/>
  <c r="E401" i="11" s="1"/>
  <c r="C44" i="9"/>
  <c r="U44" i="9"/>
  <c r="E359" i="11" s="1"/>
  <c r="T43" i="9"/>
  <c r="G358" i="11" s="1"/>
  <c r="T38" i="9"/>
  <c r="G353" i="11" s="1"/>
  <c r="C23" i="9"/>
  <c r="AG23" i="9"/>
  <c r="U128" i="9"/>
  <c r="E422" i="11" s="1"/>
  <c r="U107" i="9"/>
  <c r="E380" i="11" s="1"/>
  <c r="T105" i="9"/>
  <c r="G378" i="11" s="1"/>
  <c r="T106" i="9"/>
  <c r="G379" i="11" s="1"/>
  <c r="T101" i="9"/>
  <c r="G374" i="11" s="1"/>
  <c r="T102" i="9"/>
  <c r="G375" i="11" s="1"/>
  <c r="T103" i="9"/>
  <c r="G376" i="11" s="1"/>
  <c r="T104" i="9"/>
  <c r="G377" i="11" s="1"/>
  <c r="G105" i="7"/>
  <c r="G97" i="7"/>
  <c r="E103" i="7"/>
  <c r="G89" i="7"/>
  <c r="E99" i="7"/>
  <c r="E95" i="7"/>
  <c r="E87" i="7"/>
  <c r="E102" i="7"/>
  <c r="E94" i="7"/>
  <c r="E86" i="7"/>
  <c r="F99" i="7"/>
  <c r="F91" i="7"/>
  <c r="G104" i="7"/>
  <c r="G96" i="7"/>
  <c r="G88" i="7"/>
  <c r="E101" i="7"/>
  <c r="E93" i="7"/>
  <c r="E85" i="7"/>
  <c r="F98" i="7"/>
  <c r="F90" i="7"/>
  <c r="G103" i="7"/>
  <c r="G95" i="7"/>
  <c r="G87" i="7"/>
  <c r="E100" i="7"/>
  <c r="E92" i="7"/>
  <c r="F105" i="7"/>
  <c r="F97" i="7"/>
  <c r="F89" i="7"/>
  <c r="G102" i="7"/>
  <c r="G94" i="7"/>
  <c r="G86" i="7"/>
  <c r="E91" i="7"/>
  <c r="F104" i="7"/>
  <c r="F96" i="7"/>
  <c r="F88" i="7"/>
  <c r="G101" i="7"/>
  <c r="G93" i="7"/>
  <c r="G85" i="7"/>
  <c r="E98" i="7"/>
  <c r="E90" i="7"/>
  <c r="F103" i="7"/>
  <c r="F95" i="7"/>
  <c r="F87" i="7"/>
  <c r="G100" i="7"/>
  <c r="G92" i="7"/>
  <c r="E105" i="7"/>
  <c r="E97" i="7"/>
  <c r="E89" i="7"/>
  <c r="F102" i="7"/>
  <c r="F94" i="7"/>
  <c r="F86" i="7"/>
  <c r="G99" i="7"/>
  <c r="G91" i="7"/>
  <c r="E104" i="7"/>
  <c r="E96" i="7"/>
  <c r="E88" i="7"/>
  <c r="F101" i="7"/>
  <c r="F93" i="7"/>
  <c r="F85" i="7"/>
  <c r="G98" i="7"/>
  <c r="AB12" i="2"/>
  <c r="C8" i="2"/>
  <c r="AB9" i="2"/>
  <c r="AA12" i="2"/>
  <c r="AC12" i="2"/>
  <c r="AA6" i="2"/>
  <c r="AC11" i="2"/>
  <c r="AA5" i="2"/>
  <c r="AC10" i="2"/>
  <c r="AA4" i="2"/>
  <c r="AC4" i="2"/>
  <c r="T3" i="2"/>
  <c r="T7" i="2"/>
  <c r="AA11" i="2"/>
  <c r="AB3" i="2"/>
  <c r="AB6" i="2"/>
  <c r="AC9" i="2"/>
  <c r="T8" i="2"/>
  <c r="T6" i="2"/>
  <c r="AA10" i="2"/>
  <c r="AB13" i="2"/>
  <c r="AB5" i="2"/>
  <c r="AC8" i="2"/>
  <c r="T13" i="2"/>
  <c r="T5" i="2"/>
  <c r="AA9" i="2"/>
  <c r="AC7" i="2"/>
  <c r="AA8" i="2"/>
  <c r="AB11" i="2"/>
  <c r="AC3" i="2"/>
  <c r="AB10" i="2"/>
  <c r="D41" i="2"/>
  <c r="D40" i="2"/>
  <c r="D39" i="2"/>
  <c r="D38" i="2"/>
  <c r="D33" i="2"/>
  <c r="D32" i="2"/>
  <c r="D31" i="2"/>
  <c r="D30" i="2"/>
  <c r="D25" i="2"/>
  <c r="D24" i="2"/>
  <c r="C44" i="2"/>
  <c r="C43" i="2"/>
  <c r="C40" i="2"/>
  <c r="C38" i="2"/>
  <c r="C37" i="2"/>
  <c r="C36" i="2"/>
  <c r="C35" i="2"/>
  <c r="C30" i="2"/>
  <c r="C29" i="2"/>
  <c r="C28" i="2"/>
  <c r="C27" i="2"/>
  <c r="C18" i="2"/>
  <c r="T151" i="2"/>
  <c r="T87" i="2"/>
  <c r="C16" i="2"/>
  <c r="AA191" i="2"/>
  <c r="T127" i="2"/>
  <c r="T61" i="2"/>
  <c r="AA159" i="2"/>
  <c r="T183" i="2"/>
  <c r="T119" i="2"/>
  <c r="T52" i="2"/>
  <c r="D21" i="2"/>
  <c r="AA95" i="2"/>
  <c r="D13" i="2"/>
  <c r="C19" i="2"/>
  <c r="AB195" i="2"/>
  <c r="AC195" i="2"/>
  <c r="AB187" i="2"/>
  <c r="AC187" i="2"/>
  <c r="AB179" i="2"/>
  <c r="AC179" i="2"/>
  <c r="AB171" i="2"/>
  <c r="AC171" i="2"/>
  <c r="AB163" i="2"/>
  <c r="AC163" i="2"/>
  <c r="AB155" i="2"/>
  <c r="AC155" i="2"/>
  <c r="AB147" i="2"/>
  <c r="AC147" i="2"/>
  <c r="AB139" i="2"/>
  <c r="AC139" i="2"/>
  <c r="AB131" i="2"/>
  <c r="AC131" i="2"/>
  <c r="AB123" i="2"/>
  <c r="AC123" i="2"/>
  <c r="AB115" i="2"/>
  <c r="AC115" i="2"/>
  <c r="AB107" i="2"/>
  <c r="AC107" i="2"/>
  <c r="AB99" i="2"/>
  <c r="AC99" i="2"/>
  <c r="AB91" i="2"/>
  <c r="AC91" i="2"/>
  <c r="AB83" i="2"/>
  <c r="AC83" i="2"/>
  <c r="AB75" i="2"/>
  <c r="T75" i="2"/>
  <c r="AC75" i="2"/>
  <c r="AB67" i="2"/>
  <c r="T67" i="2"/>
  <c r="AC67" i="2"/>
  <c r="AB59" i="2"/>
  <c r="T59" i="2"/>
  <c r="AC59" i="2"/>
  <c r="AB51" i="2"/>
  <c r="T51" i="2"/>
  <c r="AC51" i="2"/>
  <c r="AB43" i="2"/>
  <c r="T43" i="2"/>
  <c r="AC43" i="2"/>
  <c r="AB35" i="2"/>
  <c r="T35" i="2"/>
  <c r="AC35" i="2"/>
  <c r="AB27" i="2"/>
  <c r="T27" i="2"/>
  <c r="AC27" i="2"/>
  <c r="AB19" i="2"/>
  <c r="T19" i="2"/>
  <c r="AC19" i="2"/>
  <c r="AA210" i="2"/>
  <c r="AC210" i="2"/>
  <c r="AB210" i="2"/>
  <c r="AA202" i="2"/>
  <c r="AC202" i="2"/>
  <c r="AB202" i="2"/>
  <c r="AA194" i="2"/>
  <c r="AC194" i="2"/>
  <c r="AB194" i="2"/>
  <c r="AA186" i="2"/>
  <c r="AC186" i="2"/>
  <c r="AB186" i="2"/>
  <c r="AA178" i="2"/>
  <c r="AC178" i="2"/>
  <c r="AB178" i="2"/>
  <c r="AA170" i="2"/>
  <c r="AC170" i="2"/>
  <c r="AB170" i="2"/>
  <c r="AA162" i="2"/>
  <c r="AC162" i="2"/>
  <c r="AB162" i="2"/>
  <c r="AA154" i="2"/>
  <c r="AC154" i="2"/>
  <c r="AB154" i="2"/>
  <c r="AA146" i="2"/>
  <c r="AC146" i="2"/>
  <c r="AB146" i="2"/>
  <c r="AA138" i="2"/>
  <c r="AC138" i="2"/>
  <c r="AB138" i="2"/>
  <c r="AA130" i="2"/>
  <c r="AC130" i="2"/>
  <c r="AB130" i="2"/>
  <c r="AA122" i="2"/>
  <c r="AC122" i="2"/>
  <c r="AB122" i="2"/>
  <c r="AA114" i="2"/>
  <c r="AC114" i="2"/>
  <c r="AB114" i="2"/>
  <c r="AA106" i="2"/>
  <c r="AC106" i="2"/>
  <c r="AB106" i="2"/>
  <c r="AA98" i="2"/>
  <c r="AC98" i="2"/>
  <c r="AB98" i="2"/>
  <c r="AA90" i="2"/>
  <c r="AC90" i="2"/>
  <c r="AB90" i="2"/>
  <c r="AA82" i="2"/>
  <c r="AC82" i="2"/>
  <c r="AB82" i="2"/>
  <c r="AA74" i="2"/>
  <c r="AC74" i="2"/>
  <c r="AB74" i="2"/>
  <c r="AA66" i="2"/>
  <c r="AC66" i="2"/>
  <c r="AB66" i="2"/>
  <c r="AA58" i="2"/>
  <c r="AC58" i="2"/>
  <c r="AB58" i="2"/>
  <c r="AA50" i="2"/>
  <c r="AC50" i="2"/>
  <c r="AB50" i="2"/>
  <c r="AA42" i="2"/>
  <c r="AC42" i="2"/>
  <c r="AB42" i="2"/>
  <c r="AA34" i="2"/>
  <c r="T34" i="2"/>
  <c r="AC34" i="2"/>
  <c r="AB34" i="2"/>
  <c r="AA26" i="2"/>
  <c r="T26" i="2"/>
  <c r="AC26" i="2"/>
  <c r="AB26" i="2"/>
  <c r="AA18" i="2"/>
  <c r="T18" i="2"/>
  <c r="AC18" i="2"/>
  <c r="AB18" i="2"/>
  <c r="T69" i="2"/>
  <c r="T60" i="2"/>
  <c r="T50" i="2"/>
  <c r="AA187" i="2"/>
  <c r="AA155" i="2"/>
  <c r="AA123" i="2"/>
  <c r="AA91" i="2"/>
  <c r="AA59" i="2"/>
  <c r="AA27" i="2"/>
  <c r="AB205" i="2"/>
  <c r="AB173" i="2"/>
  <c r="AB141" i="2"/>
  <c r="AB109" i="2"/>
  <c r="AB77" i="2"/>
  <c r="AA209" i="2"/>
  <c r="AC209" i="2"/>
  <c r="AA201" i="2"/>
  <c r="AC201" i="2"/>
  <c r="AA193" i="2"/>
  <c r="AC193" i="2"/>
  <c r="AA185" i="2"/>
  <c r="AC185" i="2"/>
  <c r="AA177" i="2"/>
  <c r="AC177" i="2"/>
  <c r="AA169" i="2"/>
  <c r="AC169" i="2"/>
  <c r="AA161" i="2"/>
  <c r="AC161" i="2"/>
  <c r="AA153" i="2"/>
  <c r="AC153" i="2"/>
  <c r="AA145" i="2"/>
  <c r="AC145" i="2"/>
  <c r="AA137" i="2"/>
  <c r="AC137" i="2"/>
  <c r="AA129" i="2"/>
  <c r="AC129" i="2"/>
  <c r="AA121" i="2"/>
  <c r="AC121" i="2"/>
  <c r="AA113" i="2"/>
  <c r="AC113" i="2"/>
  <c r="AA105" i="2"/>
  <c r="AC105" i="2"/>
  <c r="AA97" i="2"/>
  <c r="AC97" i="2"/>
  <c r="AA89" i="2"/>
  <c r="AC89" i="2"/>
  <c r="AA81" i="2"/>
  <c r="AC81" i="2"/>
  <c r="AA73" i="2"/>
  <c r="AC73" i="2"/>
  <c r="AA65" i="2"/>
  <c r="AC65" i="2"/>
  <c r="AA57" i="2"/>
  <c r="AC57" i="2"/>
  <c r="AA49" i="2"/>
  <c r="AC49" i="2"/>
  <c r="AA41" i="2"/>
  <c r="AC41" i="2"/>
  <c r="AB41" i="2"/>
  <c r="AA33" i="2"/>
  <c r="AC33" i="2"/>
  <c r="AB33" i="2"/>
  <c r="AA25" i="2"/>
  <c r="AC25" i="2"/>
  <c r="AB25" i="2"/>
  <c r="AA17" i="2"/>
  <c r="AC17" i="2"/>
  <c r="AB17" i="2"/>
  <c r="C22" i="2"/>
  <c r="C14" i="2"/>
  <c r="C6" i="2"/>
  <c r="D19" i="2"/>
  <c r="T197" i="2"/>
  <c r="T189" i="2"/>
  <c r="T165" i="2"/>
  <c r="T157" i="2"/>
  <c r="T133" i="2"/>
  <c r="T125" i="2"/>
  <c r="T101" i="2"/>
  <c r="T93" i="2"/>
  <c r="T58" i="2"/>
  <c r="T49" i="2"/>
  <c r="T25" i="2"/>
  <c r="AB201" i="2"/>
  <c r="AB169" i="2"/>
  <c r="AB137" i="2"/>
  <c r="AB105" i="2"/>
  <c r="AB73" i="2"/>
  <c r="AB211" i="2"/>
  <c r="AC211" i="2"/>
  <c r="AC208" i="2"/>
  <c r="AB208" i="2"/>
  <c r="AA208" i="2"/>
  <c r="AC200" i="2"/>
  <c r="AB200" i="2"/>
  <c r="AA200" i="2"/>
  <c r="AC192" i="2"/>
  <c r="AB192" i="2"/>
  <c r="AA192" i="2"/>
  <c r="AC184" i="2"/>
  <c r="AB184" i="2"/>
  <c r="AA184" i="2"/>
  <c r="AC176" i="2"/>
  <c r="AB176" i="2"/>
  <c r="AA176" i="2"/>
  <c r="AC168" i="2"/>
  <c r="AB168" i="2"/>
  <c r="AA168" i="2"/>
  <c r="AC160" i="2"/>
  <c r="AB160" i="2"/>
  <c r="AA160" i="2"/>
  <c r="AC152" i="2"/>
  <c r="AB152" i="2"/>
  <c r="AA152" i="2"/>
  <c r="AC144" i="2"/>
  <c r="AB144" i="2"/>
  <c r="AA144" i="2"/>
  <c r="AC136" i="2"/>
  <c r="AB136" i="2"/>
  <c r="AA136" i="2"/>
  <c r="AC128" i="2"/>
  <c r="AB128" i="2"/>
  <c r="AA128" i="2"/>
  <c r="AC120" i="2"/>
  <c r="AB120" i="2"/>
  <c r="AA120" i="2"/>
  <c r="AC112" i="2"/>
  <c r="AB112" i="2"/>
  <c r="AA112" i="2"/>
  <c r="AC104" i="2"/>
  <c r="AB104" i="2"/>
  <c r="AA104" i="2"/>
  <c r="AC96" i="2"/>
  <c r="AB96" i="2"/>
  <c r="AA96" i="2"/>
  <c r="AC88" i="2"/>
  <c r="AB88" i="2"/>
  <c r="AA88" i="2"/>
  <c r="AC80" i="2"/>
  <c r="AB80" i="2"/>
  <c r="AA80" i="2"/>
  <c r="AC72" i="2"/>
  <c r="AB72" i="2"/>
  <c r="AA72" i="2"/>
  <c r="AC64" i="2"/>
  <c r="AB64" i="2"/>
  <c r="AA64" i="2"/>
  <c r="AC56" i="2"/>
  <c r="AB56" i="2"/>
  <c r="AA56" i="2"/>
  <c r="AC48" i="2"/>
  <c r="AB48" i="2"/>
  <c r="AA48" i="2"/>
  <c r="AC40" i="2"/>
  <c r="AB40" i="2"/>
  <c r="AA40" i="2"/>
  <c r="AC32" i="2"/>
  <c r="AB32" i="2"/>
  <c r="AA32" i="2"/>
  <c r="AC24" i="2"/>
  <c r="AB24" i="2"/>
  <c r="AA24" i="2"/>
  <c r="AC16" i="2"/>
  <c r="AB16" i="2"/>
  <c r="AA16" i="2"/>
  <c r="C21" i="2"/>
  <c r="C13" i="2"/>
  <c r="C5" i="2"/>
  <c r="T66" i="2"/>
  <c r="T57" i="2"/>
  <c r="T48" i="2"/>
  <c r="T24" i="2"/>
  <c r="AA211" i="2"/>
  <c r="AA179" i="2"/>
  <c r="AA147" i="2"/>
  <c r="AA115" i="2"/>
  <c r="AA83" i="2"/>
  <c r="AA51" i="2"/>
  <c r="AA19" i="2"/>
  <c r="AC207" i="2"/>
  <c r="AB207" i="2"/>
  <c r="AC199" i="2"/>
  <c r="AB199" i="2"/>
  <c r="AC191" i="2"/>
  <c r="AB191" i="2"/>
  <c r="AC183" i="2"/>
  <c r="AB183" i="2"/>
  <c r="AC175" i="2"/>
  <c r="AB175" i="2"/>
  <c r="AC167" i="2"/>
  <c r="AB167" i="2"/>
  <c r="AC159" i="2"/>
  <c r="AB159" i="2"/>
  <c r="AC151" i="2"/>
  <c r="AB151" i="2"/>
  <c r="AC143" i="2"/>
  <c r="AB143" i="2"/>
  <c r="AC135" i="2"/>
  <c r="AB135" i="2"/>
  <c r="AC127" i="2"/>
  <c r="AB127" i="2"/>
  <c r="AC119" i="2"/>
  <c r="AB119" i="2"/>
  <c r="AC111" i="2"/>
  <c r="AB111" i="2"/>
  <c r="AC103" i="2"/>
  <c r="AB103" i="2"/>
  <c r="AC95" i="2"/>
  <c r="AB95" i="2"/>
  <c r="AC87" i="2"/>
  <c r="AB87" i="2"/>
  <c r="AC79" i="2"/>
  <c r="AB79" i="2"/>
  <c r="AC71" i="2"/>
  <c r="AB71" i="2"/>
  <c r="AC63" i="2"/>
  <c r="AB63" i="2"/>
  <c r="AC55" i="2"/>
  <c r="AB55" i="2"/>
  <c r="AC47" i="2"/>
  <c r="AB47" i="2"/>
  <c r="AC39" i="2"/>
  <c r="AB39" i="2"/>
  <c r="AC31" i="2"/>
  <c r="AB31" i="2"/>
  <c r="T23" i="2"/>
  <c r="AC23" i="2"/>
  <c r="AB23" i="2"/>
  <c r="T15" i="2"/>
  <c r="AC15" i="2"/>
  <c r="AB15" i="2"/>
  <c r="C20" i="2"/>
  <c r="C12" i="2"/>
  <c r="C4" i="2"/>
  <c r="D17" i="2"/>
  <c r="D9" i="2"/>
  <c r="T211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4" i="2"/>
  <c r="T65" i="2"/>
  <c r="T56" i="2"/>
  <c r="T47" i="2"/>
  <c r="AA207" i="2"/>
  <c r="AA175" i="2"/>
  <c r="AA143" i="2"/>
  <c r="AA111" i="2"/>
  <c r="AA79" i="2"/>
  <c r="AA47" i="2"/>
  <c r="AA15" i="2"/>
  <c r="AB193" i="2"/>
  <c r="AB161" i="2"/>
  <c r="AB129" i="2"/>
  <c r="AB97" i="2"/>
  <c r="AB65" i="2"/>
  <c r="AB203" i="2"/>
  <c r="AC203" i="2"/>
  <c r="AC206" i="2"/>
  <c r="AB206" i="2"/>
  <c r="AA206" i="2"/>
  <c r="AC198" i="2"/>
  <c r="AB198" i="2"/>
  <c r="AA198" i="2"/>
  <c r="AC190" i="2"/>
  <c r="AB190" i="2"/>
  <c r="AA190" i="2"/>
  <c r="AC182" i="2"/>
  <c r="AB182" i="2"/>
  <c r="AA182" i="2"/>
  <c r="AC174" i="2"/>
  <c r="AB174" i="2"/>
  <c r="AA174" i="2"/>
  <c r="AC166" i="2"/>
  <c r="AB166" i="2"/>
  <c r="AA166" i="2"/>
  <c r="AC158" i="2"/>
  <c r="AB158" i="2"/>
  <c r="AA158" i="2"/>
  <c r="AC150" i="2"/>
  <c r="AB150" i="2"/>
  <c r="AA150" i="2"/>
  <c r="AC142" i="2"/>
  <c r="AB142" i="2"/>
  <c r="AA142" i="2"/>
  <c r="AC134" i="2"/>
  <c r="AB134" i="2"/>
  <c r="AA134" i="2"/>
  <c r="AC126" i="2"/>
  <c r="AB126" i="2"/>
  <c r="AA126" i="2"/>
  <c r="AC118" i="2"/>
  <c r="AB118" i="2"/>
  <c r="AA118" i="2"/>
  <c r="AC110" i="2"/>
  <c r="AB110" i="2"/>
  <c r="AA110" i="2"/>
  <c r="AC102" i="2"/>
  <c r="AB102" i="2"/>
  <c r="AA102" i="2"/>
  <c r="AC94" i="2"/>
  <c r="AB94" i="2"/>
  <c r="AA94" i="2"/>
  <c r="AC86" i="2"/>
  <c r="AB86" i="2"/>
  <c r="AA86" i="2"/>
  <c r="AC78" i="2"/>
  <c r="AB78" i="2"/>
  <c r="AA78" i="2"/>
  <c r="AC70" i="2"/>
  <c r="AB70" i="2"/>
  <c r="AA70" i="2"/>
  <c r="AC62" i="2"/>
  <c r="AB62" i="2"/>
  <c r="AA62" i="2"/>
  <c r="AC54" i="2"/>
  <c r="AB54" i="2"/>
  <c r="AA54" i="2"/>
  <c r="AC46" i="2"/>
  <c r="AB46" i="2"/>
  <c r="AA46" i="2"/>
  <c r="AC38" i="2"/>
  <c r="AB38" i="2"/>
  <c r="AA38" i="2"/>
  <c r="AC30" i="2"/>
  <c r="AB30" i="2"/>
  <c r="AA30" i="2"/>
  <c r="AC22" i="2"/>
  <c r="AB22" i="2"/>
  <c r="AA22" i="2"/>
  <c r="AC14" i="2"/>
  <c r="AB14" i="2"/>
  <c r="AA14" i="2"/>
  <c r="T14" i="2"/>
  <c r="D16" i="2"/>
  <c r="D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3" i="2"/>
  <c r="T64" i="2"/>
  <c r="T55" i="2"/>
  <c r="T46" i="2"/>
  <c r="T33" i="2"/>
  <c r="AA203" i="2"/>
  <c r="AA171" i="2"/>
  <c r="AA139" i="2"/>
  <c r="AA107" i="2"/>
  <c r="AA75" i="2"/>
  <c r="AA43" i="2"/>
  <c r="AC205" i="2"/>
  <c r="AA205" i="2"/>
  <c r="AC197" i="2"/>
  <c r="AA197" i="2"/>
  <c r="AC189" i="2"/>
  <c r="AA189" i="2"/>
  <c r="AC181" i="2"/>
  <c r="AA181" i="2"/>
  <c r="AC173" i="2"/>
  <c r="AA173" i="2"/>
  <c r="AC165" i="2"/>
  <c r="AA165" i="2"/>
  <c r="AC157" i="2"/>
  <c r="AA157" i="2"/>
  <c r="AC149" i="2"/>
  <c r="AA149" i="2"/>
  <c r="AC141" i="2"/>
  <c r="AA141" i="2"/>
  <c r="AC133" i="2"/>
  <c r="AA133" i="2"/>
  <c r="AC125" i="2"/>
  <c r="AA125" i="2"/>
  <c r="AC117" i="2"/>
  <c r="AA117" i="2"/>
  <c r="AC109" i="2"/>
  <c r="AA109" i="2"/>
  <c r="AC101" i="2"/>
  <c r="AA101" i="2"/>
  <c r="AC93" i="2"/>
  <c r="AA93" i="2"/>
  <c r="AC85" i="2"/>
  <c r="AA85" i="2"/>
  <c r="AC77" i="2"/>
  <c r="AA77" i="2"/>
  <c r="AC69" i="2"/>
  <c r="AA69" i="2"/>
  <c r="AC61" i="2"/>
  <c r="AA61" i="2"/>
  <c r="AC53" i="2"/>
  <c r="AA53" i="2"/>
  <c r="AC45" i="2"/>
  <c r="AB45" i="2"/>
  <c r="AA45" i="2"/>
  <c r="AC37" i="2"/>
  <c r="AB37" i="2"/>
  <c r="AA37" i="2"/>
  <c r="AC29" i="2"/>
  <c r="AB29" i="2"/>
  <c r="AA29" i="2"/>
  <c r="AC21" i="2"/>
  <c r="AB21" i="2"/>
  <c r="AA21" i="2"/>
  <c r="D23" i="2"/>
  <c r="D15" i="2"/>
  <c r="D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2" i="2"/>
  <c r="T63" i="2"/>
  <c r="T54" i="2"/>
  <c r="T45" i="2"/>
  <c r="T32" i="2"/>
  <c r="T17" i="2"/>
  <c r="AA199" i="2"/>
  <c r="AA167" i="2"/>
  <c r="AA135" i="2"/>
  <c r="AA103" i="2"/>
  <c r="AA71" i="2"/>
  <c r="AA39" i="2"/>
  <c r="AB185" i="2"/>
  <c r="AB153" i="2"/>
  <c r="AB121" i="2"/>
  <c r="AB89" i="2"/>
  <c r="AB57" i="2"/>
  <c r="AB212" i="2"/>
  <c r="AA212" i="2"/>
  <c r="AC212" i="2"/>
  <c r="AB204" i="2"/>
  <c r="AA204" i="2"/>
  <c r="AC204" i="2"/>
  <c r="AB196" i="2"/>
  <c r="AA196" i="2"/>
  <c r="AC196" i="2"/>
  <c r="AB188" i="2"/>
  <c r="AA188" i="2"/>
  <c r="AC188" i="2"/>
  <c r="AB180" i="2"/>
  <c r="AA180" i="2"/>
  <c r="AC180" i="2"/>
  <c r="AB172" i="2"/>
  <c r="AA172" i="2"/>
  <c r="AC172" i="2"/>
  <c r="AB164" i="2"/>
  <c r="AA164" i="2"/>
  <c r="AC164" i="2"/>
  <c r="AB156" i="2"/>
  <c r="AA156" i="2"/>
  <c r="AC156" i="2"/>
  <c r="AB148" i="2"/>
  <c r="AA148" i="2"/>
  <c r="AC148" i="2"/>
  <c r="AB140" i="2"/>
  <c r="AA140" i="2"/>
  <c r="AC140" i="2"/>
  <c r="AB132" i="2"/>
  <c r="AA132" i="2"/>
  <c r="AC132" i="2"/>
  <c r="AB124" i="2"/>
  <c r="AA124" i="2"/>
  <c r="AC124" i="2"/>
  <c r="AB116" i="2"/>
  <c r="AA116" i="2"/>
  <c r="AC116" i="2"/>
  <c r="AB108" i="2"/>
  <c r="AA108" i="2"/>
  <c r="AC108" i="2"/>
  <c r="AB100" i="2"/>
  <c r="AA100" i="2"/>
  <c r="AC100" i="2"/>
  <c r="AB92" i="2"/>
  <c r="AA92" i="2"/>
  <c r="AC92" i="2"/>
  <c r="AB84" i="2"/>
  <c r="AA84" i="2"/>
  <c r="AC84" i="2"/>
  <c r="AB76" i="2"/>
  <c r="AA76" i="2"/>
  <c r="AC76" i="2"/>
  <c r="AB68" i="2"/>
  <c r="AA68" i="2"/>
  <c r="AC68" i="2"/>
  <c r="AB60" i="2"/>
  <c r="AA60" i="2"/>
  <c r="AC60" i="2"/>
  <c r="AB52" i="2"/>
  <c r="AA52" i="2"/>
  <c r="AC52" i="2"/>
  <c r="AB44" i="2"/>
  <c r="AA44" i="2"/>
  <c r="T44" i="2"/>
  <c r="AC44" i="2"/>
  <c r="AB36" i="2"/>
  <c r="AA36" i="2"/>
  <c r="T36" i="2"/>
  <c r="AC36" i="2"/>
  <c r="AB28" i="2"/>
  <c r="AA28" i="2"/>
  <c r="T28" i="2"/>
  <c r="AC28" i="2"/>
  <c r="AB20" i="2"/>
  <c r="AA20" i="2"/>
  <c r="T20" i="2"/>
  <c r="AC20" i="2"/>
  <c r="C17" i="2"/>
  <c r="C9" i="2"/>
  <c r="D22" i="2"/>
  <c r="D14" i="2"/>
  <c r="D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1" i="2"/>
  <c r="T62" i="2"/>
  <c r="T53" i="2"/>
  <c r="T42" i="2"/>
  <c r="T31" i="2"/>
  <c r="T16" i="2"/>
  <c r="AA195" i="2"/>
  <c r="AA163" i="2"/>
  <c r="AA131" i="2"/>
  <c r="AA99" i="2"/>
  <c r="AA67" i="2"/>
  <c r="AA35" i="2"/>
  <c r="AB181" i="2"/>
  <c r="AB149" i="2"/>
  <c r="AB117" i="2"/>
  <c r="AB85" i="2"/>
  <c r="AB53" i="2"/>
  <c r="AR757" i="16" l="1"/>
  <c r="X757" i="16" s="1"/>
  <c r="V123" i="16"/>
  <c r="S123" i="16"/>
  <c r="T123" i="16"/>
  <c r="U123" i="16"/>
  <c r="S880" i="16"/>
  <c r="T880" i="16"/>
  <c r="U880" i="16"/>
  <c r="V880" i="16"/>
  <c r="V901" i="16"/>
  <c r="S901" i="16"/>
  <c r="T901" i="16"/>
  <c r="U901" i="16"/>
  <c r="V839" i="16"/>
  <c r="S839" i="16"/>
  <c r="T839" i="16"/>
  <c r="U839" i="16"/>
  <c r="S757" i="16"/>
  <c r="T757" i="16"/>
  <c r="U757" i="16"/>
  <c r="V757" i="16"/>
  <c r="S818" i="16"/>
  <c r="T818" i="16"/>
  <c r="U818" i="16"/>
  <c r="V818" i="16"/>
  <c r="V859" i="16"/>
  <c r="S859" i="16"/>
  <c r="T859" i="16"/>
  <c r="U859" i="16"/>
  <c r="AQ880" i="16"/>
  <c r="W880" i="16" s="1"/>
  <c r="AR880" i="16"/>
  <c r="X880" i="16" s="1"/>
  <c r="AQ901" i="16"/>
  <c r="W901" i="16" s="1"/>
  <c r="AR901" i="16"/>
  <c r="X901" i="16" s="1"/>
  <c r="AQ839" i="16"/>
  <c r="W839" i="16" s="1"/>
  <c r="AR839" i="16"/>
  <c r="X839" i="16" s="1"/>
  <c r="AQ818" i="16"/>
  <c r="W818" i="16" s="1"/>
  <c r="AR818" i="16"/>
  <c r="X818" i="16" s="1"/>
  <c r="AQ859" i="16"/>
  <c r="W859" i="16" s="1"/>
  <c r="AR859" i="16"/>
  <c r="X859" i="16" s="1"/>
  <c r="AQ123" i="16"/>
  <c r="W123" i="16" s="1"/>
  <c r="AR123" i="16"/>
  <c r="X123" i="16" s="1"/>
  <c r="AP840" i="16"/>
  <c r="AP841" i="16"/>
  <c r="AP819" i="16"/>
  <c r="AP820" i="16"/>
  <c r="AA123" i="16"/>
  <c r="H123" i="16" s="1"/>
  <c r="J122" i="16"/>
  <c r="G122" i="16"/>
  <c r="H122" i="16"/>
  <c r="I143" i="11"/>
  <c r="L143" i="11" s="1"/>
  <c r="I132" i="11"/>
  <c r="L132" i="11" s="1"/>
  <c r="K145" i="11"/>
  <c r="N145" i="11" s="1"/>
  <c r="K149" i="11"/>
  <c r="N149" i="11" s="1"/>
  <c r="K139" i="11"/>
  <c r="N139" i="11" s="1"/>
  <c r="X24" i="2"/>
  <c r="K135" i="11"/>
  <c r="N135" i="11" s="1"/>
  <c r="K148" i="11"/>
  <c r="N148" i="11" s="1"/>
  <c r="K130" i="11"/>
  <c r="N130" i="11" s="1"/>
  <c r="K136" i="11"/>
  <c r="N136" i="11" s="1"/>
  <c r="K129" i="11"/>
  <c r="N129" i="11" s="1"/>
  <c r="K142" i="11"/>
  <c r="N142" i="11" s="1"/>
  <c r="V54" i="2"/>
  <c r="J147" i="11"/>
  <c r="M147" i="11" s="1"/>
  <c r="V49" i="2"/>
  <c r="BI118" i="3"/>
  <c r="BI54" i="3"/>
  <c r="BI119" i="3"/>
  <c r="BI55" i="3"/>
  <c r="BI56" i="3"/>
  <c r="BI120" i="3"/>
  <c r="BI57" i="3"/>
  <c r="BI121" i="3"/>
  <c r="BI130" i="3"/>
  <c r="BI66" i="3"/>
  <c r="BH110" i="3"/>
  <c r="BI88" i="3" s="1"/>
  <c r="BH46" i="3"/>
  <c r="BI24" i="3" s="1"/>
  <c r="BH111" i="3"/>
  <c r="BI89" i="3" s="1"/>
  <c r="BH89" i="3" s="1"/>
  <c r="BH47" i="3"/>
  <c r="BI25" i="3" s="1"/>
  <c r="BH25" i="3" s="1"/>
  <c r="BJ122" i="3"/>
  <c r="BJ58" i="3"/>
  <c r="BI117" i="3"/>
  <c r="BI53" i="3"/>
  <c r="BI126" i="3"/>
  <c r="BI62" i="3"/>
  <c r="BI127" i="3"/>
  <c r="BI63" i="3"/>
  <c r="BI64" i="3"/>
  <c r="BI128" i="3"/>
  <c r="BI129" i="3"/>
  <c r="BI65" i="3"/>
  <c r="BH53" i="3"/>
  <c r="BI31" i="3" s="1"/>
  <c r="BH31" i="3" s="1"/>
  <c r="BH117" i="3"/>
  <c r="BI95" i="3" s="1"/>
  <c r="BH95" i="3" s="1"/>
  <c r="BH118" i="3"/>
  <c r="BI96" i="3" s="1"/>
  <c r="BH96" i="3" s="1"/>
  <c r="BH54" i="3"/>
  <c r="BI32" i="3" s="1"/>
  <c r="BH32" i="3" s="1"/>
  <c r="BH119" i="3"/>
  <c r="BI97" i="3" s="1"/>
  <c r="BH97" i="3" s="1"/>
  <c r="BH55" i="3"/>
  <c r="BI33" i="3" s="1"/>
  <c r="BH33" i="3" s="1"/>
  <c r="BJ130" i="3"/>
  <c r="BJ66" i="3"/>
  <c r="BH113" i="3"/>
  <c r="BI91" i="3" s="1"/>
  <c r="BH91" i="3" s="1"/>
  <c r="BH49" i="3"/>
  <c r="BI27" i="3" s="1"/>
  <c r="BH27" i="3" s="1"/>
  <c r="BH114" i="3"/>
  <c r="BI92" i="3" s="1"/>
  <c r="BH92" i="3" s="1"/>
  <c r="BH50" i="3"/>
  <c r="BI28" i="3" s="1"/>
  <c r="BH28" i="3" s="1"/>
  <c r="BH51" i="3"/>
  <c r="BI29" i="3" s="1"/>
  <c r="BH29" i="3" s="1"/>
  <c r="BH115" i="3"/>
  <c r="BI93" i="3" s="1"/>
  <c r="BH93" i="3" s="1"/>
  <c r="BI30" i="3"/>
  <c r="BH30" i="3" s="1"/>
  <c r="BH52" i="3"/>
  <c r="BH116" i="3"/>
  <c r="BI94" i="3" s="1"/>
  <c r="BH94" i="3" s="1"/>
  <c r="BH125" i="3"/>
  <c r="BI103" i="3" s="1"/>
  <c r="BH103" i="3" s="1"/>
  <c r="BH61" i="3"/>
  <c r="BI39" i="3" s="1"/>
  <c r="BH39" i="3" s="1"/>
  <c r="BH126" i="3"/>
  <c r="BI104" i="3" s="1"/>
  <c r="BH104" i="3" s="1"/>
  <c r="BH62" i="3"/>
  <c r="BI40" i="3" s="1"/>
  <c r="BH40" i="3" s="1"/>
  <c r="BH127" i="3"/>
  <c r="BI105" i="3" s="1"/>
  <c r="BH105" i="3" s="1"/>
  <c r="BH63" i="3"/>
  <c r="BI41" i="3" s="1"/>
  <c r="BH41" i="3" s="1"/>
  <c r="BH121" i="3"/>
  <c r="BI99" i="3" s="1"/>
  <c r="BH99" i="3" s="1"/>
  <c r="BH57" i="3"/>
  <c r="BI35" i="3" s="1"/>
  <c r="BH35" i="3" s="1"/>
  <c r="BI36" i="3"/>
  <c r="BH36" i="3" s="1"/>
  <c r="BH122" i="3"/>
  <c r="BI100" i="3" s="1"/>
  <c r="BH100" i="3" s="1"/>
  <c r="BH58" i="3"/>
  <c r="BH59" i="3"/>
  <c r="BI37" i="3" s="1"/>
  <c r="BH37" i="3" s="1"/>
  <c r="BH123" i="3"/>
  <c r="BI101" i="3" s="1"/>
  <c r="BH101" i="3" s="1"/>
  <c r="BJ111" i="3"/>
  <c r="BJ47" i="3"/>
  <c r="BJ112" i="3"/>
  <c r="BJ48" i="3"/>
  <c r="BJ113" i="3"/>
  <c r="BJ49" i="3"/>
  <c r="BH112" i="3"/>
  <c r="BI90" i="3" s="1"/>
  <c r="BH90" i="3" s="1"/>
  <c r="BH48" i="3"/>
  <c r="BI26" i="3" s="1"/>
  <c r="BH26" i="3" s="1"/>
  <c r="BH129" i="3"/>
  <c r="BI107" i="3" s="1"/>
  <c r="BH107" i="3" s="1"/>
  <c r="BH65" i="3"/>
  <c r="BI43" i="3" s="1"/>
  <c r="BH43" i="3" s="1"/>
  <c r="BH130" i="3"/>
  <c r="BI108" i="3" s="1"/>
  <c r="BH108" i="3" s="1"/>
  <c r="BH66" i="3"/>
  <c r="BI44" i="3" s="1"/>
  <c r="BH44" i="3" s="1"/>
  <c r="BJ110" i="3"/>
  <c r="BJ46" i="3"/>
  <c r="BJ119" i="3"/>
  <c r="BJ55" i="3"/>
  <c r="BJ120" i="3"/>
  <c r="BJ56" i="3"/>
  <c r="BJ121" i="3"/>
  <c r="BJ57" i="3"/>
  <c r="BH120" i="3"/>
  <c r="BI98" i="3" s="1"/>
  <c r="BH98" i="3" s="1"/>
  <c r="BH56" i="3"/>
  <c r="BI34" i="3" s="1"/>
  <c r="BH34" i="3" s="1"/>
  <c r="BJ116" i="3"/>
  <c r="BJ52" i="3"/>
  <c r="BJ15" i="3" s="1" a="1"/>
  <c r="BJ15" i="3" s="1"/>
  <c r="BJ53" i="3"/>
  <c r="BJ117" i="3"/>
  <c r="BJ118" i="3"/>
  <c r="BJ54" i="3"/>
  <c r="BJ63" i="3"/>
  <c r="BJ127" i="3"/>
  <c r="BJ128" i="3"/>
  <c r="BJ64" i="3"/>
  <c r="BJ129" i="3"/>
  <c r="BJ65" i="3"/>
  <c r="BH124" i="3"/>
  <c r="BI102" i="3" s="1"/>
  <c r="BH102" i="3" s="1"/>
  <c r="BH60" i="3"/>
  <c r="BI38" i="3" s="1"/>
  <c r="BH38" i="3" s="1"/>
  <c r="BJ51" i="3"/>
  <c r="BJ115" i="3"/>
  <c r="BJ123" i="3"/>
  <c r="BJ59" i="3"/>
  <c r="BJ124" i="3"/>
  <c r="BJ60" i="3"/>
  <c r="BJ61" i="3"/>
  <c r="BJ125" i="3"/>
  <c r="BJ62" i="3"/>
  <c r="BJ126" i="3"/>
  <c r="BI50" i="3"/>
  <c r="BI114" i="3"/>
  <c r="BI115" i="3"/>
  <c r="BI51" i="3"/>
  <c r="BI116" i="3"/>
  <c r="BI52" i="3"/>
  <c r="BJ114" i="3"/>
  <c r="BJ50" i="3"/>
  <c r="BI46" i="3"/>
  <c r="BI110" i="3"/>
  <c r="BI111" i="3"/>
  <c r="BI47" i="3"/>
  <c r="BI48" i="3"/>
  <c r="BI112" i="3"/>
  <c r="BI113" i="3"/>
  <c r="BI49" i="3"/>
  <c r="BI122" i="3"/>
  <c r="BI58" i="3"/>
  <c r="BI123" i="3"/>
  <c r="BI59" i="3"/>
  <c r="BI124" i="3"/>
  <c r="BI60" i="3"/>
  <c r="BH128" i="3"/>
  <c r="BI106" i="3" s="1"/>
  <c r="BH106" i="3" s="1"/>
  <c r="BH64" i="3"/>
  <c r="BI42" i="3" s="1"/>
  <c r="BH42" i="3" s="1"/>
  <c r="BI125" i="3"/>
  <c r="BI61" i="3"/>
  <c r="J921" i="16"/>
  <c r="H921" i="16"/>
  <c r="I921" i="16"/>
  <c r="L922" i="16"/>
  <c r="N922" i="16"/>
  <c r="M922" i="16"/>
  <c r="G922" i="16"/>
  <c r="K922" i="16"/>
  <c r="R921" i="16"/>
  <c r="Q921" i="16"/>
  <c r="O921" i="16"/>
  <c r="P921" i="16"/>
  <c r="J101" i="1"/>
  <c r="E924" i="16" s="1"/>
  <c r="E923" i="16"/>
  <c r="K819" i="16"/>
  <c r="L819" i="16"/>
  <c r="AA819" i="16"/>
  <c r="N819" i="16"/>
  <c r="M819" i="16"/>
  <c r="K818" i="16"/>
  <c r="N818" i="16"/>
  <c r="AA818" i="16"/>
  <c r="L818" i="16"/>
  <c r="M818" i="16"/>
  <c r="I900" i="16"/>
  <c r="H900" i="16"/>
  <c r="G900" i="16"/>
  <c r="J900" i="16"/>
  <c r="E902" i="16"/>
  <c r="AP902" i="16" s="1"/>
  <c r="E903" i="16"/>
  <c r="H879" i="16"/>
  <c r="G879" i="16"/>
  <c r="J879" i="16"/>
  <c r="I879" i="16"/>
  <c r="R858" i="16"/>
  <c r="Q858" i="16"/>
  <c r="O858" i="16"/>
  <c r="P858" i="16"/>
  <c r="M859" i="16"/>
  <c r="L859" i="16"/>
  <c r="K859" i="16"/>
  <c r="AA859" i="16"/>
  <c r="N859" i="16"/>
  <c r="R900" i="16"/>
  <c r="P900" i="16"/>
  <c r="Q900" i="16"/>
  <c r="O900" i="16"/>
  <c r="N901" i="16"/>
  <c r="K901" i="16"/>
  <c r="M901" i="16"/>
  <c r="AA901" i="16"/>
  <c r="L901" i="16"/>
  <c r="P817" i="16"/>
  <c r="Q817" i="16"/>
  <c r="O817" i="16"/>
  <c r="R817" i="16"/>
  <c r="K840" i="16"/>
  <c r="AA840" i="16"/>
  <c r="N840" i="16"/>
  <c r="M840" i="16"/>
  <c r="L840" i="16"/>
  <c r="E860" i="16"/>
  <c r="AP860" i="16" s="1"/>
  <c r="E861" i="16"/>
  <c r="I817" i="16"/>
  <c r="J817" i="16"/>
  <c r="G817" i="16"/>
  <c r="H817" i="16"/>
  <c r="K839" i="16"/>
  <c r="AA839" i="16"/>
  <c r="L839" i="16"/>
  <c r="M839" i="16"/>
  <c r="N839" i="16"/>
  <c r="I838" i="16"/>
  <c r="G838" i="16"/>
  <c r="H838" i="16"/>
  <c r="J838" i="16"/>
  <c r="J858" i="16"/>
  <c r="I858" i="16"/>
  <c r="H858" i="16"/>
  <c r="G858" i="16"/>
  <c r="E881" i="16"/>
  <c r="AP881" i="16" s="1"/>
  <c r="E882" i="16"/>
  <c r="R838" i="16"/>
  <c r="Q838" i="16"/>
  <c r="P838" i="16"/>
  <c r="O838" i="16"/>
  <c r="P879" i="16"/>
  <c r="R879" i="16"/>
  <c r="O879" i="16"/>
  <c r="Q879" i="16"/>
  <c r="K880" i="16"/>
  <c r="AA880" i="16"/>
  <c r="L880" i="16"/>
  <c r="N880" i="16"/>
  <c r="M880" i="16"/>
  <c r="U52" i="2"/>
  <c r="U73" i="2" s="1"/>
  <c r="U61" i="2"/>
  <c r="I141" i="11"/>
  <c r="L141" i="11" s="1"/>
  <c r="K140" i="11"/>
  <c r="N140" i="11" s="1"/>
  <c r="I138" i="11"/>
  <c r="L138" i="11" s="1"/>
  <c r="K146" i="11"/>
  <c r="N146" i="11" s="1"/>
  <c r="I142" i="11"/>
  <c r="L142" i="11" s="1"/>
  <c r="J148" i="11"/>
  <c r="M148" i="11" s="1"/>
  <c r="K134" i="11"/>
  <c r="N134" i="11" s="1"/>
  <c r="I148" i="11"/>
  <c r="L148" i="11" s="1"/>
  <c r="K133" i="11"/>
  <c r="N133" i="11" s="1"/>
  <c r="V47" i="2"/>
  <c r="J173" i="11" s="1"/>
  <c r="M173" i="11" s="1"/>
  <c r="V50" i="2"/>
  <c r="J130" i="11"/>
  <c r="M130" i="11" s="1"/>
  <c r="J132" i="11"/>
  <c r="M132" i="11" s="1"/>
  <c r="J144" i="11"/>
  <c r="M144" i="11" s="1"/>
  <c r="K138" i="11"/>
  <c r="N138" i="11" s="1"/>
  <c r="J136" i="11"/>
  <c r="M136" i="11" s="1"/>
  <c r="I147" i="11"/>
  <c r="L147" i="11" s="1"/>
  <c r="J145" i="11"/>
  <c r="M145" i="11" s="1"/>
  <c r="J139" i="11"/>
  <c r="M139" i="11" s="1"/>
  <c r="I133" i="11"/>
  <c r="L133" i="11" s="1"/>
  <c r="W59" i="2"/>
  <c r="V65" i="2"/>
  <c r="V86" i="2" s="1"/>
  <c r="I137" i="11"/>
  <c r="L137" i="11" s="1"/>
  <c r="J129" i="11"/>
  <c r="M129" i="11" s="1"/>
  <c r="W53" i="2"/>
  <c r="W74" i="2" s="1"/>
  <c r="I146" i="11"/>
  <c r="L146" i="11" s="1"/>
  <c r="W48" i="2"/>
  <c r="W69" i="2" s="1"/>
  <c r="I135" i="11"/>
  <c r="L135" i="11" s="1"/>
  <c r="K147" i="11"/>
  <c r="N147" i="11" s="1"/>
  <c r="V59" i="2"/>
  <c r="V80" i="2" s="1"/>
  <c r="R757" i="16"/>
  <c r="P757" i="16"/>
  <c r="O757" i="16"/>
  <c r="Q757" i="16"/>
  <c r="O756" i="16"/>
  <c r="P756" i="16"/>
  <c r="R756" i="16"/>
  <c r="Q756" i="16"/>
  <c r="T58" i="9"/>
  <c r="T52" i="9" s="1"/>
  <c r="U67" i="2"/>
  <c r="I172" i="11"/>
  <c r="L172" i="11" s="1"/>
  <c r="U72" i="2"/>
  <c r="I177" i="11"/>
  <c r="L177" i="11" s="1"/>
  <c r="V70" i="2"/>
  <c r="J175" i="11"/>
  <c r="M175" i="11" s="1"/>
  <c r="V66" i="2"/>
  <c r="J171" i="11"/>
  <c r="M171" i="11" s="1"/>
  <c r="W84" i="2"/>
  <c r="K189" i="11"/>
  <c r="N189" i="11" s="1"/>
  <c r="W72" i="2"/>
  <c r="K177" i="11"/>
  <c r="N177" i="11" s="1"/>
  <c r="V74" i="2"/>
  <c r="J179" i="11"/>
  <c r="M179" i="11" s="1"/>
  <c r="U66" i="2"/>
  <c r="I171" i="11"/>
  <c r="L171" i="11" s="1"/>
  <c r="U70" i="2"/>
  <c r="I175" i="11"/>
  <c r="L175" i="11" s="1"/>
  <c r="W78" i="2"/>
  <c r="K183" i="11"/>
  <c r="N183" i="11" s="1"/>
  <c r="U68" i="2"/>
  <c r="I173" i="11"/>
  <c r="L173" i="11" s="1"/>
  <c r="V71" i="2"/>
  <c r="J176" i="11"/>
  <c r="M176" i="11" s="1"/>
  <c r="V77" i="2"/>
  <c r="J182" i="11"/>
  <c r="M182" i="11" s="1"/>
  <c r="V82" i="2"/>
  <c r="J187" i="11"/>
  <c r="M187" i="11" s="1"/>
  <c r="K174" i="11"/>
  <c r="N174" i="11" s="1"/>
  <c r="V83" i="2"/>
  <c r="J188" i="11"/>
  <c r="M188" i="11" s="1"/>
  <c r="W67" i="2"/>
  <c r="K172" i="11"/>
  <c r="N172" i="11" s="1"/>
  <c r="W76" i="2"/>
  <c r="K181" i="11"/>
  <c r="N181" i="11" s="1"/>
  <c r="W81" i="2"/>
  <c r="K186" i="11"/>
  <c r="N186" i="11" s="1"/>
  <c r="V79" i="2"/>
  <c r="J184" i="11"/>
  <c r="M184" i="11" s="1"/>
  <c r="W77" i="2"/>
  <c r="K182" i="11"/>
  <c r="N182" i="11" s="1"/>
  <c r="U69" i="2"/>
  <c r="I174" i="11"/>
  <c r="L174" i="11" s="1"/>
  <c r="W85" i="2"/>
  <c r="K190" i="11"/>
  <c r="N190" i="11" s="1"/>
  <c r="V85" i="2"/>
  <c r="J190" i="11"/>
  <c r="M190" i="11" s="1"/>
  <c r="U76" i="2"/>
  <c r="I181" i="11"/>
  <c r="L181" i="11" s="1"/>
  <c r="U79" i="2"/>
  <c r="I184" i="11"/>
  <c r="L184" i="11" s="1"/>
  <c r="W73" i="2"/>
  <c r="K178" i="11"/>
  <c r="N178" i="11" s="1"/>
  <c r="T118" i="9"/>
  <c r="G412" i="11" s="1"/>
  <c r="L412" i="11" s="1"/>
  <c r="W75" i="2"/>
  <c r="K180" i="11"/>
  <c r="N180" i="11" s="1"/>
  <c r="W66" i="2"/>
  <c r="K171" i="11"/>
  <c r="N171" i="11" s="1"/>
  <c r="W80" i="2"/>
  <c r="K185" i="11"/>
  <c r="N185" i="11" s="1"/>
  <c r="U77" i="2"/>
  <c r="I182" i="11"/>
  <c r="L182" i="11" s="1"/>
  <c r="V75" i="2"/>
  <c r="J180" i="11"/>
  <c r="M180" i="11" s="1"/>
  <c r="W86" i="2"/>
  <c r="K191" i="11"/>
  <c r="N191" i="11" s="1"/>
  <c r="V73" i="2"/>
  <c r="J178" i="11"/>
  <c r="M178" i="11" s="1"/>
  <c r="V76" i="2"/>
  <c r="J181" i="11"/>
  <c r="M181" i="11" s="1"/>
  <c r="U74" i="2"/>
  <c r="I179" i="11"/>
  <c r="L179" i="11" s="1"/>
  <c r="U80" i="2"/>
  <c r="I185" i="11"/>
  <c r="L185" i="11" s="1"/>
  <c r="V78" i="2"/>
  <c r="J183" i="11"/>
  <c r="M183" i="11" s="1"/>
  <c r="U85" i="2"/>
  <c r="I190" i="11"/>
  <c r="L190" i="11" s="1"/>
  <c r="U75" i="2"/>
  <c r="I180" i="11"/>
  <c r="L180" i="11" s="1"/>
  <c r="U84" i="2"/>
  <c r="I189" i="11"/>
  <c r="L189" i="11" s="1"/>
  <c r="U81" i="2"/>
  <c r="I186" i="11"/>
  <c r="L186" i="11" s="1"/>
  <c r="V84" i="2"/>
  <c r="J189" i="11"/>
  <c r="M189" i="11" s="1"/>
  <c r="U82" i="2"/>
  <c r="I187" i="11"/>
  <c r="L187" i="11" s="1"/>
  <c r="U83" i="2"/>
  <c r="I188" i="11"/>
  <c r="L188" i="11" s="1"/>
  <c r="W71" i="2"/>
  <c r="K176" i="11"/>
  <c r="N176" i="11" s="1"/>
  <c r="V67" i="2"/>
  <c r="J172" i="11"/>
  <c r="M172" i="11" s="1"/>
  <c r="W70" i="2"/>
  <c r="K175" i="11"/>
  <c r="N175" i="11" s="1"/>
  <c r="W83" i="2"/>
  <c r="K188" i="11"/>
  <c r="N188" i="11" s="1"/>
  <c r="U71" i="2"/>
  <c r="I176" i="11"/>
  <c r="L176" i="11" s="1"/>
  <c r="W68" i="2"/>
  <c r="K173" i="11"/>
  <c r="N173" i="11" s="1"/>
  <c r="V69" i="2"/>
  <c r="J174" i="11"/>
  <c r="M174" i="11" s="1"/>
  <c r="U86" i="2"/>
  <c r="I191" i="11"/>
  <c r="L191" i="11" s="1"/>
  <c r="W79" i="2"/>
  <c r="K184" i="11"/>
  <c r="N184" i="11" s="1"/>
  <c r="W82" i="2"/>
  <c r="K187" i="11"/>
  <c r="N187" i="11" s="1"/>
  <c r="U78" i="2"/>
  <c r="I183" i="11"/>
  <c r="L183" i="11" s="1"/>
  <c r="V72" i="2"/>
  <c r="J177" i="11"/>
  <c r="M177" i="11" s="1"/>
  <c r="V81" i="2"/>
  <c r="J186" i="11"/>
  <c r="M186" i="11" s="1"/>
  <c r="E124" i="16"/>
  <c r="AP124" i="16" s="1"/>
  <c r="Q122" i="16"/>
  <c r="R122" i="16"/>
  <c r="O122" i="16"/>
  <c r="P122" i="16"/>
  <c r="M123" i="16"/>
  <c r="N123" i="16"/>
  <c r="K123" i="16"/>
  <c r="L123" i="16"/>
  <c r="M460" i="11"/>
  <c r="N460" i="11"/>
  <c r="L460" i="11"/>
  <c r="N503" i="11"/>
  <c r="L503" i="11"/>
  <c r="M503" i="11"/>
  <c r="T63" i="9"/>
  <c r="G399" i="11" s="1"/>
  <c r="L399" i="11" s="1"/>
  <c r="L377" i="11"/>
  <c r="M377" i="11"/>
  <c r="N377" i="11"/>
  <c r="L420" i="11"/>
  <c r="M420" i="11"/>
  <c r="N420" i="11"/>
  <c r="Q422" i="11"/>
  <c r="O422" i="11"/>
  <c r="S422" i="11"/>
  <c r="P422" i="11"/>
  <c r="N376" i="11"/>
  <c r="L376" i="11"/>
  <c r="M376" i="11"/>
  <c r="N421" i="11"/>
  <c r="L421" i="11"/>
  <c r="M421" i="11"/>
  <c r="L375" i="11"/>
  <c r="M375" i="11"/>
  <c r="N375" i="11"/>
  <c r="L353" i="11"/>
  <c r="M353" i="11"/>
  <c r="N353" i="11"/>
  <c r="N416" i="11"/>
  <c r="L416" i="11"/>
  <c r="M416" i="11"/>
  <c r="L422" i="11"/>
  <c r="M422" i="11"/>
  <c r="N422" i="11"/>
  <c r="S401" i="11"/>
  <c r="P401" i="11"/>
  <c r="Q401" i="11"/>
  <c r="O401" i="11"/>
  <c r="L374" i="11"/>
  <c r="M374" i="11"/>
  <c r="N374" i="11"/>
  <c r="L358" i="11"/>
  <c r="M358" i="11"/>
  <c r="N358" i="11"/>
  <c r="L417" i="11"/>
  <c r="M417" i="11"/>
  <c r="N417" i="11"/>
  <c r="N418" i="11"/>
  <c r="L418" i="11"/>
  <c r="M418" i="11"/>
  <c r="P380" i="11"/>
  <c r="O380" i="11"/>
  <c r="Q380" i="11"/>
  <c r="S380" i="11"/>
  <c r="M419" i="11"/>
  <c r="N419" i="11"/>
  <c r="L419" i="11"/>
  <c r="M379" i="11"/>
  <c r="N379" i="11"/>
  <c r="L379" i="11"/>
  <c r="S359" i="11"/>
  <c r="Q359" i="11"/>
  <c r="O359" i="11"/>
  <c r="P359" i="11"/>
  <c r="L401" i="11"/>
  <c r="M401" i="11"/>
  <c r="N401" i="11"/>
  <c r="N378" i="11"/>
  <c r="L378" i="11"/>
  <c r="M378" i="11"/>
  <c r="T53" i="9"/>
  <c r="G395" i="11"/>
  <c r="N400" i="11"/>
  <c r="L400" i="11"/>
  <c r="M400" i="11"/>
  <c r="Q503" i="11"/>
  <c r="O503" i="11"/>
  <c r="S503" i="11"/>
  <c r="P503" i="11"/>
  <c r="D41" i="10"/>
  <c r="E461" i="11"/>
  <c r="Z82" i="10"/>
  <c r="E502" i="11" s="1"/>
  <c r="G502" i="11"/>
  <c r="Z61" i="10"/>
  <c r="C40" i="10"/>
  <c r="X80" i="10"/>
  <c r="Y81" i="10"/>
  <c r="X60" i="10"/>
  <c r="Y60" i="10" s="1"/>
  <c r="G459" i="11" s="1"/>
  <c r="D23" i="9"/>
  <c r="I29" i="2"/>
  <c r="H7" i="2"/>
  <c r="I9" i="2"/>
  <c r="D44" i="9"/>
  <c r="T119" i="9"/>
  <c r="G413" i="11" s="1"/>
  <c r="T120" i="9"/>
  <c r="G414" i="11" s="1"/>
  <c r="T121" i="9"/>
  <c r="G415" i="11" s="1"/>
  <c r="T116" i="9"/>
  <c r="G410" i="11" s="1"/>
  <c r="T117" i="9"/>
  <c r="G411" i="11" s="1"/>
  <c r="T37" i="9"/>
  <c r="G352" i="11" s="1"/>
  <c r="C22" i="9"/>
  <c r="T42" i="9"/>
  <c r="G357" i="11" s="1"/>
  <c r="AG22" i="9"/>
  <c r="C43" i="9"/>
  <c r="U43" i="9"/>
  <c r="E358" i="11" s="1"/>
  <c r="U102" i="9"/>
  <c r="E375" i="11" s="1"/>
  <c r="T96" i="9"/>
  <c r="G369" i="11" s="1"/>
  <c r="U126" i="9"/>
  <c r="E420" i="11" s="1"/>
  <c r="U123" i="9"/>
  <c r="E417" i="11" s="1"/>
  <c r="T98" i="9"/>
  <c r="G371" i="11" s="1"/>
  <c r="U104" i="9"/>
  <c r="E377" i="11" s="1"/>
  <c r="U127" i="9"/>
  <c r="E421" i="11" s="1"/>
  <c r="U101" i="9"/>
  <c r="E374" i="11" s="1"/>
  <c r="T95" i="9"/>
  <c r="G368" i="11" s="1"/>
  <c r="U122" i="9"/>
  <c r="E416" i="11" s="1"/>
  <c r="U103" i="9"/>
  <c r="E376" i="11" s="1"/>
  <c r="T97" i="9"/>
  <c r="G370" i="11" s="1"/>
  <c r="T100" i="9"/>
  <c r="G373" i="11" s="1"/>
  <c r="U106" i="9"/>
  <c r="E379" i="11" s="1"/>
  <c r="U125" i="9"/>
  <c r="E419" i="11" s="1"/>
  <c r="T99" i="9"/>
  <c r="G372" i="11" s="1"/>
  <c r="U105" i="9"/>
  <c r="E378" i="11" s="1"/>
  <c r="U124" i="9"/>
  <c r="E418" i="11" s="1"/>
  <c r="U38" i="9"/>
  <c r="E353" i="11" s="1"/>
  <c r="T32" i="9"/>
  <c r="U64" i="9"/>
  <c r="E400" i="11" s="1"/>
  <c r="C17" i="9"/>
  <c r="AG17" i="9"/>
  <c r="U59" i="9"/>
  <c r="E395" i="11" s="1"/>
  <c r="C38" i="9"/>
  <c r="H31" i="2"/>
  <c r="J32" i="2"/>
  <c r="H20" i="2"/>
  <c r="I32" i="2"/>
  <c r="I8" i="2"/>
  <c r="J24" i="2"/>
  <c r="H43" i="2"/>
  <c r="J12" i="2"/>
  <c r="H13" i="2"/>
  <c r="I41" i="2"/>
  <c r="J5" i="2"/>
  <c r="H21" i="2"/>
  <c r="I26" i="2"/>
  <c r="H12" i="2"/>
  <c r="H3" i="2"/>
  <c r="I7" i="2"/>
  <c r="I24" i="2"/>
  <c r="J25" i="2"/>
  <c r="H6" i="2"/>
  <c r="H5" i="2"/>
  <c r="J20" i="2"/>
  <c r="I14" i="2"/>
  <c r="J43" i="2"/>
  <c r="J4" i="2"/>
  <c r="J29" i="2"/>
  <c r="I18" i="2"/>
  <c r="J30" i="2"/>
  <c r="I19" i="2"/>
  <c r="J39" i="2"/>
  <c r="I3" i="2"/>
  <c r="H33" i="2"/>
  <c r="J34" i="2"/>
  <c r="J10" i="2"/>
  <c r="H4" i="2"/>
  <c r="J13" i="2"/>
  <c r="J6" i="2"/>
  <c r="H35" i="2"/>
  <c r="I42" i="2"/>
  <c r="J37" i="2"/>
  <c r="H39" i="2"/>
  <c r="I10" i="2"/>
  <c r="J8" i="2"/>
  <c r="H32" i="2"/>
  <c r="I37" i="2"/>
  <c r="J33" i="2"/>
  <c r="J14" i="2"/>
  <c r="H42" i="2"/>
  <c r="H15" i="2"/>
  <c r="I15" i="2"/>
  <c r="J28" i="2"/>
  <c r="H29" i="2"/>
  <c r="J18" i="2"/>
  <c r="H30" i="2"/>
  <c r="I39" i="2"/>
  <c r="J3" i="2"/>
  <c r="I5" i="2"/>
  <c r="H11" i="2"/>
  <c r="H41" i="2"/>
  <c r="J15" i="2"/>
  <c r="I12" i="2"/>
  <c r="I13" i="2"/>
  <c r="I33" i="2"/>
  <c r="I20" i="2"/>
  <c r="J41" i="2"/>
  <c r="I22" i="2"/>
  <c r="H26" i="2"/>
  <c r="J42" i="2"/>
  <c r="I27" i="2"/>
  <c r="H16" i="2"/>
  <c r="J11" i="2"/>
  <c r="I36" i="2"/>
  <c r="H37" i="2"/>
  <c r="I25" i="2"/>
  <c r="H18" i="2"/>
  <c r="J38" i="2"/>
  <c r="H8" i="2"/>
  <c r="H10" i="2"/>
  <c r="J40" i="2"/>
  <c r="J22" i="2"/>
  <c r="H27" i="2"/>
  <c r="I23" i="2"/>
  <c r="J27" i="2"/>
  <c r="I16" i="2"/>
  <c r="J36" i="2"/>
  <c r="I17" i="2"/>
  <c r="H38" i="2"/>
  <c r="J7" i="2"/>
  <c r="H22" i="2"/>
  <c r="H36" i="2"/>
  <c r="H40" i="2"/>
  <c r="I40" i="2"/>
  <c r="I21" i="2"/>
  <c r="J26" i="2"/>
  <c r="J23" i="2"/>
  <c r="I35" i="2"/>
  <c r="H19" i="2"/>
  <c r="J16" i="2"/>
  <c r="H44" i="2"/>
  <c r="J17" i="2"/>
  <c r="H9" i="2"/>
  <c r="I28" i="2"/>
  <c r="H23" i="2"/>
  <c r="H24" i="2"/>
  <c r="J21" i="2"/>
  <c r="H25" i="2"/>
  <c r="H34" i="2"/>
  <c r="J35" i="2"/>
  <c r="I44" i="2"/>
  <c r="H17" i="2"/>
  <c r="J19" i="2"/>
  <c r="J31" i="2"/>
  <c r="J9" i="2"/>
  <c r="I38" i="2"/>
  <c r="I11" i="2"/>
  <c r="H14" i="2"/>
  <c r="I34" i="2"/>
  <c r="I43" i="2"/>
  <c r="H28" i="2"/>
  <c r="J44" i="2"/>
  <c r="I4" i="2"/>
  <c r="I30" i="2"/>
  <c r="I31" i="2"/>
  <c r="I6" i="2"/>
  <c r="S860" i="16" l="1"/>
  <c r="T860" i="16"/>
  <c r="U860" i="16"/>
  <c r="V860" i="16"/>
  <c r="S840" i="16"/>
  <c r="T840" i="16"/>
  <c r="U840" i="16"/>
  <c r="V840" i="16"/>
  <c r="V881" i="16"/>
  <c r="U881" i="16"/>
  <c r="S881" i="16"/>
  <c r="T881" i="16"/>
  <c r="S124" i="16"/>
  <c r="T124" i="16"/>
  <c r="U124" i="16"/>
  <c r="V124" i="16"/>
  <c r="V902" i="16"/>
  <c r="S902" i="16"/>
  <c r="T902" i="16"/>
  <c r="U902" i="16"/>
  <c r="S820" i="16"/>
  <c r="T820" i="16"/>
  <c r="U820" i="16"/>
  <c r="V820" i="16"/>
  <c r="V819" i="16"/>
  <c r="S819" i="16"/>
  <c r="T819" i="16"/>
  <c r="U819" i="16"/>
  <c r="V841" i="16"/>
  <c r="S841" i="16"/>
  <c r="T841" i="16"/>
  <c r="U841" i="16"/>
  <c r="AQ881" i="16"/>
  <c r="W881" i="16" s="1"/>
  <c r="AR881" i="16"/>
  <c r="X881" i="16" s="1"/>
  <c r="AQ860" i="16"/>
  <c r="W860" i="16" s="1"/>
  <c r="AR860" i="16"/>
  <c r="X860" i="16" s="1"/>
  <c r="AQ902" i="16"/>
  <c r="W902" i="16" s="1"/>
  <c r="AR902" i="16"/>
  <c r="X902" i="16" s="1"/>
  <c r="AQ820" i="16"/>
  <c r="W820" i="16" s="1"/>
  <c r="AR820" i="16"/>
  <c r="X820" i="16" s="1"/>
  <c r="AQ819" i="16"/>
  <c r="W819" i="16" s="1"/>
  <c r="AR819" i="16"/>
  <c r="X819" i="16" s="1"/>
  <c r="AQ841" i="16"/>
  <c r="W841" i="16" s="1"/>
  <c r="AR841" i="16"/>
  <c r="X841" i="16" s="1"/>
  <c r="AQ840" i="16"/>
  <c r="W840" i="16" s="1"/>
  <c r="AR840" i="16"/>
  <c r="X840" i="16" s="1"/>
  <c r="AQ124" i="16"/>
  <c r="W124" i="16" s="1"/>
  <c r="AR124" i="16"/>
  <c r="X124" i="16" s="1"/>
  <c r="G123" i="16"/>
  <c r="J123" i="16"/>
  <c r="I123" i="16"/>
  <c r="AP882" i="16"/>
  <c r="AP883" i="16"/>
  <c r="AP861" i="16"/>
  <c r="AP862" i="16"/>
  <c r="AP903" i="16"/>
  <c r="AP904" i="16"/>
  <c r="AA124" i="16"/>
  <c r="H124" i="16" s="1"/>
  <c r="BJ12" i="3" a="1"/>
  <c r="BJ12" i="3" s="1"/>
  <c r="BJ5" i="3" a="1"/>
  <c r="BJ5" i="3" s="1"/>
  <c r="I178" i="11"/>
  <c r="L178" i="11" s="1"/>
  <c r="BH24" i="3"/>
  <c r="BI13" i="3" a="1"/>
  <c r="BI13" i="3" s="1"/>
  <c r="BI10" i="3" a="1"/>
  <c r="BI10" i="3" s="1"/>
  <c r="BI22" i="3" a="1"/>
  <c r="BI22" i="3" s="1"/>
  <c r="BI16" i="3" a="1"/>
  <c r="BI16" i="3" s="1"/>
  <c r="I16" i="3" s="1"/>
  <c r="BI3" i="3" a="1"/>
  <c r="BI3" i="3" s="1"/>
  <c r="BI23" i="3" a="1"/>
  <c r="BI23" i="3" s="1"/>
  <c r="BI5" i="3" a="1"/>
  <c r="BI5" i="3" s="1"/>
  <c r="BI15" i="3" a="1"/>
  <c r="BI15" i="3" s="1"/>
  <c r="BI12" i="3" a="1"/>
  <c r="BI12" i="3" s="1"/>
  <c r="BI7" i="3" a="1"/>
  <c r="BI7" i="3" s="1"/>
  <c r="BI4" i="3" a="1"/>
  <c r="BI4" i="3" s="1"/>
  <c r="BI21" i="3" a="1"/>
  <c r="BI21" i="3" s="1"/>
  <c r="I21" i="3" s="1"/>
  <c r="BI11" i="3" a="1"/>
  <c r="BI11" i="3" s="1"/>
  <c r="BI18" i="3" a="1"/>
  <c r="BI18" i="3" s="1"/>
  <c r="BI17" i="3" a="1"/>
  <c r="BI17" i="3" s="1"/>
  <c r="BI14" i="3" a="1"/>
  <c r="BI14" i="3" s="1"/>
  <c r="BI9" i="3" a="1"/>
  <c r="BI9" i="3" s="1"/>
  <c r="BI6" i="3" a="1"/>
  <c r="BI6" i="3" s="1"/>
  <c r="BI8" i="3" a="1"/>
  <c r="BI8" i="3" s="1"/>
  <c r="BI20" i="3" a="1"/>
  <c r="BI20" i="3" s="1"/>
  <c r="I20" i="3" s="1"/>
  <c r="BI19" i="3" a="1"/>
  <c r="BI19" i="3" s="1"/>
  <c r="BJ18" i="3" a="1"/>
  <c r="BJ18" i="3" s="1"/>
  <c r="BJ21" i="3" a="1"/>
  <c r="BJ21" i="3" s="1"/>
  <c r="BJ8" i="3" a="1"/>
  <c r="BJ8" i="3" s="1"/>
  <c r="BJ7" i="3" a="1"/>
  <c r="BJ7" i="3" s="1"/>
  <c r="BJ10" i="3" a="1"/>
  <c r="BJ10" i="3" s="1"/>
  <c r="BJ11" i="3" a="1"/>
  <c r="BJ11" i="3" s="1"/>
  <c r="BJ19" i="3" a="1"/>
  <c r="BJ19" i="3" s="1"/>
  <c r="J19" i="3" s="1"/>
  <c r="BJ22" i="3" a="1"/>
  <c r="BJ22" i="3" s="1"/>
  <c r="BJ6" i="3" a="1"/>
  <c r="BJ6" i="3" s="1"/>
  <c r="BJ83" i="3" a="1"/>
  <c r="BJ83" i="3" s="1"/>
  <c r="J40" i="3" s="1"/>
  <c r="BJ75" i="3" a="1"/>
  <c r="BJ75" i="3" s="1"/>
  <c r="J32" i="3" s="1"/>
  <c r="BJ78" i="3" a="1"/>
  <c r="BJ78" i="3" s="1"/>
  <c r="J35" i="3" s="1"/>
  <c r="BJ72" i="3" a="1"/>
  <c r="BJ72" i="3" s="1"/>
  <c r="J29" i="3" s="1"/>
  <c r="BJ69" i="3" a="1"/>
  <c r="BJ69" i="3" s="1"/>
  <c r="J26" i="3" s="1"/>
  <c r="BJ73" i="3" a="1"/>
  <c r="BJ73" i="3" s="1"/>
  <c r="J30" i="3" s="1"/>
  <c r="BJ71" i="3" a="1"/>
  <c r="BJ71" i="3" s="1"/>
  <c r="J28" i="3" s="1"/>
  <c r="BJ67" i="3" a="1"/>
  <c r="BJ67" i="3" s="1"/>
  <c r="J24" i="3" s="1"/>
  <c r="BJ82" i="3" a="1"/>
  <c r="BJ82" i="3" s="1"/>
  <c r="J39" i="3" s="1"/>
  <c r="BJ86" i="3" a="1"/>
  <c r="BJ86" i="3" s="1"/>
  <c r="J43" i="3" s="1"/>
  <c r="BJ80" i="3" a="1"/>
  <c r="BJ80" i="3" s="1"/>
  <c r="J37" i="3" s="1"/>
  <c r="BJ84" i="3" a="1"/>
  <c r="BJ84" i="3" s="1"/>
  <c r="J41" i="3" s="1"/>
  <c r="BJ77" i="3" a="1"/>
  <c r="BJ77" i="3" s="1"/>
  <c r="J34" i="3" s="1"/>
  <c r="BJ81" i="3" a="1"/>
  <c r="BJ81" i="3" s="1"/>
  <c r="J38" i="3" s="1"/>
  <c r="BJ85" i="3" a="1"/>
  <c r="BJ85" i="3" s="1"/>
  <c r="J42" i="3" s="1"/>
  <c r="BJ76" i="3" a="1"/>
  <c r="BJ76" i="3" s="1"/>
  <c r="J33" i="3" s="1"/>
  <c r="BJ79" i="3" a="1"/>
  <c r="BJ79" i="3" s="1"/>
  <c r="J36" i="3" s="1"/>
  <c r="BJ70" i="3" a="1"/>
  <c r="BJ70" i="3" s="1"/>
  <c r="J27" i="3" s="1"/>
  <c r="BJ74" i="3" a="1"/>
  <c r="BJ74" i="3" s="1"/>
  <c r="J31" i="3" s="1"/>
  <c r="BJ87" i="3" a="1"/>
  <c r="BJ87" i="3" s="1"/>
  <c r="J44" i="3" s="1"/>
  <c r="BJ68" i="3" a="1"/>
  <c r="BJ68" i="3" s="1"/>
  <c r="J25" i="3" s="1"/>
  <c r="BJ14" i="3" a="1"/>
  <c r="BJ14" i="3" s="1"/>
  <c r="J14" i="3" s="1"/>
  <c r="BJ13" i="3" a="1"/>
  <c r="BJ13" i="3" s="1"/>
  <c r="BJ23" i="3" a="1"/>
  <c r="BJ23" i="3" s="1"/>
  <c r="BI74" i="3" a="1"/>
  <c r="BI74" i="3" s="1"/>
  <c r="I31" i="3" s="1"/>
  <c r="BI84" i="3" a="1"/>
  <c r="BI84" i="3" s="1"/>
  <c r="I41" i="3" s="1"/>
  <c r="BI73" i="3" a="1"/>
  <c r="BI73" i="3" s="1"/>
  <c r="I30" i="3" s="1"/>
  <c r="BI72" i="3" a="1"/>
  <c r="BI72" i="3" s="1"/>
  <c r="I29" i="3" s="1"/>
  <c r="BI69" i="3" a="1"/>
  <c r="BI69" i="3" s="1"/>
  <c r="I26" i="3" s="1"/>
  <c r="BI81" i="3" a="1"/>
  <c r="BI81" i="3" s="1"/>
  <c r="I38" i="3" s="1"/>
  <c r="BI87" i="3" a="1"/>
  <c r="BI87" i="3" s="1"/>
  <c r="I44" i="3" s="1"/>
  <c r="BI67" i="3" a="1"/>
  <c r="BI67" i="3" s="1"/>
  <c r="I24" i="3" s="1"/>
  <c r="BI85" i="3" a="1"/>
  <c r="BI85" i="3" s="1"/>
  <c r="I42" i="3" s="1"/>
  <c r="BI76" i="3" a="1"/>
  <c r="BI76" i="3" s="1"/>
  <c r="I33" i="3" s="1"/>
  <c r="BI71" i="3" a="1"/>
  <c r="BI71" i="3" s="1"/>
  <c r="I28" i="3" s="1"/>
  <c r="BH88" i="3"/>
  <c r="BI83" i="3" a="1"/>
  <c r="BI83" i="3" s="1"/>
  <c r="I40" i="3" s="1"/>
  <c r="BI82" i="3" a="1"/>
  <c r="BI82" i="3" s="1"/>
  <c r="I39" i="3" s="1"/>
  <c r="BI78" i="3" a="1"/>
  <c r="BI78" i="3" s="1"/>
  <c r="I35" i="3" s="1"/>
  <c r="BI75" i="3" a="1"/>
  <c r="BI75" i="3" s="1"/>
  <c r="I32" i="3" s="1"/>
  <c r="BI70" i="3" a="1"/>
  <c r="BI70" i="3" s="1"/>
  <c r="I27" i="3" s="1"/>
  <c r="BI80" i="3" a="1"/>
  <c r="BI80" i="3" s="1"/>
  <c r="I37" i="3" s="1"/>
  <c r="BI79" i="3" a="1"/>
  <c r="BI79" i="3" s="1"/>
  <c r="I36" i="3" s="1"/>
  <c r="BI77" i="3" a="1"/>
  <c r="BI77" i="3" s="1"/>
  <c r="I34" i="3" s="1"/>
  <c r="BI68" i="3" a="1"/>
  <c r="BI68" i="3" s="1"/>
  <c r="I25" i="3" s="1"/>
  <c r="BI86" i="3" a="1"/>
  <c r="BI86" i="3" s="1"/>
  <c r="I43" i="3" s="1"/>
  <c r="BJ4" i="3" a="1"/>
  <c r="BJ4" i="3" s="1"/>
  <c r="BJ16" i="3" a="1"/>
  <c r="BJ16" i="3" s="1"/>
  <c r="BJ9" i="3" a="1"/>
  <c r="BJ9" i="3" s="1"/>
  <c r="BJ20" i="3" a="1"/>
  <c r="BJ20" i="3" s="1"/>
  <c r="BJ17" i="3" a="1"/>
  <c r="BJ17" i="3" s="1"/>
  <c r="BJ3" i="3" a="1"/>
  <c r="BJ3" i="3" s="1"/>
  <c r="J3" i="3" s="1"/>
  <c r="G924" i="16"/>
  <c r="N924" i="16"/>
  <c r="M924" i="16"/>
  <c r="K924" i="16"/>
  <c r="L924" i="16"/>
  <c r="I922" i="16"/>
  <c r="J922" i="16"/>
  <c r="H922" i="16"/>
  <c r="G923" i="16"/>
  <c r="L923" i="16"/>
  <c r="K923" i="16"/>
  <c r="M923" i="16"/>
  <c r="N923" i="16"/>
  <c r="Q922" i="16"/>
  <c r="P922" i="16"/>
  <c r="O922" i="16"/>
  <c r="R922" i="16"/>
  <c r="H901" i="16"/>
  <c r="J901" i="16"/>
  <c r="I901" i="16"/>
  <c r="G901" i="16"/>
  <c r="K860" i="16"/>
  <c r="M860" i="16"/>
  <c r="L860" i="16"/>
  <c r="AA860" i="16"/>
  <c r="N860" i="16"/>
  <c r="G839" i="16"/>
  <c r="H839" i="16"/>
  <c r="I839" i="16"/>
  <c r="J839" i="16"/>
  <c r="AA903" i="16"/>
  <c r="L903" i="16"/>
  <c r="K903" i="16"/>
  <c r="M903" i="16"/>
  <c r="N903" i="16"/>
  <c r="O901" i="16"/>
  <c r="R901" i="16"/>
  <c r="P901" i="16"/>
  <c r="Q901" i="16"/>
  <c r="I818" i="16"/>
  <c r="H818" i="16"/>
  <c r="G818" i="16"/>
  <c r="J818" i="16"/>
  <c r="M861" i="16"/>
  <c r="L861" i="16"/>
  <c r="K861" i="16"/>
  <c r="AA861" i="16"/>
  <c r="N861" i="16"/>
  <c r="AA881" i="16"/>
  <c r="N881" i="16"/>
  <c r="M881" i="16"/>
  <c r="L881" i="16"/>
  <c r="K881" i="16"/>
  <c r="M902" i="16"/>
  <c r="L902" i="16"/>
  <c r="K902" i="16"/>
  <c r="AA902" i="16"/>
  <c r="N902" i="16"/>
  <c r="Q880" i="16"/>
  <c r="R880" i="16"/>
  <c r="P880" i="16"/>
  <c r="O880" i="16"/>
  <c r="R840" i="16"/>
  <c r="P840" i="16"/>
  <c r="Q840" i="16"/>
  <c r="O840" i="16"/>
  <c r="Q839" i="16"/>
  <c r="R839" i="16"/>
  <c r="O839" i="16"/>
  <c r="P839" i="16"/>
  <c r="I819" i="16"/>
  <c r="H819" i="16"/>
  <c r="G819" i="16"/>
  <c r="J819" i="16"/>
  <c r="AA882" i="16"/>
  <c r="N882" i="16"/>
  <c r="L882" i="16"/>
  <c r="K882" i="16"/>
  <c r="M882" i="16"/>
  <c r="H859" i="16"/>
  <c r="G859" i="16"/>
  <c r="I859" i="16"/>
  <c r="J859" i="16"/>
  <c r="R818" i="16"/>
  <c r="O818" i="16"/>
  <c r="P818" i="16"/>
  <c r="Q818" i="16"/>
  <c r="G880" i="16"/>
  <c r="I880" i="16"/>
  <c r="H880" i="16"/>
  <c r="J880" i="16"/>
  <c r="J840" i="16"/>
  <c r="H840" i="16"/>
  <c r="G840" i="16"/>
  <c r="I840" i="16"/>
  <c r="P859" i="16"/>
  <c r="R859" i="16"/>
  <c r="Q859" i="16"/>
  <c r="O859" i="16"/>
  <c r="P819" i="16"/>
  <c r="R819" i="16"/>
  <c r="O819" i="16"/>
  <c r="Q819" i="16"/>
  <c r="J191" i="11"/>
  <c r="M191" i="11" s="1"/>
  <c r="V68" i="2"/>
  <c r="J215" i="11" s="1"/>
  <c r="M215" i="11" s="1"/>
  <c r="J185" i="11"/>
  <c r="M185" i="11" s="1"/>
  <c r="G394" i="11"/>
  <c r="L394" i="11" s="1"/>
  <c r="K179" i="11"/>
  <c r="N179" i="11" s="1"/>
  <c r="V93" i="2"/>
  <c r="J219" i="11"/>
  <c r="M219" i="11" s="1"/>
  <c r="W100" i="2"/>
  <c r="K226" i="11"/>
  <c r="N226" i="11" s="1"/>
  <c r="W89" i="2"/>
  <c r="K215" i="11"/>
  <c r="N215" i="11" s="1"/>
  <c r="W92" i="2"/>
  <c r="K218" i="11"/>
  <c r="N218" i="11" s="1"/>
  <c r="U106" i="2"/>
  <c r="I232" i="11"/>
  <c r="L232" i="11" s="1"/>
  <c r="W87" i="2"/>
  <c r="K213" i="11"/>
  <c r="N213" i="11" s="1"/>
  <c r="U97" i="2"/>
  <c r="I223" i="11"/>
  <c r="L223" i="11" s="1"/>
  <c r="U89" i="2"/>
  <c r="I215" i="11"/>
  <c r="L215" i="11" s="1"/>
  <c r="V91" i="2"/>
  <c r="J217" i="11"/>
  <c r="M217" i="11" s="1"/>
  <c r="U102" i="2"/>
  <c r="I228" i="11"/>
  <c r="L228" i="11" s="1"/>
  <c r="U95" i="2"/>
  <c r="I221" i="11"/>
  <c r="L221" i="11" s="1"/>
  <c r="W107" i="2"/>
  <c r="K233" i="11"/>
  <c r="N233" i="11" s="1"/>
  <c r="U87" i="2"/>
  <c r="I213" i="11"/>
  <c r="L213" i="11" s="1"/>
  <c r="W105" i="2"/>
  <c r="K231" i="11"/>
  <c r="N231" i="11" s="1"/>
  <c r="U88" i="2"/>
  <c r="I214" i="11"/>
  <c r="L214" i="11" s="1"/>
  <c r="W104" i="2"/>
  <c r="K230" i="11"/>
  <c r="N230" i="11" s="1"/>
  <c r="V94" i="2"/>
  <c r="J220" i="11"/>
  <c r="M220" i="11" s="1"/>
  <c r="U107" i="2"/>
  <c r="I233" i="11"/>
  <c r="L233" i="11" s="1"/>
  <c r="W91" i="2"/>
  <c r="K217" i="11"/>
  <c r="N217" i="11" s="1"/>
  <c r="U104" i="2"/>
  <c r="I230" i="11"/>
  <c r="L230" i="11" s="1"/>
  <c r="U98" i="2"/>
  <c r="I224" i="11"/>
  <c r="L224" i="11" s="1"/>
  <c r="W94" i="2"/>
  <c r="K220" i="11"/>
  <c r="N220" i="11" s="1"/>
  <c r="V106" i="2"/>
  <c r="J232" i="11"/>
  <c r="M232" i="11" s="1"/>
  <c r="W98" i="2"/>
  <c r="K224" i="11"/>
  <c r="N224" i="11" s="1"/>
  <c r="W97" i="2"/>
  <c r="K223" i="11"/>
  <c r="N223" i="11" s="1"/>
  <c r="W90" i="2"/>
  <c r="K216" i="11"/>
  <c r="N216" i="11" s="1"/>
  <c r="V98" i="2"/>
  <c r="J224" i="11"/>
  <c r="M224" i="11" s="1"/>
  <c r="U99" i="2"/>
  <c r="I225" i="11"/>
  <c r="L225" i="11" s="1"/>
  <c r="U92" i="2"/>
  <c r="I218" i="11"/>
  <c r="L218" i="11" s="1"/>
  <c r="U105" i="2"/>
  <c r="I231" i="11"/>
  <c r="L231" i="11" s="1"/>
  <c r="V99" i="2"/>
  <c r="J225" i="11"/>
  <c r="M225" i="11" s="1"/>
  <c r="W96" i="2"/>
  <c r="K222" i="11"/>
  <c r="N222" i="11" s="1"/>
  <c r="W99" i="2"/>
  <c r="K225" i="11"/>
  <c r="N225" i="11" s="1"/>
  <c r="U93" i="2"/>
  <c r="I219" i="11"/>
  <c r="L219" i="11" s="1"/>
  <c r="U90" i="2"/>
  <c r="I216" i="11"/>
  <c r="L216" i="11" s="1"/>
  <c r="W102" i="2"/>
  <c r="K228" i="11"/>
  <c r="N228" i="11" s="1"/>
  <c r="V104" i="2"/>
  <c r="J230" i="11"/>
  <c r="M230" i="11" s="1"/>
  <c r="U94" i="2"/>
  <c r="I220" i="11"/>
  <c r="L220" i="11" s="1"/>
  <c r="W93" i="2"/>
  <c r="K219" i="11"/>
  <c r="N219" i="11" s="1"/>
  <c r="U103" i="2"/>
  <c r="I229" i="11"/>
  <c r="L229" i="11" s="1"/>
  <c r="V97" i="2"/>
  <c r="J223" i="11"/>
  <c r="M223" i="11" s="1"/>
  <c r="V96" i="2"/>
  <c r="J222" i="11"/>
  <c r="M222" i="11" s="1"/>
  <c r="W106" i="2"/>
  <c r="K232" i="11"/>
  <c r="N232" i="11" s="1"/>
  <c r="V103" i="2"/>
  <c r="J229" i="11"/>
  <c r="M229" i="11" s="1"/>
  <c r="V95" i="2"/>
  <c r="J221" i="11"/>
  <c r="M221" i="11" s="1"/>
  <c r="V87" i="2"/>
  <c r="J213" i="11"/>
  <c r="M213" i="11" s="1"/>
  <c r="W95" i="2"/>
  <c r="K221" i="11"/>
  <c r="N221" i="11" s="1"/>
  <c r="V102" i="2"/>
  <c r="J228" i="11"/>
  <c r="M228" i="11" s="1"/>
  <c r="W103" i="2"/>
  <c r="K229" i="11"/>
  <c r="N229" i="11" s="1"/>
  <c r="V90" i="2"/>
  <c r="J216" i="11"/>
  <c r="M216" i="11" s="1"/>
  <c r="V107" i="2"/>
  <c r="J233" i="11"/>
  <c r="M233" i="11" s="1"/>
  <c r="V88" i="2"/>
  <c r="J214" i="11"/>
  <c r="M214" i="11" s="1"/>
  <c r="W101" i="2"/>
  <c r="K227" i="11"/>
  <c r="N227" i="11" s="1"/>
  <c r="U100" i="2"/>
  <c r="I226" i="11"/>
  <c r="L226" i="11" s="1"/>
  <c r="V100" i="2"/>
  <c r="J226" i="11"/>
  <c r="M226" i="11" s="1"/>
  <c r="W88" i="2"/>
  <c r="K214" i="11"/>
  <c r="N214" i="11" s="1"/>
  <c r="V92" i="2"/>
  <c r="J218" i="11"/>
  <c r="M218" i="11" s="1"/>
  <c r="T112" i="9"/>
  <c r="G406" i="11" s="1"/>
  <c r="N406" i="11" s="1"/>
  <c r="V105" i="2"/>
  <c r="J231" i="11"/>
  <c r="M231" i="11" s="1"/>
  <c r="U96" i="2"/>
  <c r="I222" i="11"/>
  <c r="L222" i="11" s="1"/>
  <c r="U101" i="2"/>
  <c r="I227" i="11"/>
  <c r="L227" i="11" s="1"/>
  <c r="V89" i="2"/>
  <c r="U91" i="2"/>
  <c r="I217" i="11"/>
  <c r="L217" i="11" s="1"/>
  <c r="V101" i="2"/>
  <c r="J227" i="11"/>
  <c r="M227" i="11" s="1"/>
  <c r="N412" i="11"/>
  <c r="M412" i="11"/>
  <c r="T57" i="9"/>
  <c r="G393" i="11" s="1"/>
  <c r="L124" i="16"/>
  <c r="M124" i="16"/>
  <c r="N124" i="16"/>
  <c r="K124" i="16"/>
  <c r="R123" i="16"/>
  <c r="O123" i="16"/>
  <c r="Q123" i="16"/>
  <c r="P123" i="16"/>
  <c r="E125" i="16"/>
  <c r="AP125" i="16" s="1"/>
  <c r="N459" i="11"/>
  <c r="M459" i="11"/>
  <c r="L459" i="11"/>
  <c r="L502" i="11"/>
  <c r="M502" i="11"/>
  <c r="N502" i="11"/>
  <c r="N399" i="11"/>
  <c r="M399" i="11"/>
  <c r="T62" i="9"/>
  <c r="G398" i="11" s="1"/>
  <c r="L398" i="11" s="1"/>
  <c r="N368" i="11"/>
  <c r="L368" i="11"/>
  <c r="M368" i="11"/>
  <c r="P395" i="11"/>
  <c r="S395" i="11"/>
  <c r="Q395" i="11"/>
  <c r="O395" i="11"/>
  <c r="L372" i="11"/>
  <c r="M372" i="11"/>
  <c r="N372" i="11"/>
  <c r="Q374" i="11"/>
  <c r="S374" i="11"/>
  <c r="O374" i="11"/>
  <c r="P374" i="11"/>
  <c r="Q358" i="11"/>
  <c r="P358" i="11"/>
  <c r="O358" i="11"/>
  <c r="S358" i="11"/>
  <c r="L415" i="11"/>
  <c r="M415" i="11"/>
  <c r="N415" i="11"/>
  <c r="M411" i="11"/>
  <c r="N411" i="11"/>
  <c r="L411" i="11"/>
  <c r="O419" i="11"/>
  <c r="P419" i="11"/>
  <c r="S419" i="11"/>
  <c r="Q419" i="11"/>
  <c r="S421" i="11"/>
  <c r="P421" i="11"/>
  <c r="Q421" i="11"/>
  <c r="O421" i="11"/>
  <c r="L414" i="11"/>
  <c r="M414" i="11"/>
  <c r="N414" i="11"/>
  <c r="N410" i="11"/>
  <c r="L410" i="11"/>
  <c r="M410" i="11"/>
  <c r="S379" i="11"/>
  <c r="P379" i="11"/>
  <c r="Q379" i="11"/>
  <c r="O379" i="11"/>
  <c r="Q377" i="11"/>
  <c r="S377" i="11"/>
  <c r="O377" i="11"/>
  <c r="P377" i="11"/>
  <c r="M413" i="11"/>
  <c r="L413" i="11"/>
  <c r="N413" i="11"/>
  <c r="L369" i="11"/>
  <c r="M369" i="11"/>
  <c r="N369" i="11"/>
  <c r="S378" i="11"/>
  <c r="P378" i="11"/>
  <c r="Q378" i="11"/>
  <c r="O378" i="11"/>
  <c r="P400" i="11"/>
  <c r="Q400" i="11"/>
  <c r="O400" i="11"/>
  <c r="S400" i="11"/>
  <c r="M373" i="11"/>
  <c r="N373" i="11"/>
  <c r="L373" i="11"/>
  <c r="M371" i="11"/>
  <c r="N371" i="11"/>
  <c r="L371" i="11"/>
  <c r="N357" i="11"/>
  <c r="L357" i="11"/>
  <c r="M357" i="11"/>
  <c r="P416" i="11"/>
  <c r="S416" i="11"/>
  <c r="O416" i="11"/>
  <c r="Q416" i="11"/>
  <c r="T26" i="9"/>
  <c r="G341" i="11" s="1"/>
  <c r="G347" i="11"/>
  <c r="N370" i="11"/>
  <c r="L370" i="11"/>
  <c r="M370" i="11"/>
  <c r="P417" i="11"/>
  <c r="Q417" i="11"/>
  <c r="S417" i="11"/>
  <c r="O417" i="11"/>
  <c r="M395" i="11"/>
  <c r="N395" i="11"/>
  <c r="L395" i="11"/>
  <c r="N394" i="11"/>
  <c r="S418" i="11"/>
  <c r="P418" i="11"/>
  <c r="Q418" i="11"/>
  <c r="O418" i="11"/>
  <c r="S375" i="11"/>
  <c r="O375" i="11"/>
  <c r="Q375" i="11"/>
  <c r="P375" i="11"/>
  <c r="O353" i="11"/>
  <c r="P353" i="11"/>
  <c r="S353" i="11"/>
  <c r="Q353" i="11"/>
  <c r="O376" i="11"/>
  <c r="P376" i="11"/>
  <c r="Q376" i="11"/>
  <c r="S376" i="11"/>
  <c r="O420" i="11"/>
  <c r="S420" i="11"/>
  <c r="P420" i="11"/>
  <c r="Q420" i="11"/>
  <c r="N352" i="11"/>
  <c r="L352" i="11"/>
  <c r="M352" i="11"/>
  <c r="T47" i="9"/>
  <c r="G383" i="11" s="1"/>
  <c r="G389" i="11"/>
  <c r="T46" i="9"/>
  <c r="G382" i="11" s="1"/>
  <c r="G388" i="11"/>
  <c r="Z81" i="10"/>
  <c r="E501" i="11" s="1"/>
  <c r="G501" i="11"/>
  <c r="P461" i="11"/>
  <c r="Q461" i="11"/>
  <c r="S461" i="11"/>
  <c r="O461" i="11"/>
  <c r="D40" i="10"/>
  <c r="E460" i="11"/>
  <c r="Q502" i="11"/>
  <c r="S502" i="11"/>
  <c r="O502" i="11"/>
  <c r="P502" i="11"/>
  <c r="J4" i="3"/>
  <c r="AJ4" i="3"/>
  <c r="AM4" i="3" s="1"/>
  <c r="AF780" i="16" s="1"/>
  <c r="J780" i="16" s="1"/>
  <c r="I12" i="3"/>
  <c r="AI12" i="3"/>
  <c r="AL12" i="3" s="1"/>
  <c r="AE788" i="16" s="1"/>
  <c r="I788" i="16" s="1"/>
  <c r="I15" i="3"/>
  <c r="AI15" i="3"/>
  <c r="AL15" i="3" s="1"/>
  <c r="AE791" i="16" s="1"/>
  <c r="I791" i="16" s="1"/>
  <c r="I5" i="3"/>
  <c r="AI5" i="3"/>
  <c r="AL5" i="3" s="1"/>
  <c r="AE781" i="16" s="1"/>
  <c r="I781" i="16" s="1"/>
  <c r="J16" i="3"/>
  <c r="AJ16" i="3"/>
  <c r="AM16" i="3" s="1"/>
  <c r="AF792" i="16" s="1"/>
  <c r="J792" i="16" s="1"/>
  <c r="I3" i="3"/>
  <c r="AI3" i="3"/>
  <c r="AL3" i="3" s="1"/>
  <c r="AE779" i="16" s="1"/>
  <c r="I779" i="16" s="1"/>
  <c r="AI16" i="3"/>
  <c r="AL16" i="3" s="1"/>
  <c r="AE792" i="16" s="1"/>
  <c r="I792" i="16" s="1"/>
  <c r="I23" i="3"/>
  <c r="AI23" i="3"/>
  <c r="AL23" i="3" s="1"/>
  <c r="AE799" i="16" s="1"/>
  <c r="I799" i="16" s="1"/>
  <c r="I11" i="3"/>
  <c r="AI11" i="3"/>
  <c r="AL11" i="3" s="1"/>
  <c r="AE787" i="16" s="1"/>
  <c r="I787" i="16" s="1"/>
  <c r="J12" i="3"/>
  <c r="AJ12" i="3"/>
  <c r="AM12" i="3" s="1"/>
  <c r="AF788" i="16" s="1"/>
  <c r="J788" i="16" s="1"/>
  <c r="J15" i="3"/>
  <c r="AJ15" i="3"/>
  <c r="AM15" i="3" s="1"/>
  <c r="AF791" i="16" s="1"/>
  <c r="J791" i="16" s="1"/>
  <c r="J17" i="3"/>
  <c r="AJ17" i="3"/>
  <c r="AM17" i="3" s="1"/>
  <c r="AF793" i="16" s="1"/>
  <c r="J793" i="16" s="1"/>
  <c r="I10" i="3"/>
  <c r="AI10" i="3"/>
  <c r="AL10" i="3" s="1"/>
  <c r="AE786" i="16" s="1"/>
  <c r="I786" i="16" s="1"/>
  <c r="I13" i="3"/>
  <c r="AI13" i="3"/>
  <c r="AL13" i="3" s="1"/>
  <c r="AE789" i="16" s="1"/>
  <c r="I789" i="16" s="1"/>
  <c r="I19" i="3"/>
  <c r="AI19" i="3"/>
  <c r="AL19" i="3" s="1"/>
  <c r="AE795" i="16" s="1"/>
  <c r="I795" i="16" s="1"/>
  <c r="AI20" i="3"/>
  <c r="AL20" i="3" s="1"/>
  <c r="AE796" i="16" s="1"/>
  <c r="I796" i="16" s="1"/>
  <c r="J18" i="3"/>
  <c r="AJ18" i="3"/>
  <c r="AM18" i="3" s="1"/>
  <c r="AF794" i="16" s="1"/>
  <c r="J794" i="16" s="1"/>
  <c r="J21" i="3"/>
  <c r="AJ21" i="3"/>
  <c r="AM21" i="3" s="1"/>
  <c r="AF797" i="16" s="1"/>
  <c r="J797" i="16" s="1"/>
  <c r="I8" i="3"/>
  <c r="AI8" i="3"/>
  <c r="AL8" i="3" s="1"/>
  <c r="AE784" i="16" s="1"/>
  <c r="I784" i="16" s="1"/>
  <c r="J5" i="3"/>
  <c r="AJ5" i="3"/>
  <c r="AM5" i="3" s="1"/>
  <c r="AF781" i="16" s="1"/>
  <c r="J781" i="16" s="1"/>
  <c r="I6" i="3"/>
  <c r="AI6" i="3"/>
  <c r="AL6" i="3" s="1"/>
  <c r="AE782" i="16" s="1"/>
  <c r="I782" i="16" s="1"/>
  <c r="I9" i="3"/>
  <c r="AI9" i="3"/>
  <c r="AL9" i="3" s="1"/>
  <c r="AE785" i="16" s="1"/>
  <c r="I785" i="16" s="1"/>
  <c r="J7" i="3"/>
  <c r="AJ7" i="3"/>
  <c r="AM7" i="3" s="1"/>
  <c r="AF783" i="16" s="1"/>
  <c r="J783" i="16" s="1"/>
  <c r="J10" i="3"/>
  <c r="AJ10" i="3"/>
  <c r="AM10" i="3" s="1"/>
  <c r="AF786" i="16" s="1"/>
  <c r="J786" i="16" s="1"/>
  <c r="I14" i="3"/>
  <c r="AI14" i="3"/>
  <c r="AL14" i="3" s="1"/>
  <c r="AE790" i="16" s="1"/>
  <c r="I790" i="16" s="1"/>
  <c r="J9" i="3"/>
  <c r="AJ9" i="3"/>
  <c r="AM9" i="3" s="1"/>
  <c r="AF785" i="16" s="1"/>
  <c r="J785" i="16" s="1"/>
  <c r="I22" i="3"/>
  <c r="AI22" i="3"/>
  <c r="AL22" i="3" s="1"/>
  <c r="AE798" i="16" s="1"/>
  <c r="I798" i="16" s="1"/>
  <c r="J11" i="3"/>
  <c r="AJ11" i="3"/>
  <c r="AM11" i="3" s="1"/>
  <c r="AF787" i="16" s="1"/>
  <c r="J787" i="16" s="1"/>
  <c r="I17" i="3"/>
  <c r="AI17" i="3"/>
  <c r="AL17" i="3" s="1"/>
  <c r="AE793" i="16" s="1"/>
  <c r="I793" i="16" s="1"/>
  <c r="I18" i="3"/>
  <c r="AI18" i="3"/>
  <c r="AL18" i="3" s="1"/>
  <c r="AE794" i="16" s="1"/>
  <c r="I794" i="16" s="1"/>
  <c r="AJ19" i="3"/>
  <c r="AM19" i="3" s="1"/>
  <c r="AF795" i="16" s="1"/>
  <c r="J795" i="16" s="1"/>
  <c r="J22" i="3"/>
  <c r="AJ22" i="3"/>
  <c r="AM22" i="3" s="1"/>
  <c r="AF798" i="16" s="1"/>
  <c r="J798" i="16" s="1"/>
  <c r="J6" i="3"/>
  <c r="AJ6" i="3"/>
  <c r="AM6" i="3" s="1"/>
  <c r="AF782" i="16" s="1"/>
  <c r="J782" i="16" s="1"/>
  <c r="J20" i="3"/>
  <c r="AJ20" i="3"/>
  <c r="AM20" i="3" s="1"/>
  <c r="AF796" i="16" s="1"/>
  <c r="J796" i="16" s="1"/>
  <c r="I4" i="3"/>
  <c r="AI4" i="3"/>
  <c r="AL4" i="3" s="1"/>
  <c r="AE780" i="16" s="1"/>
  <c r="I780" i="16" s="1"/>
  <c r="I7" i="3"/>
  <c r="AI7" i="3"/>
  <c r="AL7" i="3" s="1"/>
  <c r="AE783" i="16" s="1"/>
  <c r="I783" i="16" s="1"/>
  <c r="J13" i="3"/>
  <c r="AJ13" i="3"/>
  <c r="AM13" i="3" s="1"/>
  <c r="AF789" i="16" s="1"/>
  <c r="J789" i="16" s="1"/>
  <c r="J23" i="3"/>
  <c r="AJ23" i="3"/>
  <c r="AM23" i="3" s="1"/>
  <c r="AF799" i="16" s="1"/>
  <c r="J799" i="16" s="1"/>
  <c r="J8" i="3"/>
  <c r="AJ8" i="3"/>
  <c r="AM8" i="3" s="1"/>
  <c r="AF784" i="16" s="1"/>
  <c r="J784" i="16" s="1"/>
  <c r="C39" i="10"/>
  <c r="Z60" i="10"/>
  <c r="X79" i="10"/>
  <c r="Y80" i="10"/>
  <c r="X59" i="10"/>
  <c r="Y59" i="10" s="1"/>
  <c r="G458" i="11" s="1"/>
  <c r="T110" i="9"/>
  <c r="G404" i="11" s="1"/>
  <c r="T115" i="9"/>
  <c r="G409" i="11" s="1"/>
  <c r="T114" i="9"/>
  <c r="G408" i="11" s="1"/>
  <c r="T111" i="9"/>
  <c r="T113" i="9"/>
  <c r="G407" i="11" s="1"/>
  <c r="T92" i="9"/>
  <c r="U98" i="9"/>
  <c r="E371" i="11" s="1"/>
  <c r="D43" i="9"/>
  <c r="D22" i="9"/>
  <c r="U116" i="9"/>
  <c r="E410" i="11" s="1"/>
  <c r="U117" i="9"/>
  <c r="E411" i="11" s="1"/>
  <c r="T90" i="9"/>
  <c r="U96" i="9"/>
  <c r="E369" i="11" s="1"/>
  <c r="U100" i="9"/>
  <c r="E373" i="11" s="1"/>
  <c r="T94" i="9"/>
  <c r="G367" i="11" s="1"/>
  <c r="U63" i="9"/>
  <c r="E399" i="11" s="1"/>
  <c r="T93" i="9"/>
  <c r="G366" i="11" s="1"/>
  <c r="U99" i="9"/>
  <c r="E372" i="11" s="1"/>
  <c r="T41" i="9"/>
  <c r="G356" i="11" s="1"/>
  <c r="T36" i="9"/>
  <c r="G351" i="11" s="1"/>
  <c r="C21" i="9"/>
  <c r="AG21" i="9"/>
  <c r="C42" i="9"/>
  <c r="U42" i="9"/>
  <c r="E357" i="11" s="1"/>
  <c r="U97" i="9"/>
  <c r="E370" i="11" s="1"/>
  <c r="T91" i="9"/>
  <c r="U119" i="9"/>
  <c r="E413" i="11" s="1"/>
  <c r="T89" i="9"/>
  <c r="U95" i="9"/>
  <c r="E368" i="11" s="1"/>
  <c r="U121" i="9"/>
  <c r="E415" i="11" s="1"/>
  <c r="U112" i="9"/>
  <c r="E406" i="11" s="1"/>
  <c r="U118" i="9"/>
  <c r="E412" i="11" s="1"/>
  <c r="U120" i="9"/>
  <c r="E414" i="11" s="1"/>
  <c r="U37" i="9"/>
  <c r="E352" i="11" s="1"/>
  <c r="T31" i="9"/>
  <c r="D17" i="9"/>
  <c r="D38" i="9"/>
  <c r="AG16" i="9"/>
  <c r="U58" i="9"/>
  <c r="E394" i="11" s="1"/>
  <c r="C37" i="9"/>
  <c r="C16" i="9"/>
  <c r="V125" i="16" l="1"/>
  <c r="S125" i="16"/>
  <c r="T125" i="16"/>
  <c r="U125" i="16"/>
  <c r="V861" i="16"/>
  <c r="S861" i="16"/>
  <c r="T861" i="16"/>
  <c r="U861" i="16"/>
  <c r="V883" i="16"/>
  <c r="S883" i="16"/>
  <c r="T883" i="16"/>
  <c r="U883" i="16"/>
  <c r="S882" i="16"/>
  <c r="V882" i="16"/>
  <c r="T882" i="16"/>
  <c r="U882" i="16"/>
  <c r="S904" i="16"/>
  <c r="T904" i="16"/>
  <c r="U904" i="16"/>
  <c r="V904" i="16"/>
  <c r="V903" i="16"/>
  <c r="U903" i="16"/>
  <c r="S903" i="16"/>
  <c r="T903" i="16"/>
  <c r="S862" i="16"/>
  <c r="T862" i="16"/>
  <c r="U862" i="16"/>
  <c r="V862" i="16"/>
  <c r="M394" i="11"/>
  <c r="AQ903" i="16"/>
  <c r="W903" i="16" s="1"/>
  <c r="AR903" i="16"/>
  <c r="X903" i="16" s="1"/>
  <c r="AQ862" i="16"/>
  <c r="W862" i="16" s="1"/>
  <c r="AR862" i="16"/>
  <c r="X862" i="16" s="1"/>
  <c r="AQ861" i="16"/>
  <c r="W861" i="16" s="1"/>
  <c r="AR861" i="16"/>
  <c r="X861" i="16" s="1"/>
  <c r="AQ883" i="16"/>
  <c r="W883" i="16" s="1"/>
  <c r="AR883" i="16"/>
  <c r="X883" i="16" s="1"/>
  <c r="AQ882" i="16"/>
  <c r="W882" i="16" s="1"/>
  <c r="AR882" i="16"/>
  <c r="X882" i="16" s="1"/>
  <c r="AQ904" i="16"/>
  <c r="W904" i="16" s="1"/>
  <c r="AR904" i="16"/>
  <c r="X904" i="16" s="1"/>
  <c r="AQ125" i="16"/>
  <c r="W125" i="16" s="1"/>
  <c r="AR125" i="16"/>
  <c r="X125" i="16" s="1"/>
  <c r="J124" i="16"/>
  <c r="I124" i="16"/>
  <c r="G124" i="16"/>
  <c r="AA125" i="16"/>
  <c r="G125" i="16" s="1"/>
  <c r="AJ14" i="3"/>
  <c r="AM14" i="3" s="1"/>
  <c r="AF790" i="16" s="1"/>
  <c r="J790" i="16" s="1"/>
  <c r="AI21" i="3"/>
  <c r="AL21" i="3" s="1"/>
  <c r="AE797" i="16" s="1"/>
  <c r="I797" i="16" s="1"/>
  <c r="T51" i="9"/>
  <c r="AJ3" i="3"/>
  <c r="AM3" i="3" s="1"/>
  <c r="AF779" i="16" s="1"/>
  <c r="J779" i="16" s="1"/>
  <c r="BH84" i="3" a="1"/>
  <c r="BH84" i="3" s="1"/>
  <c r="H41" i="3" s="1"/>
  <c r="BH77" i="3" a="1"/>
  <c r="BH77" i="3" s="1"/>
  <c r="H34" i="3" s="1"/>
  <c r="BH75" i="3" a="1"/>
  <c r="BH75" i="3" s="1"/>
  <c r="H32" i="3" s="1"/>
  <c r="BH68" i="3" a="1"/>
  <c r="BH68" i="3" s="1"/>
  <c r="H25" i="3" s="1"/>
  <c r="BH81" i="3" a="1"/>
  <c r="BH81" i="3" s="1"/>
  <c r="H38" i="3" s="1"/>
  <c r="BH69" i="3" a="1"/>
  <c r="BH69" i="3" s="1"/>
  <c r="H26" i="3" s="1"/>
  <c r="BH86" i="3" a="1"/>
  <c r="BH86" i="3" s="1"/>
  <c r="H43" i="3" s="1"/>
  <c r="BH72" i="3" a="1"/>
  <c r="BH72" i="3" s="1"/>
  <c r="H29" i="3" s="1"/>
  <c r="BH74" i="3" a="1"/>
  <c r="BH74" i="3" s="1"/>
  <c r="H31" i="3" s="1"/>
  <c r="BH73" i="3" a="1"/>
  <c r="BH73" i="3" s="1"/>
  <c r="H30" i="3" s="1"/>
  <c r="BH80" i="3" a="1"/>
  <c r="BH80" i="3" s="1"/>
  <c r="H37" i="3" s="1"/>
  <c r="BH83" i="3" a="1"/>
  <c r="BH83" i="3" s="1"/>
  <c r="H40" i="3" s="1"/>
  <c r="BH79" i="3" a="1"/>
  <c r="BH79" i="3" s="1"/>
  <c r="H36" i="3" s="1"/>
  <c r="BH71" i="3" a="1"/>
  <c r="BH71" i="3" s="1"/>
  <c r="H28" i="3" s="1"/>
  <c r="BH76" i="3" a="1"/>
  <c r="BH76" i="3" s="1"/>
  <c r="H33" i="3" s="1"/>
  <c r="BH67" i="3" a="1"/>
  <c r="BH67" i="3" s="1"/>
  <c r="H24" i="3" s="1"/>
  <c r="BH70" i="3" a="1"/>
  <c r="BH70" i="3" s="1"/>
  <c r="H27" i="3" s="1"/>
  <c r="BH87" i="3" a="1"/>
  <c r="BH87" i="3" s="1"/>
  <c r="H44" i="3" s="1"/>
  <c r="BH85" i="3" a="1"/>
  <c r="BH85" i="3" s="1"/>
  <c r="H42" i="3" s="1"/>
  <c r="BH82" i="3" a="1"/>
  <c r="BH82" i="3" s="1"/>
  <c r="H39" i="3" s="1"/>
  <c r="BH78" i="3" a="1"/>
  <c r="BH78" i="3" s="1"/>
  <c r="H35" i="3" s="1"/>
  <c r="BH17" i="3" a="1"/>
  <c r="BH17" i="3" s="1"/>
  <c r="BH11" i="3" a="1"/>
  <c r="BH11" i="3" s="1"/>
  <c r="BH20" i="3" a="1"/>
  <c r="BH20" i="3" s="1"/>
  <c r="BH9" i="3" a="1"/>
  <c r="BH9" i="3" s="1"/>
  <c r="BH12" i="3" a="1"/>
  <c r="BH12" i="3" s="1"/>
  <c r="BH22" i="3" a="1"/>
  <c r="BH22" i="3" s="1"/>
  <c r="BH16" i="3" a="1"/>
  <c r="BH16" i="3" s="1"/>
  <c r="BH10" i="3" a="1"/>
  <c r="BH10" i="3" s="1"/>
  <c r="BH6" i="3" a="1"/>
  <c r="BH6" i="3" s="1"/>
  <c r="BH14" i="3" a="1"/>
  <c r="BH14" i="3" s="1"/>
  <c r="BH21" i="3" a="1"/>
  <c r="BH21" i="3" s="1"/>
  <c r="BH3" i="3" a="1"/>
  <c r="BH3" i="3" s="1"/>
  <c r="BH13" i="3" a="1"/>
  <c r="BH13" i="3" s="1"/>
  <c r="BH23" i="3" a="1"/>
  <c r="BH23" i="3" s="1"/>
  <c r="BH5" i="3" a="1"/>
  <c r="BH5" i="3" s="1"/>
  <c r="BH4" i="3" a="1"/>
  <c r="BH4" i="3" s="1"/>
  <c r="BH19" i="3" a="1"/>
  <c r="BH19" i="3" s="1"/>
  <c r="BH7" i="3" a="1"/>
  <c r="BH7" i="3" s="1"/>
  <c r="BH8" i="3" a="1"/>
  <c r="BH8" i="3" s="1"/>
  <c r="BH18" i="3" a="1"/>
  <c r="BH18" i="3" s="1"/>
  <c r="BH15" i="3" a="1"/>
  <c r="BH15" i="3" s="1"/>
  <c r="R923" i="16"/>
  <c r="Q923" i="16"/>
  <c r="P923" i="16"/>
  <c r="O923" i="16"/>
  <c r="I923" i="16"/>
  <c r="J923" i="16"/>
  <c r="H923" i="16"/>
  <c r="O924" i="16"/>
  <c r="R924" i="16"/>
  <c r="Q924" i="16"/>
  <c r="P924" i="16"/>
  <c r="J924" i="16"/>
  <c r="I924" i="16"/>
  <c r="H924" i="16"/>
  <c r="Q881" i="16"/>
  <c r="P881" i="16"/>
  <c r="O881" i="16"/>
  <c r="R881" i="16"/>
  <c r="P882" i="16"/>
  <c r="O882" i="16"/>
  <c r="R882" i="16"/>
  <c r="Q882" i="16"/>
  <c r="I902" i="16"/>
  <c r="H902" i="16"/>
  <c r="G902" i="16"/>
  <c r="J902" i="16"/>
  <c r="R902" i="16"/>
  <c r="P902" i="16"/>
  <c r="O902" i="16"/>
  <c r="Q902" i="16"/>
  <c r="O903" i="16"/>
  <c r="Q903" i="16"/>
  <c r="P903" i="16"/>
  <c r="R903" i="16"/>
  <c r="Q860" i="16"/>
  <c r="O860" i="16"/>
  <c r="R860" i="16"/>
  <c r="P860" i="16"/>
  <c r="G861" i="16"/>
  <c r="H861" i="16"/>
  <c r="J861" i="16"/>
  <c r="I861" i="16"/>
  <c r="J881" i="16"/>
  <c r="G881" i="16"/>
  <c r="H881" i="16"/>
  <c r="I881" i="16"/>
  <c r="R861" i="16"/>
  <c r="Q861" i="16"/>
  <c r="P861" i="16"/>
  <c r="O861" i="16"/>
  <c r="H882" i="16"/>
  <c r="J882" i="16"/>
  <c r="I882" i="16"/>
  <c r="G882" i="16"/>
  <c r="J903" i="16"/>
  <c r="H903" i="16"/>
  <c r="G903" i="16"/>
  <c r="I903" i="16"/>
  <c r="I860" i="16"/>
  <c r="J860" i="16"/>
  <c r="H860" i="16"/>
  <c r="G860" i="16"/>
  <c r="T61" i="9"/>
  <c r="G397" i="11" s="1"/>
  <c r="M406" i="11"/>
  <c r="L406" i="11"/>
  <c r="AF537" i="16"/>
  <c r="J537" i="16" s="1"/>
  <c r="AF285" i="16"/>
  <c r="J285" i="16" s="1"/>
  <c r="AF538" i="16"/>
  <c r="J538" i="16" s="1"/>
  <c r="AF286" i="16"/>
  <c r="J286" i="16" s="1"/>
  <c r="AF546" i="16"/>
  <c r="J546" i="16" s="1"/>
  <c r="AF294" i="16"/>
  <c r="J294" i="16" s="1"/>
  <c r="AI30" i="3"/>
  <c r="AL30" i="3" s="1"/>
  <c r="AI31" i="3"/>
  <c r="AL31" i="3" s="1"/>
  <c r="AI37" i="3"/>
  <c r="AL37" i="3" s="1"/>
  <c r="AI26" i="3"/>
  <c r="AL26" i="3" s="1"/>
  <c r="AI33" i="3"/>
  <c r="AL33" i="3" s="1"/>
  <c r="AF532" i="16"/>
  <c r="J532" i="16" s="1"/>
  <c r="AF280" i="16"/>
  <c r="J280" i="16" s="1"/>
  <c r="AI28" i="3"/>
  <c r="AL28" i="3" s="1"/>
  <c r="AF543" i="16"/>
  <c r="J543" i="16" s="1"/>
  <c r="AF291" i="16"/>
  <c r="J291" i="16" s="1"/>
  <c r="AF535" i="16"/>
  <c r="J535" i="16" s="1"/>
  <c r="AF283" i="16"/>
  <c r="J283" i="16" s="1"/>
  <c r="AI35" i="3"/>
  <c r="AL35" i="3" s="1"/>
  <c r="AF529" i="16"/>
  <c r="J529" i="16" s="1"/>
  <c r="AF277" i="16"/>
  <c r="J277" i="16" s="1"/>
  <c r="AF542" i="16"/>
  <c r="J542" i="16" s="1"/>
  <c r="AF290" i="16"/>
  <c r="J290" i="16" s="1"/>
  <c r="AI40" i="3"/>
  <c r="AL40" i="3" s="1"/>
  <c r="AF541" i="16"/>
  <c r="J541" i="16" s="1"/>
  <c r="AF289" i="16"/>
  <c r="J289" i="16" s="1"/>
  <c r="AF539" i="16"/>
  <c r="J539" i="16" s="1"/>
  <c r="AF287" i="16"/>
  <c r="J287" i="16" s="1"/>
  <c r="AI32" i="3"/>
  <c r="AL32" i="3" s="1"/>
  <c r="AF547" i="16"/>
  <c r="J547" i="16" s="1"/>
  <c r="AF295" i="16"/>
  <c r="J295" i="16" s="1"/>
  <c r="AI25" i="3"/>
  <c r="AL25" i="3" s="1"/>
  <c r="AF292" i="16"/>
  <c r="J292" i="16" s="1"/>
  <c r="AF544" i="16"/>
  <c r="J544" i="16" s="1"/>
  <c r="AI39" i="3"/>
  <c r="AL39" i="3" s="1"/>
  <c r="AI43" i="3"/>
  <c r="AL43" i="3" s="1"/>
  <c r="AF534" i="16"/>
  <c r="J534" i="16" s="1"/>
  <c r="AF282" i="16"/>
  <c r="J282" i="16" s="1"/>
  <c r="AI29" i="3"/>
  <c r="AL29" i="3" s="1"/>
  <c r="AI41" i="3"/>
  <c r="AL41" i="3" s="1"/>
  <c r="AI34" i="3"/>
  <c r="AL34" i="3" s="1"/>
  <c r="AF536" i="16"/>
  <c r="J536" i="16" s="1"/>
  <c r="AF284" i="16"/>
  <c r="J284" i="16" s="1"/>
  <c r="AF527" i="16"/>
  <c r="J527" i="16" s="1"/>
  <c r="AF275" i="16"/>
  <c r="J275" i="16" s="1"/>
  <c r="AI24" i="3"/>
  <c r="AL24" i="3" s="1"/>
  <c r="AF278" i="16"/>
  <c r="J278" i="16" s="1"/>
  <c r="AF530" i="16"/>
  <c r="J530" i="16" s="1"/>
  <c r="AI38" i="3"/>
  <c r="AL38" i="3" s="1"/>
  <c r="AF533" i="16"/>
  <c r="J533" i="16" s="1"/>
  <c r="AF281" i="16"/>
  <c r="J281" i="16" s="1"/>
  <c r="AF531" i="16"/>
  <c r="J531" i="16" s="1"/>
  <c r="AF279" i="16"/>
  <c r="J279" i="16" s="1"/>
  <c r="AI27" i="3"/>
  <c r="AL27" i="3" s="1"/>
  <c r="AF293" i="16"/>
  <c r="J293" i="16" s="1"/>
  <c r="AF545" i="16"/>
  <c r="J545" i="16" s="1"/>
  <c r="AI42" i="3"/>
  <c r="AL42" i="3" s="1"/>
  <c r="AI44" i="3"/>
  <c r="AL44" i="3" s="1"/>
  <c r="AF540" i="16"/>
  <c r="J540" i="16" s="1"/>
  <c r="AF288" i="16"/>
  <c r="J288" i="16" s="1"/>
  <c r="AI36" i="3"/>
  <c r="AL36" i="3" s="1"/>
  <c r="AF528" i="16"/>
  <c r="J528" i="16" s="1"/>
  <c r="AF276" i="16"/>
  <c r="J276" i="16" s="1"/>
  <c r="U110" i="2"/>
  <c r="I257" i="11"/>
  <c r="L257" i="11" s="1"/>
  <c r="W109" i="2"/>
  <c r="K256" i="11"/>
  <c r="N256" i="11" s="1"/>
  <c r="V109" i="2"/>
  <c r="J256" i="11"/>
  <c r="M256" i="11" s="1"/>
  <c r="V123" i="2"/>
  <c r="J270" i="11"/>
  <c r="M270" i="11" s="1"/>
  <c r="V124" i="2"/>
  <c r="J271" i="11"/>
  <c r="M271" i="11" s="1"/>
  <c r="U124" i="2"/>
  <c r="I271" i="11"/>
  <c r="L271" i="11" s="1"/>
  <c r="W123" i="2"/>
  <c r="K270" i="11"/>
  <c r="N270" i="11" s="1"/>
  <c r="W117" i="2"/>
  <c r="K264" i="11"/>
  <c r="N264" i="11" s="1"/>
  <c r="U120" i="2"/>
  <c r="I267" i="11"/>
  <c r="L267" i="11" s="1"/>
  <c r="W119" i="2"/>
  <c r="K266" i="11"/>
  <c r="N266" i="11" s="1"/>
  <c r="U125" i="2"/>
  <c r="I272" i="11"/>
  <c r="L272" i="11" s="1"/>
  <c r="W125" i="2"/>
  <c r="K272" i="11"/>
  <c r="N272" i="11" s="1"/>
  <c r="W128" i="2"/>
  <c r="K275" i="11"/>
  <c r="N275" i="11" s="1"/>
  <c r="W113" i="2"/>
  <c r="K260" i="11"/>
  <c r="N260" i="11" s="1"/>
  <c r="V122" i="2"/>
  <c r="J269" i="11"/>
  <c r="M269" i="11" s="1"/>
  <c r="U117" i="2"/>
  <c r="I264" i="11"/>
  <c r="L264" i="11" s="1"/>
  <c r="V121" i="2"/>
  <c r="J268" i="11"/>
  <c r="M268" i="11" s="1"/>
  <c r="V128" i="2"/>
  <c r="J275" i="11"/>
  <c r="M275" i="11" s="1"/>
  <c r="W116" i="2"/>
  <c r="K263" i="11"/>
  <c r="N263" i="11" s="1"/>
  <c r="W127" i="2"/>
  <c r="K274" i="11"/>
  <c r="N274" i="11" s="1"/>
  <c r="W114" i="2"/>
  <c r="K261" i="11"/>
  <c r="N261" i="11" s="1"/>
  <c r="U111" i="2"/>
  <c r="I258" i="11"/>
  <c r="L258" i="11" s="1"/>
  <c r="V120" i="2"/>
  <c r="J267" i="11"/>
  <c r="M267" i="11" s="1"/>
  <c r="V119" i="2"/>
  <c r="J266" i="11"/>
  <c r="M266" i="11" s="1"/>
  <c r="V127" i="2"/>
  <c r="J274" i="11"/>
  <c r="M274" i="11" s="1"/>
  <c r="W112" i="2"/>
  <c r="K259" i="11"/>
  <c r="N259" i="11" s="1"/>
  <c r="U109" i="2"/>
  <c r="I256" i="11"/>
  <c r="L256" i="11" s="1"/>
  <c r="U116" i="2"/>
  <c r="I263" i="11"/>
  <c r="L263" i="11" s="1"/>
  <c r="U118" i="2"/>
  <c r="I265" i="11"/>
  <c r="L265" i="11" s="1"/>
  <c r="W110" i="2"/>
  <c r="K257" i="11"/>
  <c r="N257" i="11" s="1"/>
  <c r="U122" i="2"/>
  <c r="I269" i="11"/>
  <c r="L269" i="11" s="1"/>
  <c r="U121" i="2"/>
  <c r="I268" i="11"/>
  <c r="L268" i="11" s="1"/>
  <c r="V111" i="2"/>
  <c r="J258" i="11"/>
  <c r="M258" i="11" s="1"/>
  <c r="V108" i="2"/>
  <c r="J255" i="11"/>
  <c r="M255" i="11" s="1"/>
  <c r="V117" i="2"/>
  <c r="J264" i="11"/>
  <c r="M264" i="11" s="1"/>
  <c r="U115" i="2"/>
  <c r="I262" i="11"/>
  <c r="L262" i="11" s="1"/>
  <c r="U114" i="2"/>
  <c r="I261" i="11"/>
  <c r="L261" i="11" s="1"/>
  <c r="U126" i="2"/>
  <c r="I273" i="11"/>
  <c r="L273" i="11" s="1"/>
  <c r="W111" i="2"/>
  <c r="K258" i="11"/>
  <c r="N258" i="11" s="1"/>
  <c r="W115" i="2"/>
  <c r="K262" i="11"/>
  <c r="N262" i="11" s="1"/>
  <c r="U128" i="2"/>
  <c r="I275" i="11"/>
  <c r="L275" i="11" s="1"/>
  <c r="W126" i="2"/>
  <c r="K273" i="11"/>
  <c r="N273" i="11" s="1"/>
  <c r="U123" i="2"/>
  <c r="I270" i="11"/>
  <c r="L270" i="11" s="1"/>
  <c r="W108" i="2"/>
  <c r="K255" i="11"/>
  <c r="N255" i="11" s="1"/>
  <c r="W121" i="2"/>
  <c r="K268" i="11"/>
  <c r="N268" i="11" s="1"/>
  <c r="U112" i="2"/>
  <c r="I259" i="11"/>
  <c r="L259" i="11" s="1"/>
  <c r="V110" i="2"/>
  <c r="J257" i="11"/>
  <c r="M257" i="11" s="1"/>
  <c r="V126" i="2"/>
  <c r="J273" i="11"/>
  <c r="M273" i="11" s="1"/>
  <c r="V113" i="2"/>
  <c r="J260" i="11"/>
  <c r="M260" i="11" s="1"/>
  <c r="W122" i="2"/>
  <c r="K269" i="11"/>
  <c r="N269" i="11" s="1"/>
  <c r="W124" i="2"/>
  <c r="K271" i="11"/>
  <c r="N271" i="11" s="1"/>
  <c r="V116" i="2"/>
  <c r="J263" i="11"/>
  <c r="M263" i="11" s="1"/>
  <c r="V118" i="2"/>
  <c r="J265" i="11"/>
  <c r="M265" i="11" s="1"/>
  <c r="V125" i="2"/>
  <c r="J272" i="11"/>
  <c r="M272" i="11" s="1"/>
  <c r="W120" i="2"/>
  <c r="K267" i="11"/>
  <c r="N267" i="11" s="1"/>
  <c r="U113" i="2"/>
  <c r="I260" i="11"/>
  <c r="L260" i="11" s="1"/>
  <c r="W118" i="2"/>
  <c r="K265" i="11"/>
  <c r="N265" i="11" s="1"/>
  <c r="U119" i="2"/>
  <c r="I266" i="11"/>
  <c r="L266" i="11" s="1"/>
  <c r="V115" i="2"/>
  <c r="J262" i="11"/>
  <c r="M262" i="11" s="1"/>
  <c r="U108" i="2"/>
  <c r="I255" i="11"/>
  <c r="L255" i="11" s="1"/>
  <c r="V112" i="2"/>
  <c r="J259" i="11"/>
  <c r="M259" i="11" s="1"/>
  <c r="U127" i="2"/>
  <c r="I274" i="11"/>
  <c r="L274" i="11" s="1"/>
  <c r="V114" i="2"/>
  <c r="J261" i="11"/>
  <c r="M261" i="11" s="1"/>
  <c r="U113" i="9"/>
  <c r="E407" i="11" s="1"/>
  <c r="P407" i="11" s="1"/>
  <c r="Q124" i="16"/>
  <c r="R124" i="16"/>
  <c r="O124" i="16"/>
  <c r="P124" i="16"/>
  <c r="M125" i="16"/>
  <c r="L125" i="16"/>
  <c r="N125" i="16"/>
  <c r="K125" i="16"/>
  <c r="E127" i="16"/>
  <c r="E126" i="16"/>
  <c r="AP126" i="16" s="1"/>
  <c r="N398" i="11"/>
  <c r="M398" i="11"/>
  <c r="N501" i="11"/>
  <c r="M501" i="11"/>
  <c r="L501" i="11"/>
  <c r="M458" i="11"/>
  <c r="L458" i="11"/>
  <c r="N458" i="11"/>
  <c r="T56" i="9"/>
  <c r="T50" i="9" s="1"/>
  <c r="G386" i="11" s="1"/>
  <c r="U91" i="9"/>
  <c r="E364" i="11" s="1"/>
  <c r="G364" i="11"/>
  <c r="T45" i="9"/>
  <c r="G381" i="11" s="1"/>
  <c r="G387" i="11"/>
  <c r="L366" i="11"/>
  <c r="M366" i="11"/>
  <c r="N366" i="11"/>
  <c r="T25" i="9"/>
  <c r="G340" i="11" s="1"/>
  <c r="G346" i="11"/>
  <c r="S413" i="11"/>
  <c r="O413" i="11"/>
  <c r="P413" i="11"/>
  <c r="Q413" i="11"/>
  <c r="L351" i="11"/>
  <c r="M351" i="11"/>
  <c r="N351" i="11"/>
  <c r="U90" i="9"/>
  <c r="E363" i="11" s="1"/>
  <c r="G363" i="11"/>
  <c r="U111" i="9"/>
  <c r="E405" i="11" s="1"/>
  <c r="G405" i="11"/>
  <c r="L383" i="11"/>
  <c r="M383" i="11"/>
  <c r="N383" i="11"/>
  <c r="P414" i="11"/>
  <c r="Q414" i="11"/>
  <c r="O414" i="11"/>
  <c r="S414" i="11"/>
  <c r="L404" i="11"/>
  <c r="M404" i="11"/>
  <c r="N404" i="11"/>
  <c r="P352" i="11"/>
  <c r="O352" i="11"/>
  <c r="Q352" i="11"/>
  <c r="S352" i="11"/>
  <c r="L356" i="11"/>
  <c r="M356" i="11"/>
  <c r="N356" i="11"/>
  <c r="S411" i="11"/>
  <c r="P411" i="11"/>
  <c r="Q411" i="11"/>
  <c r="O411" i="11"/>
  <c r="N408" i="11"/>
  <c r="M408" i="11"/>
  <c r="L408" i="11"/>
  <c r="L393" i="11"/>
  <c r="M393" i="11"/>
  <c r="N393" i="11"/>
  <c r="O372" i="11"/>
  <c r="P372" i="11"/>
  <c r="S372" i="11"/>
  <c r="Q372" i="11"/>
  <c r="M341" i="11"/>
  <c r="L341" i="11"/>
  <c r="N341" i="11"/>
  <c r="S394" i="11"/>
  <c r="Q394" i="11"/>
  <c r="O394" i="11"/>
  <c r="P394" i="11"/>
  <c r="S406" i="11"/>
  <c r="P406" i="11"/>
  <c r="Q406" i="11"/>
  <c r="O406" i="11"/>
  <c r="Q357" i="11"/>
  <c r="S357" i="11"/>
  <c r="P357" i="11"/>
  <c r="O357" i="11"/>
  <c r="O399" i="11"/>
  <c r="S399" i="11"/>
  <c r="Q399" i="11"/>
  <c r="P399" i="11"/>
  <c r="M347" i="11"/>
  <c r="N347" i="11"/>
  <c r="L347" i="11"/>
  <c r="S412" i="11"/>
  <c r="P412" i="11"/>
  <c r="Q412" i="11"/>
  <c r="O412" i="11"/>
  <c r="P415" i="11"/>
  <c r="S415" i="11"/>
  <c r="Q415" i="11"/>
  <c r="O415" i="11"/>
  <c r="L367" i="11"/>
  <c r="M367" i="11"/>
  <c r="N367" i="11"/>
  <c r="P371" i="11"/>
  <c r="S371" i="11"/>
  <c r="O371" i="11"/>
  <c r="Q371" i="11"/>
  <c r="M397" i="11"/>
  <c r="N397" i="11"/>
  <c r="L397" i="11"/>
  <c r="L388" i="11"/>
  <c r="M388" i="11"/>
  <c r="N388" i="11"/>
  <c r="L409" i="11"/>
  <c r="M409" i="11"/>
  <c r="N409" i="11"/>
  <c r="S368" i="11"/>
  <c r="O368" i="11"/>
  <c r="P368" i="11"/>
  <c r="Q368" i="11"/>
  <c r="Q373" i="11"/>
  <c r="P373" i="11"/>
  <c r="O373" i="11"/>
  <c r="S373" i="11"/>
  <c r="U92" i="9"/>
  <c r="E365" i="11" s="1"/>
  <c r="G365" i="11"/>
  <c r="L382" i="11"/>
  <c r="M382" i="11"/>
  <c r="N382" i="11"/>
  <c r="S410" i="11"/>
  <c r="Q410" i="11"/>
  <c r="O410" i="11"/>
  <c r="P410" i="11"/>
  <c r="S370" i="11"/>
  <c r="P370" i="11"/>
  <c r="Q370" i="11"/>
  <c r="O370" i="11"/>
  <c r="U89" i="9"/>
  <c r="E362" i="11" s="1"/>
  <c r="G362" i="11"/>
  <c r="Q369" i="11"/>
  <c r="O369" i="11"/>
  <c r="P369" i="11"/>
  <c r="S369" i="11"/>
  <c r="L407" i="11"/>
  <c r="M407" i="11"/>
  <c r="N407" i="11"/>
  <c r="N389" i="11"/>
  <c r="L389" i="11"/>
  <c r="M389" i="11"/>
  <c r="D39" i="10"/>
  <c r="E459" i="11"/>
  <c r="S460" i="11"/>
  <c r="P460" i="11"/>
  <c r="Q460" i="11"/>
  <c r="O460" i="11"/>
  <c r="Z80" i="10"/>
  <c r="E500" i="11" s="1"/>
  <c r="G500" i="11"/>
  <c r="Q501" i="11"/>
  <c r="S501" i="11"/>
  <c r="P501" i="11"/>
  <c r="O501" i="11"/>
  <c r="AJ34" i="3"/>
  <c r="AM34" i="3" s="1"/>
  <c r="AJ35" i="3"/>
  <c r="AM35" i="3" s="1"/>
  <c r="AJ43" i="3"/>
  <c r="AM43" i="3" s="1"/>
  <c r="AJ29" i="3"/>
  <c r="AM29" i="3" s="1"/>
  <c r="AJ40" i="3"/>
  <c r="AM40" i="3" s="1"/>
  <c r="AJ32" i="3"/>
  <c r="AM32" i="3" s="1"/>
  <c r="AJ26" i="3"/>
  <c r="AM26" i="3" s="1"/>
  <c r="AJ39" i="3"/>
  <c r="AM39" i="3" s="1"/>
  <c r="AJ38" i="3"/>
  <c r="AM38" i="3" s="1"/>
  <c r="AJ36" i="3"/>
  <c r="AM36" i="3" s="1"/>
  <c r="AJ44" i="3"/>
  <c r="AM44" i="3" s="1"/>
  <c r="AJ41" i="3"/>
  <c r="AM41" i="3" s="1"/>
  <c r="AJ31" i="3"/>
  <c r="AM31" i="3" s="1"/>
  <c r="AJ33" i="3"/>
  <c r="AM33" i="3" s="1"/>
  <c r="AJ24" i="3"/>
  <c r="AM24" i="3" s="1"/>
  <c r="AJ27" i="3"/>
  <c r="AM27" i="3" s="1"/>
  <c r="AJ30" i="3"/>
  <c r="AM30" i="3" s="1"/>
  <c r="AJ28" i="3"/>
  <c r="AM28" i="3" s="1"/>
  <c r="AJ42" i="3"/>
  <c r="AM42" i="3" s="1"/>
  <c r="AJ37" i="3"/>
  <c r="AM37" i="3" s="1"/>
  <c r="AJ25" i="3"/>
  <c r="AM25" i="3" s="1"/>
  <c r="Z59" i="10"/>
  <c r="C38" i="10"/>
  <c r="X78" i="10"/>
  <c r="Y79" i="10"/>
  <c r="X58" i="10"/>
  <c r="Y58" i="10" s="1"/>
  <c r="G457" i="11" s="1"/>
  <c r="U110" i="9"/>
  <c r="E404" i="11" s="1"/>
  <c r="T55" i="9"/>
  <c r="T60" i="9"/>
  <c r="T108" i="9"/>
  <c r="T109" i="9"/>
  <c r="G403" i="11" s="1"/>
  <c r="U115" i="9"/>
  <c r="E409" i="11" s="1"/>
  <c r="D21" i="9"/>
  <c r="D42" i="9"/>
  <c r="U62" i="9"/>
  <c r="E398" i="11" s="1"/>
  <c r="T88" i="9"/>
  <c r="U94" i="9"/>
  <c r="E367" i="11" s="1"/>
  <c r="T30" i="9"/>
  <c r="U36" i="9"/>
  <c r="E351" i="11" s="1"/>
  <c r="T87" i="9"/>
  <c r="G360" i="11" s="1"/>
  <c r="U93" i="9"/>
  <c r="E366" i="11" s="1"/>
  <c r="U114" i="9"/>
  <c r="E408" i="11" s="1"/>
  <c r="T35" i="9"/>
  <c r="G350" i="11" s="1"/>
  <c r="T40" i="9"/>
  <c r="G355" i="11" s="1"/>
  <c r="C41" i="9"/>
  <c r="AG20" i="9"/>
  <c r="U41" i="9"/>
  <c r="E356" i="11" s="1"/>
  <c r="C20" i="9"/>
  <c r="U32" i="9"/>
  <c r="E347" i="11" s="1"/>
  <c r="D37" i="9"/>
  <c r="D16" i="9"/>
  <c r="C15" i="9"/>
  <c r="AG15" i="9"/>
  <c r="C36" i="9"/>
  <c r="U57" i="9"/>
  <c r="E393" i="11" s="1"/>
  <c r="S126" i="16" l="1"/>
  <c r="T126" i="16"/>
  <c r="U126" i="16"/>
  <c r="V126" i="16"/>
  <c r="AQ126" i="16"/>
  <c r="W126" i="16" s="1"/>
  <c r="AR126" i="16"/>
  <c r="X126" i="16" s="1"/>
  <c r="I125" i="16"/>
  <c r="J125" i="16"/>
  <c r="H125" i="16"/>
  <c r="AP127" i="16"/>
  <c r="AA126" i="16"/>
  <c r="G126" i="16" s="1"/>
  <c r="AA127" i="16"/>
  <c r="G127" i="16" s="1"/>
  <c r="H14" i="3"/>
  <c r="AH14" i="3"/>
  <c r="AH35" i="3" s="1"/>
  <c r="AH56" i="3" s="1"/>
  <c r="AH77" i="3" s="1"/>
  <c r="AH98" i="3" s="1"/>
  <c r="AH119" i="3" s="1"/>
  <c r="AH140" i="3" s="1"/>
  <c r="AH161" i="3" s="1"/>
  <c r="AH182" i="3" s="1"/>
  <c r="AH203" i="3" s="1"/>
  <c r="H11" i="3"/>
  <c r="AH11" i="3"/>
  <c r="AH32" i="3" s="1"/>
  <c r="AH53" i="3" s="1"/>
  <c r="AH74" i="3" s="1"/>
  <c r="AH95" i="3" s="1"/>
  <c r="AH116" i="3" s="1"/>
  <c r="AH137" i="3" s="1"/>
  <c r="AH158" i="3" s="1"/>
  <c r="AH179" i="3" s="1"/>
  <c r="AH200" i="3" s="1"/>
  <c r="H19" i="3"/>
  <c r="AH19" i="3"/>
  <c r="AH40" i="3" s="1"/>
  <c r="AH61" i="3" s="1"/>
  <c r="AH82" i="3" s="1"/>
  <c r="AH103" i="3" s="1"/>
  <c r="AH124" i="3" s="1"/>
  <c r="AH145" i="3" s="1"/>
  <c r="AH166" i="3" s="1"/>
  <c r="AH187" i="3" s="1"/>
  <c r="AH208" i="3" s="1"/>
  <c r="H6" i="3"/>
  <c r="AH6" i="3"/>
  <c r="AH27" i="3" s="1"/>
  <c r="AH48" i="3" s="1"/>
  <c r="AH69" i="3" s="1"/>
  <c r="AH90" i="3" s="1"/>
  <c r="AH111" i="3" s="1"/>
  <c r="AH132" i="3" s="1"/>
  <c r="AH153" i="3" s="1"/>
  <c r="AH174" i="3" s="1"/>
  <c r="AH195" i="3" s="1"/>
  <c r="AH17" i="3"/>
  <c r="AH38" i="3" s="1"/>
  <c r="AH59" i="3" s="1"/>
  <c r="AH80" i="3" s="1"/>
  <c r="AH101" i="3" s="1"/>
  <c r="AH122" i="3" s="1"/>
  <c r="AH143" i="3" s="1"/>
  <c r="AH164" i="3" s="1"/>
  <c r="AH185" i="3" s="1"/>
  <c r="AH206" i="3" s="1"/>
  <c r="H17" i="3"/>
  <c r="H7" i="3"/>
  <c r="AH7" i="3"/>
  <c r="AH28" i="3" s="1"/>
  <c r="AH49" i="3" s="1"/>
  <c r="AH70" i="3" s="1"/>
  <c r="AH91" i="3" s="1"/>
  <c r="AH112" i="3" s="1"/>
  <c r="AH133" i="3" s="1"/>
  <c r="AH154" i="3" s="1"/>
  <c r="AH175" i="3" s="1"/>
  <c r="AH196" i="3" s="1"/>
  <c r="H4" i="3"/>
  <c r="AH4" i="3"/>
  <c r="AH25" i="3" s="1"/>
  <c r="AH46" i="3" s="1"/>
  <c r="AH67" i="3" s="1"/>
  <c r="AH88" i="3" s="1"/>
  <c r="AH109" i="3" s="1"/>
  <c r="AH130" i="3" s="1"/>
  <c r="AH151" i="3" s="1"/>
  <c r="AH172" i="3" s="1"/>
  <c r="AH193" i="3" s="1"/>
  <c r="H10" i="3"/>
  <c r="AH10" i="3"/>
  <c r="AH31" i="3" s="1"/>
  <c r="AH52" i="3" s="1"/>
  <c r="AH73" i="3" s="1"/>
  <c r="AH94" i="3" s="1"/>
  <c r="AH115" i="3" s="1"/>
  <c r="AH136" i="3" s="1"/>
  <c r="AH157" i="3" s="1"/>
  <c r="AH178" i="3" s="1"/>
  <c r="AH199" i="3" s="1"/>
  <c r="H5" i="3"/>
  <c r="AH5" i="3"/>
  <c r="AH26" i="3" s="1"/>
  <c r="AH47" i="3" s="1"/>
  <c r="AH68" i="3" s="1"/>
  <c r="AH89" i="3" s="1"/>
  <c r="AH110" i="3" s="1"/>
  <c r="AH131" i="3" s="1"/>
  <c r="AH152" i="3" s="1"/>
  <c r="AH173" i="3" s="1"/>
  <c r="AH194" i="3" s="1"/>
  <c r="H16" i="3"/>
  <c r="AH16" i="3"/>
  <c r="AH37" i="3" s="1"/>
  <c r="AH58" i="3" s="1"/>
  <c r="AH79" i="3" s="1"/>
  <c r="AH100" i="3" s="1"/>
  <c r="AH121" i="3" s="1"/>
  <c r="AH142" i="3" s="1"/>
  <c r="AH163" i="3" s="1"/>
  <c r="AH184" i="3" s="1"/>
  <c r="AH205" i="3" s="1"/>
  <c r="H23" i="3"/>
  <c r="AH23" i="3"/>
  <c r="AH44" i="3" s="1"/>
  <c r="AH65" i="3" s="1"/>
  <c r="AH86" i="3" s="1"/>
  <c r="AH107" i="3" s="1"/>
  <c r="AH128" i="3" s="1"/>
  <c r="AH149" i="3" s="1"/>
  <c r="AH170" i="3" s="1"/>
  <c r="AH191" i="3" s="1"/>
  <c r="AH212" i="3" s="1"/>
  <c r="H22" i="3"/>
  <c r="AH22" i="3"/>
  <c r="AH43" i="3" s="1"/>
  <c r="AH64" i="3" s="1"/>
  <c r="AH85" i="3" s="1"/>
  <c r="AH106" i="3" s="1"/>
  <c r="AH127" i="3" s="1"/>
  <c r="AH148" i="3" s="1"/>
  <c r="AH169" i="3" s="1"/>
  <c r="AH190" i="3" s="1"/>
  <c r="AH211" i="3" s="1"/>
  <c r="H15" i="3"/>
  <c r="AH15" i="3"/>
  <c r="AH36" i="3" s="1"/>
  <c r="AH57" i="3" s="1"/>
  <c r="AH78" i="3" s="1"/>
  <c r="AH99" i="3" s="1"/>
  <c r="AH120" i="3" s="1"/>
  <c r="AH141" i="3" s="1"/>
  <c r="AH162" i="3" s="1"/>
  <c r="AH183" i="3" s="1"/>
  <c r="AH204" i="3" s="1"/>
  <c r="AH13" i="3"/>
  <c r="AH34" i="3" s="1"/>
  <c r="AH55" i="3" s="1"/>
  <c r="AH76" i="3" s="1"/>
  <c r="AH97" i="3" s="1"/>
  <c r="AH118" i="3" s="1"/>
  <c r="AH139" i="3" s="1"/>
  <c r="AH160" i="3" s="1"/>
  <c r="AH181" i="3" s="1"/>
  <c r="AH202" i="3" s="1"/>
  <c r="H13" i="3"/>
  <c r="H12" i="3"/>
  <c r="AH12" i="3"/>
  <c r="AH33" i="3" s="1"/>
  <c r="AH54" i="3" s="1"/>
  <c r="AH75" i="3" s="1"/>
  <c r="AH96" i="3" s="1"/>
  <c r="AH117" i="3" s="1"/>
  <c r="AH138" i="3" s="1"/>
  <c r="AH159" i="3" s="1"/>
  <c r="AH180" i="3" s="1"/>
  <c r="AH201" i="3" s="1"/>
  <c r="AH18" i="3"/>
  <c r="AH39" i="3" s="1"/>
  <c r="AH60" i="3" s="1"/>
  <c r="AH81" i="3" s="1"/>
  <c r="AH102" i="3" s="1"/>
  <c r="AH123" i="3" s="1"/>
  <c r="AH144" i="3" s="1"/>
  <c r="AH165" i="3" s="1"/>
  <c r="AH186" i="3" s="1"/>
  <c r="AH207" i="3" s="1"/>
  <c r="H18" i="3"/>
  <c r="AH3" i="3"/>
  <c r="AH24" i="3" s="1"/>
  <c r="AH45" i="3" s="1"/>
  <c r="AH66" i="3" s="1"/>
  <c r="AH87" i="3" s="1"/>
  <c r="AH108" i="3" s="1"/>
  <c r="AH129" i="3" s="1"/>
  <c r="AH150" i="3" s="1"/>
  <c r="AH171" i="3" s="1"/>
  <c r="AH192" i="3" s="1"/>
  <c r="H3" i="3"/>
  <c r="H9" i="3"/>
  <c r="AH9" i="3"/>
  <c r="AH30" i="3" s="1"/>
  <c r="AH51" i="3" s="1"/>
  <c r="AH72" i="3" s="1"/>
  <c r="AH93" i="3" s="1"/>
  <c r="AH114" i="3" s="1"/>
  <c r="AH135" i="3" s="1"/>
  <c r="AH156" i="3" s="1"/>
  <c r="AH177" i="3" s="1"/>
  <c r="AH198" i="3" s="1"/>
  <c r="H8" i="3"/>
  <c r="AH8" i="3"/>
  <c r="AH29" i="3" s="1"/>
  <c r="AH50" i="3" s="1"/>
  <c r="AH71" i="3" s="1"/>
  <c r="AH92" i="3" s="1"/>
  <c r="AH113" i="3" s="1"/>
  <c r="AH134" i="3" s="1"/>
  <c r="AH155" i="3" s="1"/>
  <c r="AH176" i="3" s="1"/>
  <c r="AH197" i="3" s="1"/>
  <c r="AH21" i="3"/>
  <c r="AH42" i="3" s="1"/>
  <c r="AH63" i="3" s="1"/>
  <c r="AH84" i="3" s="1"/>
  <c r="AH105" i="3" s="1"/>
  <c r="AH126" i="3" s="1"/>
  <c r="AH147" i="3" s="1"/>
  <c r="AH168" i="3" s="1"/>
  <c r="AH189" i="3" s="1"/>
  <c r="AH210" i="3" s="1"/>
  <c r="H21" i="3"/>
  <c r="H20" i="3"/>
  <c r="AH20" i="3"/>
  <c r="AH41" i="3" s="1"/>
  <c r="AH62" i="3" s="1"/>
  <c r="AH83" i="3" s="1"/>
  <c r="AH104" i="3" s="1"/>
  <c r="AH125" i="3" s="1"/>
  <c r="AH146" i="3" s="1"/>
  <c r="AH167" i="3" s="1"/>
  <c r="AH188" i="3" s="1"/>
  <c r="AH209" i="3" s="1"/>
  <c r="AK6" i="3"/>
  <c r="AD782" i="16" s="1"/>
  <c r="H782" i="16" s="1"/>
  <c r="AE530" i="16"/>
  <c r="I530" i="16" s="1"/>
  <c r="AE278" i="16"/>
  <c r="I278" i="16" s="1"/>
  <c r="AK13" i="3"/>
  <c r="AD789" i="16" s="1"/>
  <c r="H789" i="16" s="1"/>
  <c r="AE537" i="16"/>
  <c r="I537" i="16" s="1"/>
  <c r="AE285" i="16"/>
  <c r="I285" i="16" s="1"/>
  <c r="AE294" i="16"/>
  <c r="I294" i="16" s="1"/>
  <c r="AK22" i="3"/>
  <c r="AD798" i="16" s="1"/>
  <c r="H798" i="16" s="1"/>
  <c r="AE546" i="16"/>
  <c r="I546" i="16" s="1"/>
  <c r="AK19" i="3"/>
  <c r="AD795" i="16" s="1"/>
  <c r="H795" i="16" s="1"/>
  <c r="AE543" i="16"/>
  <c r="I543" i="16" s="1"/>
  <c r="AE291" i="16"/>
  <c r="I291" i="16" s="1"/>
  <c r="AK12" i="3"/>
  <c r="AD788" i="16" s="1"/>
  <c r="H788" i="16" s="1"/>
  <c r="AE536" i="16"/>
  <c r="I536" i="16" s="1"/>
  <c r="AE284" i="16"/>
  <c r="I284" i="16" s="1"/>
  <c r="AK9" i="3"/>
  <c r="AD785" i="16" s="1"/>
  <c r="H785" i="16" s="1"/>
  <c r="AE533" i="16"/>
  <c r="I533" i="16" s="1"/>
  <c r="AE281" i="16"/>
  <c r="I281" i="16" s="1"/>
  <c r="AI48" i="3"/>
  <c r="AK27" i="3"/>
  <c r="AI55" i="3"/>
  <c r="AK34" i="3"/>
  <c r="AI64" i="3"/>
  <c r="AK43" i="3"/>
  <c r="AI61" i="3"/>
  <c r="AK40" i="3"/>
  <c r="AI54" i="3"/>
  <c r="AK33" i="3"/>
  <c r="AI51" i="3"/>
  <c r="AK30" i="3"/>
  <c r="AK23" i="3"/>
  <c r="AD799" i="16" s="1"/>
  <c r="H799" i="16" s="1"/>
  <c r="AE295" i="16"/>
  <c r="I295" i="16" s="1"/>
  <c r="AE547" i="16"/>
  <c r="I547" i="16" s="1"/>
  <c r="AK3" i="3"/>
  <c r="AD779" i="16" s="1"/>
  <c r="H779" i="16" s="1"/>
  <c r="AE527" i="16"/>
  <c r="I527" i="16" s="1"/>
  <c r="AE275" i="16"/>
  <c r="I275" i="16" s="1"/>
  <c r="AK20" i="3"/>
  <c r="AD796" i="16" s="1"/>
  <c r="H796" i="16" s="1"/>
  <c r="AE292" i="16"/>
  <c r="I292" i="16" s="1"/>
  <c r="AE544" i="16"/>
  <c r="I544" i="16" s="1"/>
  <c r="AK18" i="3"/>
  <c r="AD794" i="16" s="1"/>
  <c r="H794" i="16" s="1"/>
  <c r="AE542" i="16"/>
  <c r="I542" i="16" s="1"/>
  <c r="AE290" i="16"/>
  <c r="I290" i="16" s="1"/>
  <c r="AK11" i="3"/>
  <c r="AD787" i="16" s="1"/>
  <c r="H787" i="16" s="1"/>
  <c r="AE535" i="16"/>
  <c r="I535" i="16" s="1"/>
  <c r="AE283" i="16"/>
  <c r="I283" i="16" s="1"/>
  <c r="AK5" i="3"/>
  <c r="AD781" i="16" s="1"/>
  <c r="H781" i="16" s="1"/>
  <c r="AE529" i="16"/>
  <c r="I529" i="16" s="1"/>
  <c r="AE277" i="16"/>
  <c r="I277" i="16" s="1"/>
  <c r="AI65" i="3"/>
  <c r="AK44" i="3"/>
  <c r="AI45" i="3"/>
  <c r="AK24" i="3"/>
  <c r="AI62" i="3"/>
  <c r="AK41" i="3"/>
  <c r="AI60" i="3"/>
  <c r="AK39" i="3"/>
  <c r="AI53" i="3"/>
  <c r="AK32" i="3"/>
  <c r="AI47" i="3"/>
  <c r="AK26" i="3"/>
  <c r="AK21" i="3"/>
  <c r="AD797" i="16" s="1"/>
  <c r="H797" i="16" s="1"/>
  <c r="AE293" i="16"/>
  <c r="I293" i="16" s="1"/>
  <c r="AE545" i="16"/>
  <c r="I545" i="16" s="1"/>
  <c r="AK8" i="3"/>
  <c r="AD784" i="16" s="1"/>
  <c r="H784" i="16" s="1"/>
  <c r="AE532" i="16"/>
  <c r="I532" i="16" s="1"/>
  <c r="AE280" i="16"/>
  <c r="I280" i="16" s="1"/>
  <c r="AK7" i="3"/>
  <c r="AD783" i="16" s="1"/>
  <c r="H783" i="16" s="1"/>
  <c r="AE279" i="16"/>
  <c r="I279" i="16" s="1"/>
  <c r="AE531" i="16"/>
  <c r="I531" i="16" s="1"/>
  <c r="AK16" i="3"/>
  <c r="AD792" i="16" s="1"/>
  <c r="H792" i="16" s="1"/>
  <c r="AE540" i="16"/>
  <c r="I540" i="16" s="1"/>
  <c r="AE288" i="16"/>
  <c r="I288" i="16" s="1"/>
  <c r="AI63" i="3"/>
  <c r="AK42" i="3"/>
  <c r="AI50" i="3"/>
  <c r="AK29" i="3"/>
  <c r="AI49" i="3"/>
  <c r="AK28" i="3"/>
  <c r="AI58" i="3"/>
  <c r="AK37" i="3"/>
  <c r="AK15" i="3"/>
  <c r="AD791" i="16" s="1"/>
  <c r="H791" i="16" s="1"/>
  <c r="AE539" i="16"/>
  <c r="I539" i="16" s="1"/>
  <c r="AE287" i="16"/>
  <c r="I287" i="16" s="1"/>
  <c r="AK17" i="3"/>
  <c r="AD793" i="16" s="1"/>
  <c r="H793" i="16" s="1"/>
  <c r="AE541" i="16"/>
  <c r="I541" i="16" s="1"/>
  <c r="AE289" i="16"/>
  <c r="I289" i="16" s="1"/>
  <c r="AK4" i="3"/>
  <c r="AD780" i="16" s="1"/>
  <c r="H780" i="16" s="1"/>
  <c r="AE528" i="16"/>
  <c r="I528" i="16" s="1"/>
  <c r="AE276" i="16"/>
  <c r="I276" i="16" s="1"/>
  <c r="AE538" i="16"/>
  <c r="I538" i="16" s="1"/>
  <c r="AE286" i="16"/>
  <c r="I286" i="16" s="1"/>
  <c r="AK14" i="3"/>
  <c r="AD790" i="16" s="1"/>
  <c r="H790" i="16" s="1"/>
  <c r="AK10" i="3"/>
  <c r="AD786" i="16" s="1"/>
  <c r="H786" i="16" s="1"/>
  <c r="AE534" i="16"/>
  <c r="I534" i="16" s="1"/>
  <c r="AE282" i="16"/>
  <c r="I282" i="16" s="1"/>
  <c r="AI57" i="3"/>
  <c r="AK36" i="3"/>
  <c r="AI59" i="3"/>
  <c r="AK38" i="3"/>
  <c r="AI46" i="3"/>
  <c r="AK25" i="3"/>
  <c r="AI56" i="3"/>
  <c r="AK35" i="3"/>
  <c r="AI52" i="3"/>
  <c r="AK31" i="3"/>
  <c r="U129" i="2"/>
  <c r="I318" i="11"/>
  <c r="L318" i="11" s="1"/>
  <c r="U134" i="2"/>
  <c r="I323" i="11"/>
  <c r="L323" i="11" s="1"/>
  <c r="V137" i="2"/>
  <c r="J326" i="11"/>
  <c r="M326" i="11" s="1"/>
  <c r="V147" i="2"/>
  <c r="J336" i="11"/>
  <c r="M336" i="11" s="1"/>
  <c r="W129" i="2"/>
  <c r="K318" i="11"/>
  <c r="N318" i="11" s="1"/>
  <c r="W136" i="2"/>
  <c r="K325" i="11"/>
  <c r="N325" i="11" s="1"/>
  <c r="U136" i="2"/>
  <c r="I325" i="11"/>
  <c r="L325" i="11" s="1"/>
  <c r="U142" i="2"/>
  <c r="I331" i="11"/>
  <c r="L331" i="11" s="1"/>
  <c r="U137" i="2"/>
  <c r="I326" i="11"/>
  <c r="L326" i="11" s="1"/>
  <c r="V140" i="2"/>
  <c r="J329" i="11"/>
  <c r="M329" i="11" s="1"/>
  <c r="W148" i="2"/>
  <c r="K337" i="11"/>
  <c r="N337" i="11" s="1"/>
  <c r="U138" i="2"/>
  <c r="I327" i="11"/>
  <c r="L327" i="11" s="1"/>
  <c r="W146" i="2"/>
  <c r="K335" i="11"/>
  <c r="N335" i="11" s="1"/>
  <c r="W138" i="2"/>
  <c r="K327" i="11"/>
  <c r="N327" i="11" s="1"/>
  <c r="V144" i="2"/>
  <c r="J333" i="11"/>
  <c r="M333" i="11" s="1"/>
  <c r="V135" i="2"/>
  <c r="J324" i="11"/>
  <c r="M324" i="11" s="1"/>
  <c r="V136" i="2"/>
  <c r="J325" i="11"/>
  <c r="M325" i="11" s="1"/>
  <c r="W141" i="2"/>
  <c r="K330" i="11"/>
  <c r="N330" i="11" s="1"/>
  <c r="W145" i="2"/>
  <c r="K334" i="11"/>
  <c r="N334" i="11" s="1"/>
  <c r="V131" i="2"/>
  <c r="J320" i="11"/>
  <c r="M320" i="11" s="1"/>
  <c r="U144" i="2"/>
  <c r="I333" i="11"/>
  <c r="L333" i="11" s="1"/>
  <c r="W132" i="2"/>
  <c r="K321" i="11"/>
  <c r="N321" i="11" s="1"/>
  <c r="V138" i="2"/>
  <c r="J327" i="11"/>
  <c r="M327" i="11" s="1"/>
  <c r="U143" i="2"/>
  <c r="I332" i="11"/>
  <c r="L332" i="11" s="1"/>
  <c r="U130" i="2"/>
  <c r="I319" i="11"/>
  <c r="L319" i="11" s="1"/>
  <c r="V141" i="2"/>
  <c r="J330" i="11"/>
  <c r="M330" i="11" s="1"/>
  <c r="W137" i="2"/>
  <c r="K326" i="11"/>
  <c r="N326" i="11" s="1"/>
  <c r="V143" i="2"/>
  <c r="J332" i="11"/>
  <c r="M332" i="11" s="1"/>
  <c r="U146" i="2"/>
  <c r="I335" i="11"/>
  <c r="L335" i="11" s="1"/>
  <c r="W144" i="2"/>
  <c r="K333" i="11"/>
  <c r="N333" i="11" s="1"/>
  <c r="V130" i="2"/>
  <c r="J319" i="11"/>
  <c r="M319" i="11" s="1"/>
  <c r="Q407" i="11"/>
  <c r="O407" i="11"/>
  <c r="U148" i="2"/>
  <c r="I337" i="11"/>
  <c r="L337" i="11" s="1"/>
  <c r="U140" i="2"/>
  <c r="I329" i="11"/>
  <c r="L329" i="11" s="1"/>
  <c r="V146" i="2"/>
  <c r="J335" i="11"/>
  <c r="M335" i="11" s="1"/>
  <c r="W143" i="2"/>
  <c r="K332" i="11"/>
  <c r="N332" i="11" s="1"/>
  <c r="U133" i="2"/>
  <c r="I322" i="11"/>
  <c r="L322" i="11" s="1"/>
  <c r="W147" i="2"/>
  <c r="K336" i="11"/>
  <c r="N336" i="11" s="1"/>
  <c r="U147" i="2"/>
  <c r="I336" i="11"/>
  <c r="L336" i="11" s="1"/>
  <c r="V129" i="2"/>
  <c r="J318" i="11"/>
  <c r="M318" i="11" s="1"/>
  <c r="W131" i="2"/>
  <c r="K320" i="11"/>
  <c r="N320" i="11" s="1"/>
  <c r="W133" i="2"/>
  <c r="K322" i="11"/>
  <c r="N322" i="11" s="1"/>
  <c r="U132" i="2"/>
  <c r="I321" i="11"/>
  <c r="L321" i="11" s="1"/>
  <c r="V149" i="2"/>
  <c r="J338" i="11"/>
  <c r="M338" i="11" s="1"/>
  <c r="W134" i="2"/>
  <c r="K323" i="11"/>
  <c r="N323" i="11" s="1"/>
  <c r="W140" i="2"/>
  <c r="K329" i="11"/>
  <c r="N329" i="11" s="1"/>
  <c r="U145" i="2"/>
  <c r="I334" i="11"/>
  <c r="L334" i="11" s="1"/>
  <c r="W130" i="2"/>
  <c r="K319" i="11"/>
  <c r="N319" i="11" s="1"/>
  <c r="S407" i="11"/>
  <c r="V133" i="2"/>
  <c r="J322" i="11"/>
  <c r="M322" i="11" s="1"/>
  <c r="W139" i="2"/>
  <c r="K328" i="11"/>
  <c r="N328" i="11" s="1"/>
  <c r="V139" i="2"/>
  <c r="J328" i="11"/>
  <c r="M328" i="11" s="1"/>
  <c r="V134" i="2"/>
  <c r="J323" i="11"/>
  <c r="M323" i="11" s="1"/>
  <c r="W142" i="2"/>
  <c r="K331" i="11"/>
  <c r="N331" i="11" s="1"/>
  <c r="U149" i="2"/>
  <c r="I338" i="11"/>
  <c r="L338" i="11" s="1"/>
  <c r="U135" i="2"/>
  <c r="I324" i="11"/>
  <c r="L324" i="11" s="1"/>
  <c r="V132" i="2"/>
  <c r="J321" i="11"/>
  <c r="M321" i="11" s="1"/>
  <c r="U139" i="2"/>
  <c r="I328" i="11"/>
  <c r="L328" i="11" s="1"/>
  <c r="V148" i="2"/>
  <c r="J337" i="11"/>
  <c r="M337" i="11" s="1"/>
  <c r="W135" i="2"/>
  <c r="K324" i="11"/>
  <c r="N324" i="11" s="1"/>
  <c r="V142" i="2"/>
  <c r="J331" i="11"/>
  <c r="M331" i="11" s="1"/>
  <c r="W149" i="2"/>
  <c r="K338" i="11"/>
  <c r="N338" i="11" s="1"/>
  <c r="U141" i="2"/>
  <c r="I330" i="11"/>
  <c r="L330" i="11" s="1"/>
  <c r="V145" i="2"/>
  <c r="J334" i="11"/>
  <c r="M334" i="11" s="1"/>
  <c r="U131" i="2"/>
  <c r="I320" i="11"/>
  <c r="L320" i="11" s="1"/>
  <c r="G392" i="11"/>
  <c r="M392" i="11" s="1"/>
  <c r="AF27" i="16"/>
  <c r="J27" i="16" s="1"/>
  <c r="K49" i="11"/>
  <c r="N49" i="11" s="1"/>
  <c r="AF32" i="16"/>
  <c r="J32" i="16" s="1"/>
  <c r="K54" i="11"/>
  <c r="N54" i="11" s="1"/>
  <c r="AF35" i="16"/>
  <c r="J35" i="16" s="1"/>
  <c r="K57" i="11"/>
  <c r="N57" i="11" s="1"/>
  <c r="AF31" i="16"/>
  <c r="J31" i="16" s="1"/>
  <c r="K53" i="11"/>
  <c r="N53" i="11" s="1"/>
  <c r="AF34" i="16"/>
  <c r="J34" i="16" s="1"/>
  <c r="K56" i="11"/>
  <c r="N56" i="11" s="1"/>
  <c r="AF24" i="16"/>
  <c r="J24" i="16" s="1"/>
  <c r="K46" i="11"/>
  <c r="N46" i="11" s="1"/>
  <c r="AF29" i="16"/>
  <c r="J29" i="16" s="1"/>
  <c r="K51" i="11"/>
  <c r="N51" i="11" s="1"/>
  <c r="AF30" i="16"/>
  <c r="J30" i="16" s="1"/>
  <c r="K52" i="11"/>
  <c r="N52" i="11" s="1"/>
  <c r="AF33" i="16"/>
  <c r="J33" i="16" s="1"/>
  <c r="K55" i="11"/>
  <c r="N55" i="11" s="1"/>
  <c r="AF36" i="16"/>
  <c r="J36" i="16" s="1"/>
  <c r="K58" i="11"/>
  <c r="N58" i="11" s="1"/>
  <c r="AF26" i="16"/>
  <c r="J26" i="16" s="1"/>
  <c r="K48" i="11"/>
  <c r="N48" i="11" s="1"/>
  <c r="AF40" i="16"/>
  <c r="J40" i="16" s="1"/>
  <c r="K62" i="11"/>
  <c r="N62" i="11" s="1"/>
  <c r="AF38" i="16"/>
  <c r="J38" i="16" s="1"/>
  <c r="K60" i="11"/>
  <c r="N60" i="11" s="1"/>
  <c r="AF28" i="16"/>
  <c r="J28" i="16" s="1"/>
  <c r="K50" i="11"/>
  <c r="N50" i="11" s="1"/>
  <c r="AF39" i="16"/>
  <c r="J39" i="16" s="1"/>
  <c r="K61" i="11"/>
  <c r="N61" i="11" s="1"/>
  <c r="AF37" i="16"/>
  <c r="J37" i="16" s="1"/>
  <c r="K59" i="11"/>
  <c r="N59" i="11" s="1"/>
  <c r="AF41" i="16"/>
  <c r="J41" i="16" s="1"/>
  <c r="K63" i="11"/>
  <c r="N63" i="11" s="1"/>
  <c r="AF23" i="16"/>
  <c r="J23" i="16" s="1"/>
  <c r="K45" i="11"/>
  <c r="N45" i="11" s="1"/>
  <c r="AF43" i="16"/>
  <c r="J43" i="16" s="1"/>
  <c r="K65" i="11"/>
  <c r="N65" i="11" s="1"/>
  <c r="AF25" i="16"/>
  <c r="J25" i="16" s="1"/>
  <c r="K47" i="11"/>
  <c r="N47" i="11" s="1"/>
  <c r="AF42" i="16"/>
  <c r="J42" i="16" s="1"/>
  <c r="K64" i="11"/>
  <c r="N64" i="11" s="1"/>
  <c r="K126" i="16"/>
  <c r="N126" i="16"/>
  <c r="L126" i="16"/>
  <c r="M126" i="16"/>
  <c r="K127" i="16"/>
  <c r="N127" i="16"/>
  <c r="L127" i="16"/>
  <c r="M127" i="16"/>
  <c r="Q125" i="16"/>
  <c r="O125" i="16"/>
  <c r="P125" i="16"/>
  <c r="R125" i="16"/>
  <c r="N500" i="11"/>
  <c r="L500" i="11"/>
  <c r="M500" i="11"/>
  <c r="M457" i="11"/>
  <c r="N457" i="11"/>
  <c r="L457" i="11"/>
  <c r="S356" i="11"/>
  <c r="P356" i="11"/>
  <c r="Q356" i="11"/>
  <c r="O356" i="11"/>
  <c r="O393" i="11"/>
  <c r="P393" i="11"/>
  <c r="S393" i="11"/>
  <c r="Q393" i="11"/>
  <c r="S351" i="11"/>
  <c r="Q351" i="11"/>
  <c r="O351" i="11"/>
  <c r="P351" i="11"/>
  <c r="M403" i="11"/>
  <c r="L403" i="11"/>
  <c r="N403" i="11"/>
  <c r="S365" i="11"/>
  <c r="O365" i="11"/>
  <c r="P365" i="11"/>
  <c r="Q365" i="11"/>
  <c r="L340" i="11"/>
  <c r="M340" i="11"/>
  <c r="N340" i="11"/>
  <c r="T24" i="9"/>
  <c r="G339" i="11" s="1"/>
  <c r="G345" i="11"/>
  <c r="U108" i="9"/>
  <c r="E402" i="11" s="1"/>
  <c r="G402" i="11"/>
  <c r="S367" i="11"/>
  <c r="Q367" i="11"/>
  <c r="P367" i="11"/>
  <c r="O367" i="11"/>
  <c r="T54" i="9"/>
  <c r="G396" i="11"/>
  <c r="N362" i="11"/>
  <c r="L362" i="11"/>
  <c r="M362" i="11"/>
  <c r="M355" i="11"/>
  <c r="N355" i="11"/>
  <c r="L355" i="11"/>
  <c r="U88" i="9"/>
  <c r="E361" i="11" s="1"/>
  <c r="G361" i="11"/>
  <c r="T49" i="9"/>
  <c r="G385" i="11" s="1"/>
  <c r="G391" i="11"/>
  <c r="S362" i="11"/>
  <c r="P362" i="11"/>
  <c r="Q362" i="11"/>
  <c r="O362" i="11"/>
  <c r="L350" i="11"/>
  <c r="M350" i="11"/>
  <c r="N350" i="11"/>
  <c r="S398" i="11"/>
  <c r="P398" i="11"/>
  <c r="O398" i="11"/>
  <c r="Q398" i="11"/>
  <c r="P404" i="11"/>
  <c r="Q404" i="11"/>
  <c r="O404" i="11"/>
  <c r="S404" i="11"/>
  <c r="M405" i="11"/>
  <c r="N405" i="11"/>
  <c r="L405" i="11"/>
  <c r="M387" i="11"/>
  <c r="N387" i="11"/>
  <c r="L387" i="11"/>
  <c r="O408" i="11"/>
  <c r="S408" i="11"/>
  <c r="P408" i="11"/>
  <c r="Q408" i="11"/>
  <c r="N386" i="11"/>
  <c r="L386" i="11"/>
  <c r="M386" i="11"/>
  <c r="S405" i="11"/>
  <c r="P405" i="11"/>
  <c r="Q405" i="11"/>
  <c r="O405" i="11"/>
  <c r="M381" i="11"/>
  <c r="N381" i="11"/>
  <c r="L381" i="11"/>
  <c r="S347" i="11"/>
  <c r="P347" i="11"/>
  <c r="Q347" i="11"/>
  <c r="O347" i="11"/>
  <c r="S366" i="11"/>
  <c r="Q366" i="11"/>
  <c r="P366" i="11"/>
  <c r="O366" i="11"/>
  <c r="M363" i="11"/>
  <c r="N363" i="11"/>
  <c r="L363" i="11"/>
  <c r="L364" i="11"/>
  <c r="M364" i="11"/>
  <c r="N364" i="11"/>
  <c r="N360" i="11"/>
  <c r="M360" i="11"/>
  <c r="L360" i="11"/>
  <c r="Q409" i="11"/>
  <c r="S409" i="11"/>
  <c r="P409" i="11"/>
  <c r="O409" i="11"/>
  <c r="M365" i="11"/>
  <c r="N365" i="11"/>
  <c r="L365" i="11"/>
  <c r="O363" i="11"/>
  <c r="S363" i="11"/>
  <c r="P363" i="11"/>
  <c r="Q363" i="11"/>
  <c r="N346" i="11"/>
  <c r="L346" i="11"/>
  <c r="M346" i="11"/>
  <c r="Q364" i="11"/>
  <c r="O364" i="11"/>
  <c r="S364" i="11"/>
  <c r="P364" i="11"/>
  <c r="D38" i="10"/>
  <c r="E458" i="11"/>
  <c r="O500" i="11"/>
  <c r="P500" i="11"/>
  <c r="Q500" i="11"/>
  <c r="S500" i="11"/>
  <c r="O459" i="11"/>
  <c r="P459" i="11"/>
  <c r="S459" i="11"/>
  <c r="Q459" i="11"/>
  <c r="Z79" i="10"/>
  <c r="E499" i="11" s="1"/>
  <c r="G499" i="11"/>
  <c r="AJ58" i="3"/>
  <c r="AJ79" i="3" s="1"/>
  <c r="AM79" i="3" s="1"/>
  <c r="AJ48" i="3"/>
  <c r="AJ69" i="3" s="1"/>
  <c r="AM69" i="3" s="1"/>
  <c r="AJ62" i="3"/>
  <c r="AJ83" i="3" s="1"/>
  <c r="AM83" i="3" s="1"/>
  <c r="AJ60" i="3"/>
  <c r="AJ81" i="3" s="1"/>
  <c r="AM81" i="3" s="1"/>
  <c r="AJ50" i="3"/>
  <c r="AJ71" i="3" s="1"/>
  <c r="AM71" i="3" s="1"/>
  <c r="AJ63" i="3"/>
  <c r="AJ84" i="3" s="1"/>
  <c r="AM84" i="3" s="1"/>
  <c r="AJ45" i="3"/>
  <c r="AJ66" i="3" s="1"/>
  <c r="AM66" i="3" s="1"/>
  <c r="AJ65" i="3"/>
  <c r="AJ86" i="3" s="1"/>
  <c r="AM86" i="3" s="1"/>
  <c r="AJ47" i="3"/>
  <c r="AJ68" i="3" s="1"/>
  <c r="AM68" i="3" s="1"/>
  <c r="AJ64" i="3"/>
  <c r="AJ85" i="3" s="1"/>
  <c r="AM85" i="3" s="1"/>
  <c r="AJ49" i="3"/>
  <c r="AJ70" i="3" s="1"/>
  <c r="AM70" i="3" s="1"/>
  <c r="AJ54" i="3"/>
  <c r="AJ75" i="3" s="1"/>
  <c r="AM75" i="3" s="1"/>
  <c r="AJ57" i="3"/>
  <c r="AJ78" i="3" s="1"/>
  <c r="AM78" i="3" s="1"/>
  <c r="AJ53" i="3"/>
  <c r="AJ74" i="3" s="1"/>
  <c r="AM74" i="3" s="1"/>
  <c r="AJ56" i="3"/>
  <c r="AJ77" i="3" s="1"/>
  <c r="AM77" i="3" s="1"/>
  <c r="AJ46" i="3"/>
  <c r="AJ67" i="3" s="1"/>
  <c r="AM67" i="3" s="1"/>
  <c r="AJ51" i="3"/>
  <c r="AJ72" i="3" s="1"/>
  <c r="AM72" i="3" s="1"/>
  <c r="AJ52" i="3"/>
  <c r="AJ73" i="3" s="1"/>
  <c r="AM73" i="3" s="1"/>
  <c r="AJ59" i="3"/>
  <c r="AJ80" i="3" s="1"/>
  <c r="AM80" i="3" s="1"/>
  <c r="AJ61" i="3"/>
  <c r="AJ82" i="3" s="1"/>
  <c r="AM82" i="3" s="1"/>
  <c r="AJ55" i="3"/>
  <c r="AJ76" i="3" s="1"/>
  <c r="AM76" i="3" s="1"/>
  <c r="C37" i="10"/>
  <c r="Z58" i="10"/>
  <c r="X77" i="10"/>
  <c r="Y78" i="10"/>
  <c r="X57" i="10"/>
  <c r="Y57" i="10" s="1"/>
  <c r="G456" i="11" s="1"/>
  <c r="U109" i="9"/>
  <c r="E403" i="11" s="1"/>
  <c r="U61" i="9"/>
  <c r="E397" i="11" s="1"/>
  <c r="T29" i="9"/>
  <c r="G344" i="11" s="1"/>
  <c r="U35" i="9"/>
  <c r="E350" i="11" s="1"/>
  <c r="D20" i="9"/>
  <c r="D41" i="9"/>
  <c r="U87" i="9"/>
  <c r="E360" i="11" s="1"/>
  <c r="T34" i="9"/>
  <c r="G349" i="11" s="1"/>
  <c r="C19" i="9"/>
  <c r="C40" i="9"/>
  <c r="AG19" i="9"/>
  <c r="U40" i="9"/>
  <c r="E355" i="11" s="1"/>
  <c r="T39" i="9"/>
  <c r="G354" i="11" s="1"/>
  <c r="U31" i="9"/>
  <c r="E346" i="11" s="1"/>
  <c r="D36" i="9"/>
  <c r="D15" i="9"/>
  <c r="C35" i="9"/>
  <c r="U56" i="9"/>
  <c r="E392" i="11" s="1"/>
  <c r="C14" i="9"/>
  <c r="AG14" i="9"/>
  <c r="V127" i="16" l="1"/>
  <c r="U127" i="16"/>
  <c r="S127" i="16"/>
  <c r="T127" i="16"/>
  <c r="L392" i="11"/>
  <c r="I126" i="16"/>
  <c r="AQ127" i="16"/>
  <c r="W127" i="16" s="1"/>
  <c r="AR127" i="16"/>
  <c r="X127" i="16" s="1"/>
  <c r="J126" i="16"/>
  <c r="H126" i="16"/>
  <c r="I127" i="16"/>
  <c r="J127" i="16"/>
  <c r="H127" i="16"/>
  <c r="AI73" i="3"/>
  <c r="AL73" i="3" s="1"/>
  <c r="AI78" i="3"/>
  <c r="AL78" i="3" s="1"/>
  <c r="AI79" i="3"/>
  <c r="AL79" i="3" s="1"/>
  <c r="AK79" i="3" s="1"/>
  <c r="AI81" i="3"/>
  <c r="AL81" i="3" s="1"/>
  <c r="AK81" i="3" s="1"/>
  <c r="AI85" i="3"/>
  <c r="AL85" i="3" s="1"/>
  <c r="AK85" i="3" s="1"/>
  <c r="AI77" i="3"/>
  <c r="AL77" i="3" s="1"/>
  <c r="AI70" i="3"/>
  <c r="AL70" i="3" s="1"/>
  <c r="AK70" i="3" s="1"/>
  <c r="AI83" i="3"/>
  <c r="AL83" i="3" s="1"/>
  <c r="AK83" i="3" s="1"/>
  <c r="AI72" i="3"/>
  <c r="AL72" i="3" s="1"/>
  <c r="AI76" i="3"/>
  <c r="AL76" i="3" s="1"/>
  <c r="AI67" i="3"/>
  <c r="AL67" i="3" s="1"/>
  <c r="AK67" i="3" s="1"/>
  <c r="AI71" i="3"/>
  <c r="AL71" i="3" s="1"/>
  <c r="AI68" i="3"/>
  <c r="AL68" i="3" s="1"/>
  <c r="AI66" i="3"/>
  <c r="AL66" i="3" s="1"/>
  <c r="AI75" i="3"/>
  <c r="AL75" i="3" s="1"/>
  <c r="AI69" i="3"/>
  <c r="AL69" i="3" s="1"/>
  <c r="AK69" i="3" s="1"/>
  <c r="AI80" i="3"/>
  <c r="AL80" i="3" s="1"/>
  <c r="AI84" i="3"/>
  <c r="AL84" i="3" s="1"/>
  <c r="AI74" i="3"/>
  <c r="AL74" i="3" s="1"/>
  <c r="AI86" i="3"/>
  <c r="AL86" i="3" s="1"/>
  <c r="AI82" i="3"/>
  <c r="AL82" i="3" s="1"/>
  <c r="AD528" i="16"/>
  <c r="H528" i="16" s="1"/>
  <c r="AD276" i="16"/>
  <c r="H276" i="16" s="1"/>
  <c r="AI100" i="3"/>
  <c r="AL100" i="3" s="1"/>
  <c r="AD295" i="16"/>
  <c r="H295" i="16" s="1"/>
  <c r="AD547" i="16"/>
  <c r="H547" i="16" s="1"/>
  <c r="AD542" i="16"/>
  <c r="H542" i="16" s="1"/>
  <c r="AD290" i="16"/>
  <c r="H290" i="16" s="1"/>
  <c r="AK77" i="3"/>
  <c r="AD540" i="16"/>
  <c r="H540" i="16" s="1"/>
  <c r="AD288" i="16"/>
  <c r="H288" i="16" s="1"/>
  <c r="AD529" i="16"/>
  <c r="H529" i="16" s="1"/>
  <c r="AD277" i="16"/>
  <c r="H277" i="16" s="1"/>
  <c r="AD534" i="16"/>
  <c r="H534" i="16" s="1"/>
  <c r="AD282" i="16"/>
  <c r="H282" i="16" s="1"/>
  <c r="AD293" i="16"/>
  <c r="H293" i="16" s="1"/>
  <c r="AD545" i="16"/>
  <c r="H545" i="16" s="1"/>
  <c r="AD292" i="16"/>
  <c r="H292" i="16" s="1"/>
  <c r="AD544" i="16"/>
  <c r="H544" i="16" s="1"/>
  <c r="AK72" i="3"/>
  <c r="AI97" i="3"/>
  <c r="AL97" i="3" s="1"/>
  <c r="AK76" i="3"/>
  <c r="AD536" i="16"/>
  <c r="H536" i="16" s="1"/>
  <c r="AD284" i="16"/>
  <c r="H284" i="16" s="1"/>
  <c r="AD538" i="16"/>
  <c r="H538" i="16" s="1"/>
  <c r="AD286" i="16"/>
  <c r="H286" i="16" s="1"/>
  <c r="AD541" i="16"/>
  <c r="H541" i="16" s="1"/>
  <c r="AD289" i="16"/>
  <c r="H289" i="16" s="1"/>
  <c r="AD537" i="16"/>
  <c r="H537" i="16" s="1"/>
  <c r="AD285" i="16"/>
  <c r="H285" i="16" s="1"/>
  <c r="AD533" i="16"/>
  <c r="H533" i="16" s="1"/>
  <c r="AD281" i="16"/>
  <c r="H281" i="16" s="1"/>
  <c r="AD294" i="16"/>
  <c r="H294" i="16" s="1"/>
  <c r="AD546" i="16"/>
  <c r="H546" i="16" s="1"/>
  <c r="AI92" i="3"/>
  <c r="AL92" i="3" s="1"/>
  <c r="AK71" i="3"/>
  <c r="AD531" i="16"/>
  <c r="H531" i="16" s="1"/>
  <c r="AD279" i="16"/>
  <c r="H279" i="16" s="1"/>
  <c r="AI89" i="3"/>
  <c r="AL89" i="3" s="1"/>
  <c r="AK68" i="3"/>
  <c r="AI87" i="3"/>
  <c r="AL87" i="3" s="1"/>
  <c r="AK66" i="3"/>
  <c r="AD535" i="16"/>
  <c r="H535" i="16" s="1"/>
  <c r="AD283" i="16"/>
  <c r="H283" i="16" s="1"/>
  <c r="AI96" i="3"/>
  <c r="AL96" i="3" s="1"/>
  <c r="AK75" i="3"/>
  <c r="AI94" i="3"/>
  <c r="AL94" i="3" s="1"/>
  <c r="AK73" i="3"/>
  <c r="AI99" i="3"/>
  <c r="AL99" i="3" s="1"/>
  <c r="AK78" i="3"/>
  <c r="AD280" i="16"/>
  <c r="H280" i="16" s="1"/>
  <c r="AD532" i="16"/>
  <c r="H532" i="16" s="1"/>
  <c r="AI101" i="3"/>
  <c r="AL101" i="3" s="1"/>
  <c r="AK80" i="3"/>
  <c r="AD527" i="16"/>
  <c r="H527" i="16" s="1"/>
  <c r="AD275" i="16"/>
  <c r="H275" i="16" s="1"/>
  <c r="AD543" i="16"/>
  <c r="H543" i="16" s="1"/>
  <c r="AD291" i="16"/>
  <c r="H291" i="16" s="1"/>
  <c r="AD539" i="16"/>
  <c r="H539" i="16" s="1"/>
  <c r="AD287" i="16"/>
  <c r="H287" i="16" s="1"/>
  <c r="AI105" i="3"/>
  <c r="AL105" i="3" s="1"/>
  <c r="AK84" i="3"/>
  <c r="AI95" i="3"/>
  <c r="AL95" i="3" s="1"/>
  <c r="AK74" i="3"/>
  <c r="AI107" i="3"/>
  <c r="AL107" i="3" s="1"/>
  <c r="AK86" i="3"/>
  <c r="AI103" i="3"/>
  <c r="AL103" i="3" s="1"/>
  <c r="AK82" i="3"/>
  <c r="AD530" i="16"/>
  <c r="H530" i="16" s="1"/>
  <c r="AD278" i="16"/>
  <c r="H278" i="16" s="1"/>
  <c r="W151" i="2"/>
  <c r="K151" i="11"/>
  <c r="N151" i="11" s="1"/>
  <c r="V170" i="2"/>
  <c r="J170" i="11"/>
  <c r="M170" i="11" s="1"/>
  <c r="V150" i="2"/>
  <c r="J150" i="11"/>
  <c r="M150" i="11" s="1"/>
  <c r="W164" i="2"/>
  <c r="K164" i="11"/>
  <c r="N164" i="11" s="1"/>
  <c r="V164" i="2"/>
  <c r="J164" i="11"/>
  <c r="M164" i="11" s="1"/>
  <c r="I164" i="11"/>
  <c r="L164" i="11" s="1"/>
  <c r="U164" i="2"/>
  <c r="V152" i="2"/>
  <c r="J152" i="11"/>
  <c r="M152" i="11" s="1"/>
  <c r="V156" i="2"/>
  <c r="J156" i="11"/>
  <c r="M156" i="11" s="1"/>
  <c r="I159" i="11"/>
  <c r="L159" i="11" s="1"/>
  <c r="U159" i="2"/>
  <c r="U163" i="2"/>
  <c r="I163" i="11"/>
  <c r="L163" i="11" s="1"/>
  <c r="J168" i="11"/>
  <c r="M168" i="11" s="1"/>
  <c r="V168" i="2"/>
  <c r="V166" i="2"/>
  <c r="J166" i="11"/>
  <c r="M166" i="11" s="1"/>
  <c r="K156" i="11"/>
  <c r="N156" i="11" s="1"/>
  <c r="W156" i="2"/>
  <c r="U156" i="2"/>
  <c r="I156" i="11"/>
  <c r="L156" i="11" s="1"/>
  <c r="V160" i="2"/>
  <c r="J160" i="11"/>
  <c r="M160" i="11" s="1"/>
  <c r="I166" i="11"/>
  <c r="L166" i="11" s="1"/>
  <c r="U166" i="2"/>
  <c r="I153" i="11"/>
  <c r="L153" i="11" s="1"/>
  <c r="U153" i="2"/>
  <c r="U168" i="2"/>
  <c r="I168" i="11"/>
  <c r="L168" i="11" s="1"/>
  <c r="J167" i="11"/>
  <c r="M167" i="11" s="1"/>
  <c r="V167" i="2"/>
  <c r="V151" i="2"/>
  <c r="J151" i="11"/>
  <c r="M151" i="11" s="1"/>
  <c r="W158" i="2"/>
  <c r="K158" i="11"/>
  <c r="N158" i="11" s="1"/>
  <c r="V159" i="2"/>
  <c r="J159" i="11"/>
  <c r="M159" i="11" s="1"/>
  <c r="W166" i="2"/>
  <c r="K166" i="11"/>
  <c r="N166" i="11" s="1"/>
  <c r="V165" i="2"/>
  <c r="J165" i="11"/>
  <c r="M165" i="11" s="1"/>
  <c r="W169" i="2"/>
  <c r="K169" i="11"/>
  <c r="N169" i="11" s="1"/>
  <c r="U157" i="2"/>
  <c r="I157" i="11"/>
  <c r="L157" i="11" s="1"/>
  <c r="J158" i="11"/>
  <c r="M158" i="11" s="1"/>
  <c r="V158" i="2"/>
  <c r="I162" i="11"/>
  <c r="L162" i="11" s="1"/>
  <c r="U162" i="2"/>
  <c r="V169" i="2"/>
  <c r="J169" i="11"/>
  <c r="M169" i="11" s="1"/>
  <c r="W160" i="2"/>
  <c r="K160" i="11"/>
  <c r="N160" i="11" s="1"/>
  <c r="I152" i="11"/>
  <c r="L152" i="11" s="1"/>
  <c r="U152" i="2"/>
  <c r="V163" i="2"/>
  <c r="J163" i="11"/>
  <c r="M163" i="11" s="1"/>
  <c r="V153" i="2"/>
  <c r="J153" i="11"/>
  <c r="M153" i="11" s="1"/>
  <c r="J155" i="11"/>
  <c r="M155" i="11" s="1"/>
  <c r="V155" i="2"/>
  <c r="I170" i="11"/>
  <c r="L170" i="11" s="1"/>
  <c r="U170" i="2"/>
  <c r="W161" i="2"/>
  <c r="K161" i="11"/>
  <c r="N161" i="11" s="1"/>
  <c r="W154" i="2"/>
  <c r="K154" i="11"/>
  <c r="N154" i="11" s="1"/>
  <c r="K168" i="11"/>
  <c r="N168" i="11" s="1"/>
  <c r="W168" i="2"/>
  <c r="U161" i="2"/>
  <c r="I161" i="11"/>
  <c r="L161" i="11" s="1"/>
  <c r="W165" i="2"/>
  <c r="K165" i="11"/>
  <c r="N165" i="11" s="1"/>
  <c r="J162" i="11"/>
  <c r="M162" i="11" s="1"/>
  <c r="V162" i="2"/>
  <c r="W153" i="2"/>
  <c r="K153" i="11"/>
  <c r="N153" i="11" s="1"/>
  <c r="W162" i="2"/>
  <c r="K162" i="11"/>
  <c r="N162" i="11" s="1"/>
  <c r="W159" i="2"/>
  <c r="K159" i="11"/>
  <c r="N159" i="11" s="1"/>
  <c r="V161" i="2"/>
  <c r="J161" i="11"/>
  <c r="M161" i="11" s="1"/>
  <c r="W157" i="2"/>
  <c r="K157" i="11"/>
  <c r="N157" i="11" s="1"/>
  <c r="U155" i="2"/>
  <c r="I155" i="11"/>
  <c r="L155" i="11" s="1"/>
  <c r="W170" i="2"/>
  <c r="K170" i="11"/>
  <c r="N170" i="11" s="1"/>
  <c r="U160" i="2"/>
  <c r="I160" i="11"/>
  <c r="L160" i="11" s="1"/>
  <c r="W163" i="2"/>
  <c r="K163" i="11"/>
  <c r="N163" i="11" s="1"/>
  <c r="V154" i="2"/>
  <c r="J154" i="11"/>
  <c r="M154" i="11" s="1"/>
  <c r="N392" i="11"/>
  <c r="W155" i="2"/>
  <c r="K155" i="11"/>
  <c r="N155" i="11" s="1"/>
  <c r="W152" i="2"/>
  <c r="K152" i="11"/>
  <c r="N152" i="11" s="1"/>
  <c r="U154" i="2"/>
  <c r="I154" i="11"/>
  <c r="L154" i="11" s="1"/>
  <c r="I169" i="11"/>
  <c r="L169" i="11" s="1"/>
  <c r="U169" i="2"/>
  <c r="U167" i="2"/>
  <c r="I167" i="11"/>
  <c r="L167" i="11" s="1"/>
  <c r="U151" i="2"/>
  <c r="I151" i="11"/>
  <c r="L151" i="11" s="1"/>
  <c r="U165" i="2"/>
  <c r="I165" i="11"/>
  <c r="L165" i="11" s="1"/>
  <c r="J157" i="11"/>
  <c r="M157" i="11" s="1"/>
  <c r="V157" i="2"/>
  <c r="W167" i="2"/>
  <c r="K167" i="11"/>
  <c r="N167" i="11" s="1"/>
  <c r="U158" i="2"/>
  <c r="I158" i="11"/>
  <c r="L158" i="11" s="1"/>
  <c r="K150" i="11"/>
  <c r="N150" i="11" s="1"/>
  <c r="W150" i="2"/>
  <c r="I150" i="11"/>
  <c r="L150" i="11" s="1"/>
  <c r="U150" i="2"/>
  <c r="P126" i="16"/>
  <c r="R126" i="16"/>
  <c r="O126" i="16"/>
  <c r="Q126" i="16"/>
  <c r="P127" i="16"/>
  <c r="O127" i="16"/>
  <c r="Q127" i="16"/>
  <c r="R127" i="16"/>
  <c r="M499" i="11"/>
  <c r="N499" i="11"/>
  <c r="L499" i="11"/>
  <c r="N456" i="11"/>
  <c r="L456" i="11"/>
  <c r="M456" i="11"/>
  <c r="L396" i="11"/>
  <c r="M396" i="11"/>
  <c r="N396" i="11"/>
  <c r="S403" i="11"/>
  <c r="P403" i="11"/>
  <c r="O403" i="11"/>
  <c r="Q403" i="11"/>
  <c r="S361" i="11"/>
  <c r="O361" i="11"/>
  <c r="P361" i="11"/>
  <c r="Q361" i="11"/>
  <c r="T48" i="9"/>
  <c r="G384" i="11" s="1"/>
  <c r="G390" i="11"/>
  <c r="M339" i="11"/>
  <c r="N339" i="11"/>
  <c r="L339" i="11"/>
  <c r="N349" i="11"/>
  <c r="M349" i="11"/>
  <c r="L349" i="11"/>
  <c r="L361" i="11"/>
  <c r="M361" i="11"/>
  <c r="N361" i="11"/>
  <c r="O360" i="11"/>
  <c r="S360" i="11"/>
  <c r="P360" i="11"/>
  <c r="Q360" i="11"/>
  <c r="S397" i="11"/>
  <c r="P397" i="11"/>
  <c r="O397" i="11"/>
  <c r="Q397" i="11"/>
  <c r="S346" i="11"/>
  <c r="P346" i="11"/>
  <c r="Q346" i="11"/>
  <c r="O346" i="11"/>
  <c r="L345" i="11"/>
  <c r="M345" i="11"/>
  <c r="N345" i="11"/>
  <c r="N354" i="11"/>
  <c r="L354" i="11"/>
  <c r="M354" i="11"/>
  <c r="O355" i="11"/>
  <c r="S355" i="11"/>
  <c r="P355" i="11"/>
  <c r="Q355" i="11"/>
  <c r="S350" i="11"/>
  <c r="P350" i="11"/>
  <c r="Q350" i="11"/>
  <c r="O350" i="11"/>
  <c r="L391" i="11"/>
  <c r="M391" i="11"/>
  <c r="N391" i="11"/>
  <c r="N402" i="11"/>
  <c r="L402" i="11"/>
  <c r="M402" i="11"/>
  <c r="P392" i="11"/>
  <c r="S392" i="11"/>
  <c r="Q392" i="11"/>
  <c r="O392" i="11"/>
  <c r="N344" i="11"/>
  <c r="L344" i="11"/>
  <c r="M344" i="11"/>
  <c r="L385" i="11"/>
  <c r="M385" i="11"/>
  <c r="N385" i="11"/>
  <c r="S402" i="11"/>
  <c r="P402" i="11"/>
  <c r="Q402" i="11"/>
  <c r="O402" i="11"/>
  <c r="D37" i="10"/>
  <c r="E457" i="11"/>
  <c r="P458" i="11"/>
  <c r="Q458" i="11"/>
  <c r="O458" i="11"/>
  <c r="S458" i="11"/>
  <c r="O499" i="11"/>
  <c r="P499" i="11"/>
  <c r="S499" i="11"/>
  <c r="Q499" i="11"/>
  <c r="Z78" i="10"/>
  <c r="E498" i="11" s="1"/>
  <c r="G498" i="11"/>
  <c r="AJ100" i="3"/>
  <c r="AM100" i="3" s="1"/>
  <c r="AJ93" i="3"/>
  <c r="AM93" i="3" s="1"/>
  <c r="AJ99" i="3"/>
  <c r="AM99" i="3" s="1"/>
  <c r="AJ103" i="3"/>
  <c r="AM103" i="3" s="1"/>
  <c r="AJ88" i="3"/>
  <c r="AM88" i="3" s="1"/>
  <c r="AJ96" i="3"/>
  <c r="AM96" i="3" s="1"/>
  <c r="AJ107" i="3"/>
  <c r="AM107" i="3" s="1"/>
  <c r="AJ102" i="3"/>
  <c r="AM102" i="3" s="1"/>
  <c r="AJ92" i="3"/>
  <c r="AM92" i="3" s="1"/>
  <c r="AJ97" i="3"/>
  <c r="AM97" i="3" s="1"/>
  <c r="AJ89" i="3"/>
  <c r="AM89" i="3" s="1"/>
  <c r="AJ101" i="3"/>
  <c r="AM101" i="3" s="1"/>
  <c r="AJ98" i="3"/>
  <c r="AM98" i="3" s="1"/>
  <c r="AJ91" i="3"/>
  <c r="AM91" i="3" s="1"/>
  <c r="AJ87" i="3"/>
  <c r="AM87" i="3" s="1"/>
  <c r="AJ104" i="3"/>
  <c r="AM104" i="3" s="1"/>
  <c r="AJ94" i="3"/>
  <c r="AM94" i="3" s="1"/>
  <c r="AJ95" i="3"/>
  <c r="AM95" i="3" s="1"/>
  <c r="AJ106" i="3"/>
  <c r="AM106" i="3" s="1"/>
  <c r="AJ105" i="3"/>
  <c r="AM105" i="3" s="1"/>
  <c r="AJ90" i="3"/>
  <c r="AM90" i="3" s="1"/>
  <c r="Z57" i="10"/>
  <c r="C36" i="10"/>
  <c r="X76" i="10"/>
  <c r="Y77" i="10"/>
  <c r="X56" i="10"/>
  <c r="Y56" i="10" s="1"/>
  <c r="G455" i="11" s="1"/>
  <c r="U39" i="9"/>
  <c r="E354" i="11" s="1"/>
  <c r="T33" i="9"/>
  <c r="G348" i="11" s="1"/>
  <c r="C39" i="9"/>
  <c r="AG18" i="9"/>
  <c r="C18" i="9"/>
  <c r="T28" i="9"/>
  <c r="G343" i="11" s="1"/>
  <c r="U34" i="9"/>
  <c r="E349" i="11" s="1"/>
  <c r="D19" i="9"/>
  <c r="D40" i="9"/>
  <c r="U60" i="9"/>
  <c r="E396" i="11" s="1"/>
  <c r="U30" i="9"/>
  <c r="E345" i="11" s="1"/>
  <c r="C34" i="9"/>
  <c r="U55" i="9"/>
  <c r="E391" i="11" s="1"/>
  <c r="C13" i="9"/>
  <c r="AG13" i="9"/>
  <c r="D35" i="9"/>
  <c r="D14" i="9"/>
  <c r="AI106" i="3" l="1"/>
  <c r="AL106" i="3" s="1"/>
  <c r="AI90" i="3"/>
  <c r="AL90" i="3" s="1"/>
  <c r="AI104" i="3"/>
  <c r="AL104" i="3" s="1"/>
  <c r="AK104" i="3" s="1"/>
  <c r="AI88" i="3"/>
  <c r="AL88" i="3" s="1"/>
  <c r="AK88" i="3" s="1"/>
  <c r="AI91" i="3"/>
  <c r="AL91" i="3" s="1"/>
  <c r="AK91" i="3" s="1"/>
  <c r="AI102" i="3"/>
  <c r="AL102" i="3" s="1"/>
  <c r="AK102" i="3" s="1"/>
  <c r="AI93" i="3"/>
  <c r="AL93" i="3" s="1"/>
  <c r="AK93" i="3" s="1"/>
  <c r="AI98" i="3"/>
  <c r="AL98" i="3" s="1"/>
  <c r="AK98" i="3" s="1"/>
  <c r="AI128" i="3"/>
  <c r="AL128" i="3" s="1"/>
  <c r="AK107" i="3"/>
  <c r="AI120" i="3"/>
  <c r="AL120" i="3" s="1"/>
  <c r="AK99" i="3"/>
  <c r="AI113" i="3"/>
  <c r="AL113" i="3" s="1"/>
  <c r="AK92" i="3"/>
  <c r="AI118" i="3"/>
  <c r="AL118" i="3" s="1"/>
  <c r="AK97" i="3"/>
  <c r="AI116" i="3"/>
  <c r="AL116" i="3" s="1"/>
  <c r="AK95" i="3"/>
  <c r="AI115" i="3"/>
  <c r="AL115" i="3" s="1"/>
  <c r="AK94" i="3"/>
  <c r="AI108" i="3"/>
  <c r="AL108" i="3" s="1"/>
  <c r="AK87" i="3"/>
  <c r="AI123" i="3"/>
  <c r="AL123" i="3" s="1"/>
  <c r="AI126" i="3"/>
  <c r="AL126" i="3" s="1"/>
  <c r="AK105" i="3"/>
  <c r="AI122" i="3"/>
  <c r="AL122" i="3" s="1"/>
  <c r="AK101" i="3"/>
  <c r="AI111" i="3"/>
  <c r="AL111" i="3" s="1"/>
  <c r="AK90" i="3"/>
  <c r="AI110" i="3"/>
  <c r="AL110" i="3" s="1"/>
  <c r="AK89" i="3"/>
  <c r="AI121" i="3"/>
  <c r="AL121" i="3" s="1"/>
  <c r="AK100" i="3"/>
  <c r="AI124" i="3"/>
  <c r="AL124" i="3" s="1"/>
  <c r="AK103" i="3"/>
  <c r="AI117" i="3"/>
  <c r="AL117" i="3" s="1"/>
  <c r="AK96" i="3"/>
  <c r="AI127" i="3"/>
  <c r="AL127" i="3" s="1"/>
  <c r="AK106" i="3"/>
  <c r="W188" i="2"/>
  <c r="K209" i="11"/>
  <c r="N209" i="11" s="1"/>
  <c r="W176" i="2"/>
  <c r="K197" i="11"/>
  <c r="N197" i="11" s="1"/>
  <c r="V187" i="2"/>
  <c r="J208" i="11"/>
  <c r="M208" i="11" s="1"/>
  <c r="J198" i="11"/>
  <c r="M198" i="11" s="1"/>
  <c r="V177" i="2"/>
  <c r="W185" i="2"/>
  <c r="K206" i="11"/>
  <c r="N206" i="11" s="1"/>
  <c r="W180" i="2"/>
  <c r="K201" i="11"/>
  <c r="N201" i="11" s="1"/>
  <c r="W182" i="2"/>
  <c r="K203" i="11"/>
  <c r="N203" i="11" s="1"/>
  <c r="V184" i="2"/>
  <c r="J205" i="11"/>
  <c r="M205" i="11" s="1"/>
  <c r="V186" i="2"/>
  <c r="J207" i="11"/>
  <c r="M207" i="11" s="1"/>
  <c r="I212" i="11"/>
  <c r="L212" i="11" s="1"/>
  <c r="U191" i="2"/>
  <c r="I194" i="11"/>
  <c r="L194" i="11" s="1"/>
  <c r="U173" i="2"/>
  <c r="J200" i="11"/>
  <c r="M200" i="11" s="1"/>
  <c r="V179" i="2"/>
  <c r="J209" i="11"/>
  <c r="M209" i="11" s="1"/>
  <c r="V188" i="2"/>
  <c r="V189" i="2"/>
  <c r="J210" i="11"/>
  <c r="M210" i="11" s="1"/>
  <c r="U187" i="2"/>
  <c r="I208" i="11"/>
  <c r="L208" i="11" s="1"/>
  <c r="U171" i="2"/>
  <c r="I192" i="11"/>
  <c r="L192" i="11" s="1"/>
  <c r="V178" i="2"/>
  <c r="J199" i="11"/>
  <c r="M199" i="11" s="1"/>
  <c r="U190" i="2"/>
  <c r="I211" i="11"/>
  <c r="L211" i="11" s="1"/>
  <c r="W191" i="2"/>
  <c r="K212" i="11"/>
  <c r="N212" i="11" s="1"/>
  <c r="V172" i="2"/>
  <c r="J193" i="11"/>
  <c r="M193" i="11" s="1"/>
  <c r="W171" i="2"/>
  <c r="K192" i="11"/>
  <c r="N192" i="11" s="1"/>
  <c r="V175" i="2"/>
  <c r="J196" i="11"/>
  <c r="M196" i="11" s="1"/>
  <c r="U176" i="2"/>
  <c r="I197" i="11"/>
  <c r="L197" i="11" s="1"/>
  <c r="W183" i="2"/>
  <c r="K204" i="11"/>
  <c r="N204" i="11" s="1"/>
  <c r="U182" i="2"/>
  <c r="I203" i="11"/>
  <c r="L203" i="11" s="1"/>
  <c r="K208" i="11"/>
  <c r="N208" i="11" s="1"/>
  <c r="W187" i="2"/>
  <c r="V181" i="2"/>
  <c r="J202" i="11"/>
  <c r="M202" i="11" s="1"/>
  <c r="V173" i="2"/>
  <c r="J194" i="11"/>
  <c r="M194" i="11" s="1"/>
  <c r="V171" i="2"/>
  <c r="J192" i="11"/>
  <c r="M192" i="11" s="1"/>
  <c r="K210" i="11"/>
  <c r="N210" i="11" s="1"/>
  <c r="W189" i="2"/>
  <c r="V176" i="2"/>
  <c r="J197" i="11"/>
  <c r="M197" i="11" s="1"/>
  <c r="U185" i="2"/>
  <c r="I206" i="11"/>
  <c r="L206" i="11" s="1"/>
  <c r="U188" i="2"/>
  <c r="I209" i="11"/>
  <c r="L209" i="11" s="1"/>
  <c r="U183" i="2"/>
  <c r="I204" i="11"/>
  <c r="L204" i="11" s="1"/>
  <c r="W186" i="2"/>
  <c r="K207" i="11"/>
  <c r="N207" i="11" s="1"/>
  <c r="U186" i="2"/>
  <c r="I207" i="11"/>
  <c r="L207" i="11" s="1"/>
  <c r="W184" i="2"/>
  <c r="K205" i="11"/>
  <c r="N205" i="11" s="1"/>
  <c r="W178" i="2"/>
  <c r="K199" i="11"/>
  <c r="N199" i="11" s="1"/>
  <c r="K195" i="11"/>
  <c r="N195" i="11" s="1"/>
  <c r="W174" i="2"/>
  <c r="W181" i="2"/>
  <c r="K202" i="11"/>
  <c r="N202" i="11" s="1"/>
  <c r="I199" i="11"/>
  <c r="L199" i="11" s="1"/>
  <c r="U178" i="2"/>
  <c r="V180" i="2"/>
  <c r="J201" i="11"/>
  <c r="M201" i="11" s="1"/>
  <c r="U189" i="2"/>
  <c r="I210" i="11"/>
  <c r="L210" i="11" s="1"/>
  <c r="I198" i="11"/>
  <c r="L198" i="11" s="1"/>
  <c r="U177" i="2"/>
  <c r="U184" i="2"/>
  <c r="I205" i="11"/>
  <c r="L205" i="11" s="1"/>
  <c r="J212" i="11"/>
  <c r="M212" i="11" s="1"/>
  <c r="V191" i="2"/>
  <c r="U179" i="2"/>
  <c r="I200" i="11"/>
  <c r="L200" i="11" s="1"/>
  <c r="I193" i="11"/>
  <c r="L193" i="11" s="1"/>
  <c r="U172" i="2"/>
  <c r="W173" i="2"/>
  <c r="K194" i="11"/>
  <c r="N194" i="11" s="1"/>
  <c r="V183" i="2"/>
  <c r="J204" i="11"/>
  <c r="M204" i="11" s="1"/>
  <c r="U174" i="2"/>
  <c r="I195" i="11"/>
  <c r="L195" i="11" s="1"/>
  <c r="W177" i="2"/>
  <c r="K198" i="11"/>
  <c r="N198" i="11" s="1"/>
  <c r="U180" i="2"/>
  <c r="I201" i="11"/>
  <c r="L201" i="11" s="1"/>
  <c r="I196" i="11"/>
  <c r="L196" i="11" s="1"/>
  <c r="U175" i="2"/>
  <c r="I202" i="11"/>
  <c r="L202" i="11" s="1"/>
  <c r="U181" i="2"/>
  <c r="V182" i="2"/>
  <c r="J203" i="11"/>
  <c r="M203" i="11" s="1"/>
  <c r="W175" i="2"/>
  <c r="K196" i="11"/>
  <c r="N196" i="11" s="1"/>
  <c r="V174" i="2"/>
  <c r="J195" i="11"/>
  <c r="M195" i="11" s="1"/>
  <c r="V190" i="2"/>
  <c r="J211" i="11"/>
  <c r="M211" i="11" s="1"/>
  <c r="W190" i="2"/>
  <c r="K211" i="11"/>
  <c r="N211" i="11" s="1"/>
  <c r="W179" i="2"/>
  <c r="K200" i="11"/>
  <c r="N200" i="11" s="1"/>
  <c r="V185" i="2"/>
  <c r="J206" i="11"/>
  <c r="M206" i="11" s="1"/>
  <c r="W172" i="2"/>
  <c r="K193" i="11"/>
  <c r="N193" i="11" s="1"/>
  <c r="N498" i="11"/>
  <c r="L498" i="11"/>
  <c r="M498" i="11"/>
  <c r="M455" i="11"/>
  <c r="L455" i="11"/>
  <c r="N455" i="11"/>
  <c r="S354" i="11"/>
  <c r="P354" i="11"/>
  <c r="Q354" i="11"/>
  <c r="O354" i="11"/>
  <c r="P349" i="11"/>
  <c r="Q349" i="11"/>
  <c r="S349" i="11"/>
  <c r="O349" i="11"/>
  <c r="L343" i="11"/>
  <c r="M343" i="11"/>
  <c r="N343" i="11"/>
  <c r="L390" i="11"/>
  <c r="M390" i="11"/>
  <c r="N390" i="11"/>
  <c r="Q391" i="11"/>
  <c r="P391" i="11"/>
  <c r="O391" i="11"/>
  <c r="S391" i="11"/>
  <c r="N384" i="11"/>
  <c r="L384" i="11"/>
  <c r="M384" i="11"/>
  <c r="S345" i="11"/>
  <c r="O345" i="11"/>
  <c r="P345" i="11"/>
  <c r="Q345" i="11"/>
  <c r="S396" i="11"/>
  <c r="P396" i="11"/>
  <c r="O396" i="11"/>
  <c r="Q396" i="11"/>
  <c r="L348" i="11"/>
  <c r="M348" i="11"/>
  <c r="N348" i="11"/>
  <c r="D36" i="10"/>
  <c r="E456" i="11"/>
  <c r="S498" i="11"/>
  <c r="P498" i="11"/>
  <c r="Q498" i="11"/>
  <c r="O498" i="11"/>
  <c r="Q457" i="11"/>
  <c r="O457" i="11"/>
  <c r="S457" i="11"/>
  <c r="P457" i="11"/>
  <c r="Z77" i="10"/>
  <c r="E497" i="11" s="1"/>
  <c r="G497" i="11"/>
  <c r="AJ126" i="3"/>
  <c r="AM126" i="3" s="1"/>
  <c r="AJ125" i="3"/>
  <c r="AM125" i="3" s="1"/>
  <c r="AJ122" i="3"/>
  <c r="AM122" i="3" s="1"/>
  <c r="AJ123" i="3"/>
  <c r="AM123" i="3" s="1"/>
  <c r="AJ124" i="3"/>
  <c r="AM124" i="3" s="1"/>
  <c r="AJ127" i="3"/>
  <c r="AM127" i="3" s="1"/>
  <c r="AJ108" i="3"/>
  <c r="AM108" i="3" s="1"/>
  <c r="AJ110" i="3"/>
  <c r="AM110" i="3" s="1"/>
  <c r="AJ128" i="3"/>
  <c r="AM128" i="3" s="1"/>
  <c r="AJ120" i="3"/>
  <c r="AM120" i="3" s="1"/>
  <c r="AJ116" i="3"/>
  <c r="AM116" i="3" s="1"/>
  <c r="AJ112" i="3"/>
  <c r="AM112" i="3" s="1"/>
  <c r="AJ118" i="3"/>
  <c r="AM118" i="3" s="1"/>
  <c r="AJ117" i="3"/>
  <c r="AM117" i="3" s="1"/>
  <c r="AJ114" i="3"/>
  <c r="AM114" i="3" s="1"/>
  <c r="AJ111" i="3"/>
  <c r="AM111" i="3" s="1"/>
  <c r="AJ115" i="3"/>
  <c r="AM115" i="3" s="1"/>
  <c r="AJ119" i="3"/>
  <c r="AM119" i="3" s="1"/>
  <c r="AJ113" i="3"/>
  <c r="AM113" i="3" s="1"/>
  <c r="AJ109" i="3"/>
  <c r="AM109" i="3" s="1"/>
  <c r="AJ121" i="3"/>
  <c r="AM121" i="3" s="1"/>
  <c r="F13" i="9" a="1"/>
  <c r="F13" i="9" s="1"/>
  <c r="I13" i="9" s="1"/>
  <c r="Z56" i="10"/>
  <c r="C35" i="10"/>
  <c r="X75" i="10"/>
  <c r="Y76" i="10"/>
  <c r="X55" i="10"/>
  <c r="Y55" i="10" s="1"/>
  <c r="G454" i="11" s="1"/>
  <c r="T27" i="9"/>
  <c r="E18" i="9" s="1" a="1"/>
  <c r="E18" i="9" s="1"/>
  <c r="H18" i="9" s="1"/>
  <c r="U33" i="9"/>
  <c r="E348" i="11" s="1"/>
  <c r="D39" i="9"/>
  <c r="D18" i="9"/>
  <c r="U29" i="9"/>
  <c r="E344" i="11" s="1"/>
  <c r="D34" i="9"/>
  <c r="D13" i="9"/>
  <c r="AG12" i="9"/>
  <c r="C33" i="9"/>
  <c r="U54" i="9"/>
  <c r="E390" i="11" s="1"/>
  <c r="C12" i="9"/>
  <c r="AI109" i="3" l="1"/>
  <c r="AL109" i="3" s="1"/>
  <c r="AI125" i="3"/>
  <c r="AL125" i="3" s="1"/>
  <c r="AI119" i="3"/>
  <c r="AL119" i="3" s="1"/>
  <c r="AK119" i="3" s="1"/>
  <c r="AI112" i="3"/>
  <c r="AL112" i="3" s="1"/>
  <c r="AI114" i="3"/>
  <c r="AL114" i="3" s="1"/>
  <c r="AK114" i="3" s="1"/>
  <c r="AK125" i="3"/>
  <c r="AK109" i="3"/>
  <c r="AI147" i="3"/>
  <c r="AL147" i="3" s="1"/>
  <c r="AK126" i="3"/>
  <c r="AI139" i="3"/>
  <c r="AL139" i="3" s="1"/>
  <c r="AK118" i="3"/>
  <c r="AI138" i="3"/>
  <c r="AL138" i="3" s="1"/>
  <c r="AK117" i="3"/>
  <c r="AI131" i="3"/>
  <c r="AL131" i="3" s="1"/>
  <c r="AK110" i="3"/>
  <c r="AI144" i="3"/>
  <c r="AL144" i="3" s="1"/>
  <c r="AK123" i="3"/>
  <c r="AI129" i="3"/>
  <c r="AL129" i="3" s="1"/>
  <c r="AK108" i="3"/>
  <c r="AI134" i="3"/>
  <c r="AL134" i="3" s="1"/>
  <c r="AK113" i="3"/>
  <c r="AI145" i="3"/>
  <c r="AL145" i="3" s="1"/>
  <c r="AK124" i="3"/>
  <c r="AI132" i="3"/>
  <c r="AL132" i="3" s="1"/>
  <c r="AK111" i="3"/>
  <c r="AI140" i="3"/>
  <c r="AL140" i="3" s="1"/>
  <c r="AI136" i="3"/>
  <c r="AL136" i="3" s="1"/>
  <c r="AK115" i="3"/>
  <c r="AI141" i="3"/>
  <c r="AL141" i="3" s="1"/>
  <c r="AK120" i="3"/>
  <c r="AI148" i="3"/>
  <c r="AL148" i="3" s="1"/>
  <c r="AK127" i="3"/>
  <c r="AI142" i="3"/>
  <c r="AL142" i="3" s="1"/>
  <c r="AK121" i="3"/>
  <c r="AI143" i="3"/>
  <c r="AL143" i="3" s="1"/>
  <c r="AK122" i="3"/>
  <c r="AI133" i="3"/>
  <c r="AL133" i="3" s="1"/>
  <c r="AK112" i="3"/>
  <c r="AI137" i="3"/>
  <c r="AL137" i="3" s="1"/>
  <c r="AK116" i="3"/>
  <c r="AI149" i="3"/>
  <c r="AL149" i="3" s="1"/>
  <c r="AK128" i="3"/>
  <c r="V200" i="2"/>
  <c r="J284" i="11" s="1"/>
  <c r="M284" i="11" s="1"/>
  <c r="J242" i="11"/>
  <c r="M242" i="11" s="1"/>
  <c r="V198" i="2"/>
  <c r="J282" i="11" s="1"/>
  <c r="M282" i="11" s="1"/>
  <c r="J240" i="11"/>
  <c r="M240" i="11" s="1"/>
  <c r="W211" i="2"/>
  <c r="K295" i="11" s="1"/>
  <c r="N295" i="11" s="1"/>
  <c r="K253" i="11"/>
  <c r="N253" i="11" s="1"/>
  <c r="V203" i="2"/>
  <c r="J287" i="11" s="1"/>
  <c r="M287" i="11" s="1"/>
  <c r="J245" i="11"/>
  <c r="M245" i="11" s="1"/>
  <c r="W198" i="2"/>
  <c r="K282" i="11" s="1"/>
  <c r="N282" i="11" s="1"/>
  <c r="K240" i="11"/>
  <c r="N240" i="11" s="1"/>
  <c r="W202" i="2"/>
  <c r="K286" i="11" s="1"/>
  <c r="N286" i="11" s="1"/>
  <c r="K244" i="11"/>
  <c r="N244" i="11" s="1"/>
  <c r="U207" i="2"/>
  <c r="I291" i="11" s="1"/>
  <c r="L291" i="11" s="1"/>
  <c r="I249" i="11"/>
  <c r="L249" i="11" s="1"/>
  <c r="U206" i="2"/>
  <c r="I290" i="11" s="1"/>
  <c r="L290" i="11" s="1"/>
  <c r="I248" i="11"/>
  <c r="L248" i="11" s="1"/>
  <c r="V194" i="2"/>
  <c r="J278" i="11" s="1"/>
  <c r="M278" i="11" s="1"/>
  <c r="J236" i="11"/>
  <c r="M236" i="11" s="1"/>
  <c r="W204" i="2"/>
  <c r="K288" i="11" s="1"/>
  <c r="N288" i="11" s="1"/>
  <c r="K246" i="11"/>
  <c r="N246" i="11" s="1"/>
  <c r="V193" i="2"/>
  <c r="J277" i="11" s="1"/>
  <c r="M277" i="11" s="1"/>
  <c r="J235" i="11"/>
  <c r="M235" i="11" s="1"/>
  <c r="U192" i="2"/>
  <c r="I276" i="11" s="1"/>
  <c r="L276" i="11" s="1"/>
  <c r="I234" i="11"/>
  <c r="L234" i="11" s="1"/>
  <c r="V205" i="2"/>
  <c r="J289" i="11" s="1"/>
  <c r="M289" i="11" s="1"/>
  <c r="J247" i="11"/>
  <c r="M247" i="11" s="1"/>
  <c r="U193" i="2"/>
  <c r="I277" i="11" s="1"/>
  <c r="L277" i="11" s="1"/>
  <c r="I235" i="11"/>
  <c r="L235" i="11" s="1"/>
  <c r="U198" i="2"/>
  <c r="I282" i="11" s="1"/>
  <c r="L282" i="11" s="1"/>
  <c r="I240" i="11"/>
  <c r="L240" i="11" s="1"/>
  <c r="U202" i="2"/>
  <c r="I286" i="11" s="1"/>
  <c r="L286" i="11" s="1"/>
  <c r="I244" i="11"/>
  <c r="L244" i="11" s="1"/>
  <c r="U194" i="2"/>
  <c r="I278" i="11" s="1"/>
  <c r="L278" i="11" s="1"/>
  <c r="I236" i="11"/>
  <c r="L236" i="11" s="1"/>
  <c r="W195" i="2"/>
  <c r="K279" i="11" s="1"/>
  <c r="N279" i="11" s="1"/>
  <c r="K237" i="11"/>
  <c r="N237" i="11" s="1"/>
  <c r="W193" i="2"/>
  <c r="K277" i="11" s="1"/>
  <c r="N277" i="11" s="1"/>
  <c r="K235" i="11"/>
  <c r="N235" i="11" s="1"/>
  <c r="V211" i="2"/>
  <c r="J295" i="11" s="1"/>
  <c r="M295" i="11" s="1"/>
  <c r="J253" i="11"/>
  <c r="M253" i="11" s="1"/>
  <c r="U195" i="2"/>
  <c r="I279" i="11" s="1"/>
  <c r="L279" i="11" s="1"/>
  <c r="I237" i="11"/>
  <c r="L237" i="11" s="1"/>
  <c r="U200" i="2"/>
  <c r="I284" i="11" s="1"/>
  <c r="L284" i="11" s="1"/>
  <c r="I242" i="11"/>
  <c r="L242" i="11" s="1"/>
  <c r="U210" i="2"/>
  <c r="I294" i="11" s="1"/>
  <c r="L294" i="11" s="1"/>
  <c r="I252" i="11"/>
  <c r="L252" i="11" s="1"/>
  <c r="W207" i="2"/>
  <c r="K291" i="11" s="1"/>
  <c r="N291" i="11" s="1"/>
  <c r="K249" i="11"/>
  <c r="N249" i="11" s="1"/>
  <c r="V197" i="2"/>
  <c r="J281" i="11" s="1"/>
  <c r="M281" i="11" s="1"/>
  <c r="J239" i="11"/>
  <c r="M239" i="11" s="1"/>
  <c r="V202" i="2"/>
  <c r="J286" i="11" s="1"/>
  <c r="M286" i="11" s="1"/>
  <c r="J244" i="11"/>
  <c r="M244" i="11" s="1"/>
  <c r="U197" i="2"/>
  <c r="I281" i="11" s="1"/>
  <c r="L281" i="11" s="1"/>
  <c r="I239" i="11"/>
  <c r="L239" i="11" s="1"/>
  <c r="W212" i="2"/>
  <c r="K296" i="11" s="1"/>
  <c r="N296" i="11" s="1"/>
  <c r="K254" i="11"/>
  <c r="N254" i="11" s="1"/>
  <c r="U208" i="2"/>
  <c r="I292" i="11" s="1"/>
  <c r="L292" i="11" s="1"/>
  <c r="I250" i="11"/>
  <c r="L250" i="11" s="1"/>
  <c r="W203" i="2"/>
  <c r="K287" i="11" s="1"/>
  <c r="N287" i="11" s="1"/>
  <c r="K245" i="11"/>
  <c r="N245" i="11" s="1"/>
  <c r="V208" i="2"/>
  <c r="J292" i="11" s="1"/>
  <c r="M292" i="11" s="1"/>
  <c r="J250" i="11"/>
  <c r="M250" i="11" s="1"/>
  <c r="U196" i="2"/>
  <c r="I280" i="11" s="1"/>
  <c r="L280" i="11" s="1"/>
  <c r="I238" i="11"/>
  <c r="L238" i="11" s="1"/>
  <c r="V212" i="2"/>
  <c r="J296" i="11" s="1"/>
  <c r="M296" i="11" s="1"/>
  <c r="J254" i="11"/>
  <c r="M254" i="11" s="1"/>
  <c r="W210" i="2"/>
  <c r="K294" i="11" s="1"/>
  <c r="N294" i="11" s="1"/>
  <c r="K252" i="11"/>
  <c r="N252" i="11" s="1"/>
  <c r="W208" i="2"/>
  <c r="K292" i="11" s="1"/>
  <c r="N292" i="11" s="1"/>
  <c r="K250" i="11"/>
  <c r="N250" i="11" s="1"/>
  <c r="U212" i="2"/>
  <c r="I296" i="11" s="1"/>
  <c r="L296" i="11" s="1"/>
  <c r="I254" i="11"/>
  <c r="L254" i="11" s="1"/>
  <c r="G18" i="9" a="1"/>
  <c r="G18" i="9" s="1"/>
  <c r="J18" i="9" s="1"/>
  <c r="V206" i="2"/>
  <c r="J290" i="11" s="1"/>
  <c r="M290" i="11" s="1"/>
  <c r="J248" i="11"/>
  <c r="M248" i="11" s="1"/>
  <c r="V195" i="2"/>
  <c r="J279" i="11" s="1"/>
  <c r="M279" i="11" s="1"/>
  <c r="J237" i="11"/>
  <c r="M237" i="11" s="1"/>
  <c r="V204" i="2"/>
  <c r="J288" i="11" s="1"/>
  <c r="M288" i="11" s="1"/>
  <c r="J246" i="11"/>
  <c r="M246" i="11" s="1"/>
  <c r="V201" i="2"/>
  <c r="J285" i="11" s="1"/>
  <c r="M285" i="11" s="1"/>
  <c r="J243" i="11"/>
  <c r="M243" i="11" s="1"/>
  <c r="W199" i="2"/>
  <c r="K283" i="11" s="1"/>
  <c r="N283" i="11" s="1"/>
  <c r="K241" i="11"/>
  <c r="N241" i="11" s="1"/>
  <c r="U204" i="2"/>
  <c r="I288" i="11" s="1"/>
  <c r="L288" i="11" s="1"/>
  <c r="I246" i="11"/>
  <c r="L246" i="11" s="1"/>
  <c r="V196" i="2"/>
  <c r="J280" i="11" s="1"/>
  <c r="M280" i="11" s="1"/>
  <c r="J238" i="11"/>
  <c r="M238" i="11" s="1"/>
  <c r="U211" i="2"/>
  <c r="I295" i="11" s="1"/>
  <c r="L295" i="11" s="1"/>
  <c r="I253" i="11"/>
  <c r="L253" i="11" s="1"/>
  <c r="V210" i="2"/>
  <c r="J294" i="11" s="1"/>
  <c r="M294" i="11" s="1"/>
  <c r="J252" i="11"/>
  <c r="M252" i="11" s="1"/>
  <c r="W201" i="2"/>
  <c r="K285" i="11" s="1"/>
  <c r="N285" i="11" s="1"/>
  <c r="K243" i="11"/>
  <c r="N243" i="11" s="1"/>
  <c r="W197" i="2"/>
  <c r="K281" i="11" s="1"/>
  <c r="N281" i="11" s="1"/>
  <c r="K239" i="11"/>
  <c r="N239" i="11" s="1"/>
  <c r="U199" i="2"/>
  <c r="I283" i="11" s="1"/>
  <c r="L283" i="11" s="1"/>
  <c r="I241" i="11"/>
  <c r="L241" i="11" s="1"/>
  <c r="V209" i="2"/>
  <c r="J293" i="11" s="1"/>
  <c r="M293" i="11" s="1"/>
  <c r="J251" i="11"/>
  <c r="M251" i="11" s="1"/>
  <c r="W200" i="2"/>
  <c r="K284" i="11" s="1"/>
  <c r="N284" i="11" s="1"/>
  <c r="K242" i="11"/>
  <c r="N242" i="11" s="1"/>
  <c r="W196" i="2"/>
  <c r="K280" i="11" s="1"/>
  <c r="N280" i="11" s="1"/>
  <c r="K238" i="11"/>
  <c r="N238" i="11" s="1"/>
  <c r="U201" i="2"/>
  <c r="I285" i="11" s="1"/>
  <c r="L285" i="11" s="1"/>
  <c r="I243" i="11"/>
  <c r="L243" i="11" s="1"/>
  <c r="W194" i="2"/>
  <c r="K278" i="11" s="1"/>
  <c r="N278" i="11" s="1"/>
  <c r="K236" i="11"/>
  <c r="N236" i="11" s="1"/>
  <c r="U205" i="2"/>
  <c r="I289" i="11" s="1"/>
  <c r="L289" i="11" s="1"/>
  <c r="I247" i="11"/>
  <c r="L247" i="11" s="1"/>
  <c r="W205" i="2"/>
  <c r="K289" i="11" s="1"/>
  <c r="N289" i="11" s="1"/>
  <c r="K247" i="11"/>
  <c r="N247" i="11" s="1"/>
  <c r="U209" i="2"/>
  <c r="I293" i="11" s="1"/>
  <c r="L293" i="11" s="1"/>
  <c r="I251" i="11"/>
  <c r="L251" i="11" s="1"/>
  <c r="V192" i="2"/>
  <c r="J276" i="11" s="1"/>
  <c r="M276" i="11" s="1"/>
  <c r="J234" i="11"/>
  <c r="M234" i="11" s="1"/>
  <c r="U203" i="2"/>
  <c r="I287" i="11" s="1"/>
  <c r="L287" i="11" s="1"/>
  <c r="I245" i="11"/>
  <c r="L245" i="11" s="1"/>
  <c r="W192" i="2"/>
  <c r="K276" i="11" s="1"/>
  <c r="N276" i="11" s="1"/>
  <c r="K234" i="11"/>
  <c r="N234" i="11" s="1"/>
  <c r="V199" i="2"/>
  <c r="J283" i="11" s="1"/>
  <c r="M283" i="11" s="1"/>
  <c r="J241" i="11"/>
  <c r="M241" i="11" s="1"/>
  <c r="V207" i="2"/>
  <c r="J291" i="11" s="1"/>
  <c r="M291" i="11" s="1"/>
  <c r="J249" i="11"/>
  <c r="M249" i="11" s="1"/>
  <c r="W206" i="2"/>
  <c r="K290" i="11" s="1"/>
  <c r="N290" i="11" s="1"/>
  <c r="K248" i="11"/>
  <c r="N248" i="11" s="1"/>
  <c r="W209" i="2"/>
  <c r="K293" i="11" s="1"/>
  <c r="N293" i="11" s="1"/>
  <c r="K251" i="11"/>
  <c r="N251" i="11" s="1"/>
  <c r="L454" i="11"/>
  <c r="M454" i="11"/>
  <c r="N454" i="11"/>
  <c r="M497" i="11"/>
  <c r="N497" i="11"/>
  <c r="L497" i="11"/>
  <c r="O344" i="11"/>
  <c r="Q344" i="11"/>
  <c r="S344" i="11"/>
  <c r="P344" i="11"/>
  <c r="P390" i="11"/>
  <c r="Q390" i="11"/>
  <c r="O390" i="11"/>
  <c r="S390" i="11"/>
  <c r="F18" i="9" a="1"/>
  <c r="F18" i="9" s="1"/>
  <c r="I18" i="9" s="1"/>
  <c r="G342" i="11"/>
  <c r="G13" i="9" a="1"/>
  <c r="G13" i="9" s="1"/>
  <c r="J13" i="9" s="1"/>
  <c r="O348" i="11"/>
  <c r="Q348" i="11"/>
  <c r="P348" i="11"/>
  <c r="S348" i="11"/>
  <c r="E13" i="9" a="1"/>
  <c r="E13" i="9" s="1"/>
  <c r="H13" i="9" s="1"/>
  <c r="Z76" i="10"/>
  <c r="E496" i="11" s="1"/>
  <c r="G496" i="11"/>
  <c r="D35" i="10"/>
  <c r="E455" i="11"/>
  <c r="O456" i="11"/>
  <c r="S456" i="11"/>
  <c r="P456" i="11"/>
  <c r="Q456" i="11"/>
  <c r="P497" i="11"/>
  <c r="S497" i="11"/>
  <c r="Q497" i="11"/>
  <c r="O497" i="11"/>
  <c r="AJ130" i="3"/>
  <c r="AM130" i="3" s="1"/>
  <c r="K67" i="11"/>
  <c r="N67" i="11" s="1"/>
  <c r="AJ132" i="3"/>
  <c r="AM132" i="3" s="1"/>
  <c r="K69" i="11"/>
  <c r="N69" i="11" s="1"/>
  <c r="AJ133" i="3"/>
  <c r="AM133" i="3" s="1"/>
  <c r="K70" i="11"/>
  <c r="N70" i="11" s="1"/>
  <c r="AJ131" i="3"/>
  <c r="AM131" i="3" s="1"/>
  <c r="K68" i="11"/>
  <c r="N68" i="11" s="1"/>
  <c r="AJ144" i="3"/>
  <c r="AM144" i="3" s="1"/>
  <c r="K81" i="11"/>
  <c r="N81" i="11" s="1"/>
  <c r="AJ134" i="3"/>
  <c r="AM134" i="3" s="1"/>
  <c r="K71" i="11"/>
  <c r="N71" i="11" s="1"/>
  <c r="AJ135" i="3"/>
  <c r="AM135" i="3" s="1"/>
  <c r="K72" i="11"/>
  <c r="N72" i="11" s="1"/>
  <c r="AJ137" i="3"/>
  <c r="AM137" i="3" s="1"/>
  <c r="K74" i="11"/>
  <c r="N74" i="11" s="1"/>
  <c r="AJ129" i="3"/>
  <c r="AM129" i="3" s="1"/>
  <c r="K66" i="11"/>
  <c r="N66" i="11" s="1"/>
  <c r="AJ143" i="3"/>
  <c r="AM143" i="3" s="1"/>
  <c r="K80" i="11"/>
  <c r="N80" i="11" s="1"/>
  <c r="AJ140" i="3"/>
  <c r="AM140" i="3" s="1"/>
  <c r="K77" i="11"/>
  <c r="N77" i="11" s="1"/>
  <c r="AJ138" i="3"/>
  <c r="AM138" i="3" s="1"/>
  <c r="K75" i="11"/>
  <c r="N75" i="11" s="1"/>
  <c r="AJ141" i="3"/>
  <c r="AM141" i="3" s="1"/>
  <c r="K78" i="11"/>
  <c r="N78" i="11" s="1"/>
  <c r="AJ148" i="3"/>
  <c r="AM148" i="3" s="1"/>
  <c r="K85" i="11"/>
  <c r="N85" i="11" s="1"/>
  <c r="AJ146" i="3"/>
  <c r="AM146" i="3" s="1"/>
  <c r="K83" i="11"/>
  <c r="N83" i="11" s="1"/>
  <c r="AJ142" i="3"/>
  <c r="AM142" i="3" s="1"/>
  <c r="K79" i="11"/>
  <c r="N79" i="11" s="1"/>
  <c r="AJ136" i="3"/>
  <c r="AM136" i="3" s="1"/>
  <c r="K73" i="11"/>
  <c r="N73" i="11" s="1"/>
  <c r="AJ139" i="3"/>
  <c r="AM139" i="3" s="1"/>
  <c r="K76" i="11"/>
  <c r="N76" i="11" s="1"/>
  <c r="AJ149" i="3"/>
  <c r="AM149" i="3" s="1"/>
  <c r="K86" i="11"/>
  <c r="N86" i="11" s="1"/>
  <c r="AJ145" i="3"/>
  <c r="AM145" i="3" s="1"/>
  <c r="K82" i="11"/>
  <c r="N82" i="11" s="1"/>
  <c r="AJ147" i="3"/>
  <c r="AM147" i="3" s="1"/>
  <c r="K84" i="11"/>
  <c r="N84" i="11" s="1"/>
  <c r="F12" i="9" a="1"/>
  <c r="F12" i="9" s="1"/>
  <c r="I12" i="9" s="1"/>
  <c r="E12" i="9" a="1"/>
  <c r="E12" i="9" s="1"/>
  <c r="H12" i="9" s="1"/>
  <c r="G12" i="9" a="1"/>
  <c r="G12" i="9" s="1"/>
  <c r="J12" i="9" s="1"/>
  <c r="F33" i="9" a="1"/>
  <c r="F33" i="9" s="1"/>
  <c r="I33" i="9" s="1"/>
  <c r="G33" i="9" a="1"/>
  <c r="G33" i="9" s="1"/>
  <c r="J33" i="9" s="1"/>
  <c r="E33" i="9" a="1"/>
  <c r="E33" i="9" s="1"/>
  <c r="H33" i="9" s="1"/>
  <c r="E37" i="9" a="1"/>
  <c r="E37" i="9" s="1"/>
  <c r="H37" i="9" s="1"/>
  <c r="G42" i="9" a="1"/>
  <c r="G42" i="9" s="1"/>
  <c r="J42" i="9" s="1"/>
  <c r="G21" i="9" a="1"/>
  <c r="G21" i="9" s="1"/>
  <c r="J21" i="9" s="1"/>
  <c r="F42" i="9" a="1"/>
  <c r="F42" i="9" s="1"/>
  <c r="I42" i="9" s="1"/>
  <c r="E36" i="9" a="1"/>
  <c r="E36" i="9" s="1"/>
  <c r="H36" i="9" s="1"/>
  <c r="G44" i="9" a="1"/>
  <c r="G44" i="9" s="1"/>
  <c r="J44" i="9" s="1"/>
  <c r="E43" i="9" a="1"/>
  <c r="E43" i="9" s="1"/>
  <c r="H43" i="9" s="1"/>
  <c r="F41" i="9" a="1"/>
  <c r="F41" i="9" s="1"/>
  <c r="I41" i="9" s="1"/>
  <c r="E20" i="9" a="1"/>
  <c r="E20" i="9" s="1"/>
  <c r="H20" i="9" s="1"/>
  <c r="E44" i="9" a="1"/>
  <c r="E44" i="9" s="1"/>
  <c r="H44" i="9" s="1"/>
  <c r="G22" i="9" a="1"/>
  <c r="G22" i="9" s="1"/>
  <c r="J22" i="9" s="1"/>
  <c r="G41" i="9" a="1"/>
  <c r="G41" i="9" s="1"/>
  <c r="J41" i="9" s="1"/>
  <c r="E15" i="9" a="1"/>
  <c r="E15" i="9" s="1"/>
  <c r="H15" i="9" s="1"/>
  <c r="F36" i="9" a="1"/>
  <c r="F36" i="9" s="1"/>
  <c r="I36" i="9" s="1"/>
  <c r="E22" i="9" a="1"/>
  <c r="E22" i="9" s="1"/>
  <c r="H22" i="9" s="1"/>
  <c r="G38" i="9" a="1"/>
  <c r="G38" i="9" s="1"/>
  <c r="J38" i="9" s="1"/>
  <c r="E41" i="9" a="1"/>
  <c r="E41" i="9" s="1"/>
  <c r="H41" i="9" s="1"/>
  <c r="F15" i="9" a="1"/>
  <c r="F15" i="9" s="1"/>
  <c r="I15" i="9" s="1"/>
  <c r="F20" i="9" a="1"/>
  <c r="F20" i="9" s="1"/>
  <c r="I20" i="9" s="1"/>
  <c r="G36" i="9" a="1"/>
  <c r="G36" i="9" s="1"/>
  <c r="J36" i="9" s="1"/>
  <c r="G17" i="9" a="1"/>
  <c r="G17" i="9" s="1"/>
  <c r="J17" i="9" s="1"/>
  <c r="E38" i="9" a="1"/>
  <c r="E38" i="9" s="1"/>
  <c r="H38" i="9" s="1"/>
  <c r="G15" i="9" a="1"/>
  <c r="G15" i="9" s="1"/>
  <c r="J15" i="9" s="1"/>
  <c r="G23" i="9" a="1"/>
  <c r="G23" i="9" s="1"/>
  <c r="J23" i="9" s="1"/>
  <c r="F43" i="9" a="1"/>
  <c r="F43" i="9" s="1"/>
  <c r="I43" i="9" s="1"/>
  <c r="E17" i="9" a="1"/>
  <c r="E17" i="9" s="1"/>
  <c r="H17" i="9" s="1"/>
  <c r="E21" i="9" a="1"/>
  <c r="E21" i="9" s="1"/>
  <c r="H21" i="9" s="1"/>
  <c r="F37" i="9" a="1"/>
  <c r="F37" i="9" s="1"/>
  <c r="I37" i="9" s="1"/>
  <c r="G20" i="9" a="1"/>
  <c r="G20" i="9" s="1"/>
  <c r="J20" i="9" s="1"/>
  <c r="E23" i="9" a="1"/>
  <c r="E23" i="9" s="1"/>
  <c r="H23" i="9" s="1"/>
  <c r="F17" i="9" a="1"/>
  <c r="F17" i="9" s="1"/>
  <c r="I17" i="9" s="1"/>
  <c r="F38" i="9" a="1"/>
  <c r="F38" i="9" s="1"/>
  <c r="I38" i="9" s="1"/>
  <c r="F16" i="9" a="1"/>
  <c r="F16" i="9" s="1"/>
  <c r="I16" i="9" s="1"/>
  <c r="E42" i="9" a="1"/>
  <c r="E42" i="9" s="1"/>
  <c r="H42" i="9" s="1"/>
  <c r="F23" i="9" a="1"/>
  <c r="F23" i="9" s="1"/>
  <c r="I23" i="9" s="1"/>
  <c r="F22" i="9" a="1"/>
  <c r="F22" i="9" s="1"/>
  <c r="I22" i="9" s="1"/>
  <c r="G37" i="9" a="1"/>
  <c r="G37" i="9" s="1"/>
  <c r="J37" i="9" s="1"/>
  <c r="E16" i="9" a="1"/>
  <c r="E16" i="9" s="1"/>
  <c r="H16" i="9" s="1"/>
  <c r="G16" i="9" a="1"/>
  <c r="G16" i="9" s="1"/>
  <c r="J16" i="9" s="1"/>
  <c r="F44" i="9" a="1"/>
  <c r="F44" i="9" s="1"/>
  <c r="I44" i="9" s="1"/>
  <c r="G43" i="9" a="1"/>
  <c r="G43" i="9" s="1"/>
  <c r="J43" i="9" s="1"/>
  <c r="F21" i="9" a="1"/>
  <c r="F21" i="9" s="1"/>
  <c r="I21" i="9" s="1"/>
  <c r="G14" i="9" a="1"/>
  <c r="G14" i="9" s="1"/>
  <c r="J14" i="9" s="1"/>
  <c r="G40" i="9" a="1"/>
  <c r="G40" i="9" s="1"/>
  <c r="J40" i="9" s="1"/>
  <c r="F19" i="9" a="1"/>
  <c r="F19" i="9" s="1"/>
  <c r="I19" i="9" s="1"/>
  <c r="E14" i="9" a="1"/>
  <c r="E14" i="9" s="1"/>
  <c r="H14" i="9" s="1"/>
  <c r="G19" i="9" a="1"/>
  <c r="G19" i="9" s="1"/>
  <c r="J19" i="9" s="1"/>
  <c r="F14" i="9" a="1"/>
  <c r="F14" i="9" s="1"/>
  <c r="I14" i="9" s="1"/>
  <c r="G35" i="9" a="1"/>
  <c r="G35" i="9" s="1"/>
  <c r="J35" i="9" s="1"/>
  <c r="E35" i="9" a="1"/>
  <c r="E35" i="9" s="1"/>
  <c r="H35" i="9" s="1"/>
  <c r="F35" i="9" a="1"/>
  <c r="F35" i="9" s="1"/>
  <c r="I35" i="9" s="1"/>
  <c r="F40" i="9" a="1"/>
  <c r="F40" i="9" s="1"/>
  <c r="I40" i="9" s="1"/>
  <c r="E40" i="9" a="1"/>
  <c r="E40" i="9" s="1"/>
  <c r="H40" i="9" s="1"/>
  <c r="E19" i="9" a="1"/>
  <c r="E19" i="9" s="1"/>
  <c r="H19" i="9" s="1"/>
  <c r="G34" i="9" a="1"/>
  <c r="G34" i="9" s="1"/>
  <c r="J34" i="9" s="1"/>
  <c r="F34" i="9" a="1"/>
  <c r="F34" i="9" s="1"/>
  <c r="I34" i="9" s="1"/>
  <c r="E34" i="9" a="1"/>
  <c r="E34" i="9" s="1"/>
  <c r="H34" i="9" s="1"/>
  <c r="F39" i="9" a="1"/>
  <c r="F39" i="9" s="1"/>
  <c r="I39" i="9" s="1"/>
  <c r="E39" i="9" a="1"/>
  <c r="E39" i="9" s="1"/>
  <c r="H39" i="9" s="1"/>
  <c r="G39" i="9" a="1"/>
  <c r="G39" i="9" s="1"/>
  <c r="J39" i="9" s="1"/>
  <c r="C34" i="10"/>
  <c r="Z55" i="10"/>
  <c r="X74" i="10"/>
  <c r="Y75" i="10"/>
  <c r="X54" i="10"/>
  <c r="Y54" i="10" s="1"/>
  <c r="G453" i="11" s="1"/>
  <c r="U28" i="9"/>
  <c r="E343" i="11" s="1"/>
  <c r="C32" i="9"/>
  <c r="U53" i="9"/>
  <c r="E389" i="11" s="1"/>
  <c r="AG11" i="9"/>
  <c r="C11" i="9"/>
  <c r="D12" i="9"/>
  <c r="D33" i="9"/>
  <c r="AI130" i="3" l="1"/>
  <c r="AL130" i="3" s="1"/>
  <c r="AI146" i="3"/>
  <c r="AL146" i="3" s="1"/>
  <c r="AK146" i="3" s="1"/>
  <c r="AI135" i="3"/>
  <c r="AL135" i="3" s="1"/>
  <c r="AK135" i="3" s="1"/>
  <c r="AI158" i="3"/>
  <c r="AK137" i="3"/>
  <c r="AI169" i="3"/>
  <c r="AK148" i="3"/>
  <c r="AI153" i="3"/>
  <c r="AK132" i="3"/>
  <c r="AI165" i="3"/>
  <c r="AK144" i="3"/>
  <c r="AI154" i="3"/>
  <c r="AK133" i="3"/>
  <c r="AI162" i="3"/>
  <c r="AK141" i="3"/>
  <c r="AI166" i="3"/>
  <c r="AK145" i="3"/>
  <c r="AI152" i="3"/>
  <c r="AK131" i="3"/>
  <c r="AI168" i="3"/>
  <c r="AK147" i="3"/>
  <c r="AI164" i="3"/>
  <c r="AK143" i="3"/>
  <c r="AI157" i="3"/>
  <c r="AK136" i="3"/>
  <c r="AI155" i="3"/>
  <c r="AK134" i="3"/>
  <c r="AI159" i="3"/>
  <c r="AK138" i="3"/>
  <c r="AI151" i="3"/>
  <c r="AK130" i="3"/>
  <c r="AI170" i="3"/>
  <c r="AK149" i="3"/>
  <c r="AI163" i="3"/>
  <c r="AK142" i="3"/>
  <c r="AI161" i="3"/>
  <c r="AK140" i="3"/>
  <c r="AI150" i="3"/>
  <c r="AK129" i="3"/>
  <c r="AI160" i="3"/>
  <c r="AK139" i="3"/>
  <c r="AI167" i="3"/>
  <c r="M496" i="11"/>
  <c r="L496" i="11"/>
  <c r="N496" i="11"/>
  <c r="M453" i="11"/>
  <c r="N453" i="11"/>
  <c r="L453" i="11"/>
  <c r="S343" i="11"/>
  <c r="P343" i="11"/>
  <c r="Q343" i="11"/>
  <c r="O343" i="11"/>
  <c r="S389" i="11"/>
  <c r="P389" i="11"/>
  <c r="Q389" i="11"/>
  <c r="O389" i="11"/>
  <c r="L342" i="11"/>
  <c r="M342" i="11"/>
  <c r="N342" i="11"/>
  <c r="O455" i="11"/>
  <c r="S455" i="11"/>
  <c r="P455" i="11"/>
  <c r="Q455" i="11"/>
  <c r="Z75" i="10"/>
  <c r="E495" i="11" s="1"/>
  <c r="G495" i="11"/>
  <c r="S496" i="11"/>
  <c r="O496" i="11"/>
  <c r="P496" i="11"/>
  <c r="Q496" i="11"/>
  <c r="D34" i="10"/>
  <c r="E454" i="11"/>
  <c r="AJ151" i="3"/>
  <c r="AJ172" i="3" s="1"/>
  <c r="AM172" i="3" s="1"/>
  <c r="AJ157" i="3"/>
  <c r="AJ178" i="3" s="1"/>
  <c r="AM178" i="3" s="1"/>
  <c r="AJ165" i="3"/>
  <c r="AJ186" i="3" s="1"/>
  <c r="AM186" i="3" s="1"/>
  <c r="AJ166" i="3"/>
  <c r="AJ187" i="3" s="1"/>
  <c r="AM187" i="3" s="1"/>
  <c r="AJ163" i="3"/>
  <c r="AJ184" i="3" s="1"/>
  <c r="AM184" i="3" s="1"/>
  <c r="AJ159" i="3"/>
  <c r="AJ180" i="3" s="1"/>
  <c r="AM180" i="3" s="1"/>
  <c r="AJ158" i="3"/>
  <c r="AJ179" i="3" s="1"/>
  <c r="AM179" i="3" s="1"/>
  <c r="AJ152" i="3"/>
  <c r="AJ173" i="3" s="1"/>
  <c r="AM173" i="3" s="1"/>
  <c r="AJ150" i="3"/>
  <c r="AJ171" i="3" s="1"/>
  <c r="AM171" i="3" s="1"/>
  <c r="AJ168" i="3"/>
  <c r="AJ189" i="3" s="1"/>
  <c r="AM189" i="3" s="1"/>
  <c r="AJ162" i="3"/>
  <c r="AJ183" i="3" s="1"/>
  <c r="AM183" i="3" s="1"/>
  <c r="AJ170" i="3"/>
  <c r="AJ191" i="3" s="1"/>
  <c r="AM191" i="3" s="1"/>
  <c r="AJ167" i="3"/>
  <c r="AJ188" i="3" s="1"/>
  <c r="AM188" i="3" s="1"/>
  <c r="AJ161" i="3"/>
  <c r="AJ182" i="3" s="1"/>
  <c r="AM182" i="3" s="1"/>
  <c r="AJ156" i="3"/>
  <c r="AJ177" i="3" s="1"/>
  <c r="AM177" i="3" s="1"/>
  <c r="AJ154" i="3"/>
  <c r="AJ175" i="3" s="1"/>
  <c r="AM175" i="3" s="1"/>
  <c r="AJ160" i="3"/>
  <c r="AJ181" i="3" s="1"/>
  <c r="AM181" i="3" s="1"/>
  <c r="AJ169" i="3"/>
  <c r="AJ190" i="3" s="1"/>
  <c r="AM190" i="3" s="1"/>
  <c r="AJ164" i="3"/>
  <c r="AJ185" i="3" s="1"/>
  <c r="AM185" i="3" s="1"/>
  <c r="AJ155" i="3"/>
  <c r="AJ176" i="3" s="1"/>
  <c r="AM176" i="3" s="1"/>
  <c r="AJ153" i="3"/>
  <c r="AJ174" i="3" s="1"/>
  <c r="AM174" i="3" s="1"/>
  <c r="G32" i="9" a="1"/>
  <c r="G32" i="9" s="1"/>
  <c r="J32" i="9" s="1"/>
  <c r="E32" i="9" a="1"/>
  <c r="E32" i="9" s="1"/>
  <c r="H32" i="9" s="1"/>
  <c r="F32" i="9" a="1"/>
  <c r="F32" i="9" s="1"/>
  <c r="I32" i="9" s="1"/>
  <c r="F11" i="9" a="1"/>
  <c r="F11" i="9" s="1"/>
  <c r="I11" i="9" s="1"/>
  <c r="G11" i="9" a="1"/>
  <c r="G11" i="9" s="1"/>
  <c r="J11" i="9" s="1"/>
  <c r="E11" i="9" a="1"/>
  <c r="E11" i="9" s="1"/>
  <c r="H11" i="9" s="1"/>
  <c r="C33" i="10"/>
  <c r="Z54" i="10"/>
  <c r="E453" i="11" s="1"/>
  <c r="X73" i="10"/>
  <c r="Y74" i="10"/>
  <c r="X53" i="10"/>
  <c r="Y53" i="10" s="1"/>
  <c r="G452" i="11" s="1"/>
  <c r="U27" i="9"/>
  <c r="E342" i="11" s="1"/>
  <c r="C10" i="9"/>
  <c r="AG10" i="9"/>
  <c r="C31" i="9"/>
  <c r="U52" i="9"/>
  <c r="E388" i="11" s="1"/>
  <c r="D32" i="9"/>
  <c r="D11" i="9"/>
  <c r="AI156" i="3" l="1"/>
  <c r="AI177" i="3" s="1"/>
  <c r="AL177" i="3" s="1"/>
  <c r="AK177" i="3" s="1"/>
  <c r="AI181" i="3"/>
  <c r="AL181" i="3" s="1"/>
  <c r="AK181" i="3" s="1"/>
  <c r="AI191" i="3"/>
  <c r="AL191" i="3" s="1"/>
  <c r="AK191" i="3" s="1"/>
  <c r="AI178" i="3"/>
  <c r="AL178" i="3" s="1"/>
  <c r="AK178" i="3" s="1"/>
  <c r="AI187" i="3"/>
  <c r="AL187" i="3" s="1"/>
  <c r="AK187" i="3" s="1"/>
  <c r="AI186" i="3"/>
  <c r="AL186" i="3" s="1"/>
  <c r="AK186" i="3" s="1"/>
  <c r="AI171" i="3"/>
  <c r="AL171" i="3" s="1"/>
  <c r="AK171" i="3" s="1"/>
  <c r="AI172" i="3"/>
  <c r="AL172" i="3" s="1"/>
  <c r="AK172" i="3" s="1"/>
  <c r="AI185" i="3"/>
  <c r="AL185" i="3" s="1"/>
  <c r="AK185" i="3" s="1"/>
  <c r="AI183" i="3"/>
  <c r="AL183" i="3" s="1"/>
  <c r="AK183" i="3" s="1"/>
  <c r="AI174" i="3"/>
  <c r="AL174" i="3" s="1"/>
  <c r="AK174" i="3" s="1"/>
  <c r="AI182" i="3"/>
  <c r="AL182" i="3" s="1"/>
  <c r="AK182" i="3" s="1"/>
  <c r="AI180" i="3"/>
  <c r="AL180" i="3" s="1"/>
  <c r="AK180" i="3" s="1"/>
  <c r="AI189" i="3"/>
  <c r="AL189" i="3" s="1"/>
  <c r="AK189" i="3" s="1"/>
  <c r="AI175" i="3"/>
  <c r="AL175" i="3" s="1"/>
  <c r="AK175" i="3" s="1"/>
  <c r="AI190" i="3"/>
  <c r="AL190" i="3" s="1"/>
  <c r="AK190" i="3" s="1"/>
  <c r="AI188" i="3"/>
  <c r="AL188" i="3" s="1"/>
  <c r="AK188" i="3" s="1"/>
  <c r="AI184" i="3"/>
  <c r="AL184" i="3" s="1"/>
  <c r="AK184" i="3" s="1"/>
  <c r="AI176" i="3"/>
  <c r="AL176" i="3" s="1"/>
  <c r="AK176" i="3" s="1"/>
  <c r="AI173" i="3"/>
  <c r="AL173" i="3" s="1"/>
  <c r="AK173" i="3" s="1"/>
  <c r="AI179" i="3"/>
  <c r="AL179" i="3" s="1"/>
  <c r="AK179" i="3" s="1"/>
  <c r="D33" i="10"/>
  <c r="M495" i="11"/>
  <c r="N495" i="11"/>
  <c r="L495" i="11"/>
  <c r="M452" i="11"/>
  <c r="L452" i="11"/>
  <c r="N452" i="11"/>
  <c r="Q342" i="11"/>
  <c r="O342" i="11"/>
  <c r="S342" i="11"/>
  <c r="P342" i="11"/>
  <c r="O388" i="11"/>
  <c r="S388" i="11"/>
  <c r="Q388" i="11"/>
  <c r="P388" i="11"/>
  <c r="O453" i="11"/>
  <c r="P453" i="11"/>
  <c r="S453" i="11"/>
  <c r="Q453" i="11"/>
  <c r="O495" i="11"/>
  <c r="S495" i="11"/>
  <c r="P495" i="11"/>
  <c r="Q495" i="11"/>
  <c r="Q454" i="11"/>
  <c r="O454" i="11"/>
  <c r="P454" i="11"/>
  <c r="S454" i="11"/>
  <c r="Z74" i="10"/>
  <c r="E494" i="11" s="1"/>
  <c r="G494" i="11"/>
  <c r="AJ197" i="3"/>
  <c r="AM197" i="3" s="1"/>
  <c r="AJ196" i="3"/>
  <c r="AM196" i="3" s="1"/>
  <c r="AJ212" i="3"/>
  <c r="AM212" i="3" s="1"/>
  <c r="AJ194" i="3"/>
  <c r="AM194" i="3" s="1"/>
  <c r="AJ208" i="3"/>
  <c r="AM208" i="3" s="1"/>
  <c r="AJ206" i="3"/>
  <c r="AM206" i="3" s="1"/>
  <c r="AJ198" i="3"/>
  <c r="AM198" i="3" s="1"/>
  <c r="AJ204" i="3"/>
  <c r="AM204" i="3" s="1"/>
  <c r="AJ200" i="3"/>
  <c r="AM200" i="3" s="1"/>
  <c r="AJ207" i="3"/>
  <c r="AM207" i="3" s="1"/>
  <c r="AJ211" i="3"/>
  <c r="AM211" i="3" s="1"/>
  <c r="AJ203" i="3"/>
  <c r="AM203" i="3" s="1"/>
  <c r="AJ210" i="3"/>
  <c r="AM210" i="3" s="1"/>
  <c r="AJ201" i="3"/>
  <c r="AM201" i="3" s="1"/>
  <c r="AJ199" i="3"/>
  <c r="AM199" i="3" s="1"/>
  <c r="AJ195" i="3"/>
  <c r="AM195" i="3" s="1"/>
  <c r="AJ202" i="3"/>
  <c r="AM202" i="3" s="1"/>
  <c r="AJ209" i="3"/>
  <c r="AM209" i="3" s="1"/>
  <c r="AJ192" i="3"/>
  <c r="AM192" i="3" s="1"/>
  <c r="AJ205" i="3"/>
  <c r="AM205" i="3" s="1"/>
  <c r="AJ193" i="3"/>
  <c r="AM193" i="3" s="1"/>
  <c r="G31" i="9" a="1"/>
  <c r="G31" i="9" s="1"/>
  <c r="J31" i="9" s="1"/>
  <c r="E31" i="9" a="1"/>
  <c r="E31" i="9" s="1"/>
  <c r="H31" i="9" s="1"/>
  <c r="F31" i="9" a="1"/>
  <c r="F31" i="9" s="1"/>
  <c r="I31" i="9" s="1"/>
  <c r="E10" i="9" a="1"/>
  <c r="E10" i="9" s="1"/>
  <c r="H10" i="9" s="1"/>
  <c r="F10" i="9" a="1"/>
  <c r="F10" i="9" s="1"/>
  <c r="I10" i="9" s="1"/>
  <c r="G10" i="9" a="1"/>
  <c r="G10" i="9" s="1"/>
  <c r="J10" i="9" s="1"/>
  <c r="C32" i="10"/>
  <c r="Z53" i="10"/>
  <c r="X72" i="10"/>
  <c r="Y73" i="10"/>
  <c r="X52" i="10"/>
  <c r="Y52" i="10" s="1"/>
  <c r="G451" i="11" s="1"/>
  <c r="U26" i="9"/>
  <c r="E341" i="11" s="1"/>
  <c r="D31" i="9"/>
  <c r="D10" i="9"/>
  <c r="C9" i="9"/>
  <c r="U51" i="9"/>
  <c r="E387" i="11" s="1"/>
  <c r="AG9" i="9"/>
  <c r="C30" i="9"/>
  <c r="AI196" i="3" l="1"/>
  <c r="AL196" i="3" s="1"/>
  <c r="AK196" i="3" s="1"/>
  <c r="AI195" i="3"/>
  <c r="AL195" i="3" s="1"/>
  <c r="AI192" i="3"/>
  <c r="AL192" i="3" s="1"/>
  <c r="AK192" i="3" s="1"/>
  <c r="AI212" i="3"/>
  <c r="AL212" i="3" s="1"/>
  <c r="AK212" i="3" s="1"/>
  <c r="AI207" i="3"/>
  <c r="AL207" i="3" s="1"/>
  <c r="AK207" i="3" s="1"/>
  <c r="AI200" i="3"/>
  <c r="AL200" i="3" s="1"/>
  <c r="AK200" i="3" s="1"/>
  <c r="AI211" i="3"/>
  <c r="AL211" i="3" s="1"/>
  <c r="AK211" i="3" s="1"/>
  <c r="AI203" i="3"/>
  <c r="AL203" i="3" s="1"/>
  <c r="AK203" i="3" s="1"/>
  <c r="AI199" i="3"/>
  <c r="AL199" i="3" s="1"/>
  <c r="AK199" i="3" s="1"/>
  <c r="AI193" i="3"/>
  <c r="AL193" i="3" s="1"/>
  <c r="AK193" i="3" s="1"/>
  <c r="AI194" i="3"/>
  <c r="AL194" i="3" s="1"/>
  <c r="AK194" i="3" s="1"/>
  <c r="AI197" i="3"/>
  <c r="AL197" i="3" s="1"/>
  <c r="AK197" i="3" s="1"/>
  <c r="AI204" i="3"/>
  <c r="AL204" i="3" s="1"/>
  <c r="AK204" i="3" s="1"/>
  <c r="AI210" i="3"/>
  <c r="AL210" i="3" s="1"/>
  <c r="AK210" i="3" s="1"/>
  <c r="AI205" i="3"/>
  <c r="AL205" i="3" s="1"/>
  <c r="AK205" i="3" s="1"/>
  <c r="AI202" i="3"/>
  <c r="AL202" i="3" s="1"/>
  <c r="AK202" i="3" s="1"/>
  <c r="AI198" i="3"/>
  <c r="AL198" i="3" s="1"/>
  <c r="AK198" i="3" s="1"/>
  <c r="AI209" i="3"/>
  <c r="AL209" i="3" s="1"/>
  <c r="AK209" i="3" s="1"/>
  <c r="AI201" i="3"/>
  <c r="AL201" i="3" s="1"/>
  <c r="AK201" i="3" s="1"/>
  <c r="AI206" i="3"/>
  <c r="AL206" i="3" s="1"/>
  <c r="AK206" i="3" s="1"/>
  <c r="AI208" i="3"/>
  <c r="AL208" i="3" s="1"/>
  <c r="AK208" i="3" s="1"/>
  <c r="AK195" i="3"/>
  <c r="N494" i="11"/>
  <c r="L494" i="11"/>
  <c r="M494" i="11"/>
  <c r="N451" i="11"/>
  <c r="L451" i="11"/>
  <c r="M451" i="11"/>
  <c r="O387" i="11"/>
  <c r="Q387" i="11"/>
  <c r="P387" i="11"/>
  <c r="S387" i="11"/>
  <c r="S341" i="11"/>
  <c r="P341" i="11"/>
  <c r="Q341" i="11"/>
  <c r="O341" i="11"/>
  <c r="S494" i="11"/>
  <c r="P494" i="11"/>
  <c r="Q494" i="11"/>
  <c r="O494" i="11"/>
  <c r="Z73" i="10"/>
  <c r="E493" i="11" s="1"/>
  <c r="G493" i="11"/>
  <c r="D32" i="10"/>
  <c r="E452" i="11"/>
  <c r="E30" i="9" a="1"/>
  <c r="E30" i="9" s="1"/>
  <c r="H30" i="9" s="1"/>
  <c r="F30" i="9" a="1"/>
  <c r="F30" i="9" s="1"/>
  <c r="I30" i="9" s="1"/>
  <c r="G30" i="9" a="1"/>
  <c r="G30" i="9" s="1"/>
  <c r="J30" i="9" s="1"/>
  <c r="F9" i="9" a="1"/>
  <c r="F9" i="9" s="1"/>
  <c r="I9" i="9" s="1"/>
  <c r="G9" i="9" a="1"/>
  <c r="G9" i="9" s="1"/>
  <c r="J9" i="9" s="1"/>
  <c r="E9" i="9" a="1"/>
  <c r="E9" i="9" s="1"/>
  <c r="H9" i="9" s="1"/>
  <c r="C31" i="10"/>
  <c r="Z52" i="10"/>
  <c r="X71" i="10"/>
  <c r="Y72" i="10"/>
  <c r="X51" i="10"/>
  <c r="Y51" i="10" s="1"/>
  <c r="G450" i="11" s="1"/>
  <c r="U24" i="9"/>
  <c r="E339" i="11" s="1"/>
  <c r="U25" i="9"/>
  <c r="E340" i="11" s="1"/>
  <c r="D9" i="9"/>
  <c r="D30" i="9"/>
  <c r="C29" i="9"/>
  <c r="U50" i="9"/>
  <c r="E386" i="11" s="1"/>
  <c r="C8" i="9"/>
  <c r="AG8" i="9"/>
  <c r="N493" i="11" l="1"/>
  <c r="M493" i="11"/>
  <c r="L493" i="11"/>
  <c r="L450" i="11"/>
  <c r="N450" i="11"/>
  <c r="M450" i="11"/>
  <c r="S386" i="11"/>
  <c r="P386" i="11"/>
  <c r="Q386" i="11"/>
  <c r="O386" i="11"/>
  <c r="P340" i="11"/>
  <c r="O340" i="11"/>
  <c r="Q340" i="11"/>
  <c r="S340" i="11"/>
  <c r="S339" i="11"/>
  <c r="P339" i="11"/>
  <c r="Q339" i="11"/>
  <c r="O339" i="11"/>
  <c r="D31" i="10"/>
  <c r="E451" i="11"/>
  <c r="P452" i="11"/>
  <c r="O452" i="11"/>
  <c r="Q452" i="11"/>
  <c r="S452" i="11"/>
  <c r="S493" i="11"/>
  <c r="O493" i="11"/>
  <c r="Q493" i="11"/>
  <c r="P493" i="11"/>
  <c r="Z72" i="10"/>
  <c r="E492" i="11" s="1"/>
  <c r="G492" i="11"/>
  <c r="G29" i="9" a="1"/>
  <c r="G29" i="9" s="1"/>
  <c r="J29" i="9" s="1"/>
  <c r="E29" i="9" a="1"/>
  <c r="E29" i="9" s="1"/>
  <c r="H29" i="9" s="1"/>
  <c r="F29" i="9" a="1"/>
  <c r="F29" i="9" s="1"/>
  <c r="I29" i="9" s="1"/>
  <c r="E8" i="9" a="1"/>
  <c r="E8" i="9" s="1"/>
  <c r="H8" i="9" s="1"/>
  <c r="F8" i="9" a="1"/>
  <c r="F8" i="9" s="1"/>
  <c r="I8" i="9" s="1"/>
  <c r="G8" i="9" a="1"/>
  <c r="G8" i="9" s="1"/>
  <c r="J8" i="9" s="1"/>
  <c r="Z51" i="10"/>
  <c r="C30" i="10"/>
  <c r="X70" i="10"/>
  <c r="Y71" i="10"/>
  <c r="X50" i="10"/>
  <c r="Y50" i="10" s="1"/>
  <c r="G449" i="11" s="1"/>
  <c r="C28" i="9"/>
  <c r="C7" i="9"/>
  <c r="AG7" i="9"/>
  <c r="U49" i="9"/>
  <c r="E385" i="11" s="1"/>
  <c r="D29" i="9"/>
  <c r="D8" i="9"/>
  <c r="M492" i="11" l="1"/>
  <c r="N492" i="11"/>
  <c r="L492" i="11"/>
  <c r="L449" i="11"/>
  <c r="N449" i="11"/>
  <c r="M449" i="11"/>
  <c r="P385" i="11"/>
  <c r="S385" i="11"/>
  <c r="Q385" i="11"/>
  <c r="O385" i="11"/>
  <c r="Z71" i="10"/>
  <c r="E491" i="11" s="1"/>
  <c r="G491" i="11"/>
  <c r="D30" i="10"/>
  <c r="E450" i="11"/>
  <c r="O492" i="11"/>
  <c r="P492" i="11"/>
  <c r="S492" i="11"/>
  <c r="Q492" i="11"/>
  <c r="Q451" i="11"/>
  <c r="P451" i="11"/>
  <c r="O451" i="11"/>
  <c r="S451" i="11"/>
  <c r="E28" i="9" a="1"/>
  <c r="E28" i="9" s="1"/>
  <c r="H28" i="9" s="1"/>
  <c r="F28" i="9" a="1"/>
  <c r="F28" i="9" s="1"/>
  <c r="I28" i="9" s="1"/>
  <c r="G28" i="9" a="1"/>
  <c r="G28" i="9" s="1"/>
  <c r="J28" i="9" s="1"/>
  <c r="G7" i="9" a="1"/>
  <c r="G7" i="9" s="1"/>
  <c r="J7" i="9" s="1"/>
  <c r="F7" i="9" a="1"/>
  <c r="F7" i="9" s="1"/>
  <c r="I7" i="9" s="1"/>
  <c r="E7" i="9" a="1"/>
  <c r="E7" i="9" s="1"/>
  <c r="H7" i="9" s="1"/>
  <c r="Z50" i="10"/>
  <c r="C29" i="10"/>
  <c r="X69" i="10"/>
  <c r="Y70" i="10"/>
  <c r="X49" i="10"/>
  <c r="Y49" i="10" s="1"/>
  <c r="G448" i="11" s="1"/>
  <c r="X47" i="10"/>
  <c r="Y47" i="10" s="1"/>
  <c r="G446" i="11" s="1"/>
  <c r="D7" i="9"/>
  <c r="D28" i="9"/>
  <c r="AG6" i="9"/>
  <c r="C27" i="9"/>
  <c r="C6" i="9"/>
  <c r="U48" i="9"/>
  <c r="E384" i="11" s="1"/>
  <c r="M491" i="11" l="1"/>
  <c r="N491" i="11"/>
  <c r="L491" i="11"/>
  <c r="L446" i="11"/>
  <c r="N446" i="11"/>
  <c r="M446" i="11"/>
  <c r="N448" i="11"/>
  <c r="L448" i="11"/>
  <c r="M448" i="11"/>
  <c r="S384" i="11"/>
  <c r="O384" i="11"/>
  <c r="P384" i="11"/>
  <c r="Q384" i="11"/>
  <c r="Q450" i="11"/>
  <c r="S450" i="11"/>
  <c r="O450" i="11"/>
  <c r="P450" i="11"/>
  <c r="Z70" i="10"/>
  <c r="E490" i="11" s="1"/>
  <c r="G490" i="11"/>
  <c r="P491" i="11"/>
  <c r="Q491" i="11"/>
  <c r="O491" i="11"/>
  <c r="S491" i="11"/>
  <c r="D29" i="10"/>
  <c r="E449" i="11"/>
  <c r="E6" i="9" a="1"/>
  <c r="E6" i="9" s="1"/>
  <c r="H6" i="9" s="1"/>
  <c r="F6" i="9" a="1"/>
  <c r="F6" i="9" s="1"/>
  <c r="I6" i="9" s="1"/>
  <c r="G6" i="9" a="1"/>
  <c r="G6" i="9" s="1"/>
  <c r="J6" i="9" s="1"/>
  <c r="G27" i="9" a="1"/>
  <c r="G27" i="9" s="1"/>
  <c r="J27" i="9" s="1"/>
  <c r="E27" i="9" a="1"/>
  <c r="E27" i="9" s="1"/>
  <c r="H27" i="9" s="1"/>
  <c r="F27" i="9" a="1"/>
  <c r="F27" i="9" s="1"/>
  <c r="I27" i="9" s="1"/>
  <c r="E29" i="10" a="1"/>
  <c r="E29" i="10" s="1"/>
  <c r="F29" i="10" a="1"/>
  <c r="F29" i="10" s="1"/>
  <c r="G29" i="10" a="1"/>
  <c r="G29" i="10" s="1"/>
  <c r="C28" i="10"/>
  <c r="Z49" i="10"/>
  <c r="Y69" i="10"/>
  <c r="X48" i="10"/>
  <c r="Y48" i="10" s="1"/>
  <c r="G447" i="11" s="1"/>
  <c r="Z47" i="10"/>
  <c r="C26" i="10"/>
  <c r="X45" i="10"/>
  <c r="Y45" i="10" s="1"/>
  <c r="G444" i="11" s="1"/>
  <c r="X46" i="10"/>
  <c r="Y46" i="10" s="1"/>
  <c r="G445" i="11" s="1"/>
  <c r="D27" i="9"/>
  <c r="D6" i="9"/>
  <c r="U47" i="9"/>
  <c r="E383" i="11" s="1"/>
  <c r="C5" i="9"/>
  <c r="C26" i="9"/>
  <c r="AG5" i="9"/>
  <c r="K29" i="10" l="1"/>
  <c r="N29" i="10" s="1"/>
  <c r="J29" i="10"/>
  <c r="M29" i="10" s="1"/>
  <c r="L444" i="11"/>
  <c r="N444" i="11"/>
  <c r="M444" i="11"/>
  <c r="L447" i="11"/>
  <c r="N447" i="11"/>
  <c r="M447" i="11"/>
  <c r="N490" i="11"/>
  <c r="L490" i="11"/>
  <c r="M490" i="11"/>
  <c r="N445" i="11"/>
  <c r="M445" i="11"/>
  <c r="L445" i="11"/>
  <c r="S383" i="11"/>
  <c r="Q383" i="11"/>
  <c r="O383" i="11"/>
  <c r="P383" i="11"/>
  <c r="P449" i="11"/>
  <c r="Q449" i="11"/>
  <c r="O449" i="11"/>
  <c r="S449" i="11"/>
  <c r="I29" i="10"/>
  <c r="L29" i="10" s="1"/>
  <c r="D26" i="10"/>
  <c r="E446" i="11"/>
  <c r="Z69" i="10"/>
  <c r="E489" i="11" s="1"/>
  <c r="G489" i="11"/>
  <c r="D28" i="10"/>
  <c r="E448" i="11"/>
  <c r="Q490" i="11"/>
  <c r="O490" i="11"/>
  <c r="P490" i="11"/>
  <c r="S490" i="11"/>
  <c r="E26" i="9" a="1"/>
  <c r="E26" i="9" s="1"/>
  <c r="H26" i="9" s="1"/>
  <c r="F26" i="9" a="1"/>
  <c r="F26" i="9" s="1"/>
  <c r="I26" i="9" s="1"/>
  <c r="G26" i="9" a="1"/>
  <c r="G26" i="9" s="1"/>
  <c r="J26" i="9" s="1"/>
  <c r="E5" i="9" a="1"/>
  <c r="E5" i="9" s="1"/>
  <c r="H5" i="9" s="1"/>
  <c r="F5" i="9" a="1"/>
  <c r="F5" i="9" s="1"/>
  <c r="I5" i="9" s="1"/>
  <c r="G5" i="9" a="1"/>
  <c r="G5" i="9" s="1"/>
  <c r="J5" i="9" s="1"/>
  <c r="G44" i="10" a="1"/>
  <c r="G44" i="10" s="1"/>
  <c r="J44" i="10" s="1"/>
  <c r="F44" i="10" a="1"/>
  <c r="F44" i="10" s="1"/>
  <c r="E44" i="10" a="1"/>
  <c r="E44" i="10" s="1"/>
  <c r="E42" i="10" a="1"/>
  <c r="E42" i="10" s="1"/>
  <c r="G42" i="10" a="1"/>
  <c r="G42" i="10" s="1"/>
  <c r="J42" i="10" s="1"/>
  <c r="F42" i="10" a="1"/>
  <c r="F42" i="10" s="1"/>
  <c r="E43" i="10" a="1"/>
  <c r="E43" i="10" s="1"/>
  <c r="G43" i="10" a="1"/>
  <c r="G43" i="10" s="1"/>
  <c r="J43" i="10" s="1"/>
  <c r="F43" i="10" a="1"/>
  <c r="F43" i="10" s="1"/>
  <c r="E41" i="10" a="1"/>
  <c r="E41" i="10" s="1"/>
  <c r="G41" i="10" a="1"/>
  <c r="G41" i="10" s="1"/>
  <c r="J41" i="10" s="1"/>
  <c r="F41" i="10" a="1"/>
  <c r="F41" i="10" s="1"/>
  <c r="E40" i="10" a="1"/>
  <c r="E40" i="10" s="1"/>
  <c r="G40" i="10" a="1"/>
  <c r="G40" i="10" s="1"/>
  <c r="J40" i="10" s="1"/>
  <c r="F40" i="10" a="1"/>
  <c r="F40" i="10" s="1"/>
  <c r="E39" i="10" a="1"/>
  <c r="E39" i="10" s="1"/>
  <c r="F39" i="10" a="1"/>
  <c r="F39" i="10" s="1"/>
  <c r="G39" i="10" a="1"/>
  <c r="G39" i="10" s="1"/>
  <c r="J39" i="10" s="1"/>
  <c r="G38" i="10" a="1"/>
  <c r="G38" i="10" s="1"/>
  <c r="J38" i="10" s="1"/>
  <c r="F38" i="10" a="1"/>
  <c r="F38" i="10" s="1"/>
  <c r="E38" i="10" a="1"/>
  <c r="E38" i="10" s="1"/>
  <c r="E37" i="10" a="1"/>
  <c r="E37" i="10" s="1"/>
  <c r="F37" i="10" a="1"/>
  <c r="F37" i="10" s="1"/>
  <c r="G37" i="10" a="1"/>
  <c r="G37" i="10" s="1"/>
  <c r="J37" i="10" s="1"/>
  <c r="E36" i="10" a="1"/>
  <c r="E36" i="10" s="1"/>
  <c r="F36" i="10" a="1"/>
  <c r="F36" i="10" s="1"/>
  <c r="G36" i="10" a="1"/>
  <c r="G36" i="10" s="1"/>
  <c r="J36" i="10" s="1"/>
  <c r="G35" i="10" a="1"/>
  <c r="G35" i="10" s="1"/>
  <c r="J35" i="10" s="1"/>
  <c r="E35" i="10" a="1"/>
  <c r="E35" i="10" s="1"/>
  <c r="F35" i="10" a="1"/>
  <c r="F35" i="10" s="1"/>
  <c r="E34" i="10" a="1"/>
  <c r="E34" i="10" s="1"/>
  <c r="F34" i="10" a="1"/>
  <c r="F34" i="10" s="1"/>
  <c r="G34" i="10" a="1"/>
  <c r="G34" i="10" s="1"/>
  <c r="J34" i="10" s="1"/>
  <c r="F33" i="10" a="1"/>
  <c r="F33" i="10" s="1"/>
  <c r="G33" i="10" a="1"/>
  <c r="G33" i="10" s="1"/>
  <c r="J33" i="10" s="1"/>
  <c r="E33" i="10" a="1"/>
  <c r="E33" i="10" s="1"/>
  <c r="E32" i="10" a="1"/>
  <c r="E32" i="10" s="1"/>
  <c r="F32" i="10" a="1"/>
  <c r="F32" i="10" s="1"/>
  <c r="G32" i="10" a="1"/>
  <c r="G32" i="10" s="1"/>
  <c r="J32" i="10" s="1"/>
  <c r="E31" i="10" a="1"/>
  <c r="E31" i="10" s="1"/>
  <c r="F31" i="10" a="1"/>
  <c r="F31" i="10" s="1"/>
  <c r="G31" i="10" a="1"/>
  <c r="G31" i="10" s="1"/>
  <c r="J31" i="10" s="1"/>
  <c r="F30" i="10" a="1"/>
  <c r="F30" i="10" s="1"/>
  <c r="G30" i="10" a="1"/>
  <c r="G30" i="10" s="1"/>
  <c r="J30" i="10" s="1"/>
  <c r="E30" i="10" a="1"/>
  <c r="E30" i="10" s="1"/>
  <c r="E26" i="10" a="1"/>
  <c r="E26" i="10" s="1"/>
  <c r="F26" i="10" a="1"/>
  <c r="F26" i="10" s="1"/>
  <c r="G26" i="10" a="1"/>
  <c r="G26" i="10" s="1"/>
  <c r="E28" i="10" a="1"/>
  <c r="E28" i="10" s="1"/>
  <c r="F28" i="10" a="1"/>
  <c r="F28" i="10" s="1"/>
  <c r="G28" i="10" a="1"/>
  <c r="G28" i="10" s="1"/>
  <c r="Z48" i="10"/>
  <c r="C27" i="10"/>
  <c r="C25" i="10"/>
  <c r="Z46" i="10"/>
  <c r="C24" i="10"/>
  <c r="Z45" i="10"/>
  <c r="U46" i="9"/>
  <c r="E382" i="11" s="1"/>
  <c r="C4" i="9"/>
  <c r="AG4" i="9"/>
  <c r="C25" i="9"/>
  <c r="D26" i="9"/>
  <c r="D5" i="9"/>
  <c r="M40" i="10" l="1"/>
  <c r="M37" i="10"/>
  <c r="M42" i="10"/>
  <c r="M34" i="10"/>
  <c r="M35" i="10"/>
  <c r="J28" i="10"/>
  <c r="M28" i="10" s="1"/>
  <c r="M38" i="10"/>
  <c r="M41" i="10"/>
  <c r="M33" i="10"/>
  <c r="M36" i="10"/>
  <c r="M44" i="10"/>
  <c r="K43" i="10"/>
  <c r="N43" i="10" s="1"/>
  <c r="K30" i="10"/>
  <c r="N30" i="10" s="1"/>
  <c r="K38" i="10"/>
  <c r="N38" i="10" s="1"/>
  <c r="K33" i="10"/>
  <c r="N33" i="10" s="1"/>
  <c r="K44" i="10"/>
  <c r="N44" i="10" s="1"/>
  <c r="K31" i="10"/>
  <c r="N31" i="10" s="1"/>
  <c r="K39" i="10"/>
  <c r="N39" i="10" s="1"/>
  <c r="K32" i="10"/>
  <c r="N32" i="10" s="1"/>
  <c r="K42" i="10"/>
  <c r="N42" i="10" s="1"/>
  <c r="K34" i="10"/>
  <c r="N34" i="10" s="1"/>
  <c r="M32" i="10"/>
  <c r="M30" i="10"/>
  <c r="K37" i="10"/>
  <c r="N37" i="10" s="1"/>
  <c r="K40" i="10"/>
  <c r="N40" i="10" s="1"/>
  <c r="K41" i="10"/>
  <c r="N41" i="10" s="1"/>
  <c r="K26" i="10"/>
  <c r="N26" i="10" s="1"/>
  <c r="K35" i="10"/>
  <c r="N35" i="10" s="1"/>
  <c r="K28" i="10"/>
  <c r="N28" i="10" s="1"/>
  <c r="M31" i="10"/>
  <c r="K36" i="10"/>
  <c r="N36" i="10" s="1"/>
  <c r="M39" i="10"/>
  <c r="M43" i="10"/>
  <c r="J26" i="10"/>
  <c r="M26" i="10" s="1"/>
  <c r="N489" i="11"/>
  <c r="L489" i="11"/>
  <c r="M489" i="11"/>
  <c r="S382" i="11"/>
  <c r="P382" i="11"/>
  <c r="Q382" i="11"/>
  <c r="O382" i="11"/>
  <c r="I33" i="10"/>
  <c r="L33" i="10" s="1"/>
  <c r="I42" i="10"/>
  <c r="L42" i="10" s="1"/>
  <c r="S489" i="11"/>
  <c r="O489" i="11"/>
  <c r="Q489" i="11"/>
  <c r="P489" i="11"/>
  <c r="O446" i="11"/>
  <c r="S446" i="11"/>
  <c r="P446" i="11"/>
  <c r="Q446" i="11"/>
  <c r="I44" i="10"/>
  <c r="L44" i="10" s="1"/>
  <c r="P448" i="11"/>
  <c r="O448" i="11"/>
  <c r="Q448" i="11"/>
  <c r="S448" i="11"/>
  <c r="I30" i="10"/>
  <c r="L30" i="10" s="1"/>
  <c r="D27" i="10"/>
  <c r="E447" i="11"/>
  <c r="I41" i="10"/>
  <c r="L41" i="10" s="1"/>
  <c r="I36" i="10"/>
  <c r="L36" i="10" s="1"/>
  <c r="I31" i="10"/>
  <c r="L31" i="10" s="1"/>
  <c r="I39" i="10"/>
  <c r="L39" i="10" s="1"/>
  <c r="D25" i="10"/>
  <c r="E445" i="11"/>
  <c r="I34" i="10"/>
  <c r="L34" i="10" s="1"/>
  <c r="I43" i="10"/>
  <c r="L43" i="10" s="1"/>
  <c r="D24" i="10"/>
  <c r="E444" i="11"/>
  <c r="I37" i="10"/>
  <c r="L37" i="10" s="1"/>
  <c r="I26" i="10"/>
  <c r="L26" i="10" s="1"/>
  <c r="I32" i="10"/>
  <c r="L32" i="10" s="1"/>
  <c r="I35" i="10"/>
  <c r="L35" i="10" s="1"/>
  <c r="I38" i="10"/>
  <c r="L38" i="10" s="1"/>
  <c r="I40" i="10"/>
  <c r="L40" i="10" s="1"/>
  <c r="I28" i="10"/>
  <c r="L28" i="10" s="1"/>
  <c r="E4" i="9" a="1"/>
  <c r="E4" i="9" s="1"/>
  <c r="H4" i="9" s="1"/>
  <c r="F4" i="9" a="1"/>
  <c r="F4" i="9" s="1"/>
  <c r="I4" i="9" s="1"/>
  <c r="G4" i="9" a="1"/>
  <c r="G4" i="9" s="1"/>
  <c r="J4" i="9" s="1"/>
  <c r="G25" i="9" a="1"/>
  <c r="G25" i="9" s="1"/>
  <c r="J25" i="9" s="1"/>
  <c r="E25" i="9" a="1"/>
  <c r="E25" i="9" s="1"/>
  <c r="H25" i="9" s="1"/>
  <c r="F25" i="9" a="1"/>
  <c r="F25" i="9" s="1"/>
  <c r="I25" i="9" s="1"/>
  <c r="E24" i="10" a="1"/>
  <c r="E24" i="10" s="1"/>
  <c r="F24" i="10" a="1"/>
  <c r="F24" i="10" s="1"/>
  <c r="G24" i="10" a="1"/>
  <c r="G24" i="10" s="1"/>
  <c r="E27" i="10" a="1"/>
  <c r="E27" i="10" s="1"/>
  <c r="F27" i="10" a="1"/>
  <c r="F27" i="10" s="1"/>
  <c r="G27" i="10" a="1"/>
  <c r="G27" i="10" s="1"/>
  <c r="G25" i="10" a="1"/>
  <c r="G25" i="10" s="1"/>
  <c r="F25" i="10" a="1"/>
  <c r="F25" i="10" s="1"/>
  <c r="E25" i="10" a="1"/>
  <c r="E25" i="10" s="1"/>
  <c r="D25" i="9"/>
  <c r="D4" i="9"/>
  <c r="AG3" i="9"/>
  <c r="C3" i="9"/>
  <c r="U45" i="9"/>
  <c r="E381" i="11" s="1"/>
  <c r="C24" i="9"/>
  <c r="K25" i="10" l="1"/>
  <c r="N25" i="10" s="1"/>
  <c r="J27" i="10"/>
  <c r="M27" i="10" s="1"/>
  <c r="K27" i="10"/>
  <c r="N27" i="10" s="1"/>
  <c r="K24" i="10"/>
  <c r="N24" i="10" s="1"/>
  <c r="J24" i="10"/>
  <c r="M24" i="10" s="1"/>
  <c r="J25" i="10"/>
  <c r="M25" i="10" s="1"/>
  <c r="S381" i="11"/>
  <c r="Q381" i="11"/>
  <c r="O381" i="11"/>
  <c r="P381" i="11"/>
  <c r="Q447" i="11"/>
  <c r="O447" i="11"/>
  <c r="P447" i="11"/>
  <c r="S447" i="11"/>
  <c r="S445" i="11"/>
  <c r="P445" i="11"/>
  <c r="O445" i="11"/>
  <c r="Q445" i="11"/>
  <c r="I25" i="10"/>
  <c r="L25" i="10" s="1"/>
  <c r="S444" i="11"/>
  <c r="P444" i="11"/>
  <c r="Q444" i="11"/>
  <c r="O444" i="11"/>
  <c r="I24" i="10"/>
  <c r="L24" i="10" s="1"/>
  <c r="I27" i="10"/>
  <c r="L27" i="10" s="1"/>
  <c r="G3" i="9" a="1"/>
  <c r="G3" i="9" s="1"/>
  <c r="J3" i="9" s="1"/>
  <c r="E3" i="9" a="1"/>
  <c r="E3" i="9" s="1"/>
  <c r="H3" i="9" s="1"/>
  <c r="F3" i="9" a="1"/>
  <c r="F3" i="9" s="1"/>
  <c r="I3" i="9" s="1"/>
  <c r="E24" i="9" a="1"/>
  <c r="E24" i="9" s="1"/>
  <c r="H24" i="9" s="1"/>
  <c r="F24" i="9" a="1"/>
  <c r="F24" i="9" s="1"/>
  <c r="I24" i="9" s="1"/>
  <c r="G24" i="9" a="1"/>
  <c r="G24" i="9" s="1"/>
  <c r="J24" i="9" s="1"/>
  <c r="D24" i="9"/>
  <c r="D3" i="9"/>
  <c r="AP24" i="3" l="1"/>
  <c r="AQ24" i="3" s="1"/>
  <c r="AR24" i="3" s="1"/>
  <c r="AP25" i="3"/>
  <c r="AQ25" i="3" s="1"/>
  <c r="AP26" i="3"/>
  <c r="AQ26" i="3" s="1"/>
  <c r="AR26" i="3" s="1"/>
  <c r="AP27" i="3"/>
  <c r="AQ27" i="3" s="1"/>
  <c r="AR27" i="3" s="1"/>
  <c r="AP28" i="3"/>
  <c r="AQ28" i="3" s="1"/>
  <c r="AR28" i="3" s="1"/>
  <c r="AP29" i="3"/>
  <c r="AQ29" i="3" s="1"/>
  <c r="AR29" i="3" s="1"/>
  <c r="AP30" i="3"/>
  <c r="AQ30" i="3" s="1"/>
  <c r="AT30" i="3" s="1"/>
  <c r="AP31" i="3"/>
  <c r="AQ31" i="3" s="1"/>
  <c r="AR31" i="3" s="1"/>
  <c r="AP32" i="3"/>
  <c r="AQ32" i="3" s="1"/>
  <c r="AR32" i="3" s="1"/>
  <c r="AP33" i="3"/>
  <c r="AQ33" i="3" s="1"/>
  <c r="AP34" i="3"/>
  <c r="AQ34" i="3" s="1"/>
  <c r="AR34" i="3" s="1"/>
  <c r="AP35" i="3"/>
  <c r="AQ35" i="3" s="1"/>
  <c r="AR35" i="3" s="1"/>
  <c r="AP36" i="3"/>
  <c r="AQ36" i="3" s="1"/>
  <c r="AR36" i="3" s="1"/>
  <c r="AP37" i="3"/>
  <c r="AQ37" i="3" s="1"/>
  <c r="AR37" i="3" s="1"/>
  <c r="AP38" i="3"/>
  <c r="AQ38" i="3" s="1"/>
  <c r="AT38" i="3" s="1"/>
  <c r="AP39" i="3"/>
  <c r="AQ39" i="3" s="1"/>
  <c r="AR39" i="3" s="1"/>
  <c r="AP40" i="3"/>
  <c r="AQ40" i="3" s="1"/>
  <c r="AR40" i="3" s="1"/>
  <c r="AP41" i="3"/>
  <c r="AQ41" i="3" s="1"/>
  <c r="AP42" i="3"/>
  <c r="AQ42" i="3" s="1"/>
  <c r="AR42" i="3" s="1"/>
  <c r="AP43" i="3"/>
  <c r="AQ43" i="3" s="1"/>
  <c r="AR43" i="3" s="1"/>
  <c r="AP44" i="3"/>
  <c r="AQ44" i="3" s="1"/>
  <c r="AR44" i="3" s="1"/>
  <c r="AP45" i="3"/>
  <c r="AQ45" i="3" s="1"/>
  <c r="AR45" i="3" s="1"/>
  <c r="AP46" i="3"/>
  <c r="AQ46" i="3" s="1"/>
  <c r="AT46" i="3" s="1"/>
  <c r="AP47" i="3"/>
  <c r="AQ47" i="3" s="1"/>
  <c r="AR47" i="3" s="1"/>
  <c r="AP48" i="3"/>
  <c r="AQ48" i="3" s="1"/>
  <c r="AR48" i="3" s="1"/>
  <c r="AP49" i="3"/>
  <c r="AQ49" i="3" s="1"/>
  <c r="AP50" i="3"/>
  <c r="AQ50" i="3" s="1"/>
  <c r="AR50" i="3" s="1"/>
  <c r="AP51" i="3"/>
  <c r="AQ51" i="3" s="1"/>
  <c r="AR51" i="3" s="1"/>
  <c r="AP52" i="3"/>
  <c r="AQ52" i="3" s="1"/>
  <c r="AR52" i="3" s="1"/>
  <c r="AP53" i="3"/>
  <c r="AQ53" i="3" s="1"/>
  <c r="AR53" i="3" s="1"/>
  <c r="AP54" i="3"/>
  <c r="AQ54" i="3" s="1"/>
  <c r="AT54" i="3" s="1"/>
  <c r="AP55" i="3"/>
  <c r="AQ55" i="3" s="1"/>
  <c r="AR55" i="3" s="1"/>
  <c r="AP56" i="3"/>
  <c r="AQ56" i="3" s="1"/>
  <c r="AR56" i="3" s="1"/>
  <c r="AP57" i="3"/>
  <c r="AQ57" i="3" s="1"/>
  <c r="AP58" i="3"/>
  <c r="AQ58" i="3" s="1"/>
  <c r="AR58" i="3" s="1"/>
  <c r="AP59" i="3"/>
  <c r="AQ59" i="3" s="1"/>
  <c r="AR59" i="3" s="1"/>
  <c r="AP60" i="3"/>
  <c r="AQ60" i="3" s="1"/>
  <c r="AR60" i="3" s="1"/>
  <c r="AP61" i="3"/>
  <c r="AQ61" i="3" s="1"/>
  <c r="AR61" i="3" s="1"/>
  <c r="AP62" i="3"/>
  <c r="AQ62" i="3" s="1"/>
  <c r="AT62" i="3" s="1"/>
  <c r="AP63" i="3"/>
  <c r="AQ63" i="3" s="1"/>
  <c r="AR63" i="3" s="1"/>
  <c r="AP64" i="3"/>
  <c r="AQ64" i="3" s="1"/>
  <c r="AR64" i="3" s="1"/>
  <c r="AP65" i="3"/>
  <c r="AQ65" i="3" s="1"/>
  <c r="AP66" i="3"/>
  <c r="AQ66" i="3" s="1"/>
  <c r="AR66" i="3" s="1"/>
  <c r="AP67" i="3"/>
  <c r="AQ67" i="3" s="1"/>
  <c r="AR67" i="3" s="1"/>
  <c r="AP68" i="3"/>
  <c r="AQ68" i="3" s="1"/>
  <c r="AR68" i="3" s="1"/>
  <c r="AP69" i="3"/>
  <c r="AQ69" i="3" s="1"/>
  <c r="AR69" i="3" s="1"/>
  <c r="AP70" i="3"/>
  <c r="AQ70" i="3" s="1"/>
  <c r="AT70" i="3" s="1"/>
  <c r="AP71" i="3"/>
  <c r="AQ71" i="3" s="1"/>
  <c r="AR71" i="3" s="1"/>
  <c r="AP72" i="3"/>
  <c r="AQ72" i="3" s="1"/>
  <c r="AR72" i="3" s="1"/>
  <c r="AP73" i="3"/>
  <c r="AQ73" i="3" s="1"/>
  <c r="AP74" i="3"/>
  <c r="AQ74" i="3" s="1"/>
  <c r="AR74" i="3" s="1"/>
  <c r="AP75" i="3"/>
  <c r="AQ75" i="3" s="1"/>
  <c r="AR75" i="3" s="1"/>
  <c r="AP76" i="3"/>
  <c r="AQ76" i="3" s="1"/>
  <c r="AR76" i="3" s="1"/>
  <c r="AP77" i="3"/>
  <c r="AQ77" i="3" s="1"/>
  <c r="AR77" i="3" s="1"/>
  <c r="AP78" i="3"/>
  <c r="AQ78" i="3" s="1"/>
  <c r="AT78" i="3" s="1"/>
  <c r="AP79" i="3"/>
  <c r="AQ79" i="3" s="1"/>
  <c r="AR79" i="3" s="1"/>
  <c r="AP80" i="3"/>
  <c r="AQ80" i="3" s="1"/>
  <c r="AR80" i="3" s="1"/>
  <c r="AP81" i="3"/>
  <c r="AQ81" i="3" s="1"/>
  <c r="AP82" i="3"/>
  <c r="AQ82" i="3" s="1"/>
  <c r="AR82" i="3" s="1"/>
  <c r="AP83" i="3"/>
  <c r="AQ83" i="3" s="1"/>
  <c r="AR83" i="3" s="1"/>
  <c r="AP84" i="3"/>
  <c r="AQ84" i="3" s="1"/>
  <c r="AR84" i="3" s="1"/>
  <c r="AP85" i="3"/>
  <c r="AQ85" i="3" s="1"/>
  <c r="AR85" i="3" s="1"/>
  <c r="AP86" i="3"/>
  <c r="AQ86" i="3" s="1"/>
  <c r="AT86" i="3" s="1"/>
  <c r="AP87" i="3"/>
  <c r="AQ87" i="3" s="1"/>
  <c r="AR87" i="3" s="1"/>
  <c r="AP88" i="3"/>
  <c r="AQ88" i="3" s="1"/>
  <c r="AR88" i="3" s="1"/>
  <c r="AP89" i="3"/>
  <c r="AQ89" i="3" s="1"/>
  <c r="AP90" i="3"/>
  <c r="AQ90" i="3" s="1"/>
  <c r="AR90" i="3" s="1"/>
  <c r="AP91" i="3"/>
  <c r="AQ91" i="3" s="1"/>
  <c r="AR91" i="3" s="1"/>
  <c r="AP92" i="3"/>
  <c r="AQ92" i="3" s="1"/>
  <c r="AR92" i="3" s="1"/>
  <c r="AP93" i="3"/>
  <c r="AQ93" i="3" s="1"/>
  <c r="AR93" i="3" s="1"/>
  <c r="AP94" i="3"/>
  <c r="AQ94" i="3" s="1"/>
  <c r="AT94" i="3" s="1"/>
  <c r="AP95" i="3"/>
  <c r="AQ95" i="3" s="1"/>
  <c r="AR95" i="3" s="1"/>
  <c r="AP96" i="3"/>
  <c r="AQ96" i="3" s="1"/>
  <c r="AR96" i="3" s="1"/>
  <c r="AP97" i="3"/>
  <c r="AQ97" i="3" s="1"/>
  <c r="AP98" i="3"/>
  <c r="AQ98" i="3" s="1"/>
  <c r="AR98" i="3" s="1"/>
  <c r="AP99" i="3"/>
  <c r="AQ99" i="3" s="1"/>
  <c r="AR99" i="3" s="1"/>
  <c r="AP100" i="3"/>
  <c r="AQ100" i="3" s="1"/>
  <c r="AR100" i="3" s="1"/>
  <c r="AP101" i="3"/>
  <c r="AQ101" i="3" s="1"/>
  <c r="AR101" i="3" s="1"/>
  <c r="AP102" i="3"/>
  <c r="AQ102" i="3" s="1"/>
  <c r="AT102" i="3" s="1"/>
  <c r="AP103" i="3"/>
  <c r="AQ103" i="3" s="1"/>
  <c r="AR103" i="3" s="1"/>
  <c r="AP104" i="3"/>
  <c r="AQ104" i="3" s="1"/>
  <c r="AR104" i="3" s="1"/>
  <c r="AP105" i="3"/>
  <c r="AQ105" i="3" s="1"/>
  <c r="AP106" i="3"/>
  <c r="AQ106" i="3" s="1"/>
  <c r="AR106" i="3" s="1"/>
  <c r="AP107" i="3"/>
  <c r="AQ107" i="3" s="1"/>
  <c r="AR107" i="3" s="1"/>
  <c r="AP129" i="3"/>
  <c r="AQ129" i="3" s="1"/>
  <c r="AS129" i="3" s="1"/>
  <c r="AP130" i="3"/>
  <c r="AQ130" i="3" s="1"/>
  <c r="AR130" i="3" s="1"/>
  <c r="AP131" i="3"/>
  <c r="AQ131" i="3" s="1"/>
  <c r="AR131" i="3" s="1"/>
  <c r="AP132" i="3"/>
  <c r="AQ132" i="3" s="1"/>
  <c r="AR132" i="3" s="1"/>
  <c r="AP133" i="3"/>
  <c r="AQ133" i="3" s="1"/>
  <c r="AR133" i="3" s="1"/>
  <c r="AP134" i="3"/>
  <c r="AQ134" i="3" s="1"/>
  <c r="AP135" i="3"/>
  <c r="AQ135" i="3" s="1"/>
  <c r="AR135" i="3" s="1"/>
  <c r="AP136" i="3"/>
  <c r="AQ136" i="3" s="1"/>
  <c r="AR136" i="3" s="1"/>
  <c r="AP137" i="3"/>
  <c r="AQ137" i="3" s="1"/>
  <c r="AS137" i="3" s="1"/>
  <c r="AP138" i="3"/>
  <c r="AQ138" i="3" s="1"/>
  <c r="AR138" i="3" s="1"/>
  <c r="AP139" i="3"/>
  <c r="AQ139" i="3" s="1"/>
  <c r="AR139" i="3" s="1"/>
  <c r="AP140" i="3"/>
  <c r="AQ140" i="3" s="1"/>
  <c r="AR140" i="3" s="1"/>
  <c r="AP141" i="3"/>
  <c r="AQ141" i="3" s="1"/>
  <c r="AR141" i="3" s="1"/>
  <c r="AP142" i="3"/>
  <c r="AQ142" i="3" s="1"/>
  <c r="AP143" i="3"/>
  <c r="AQ143" i="3" s="1"/>
  <c r="AR143" i="3" s="1"/>
  <c r="AP144" i="3"/>
  <c r="AQ144" i="3" s="1"/>
  <c r="AR144" i="3" s="1"/>
  <c r="AP145" i="3"/>
  <c r="AQ145" i="3" s="1"/>
  <c r="AS145" i="3" s="1"/>
  <c r="AP146" i="3"/>
  <c r="AQ146" i="3" s="1"/>
  <c r="AR146" i="3" s="1"/>
  <c r="AP147" i="3"/>
  <c r="AQ147" i="3" s="1"/>
  <c r="AR147" i="3" s="1"/>
  <c r="AP148" i="3"/>
  <c r="AQ148" i="3" s="1"/>
  <c r="AR148" i="3" s="1"/>
  <c r="AP149" i="3"/>
  <c r="AQ149" i="3" s="1"/>
  <c r="AR149" i="3" s="1"/>
  <c r="AP150" i="3"/>
  <c r="AQ150" i="3" s="1"/>
  <c r="AP151" i="3"/>
  <c r="AQ151" i="3" s="1"/>
  <c r="AR151" i="3" s="1"/>
  <c r="AP152" i="3"/>
  <c r="AQ152" i="3" s="1"/>
  <c r="AR152" i="3" s="1"/>
  <c r="AP153" i="3"/>
  <c r="AQ153" i="3" s="1"/>
  <c r="AS153" i="3" s="1"/>
  <c r="AP154" i="3"/>
  <c r="AQ154" i="3" s="1"/>
  <c r="AR154" i="3" s="1"/>
  <c r="AP155" i="3"/>
  <c r="AQ155" i="3" s="1"/>
  <c r="AR155" i="3" s="1"/>
  <c r="AP156" i="3"/>
  <c r="AQ156" i="3" s="1"/>
  <c r="AR156" i="3" s="1"/>
  <c r="AP157" i="3"/>
  <c r="AQ157" i="3" s="1"/>
  <c r="AR157" i="3" s="1"/>
  <c r="AP158" i="3"/>
  <c r="AQ158" i="3" s="1"/>
  <c r="AP159" i="3"/>
  <c r="AQ159" i="3" s="1"/>
  <c r="AR159" i="3" s="1"/>
  <c r="AP160" i="3"/>
  <c r="AQ160" i="3" s="1"/>
  <c r="AR160" i="3" s="1"/>
  <c r="AP161" i="3"/>
  <c r="AQ161" i="3" s="1"/>
  <c r="AS161" i="3" s="1"/>
  <c r="AP162" i="3"/>
  <c r="AQ162" i="3" s="1"/>
  <c r="AR162" i="3" s="1"/>
  <c r="AP163" i="3"/>
  <c r="AQ163" i="3" s="1"/>
  <c r="AR163" i="3" s="1"/>
  <c r="AP164" i="3"/>
  <c r="AQ164" i="3" s="1"/>
  <c r="AR164" i="3" s="1"/>
  <c r="AP165" i="3"/>
  <c r="AQ165" i="3" s="1"/>
  <c r="AR165" i="3" s="1"/>
  <c r="AP166" i="3"/>
  <c r="AQ166" i="3" s="1"/>
  <c r="AP167" i="3"/>
  <c r="AQ167" i="3" s="1"/>
  <c r="AR167" i="3" s="1"/>
  <c r="AP168" i="3"/>
  <c r="AQ168" i="3" s="1"/>
  <c r="AR168" i="3" s="1"/>
  <c r="AP169" i="3"/>
  <c r="AQ169" i="3" s="1"/>
  <c r="AS169" i="3" s="1"/>
  <c r="AP170" i="3"/>
  <c r="AQ170" i="3" s="1"/>
  <c r="AR170" i="3" s="1"/>
  <c r="AP171" i="3"/>
  <c r="AQ171" i="3" s="1"/>
  <c r="AR171" i="3" s="1"/>
  <c r="AP172" i="3"/>
  <c r="AQ172" i="3" s="1"/>
  <c r="AR172" i="3" s="1"/>
  <c r="AP173" i="3"/>
  <c r="AQ173" i="3" s="1"/>
  <c r="AR173" i="3" s="1"/>
  <c r="AP174" i="3"/>
  <c r="AQ174" i="3" s="1"/>
  <c r="AP175" i="3"/>
  <c r="AQ175" i="3" s="1"/>
  <c r="AR175" i="3" s="1"/>
  <c r="AP176" i="3"/>
  <c r="AQ176" i="3" s="1"/>
  <c r="AR176" i="3" s="1"/>
  <c r="AP177" i="3"/>
  <c r="AQ177" i="3" s="1"/>
  <c r="AS177" i="3" s="1"/>
  <c r="AP178" i="3"/>
  <c r="AQ178" i="3" s="1"/>
  <c r="AR178" i="3" s="1"/>
  <c r="AP179" i="3"/>
  <c r="AQ179" i="3" s="1"/>
  <c r="AR179" i="3" s="1"/>
  <c r="AP180" i="3"/>
  <c r="AQ180" i="3" s="1"/>
  <c r="AR180" i="3" s="1"/>
  <c r="AP181" i="3"/>
  <c r="AQ181" i="3" s="1"/>
  <c r="AR181" i="3" s="1"/>
  <c r="AP182" i="3"/>
  <c r="AQ182" i="3" s="1"/>
  <c r="AP183" i="3"/>
  <c r="AQ183" i="3" s="1"/>
  <c r="AR183" i="3" s="1"/>
  <c r="AP184" i="3"/>
  <c r="AQ184" i="3" s="1"/>
  <c r="AR184" i="3" s="1"/>
  <c r="AP185" i="3"/>
  <c r="AQ185" i="3" s="1"/>
  <c r="AS185" i="3" s="1"/>
  <c r="AP186" i="3"/>
  <c r="AQ186" i="3" s="1"/>
  <c r="AR186" i="3" s="1"/>
  <c r="AP187" i="3"/>
  <c r="AQ187" i="3" s="1"/>
  <c r="AR187" i="3" s="1"/>
  <c r="AP188" i="3"/>
  <c r="AQ188" i="3" s="1"/>
  <c r="AR188" i="3" s="1"/>
  <c r="AP189" i="3"/>
  <c r="AQ189" i="3" s="1"/>
  <c r="AR189" i="3" s="1"/>
  <c r="AP190" i="3"/>
  <c r="AQ190" i="3" s="1"/>
  <c r="AP191" i="3"/>
  <c r="AQ191" i="3" s="1"/>
  <c r="AR191" i="3" s="1"/>
  <c r="AP192" i="3"/>
  <c r="AQ192" i="3" s="1"/>
  <c r="AR192" i="3" s="1"/>
  <c r="AP193" i="3"/>
  <c r="AQ193" i="3" s="1"/>
  <c r="AS193" i="3" s="1"/>
  <c r="AP194" i="3"/>
  <c r="AQ194" i="3" s="1"/>
  <c r="AR194" i="3" s="1"/>
  <c r="AP195" i="3"/>
  <c r="AQ195" i="3" s="1"/>
  <c r="AS195" i="3" s="1"/>
  <c r="AP196" i="3"/>
  <c r="AQ196" i="3" s="1"/>
  <c r="AR196" i="3" s="1"/>
  <c r="AP197" i="3"/>
  <c r="AQ197" i="3" s="1"/>
  <c r="AR197" i="3" s="1"/>
  <c r="AP198" i="3"/>
  <c r="AQ198" i="3" s="1"/>
  <c r="AP199" i="3"/>
  <c r="AQ199" i="3" s="1"/>
  <c r="AR199" i="3" s="1"/>
  <c r="AP200" i="3"/>
  <c r="AQ200" i="3" s="1"/>
  <c r="AR200" i="3" s="1"/>
  <c r="AP201" i="3"/>
  <c r="AQ201" i="3" s="1"/>
  <c r="AS201" i="3" s="1"/>
  <c r="AP202" i="3"/>
  <c r="AQ202" i="3" s="1"/>
  <c r="AS202" i="3" s="1"/>
  <c r="AP203" i="3"/>
  <c r="AQ203" i="3" s="1"/>
  <c r="AS203" i="3" s="1"/>
  <c r="AP204" i="3"/>
  <c r="AQ204" i="3" s="1"/>
  <c r="AR204" i="3" s="1"/>
  <c r="AP205" i="3"/>
  <c r="AQ205" i="3" s="1"/>
  <c r="AR205" i="3" s="1"/>
  <c r="AP206" i="3"/>
  <c r="AQ206" i="3" s="1"/>
  <c r="AP207" i="3"/>
  <c r="AQ207" i="3" s="1"/>
  <c r="AR207" i="3" s="1"/>
  <c r="AP208" i="3"/>
  <c r="AQ208" i="3" s="1"/>
  <c r="AR208" i="3" s="1"/>
  <c r="AP209" i="3"/>
  <c r="AQ209" i="3" s="1"/>
  <c r="AS209" i="3" s="1"/>
  <c r="AP210" i="3"/>
  <c r="AQ210" i="3" s="1"/>
  <c r="AS210" i="3" s="1"/>
  <c r="AP211" i="3"/>
  <c r="AQ211" i="3" s="1"/>
  <c r="AS211" i="3" s="1"/>
  <c r="AP212" i="3"/>
  <c r="AQ212" i="3" s="1"/>
  <c r="AR212" i="3" s="1"/>
  <c r="E3" i="11"/>
  <c r="AP108" i="3"/>
  <c r="AQ108" i="3" s="1"/>
  <c r="AP109" i="3"/>
  <c r="AQ109" i="3" s="1"/>
  <c r="AP110" i="3"/>
  <c r="AQ110" i="3" s="1"/>
  <c r="AP111" i="3"/>
  <c r="AQ111" i="3" s="1"/>
  <c r="AP112" i="3"/>
  <c r="AQ112" i="3" s="1"/>
  <c r="AP113" i="3"/>
  <c r="AQ113" i="3" s="1"/>
  <c r="AP116" i="3"/>
  <c r="AQ116" i="3" s="1"/>
  <c r="AP117" i="3"/>
  <c r="AQ117" i="3" s="1"/>
  <c r="AP118" i="3"/>
  <c r="AQ118" i="3" s="1"/>
  <c r="AP119" i="3"/>
  <c r="AQ119" i="3" s="1"/>
  <c r="AP120" i="3"/>
  <c r="AQ120" i="3" s="1"/>
  <c r="AP121" i="3"/>
  <c r="AQ121" i="3" s="1"/>
  <c r="AP124" i="3"/>
  <c r="AQ124" i="3" s="1"/>
  <c r="AP125" i="3"/>
  <c r="AQ125" i="3" s="1"/>
  <c r="AP126" i="3"/>
  <c r="AQ126" i="3" s="1"/>
  <c r="AP127" i="3"/>
  <c r="AQ127" i="3" s="1"/>
  <c r="AP128" i="3"/>
  <c r="AQ128" i="3" s="1"/>
  <c r="E24" i="11"/>
  <c r="E25" i="11"/>
  <c r="E26" i="11"/>
  <c r="E27" i="11"/>
  <c r="E28" i="11"/>
  <c r="E29" i="11"/>
  <c r="E30" i="11"/>
  <c r="E31" i="11"/>
  <c r="E32" i="11"/>
  <c r="E33" i="11"/>
  <c r="AC161" i="3"/>
  <c r="AC162" i="3"/>
  <c r="AC163" i="3"/>
  <c r="AC164" i="3"/>
  <c r="E34" i="11"/>
  <c r="M13" i="7"/>
  <c r="C4" i="3"/>
  <c r="D4" i="3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" i="3"/>
  <c r="D3" i="3" s="1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3" i="3"/>
  <c r="AO3" i="3" s="1"/>
  <c r="C57" i="7" a="1"/>
  <c r="C57" i="7" s="1"/>
  <c r="G57" i="7" s="1"/>
  <c r="G18" i="7"/>
  <c r="G59" i="7" l="1"/>
  <c r="AF45" i="3"/>
  <c r="AF47" i="3"/>
  <c r="AF55" i="3"/>
  <c r="AF63" i="3"/>
  <c r="AF151" i="3"/>
  <c r="AF159" i="3"/>
  <c r="AF167" i="3"/>
  <c r="AF46" i="3"/>
  <c r="AF48" i="3"/>
  <c r="AF56" i="3"/>
  <c r="AF64" i="3"/>
  <c r="AF152" i="3"/>
  <c r="AF160" i="3"/>
  <c r="AF168" i="3"/>
  <c r="AF54" i="3"/>
  <c r="AF158" i="3"/>
  <c r="AF49" i="3"/>
  <c r="AF57" i="3"/>
  <c r="AF65" i="3"/>
  <c r="AF153" i="3"/>
  <c r="AF161" i="3"/>
  <c r="AF169" i="3"/>
  <c r="AF62" i="3"/>
  <c r="AF50" i="3"/>
  <c r="AF58" i="3"/>
  <c r="AF154" i="3"/>
  <c r="AF162" i="3"/>
  <c r="AF170" i="3"/>
  <c r="AF166" i="3"/>
  <c r="AF51" i="3"/>
  <c r="AF59" i="3"/>
  <c r="AF155" i="3"/>
  <c r="AF163" i="3"/>
  <c r="AF61" i="3"/>
  <c r="AF165" i="3"/>
  <c r="AF150" i="3"/>
  <c r="AF52" i="3"/>
  <c r="AF60" i="3"/>
  <c r="AF156" i="3"/>
  <c r="AF164" i="3"/>
  <c r="AF53" i="3"/>
  <c r="AF157" i="3"/>
  <c r="G37" i="11"/>
  <c r="AD163" i="3"/>
  <c r="G38" i="11"/>
  <c r="AD164" i="3"/>
  <c r="G36" i="11"/>
  <c r="AD162" i="3"/>
  <c r="E36" i="11" s="1"/>
  <c r="G35" i="11"/>
  <c r="AD161" i="3"/>
  <c r="E35" i="11" s="1"/>
  <c r="E17" i="11"/>
  <c r="S17" i="11" s="1"/>
  <c r="E9" i="11"/>
  <c r="S9" i="11" s="1"/>
  <c r="E16" i="11"/>
  <c r="P16" i="11" s="1"/>
  <c r="E8" i="11"/>
  <c r="O8" i="11" s="1"/>
  <c r="E23" i="11"/>
  <c r="P23" i="11" s="1"/>
  <c r="E15" i="11"/>
  <c r="P15" i="11" s="1"/>
  <c r="E7" i="11"/>
  <c r="S7" i="11" s="1"/>
  <c r="E22" i="11"/>
  <c r="S22" i="11" s="1"/>
  <c r="E14" i="11"/>
  <c r="S14" i="11" s="1"/>
  <c r="E6" i="11"/>
  <c r="P6" i="11" s="1"/>
  <c r="E21" i="11"/>
  <c r="Q21" i="11" s="1"/>
  <c r="E13" i="11"/>
  <c r="Q13" i="11" s="1"/>
  <c r="E5" i="11"/>
  <c r="S5" i="11" s="1"/>
  <c r="E20" i="11"/>
  <c r="S20" i="11" s="1"/>
  <c r="E12" i="11"/>
  <c r="O12" i="11" s="1"/>
  <c r="E4" i="11"/>
  <c r="S4" i="11" s="1"/>
  <c r="G3" i="16"/>
  <c r="E19" i="11"/>
  <c r="P19" i="11" s="1"/>
  <c r="E11" i="11"/>
  <c r="O11" i="11" s="1"/>
  <c r="E18" i="11"/>
  <c r="P18" i="11" s="1"/>
  <c r="E10" i="11"/>
  <c r="P10" i="11" s="1"/>
  <c r="S28" i="11"/>
  <c r="Q28" i="11"/>
  <c r="P28" i="11"/>
  <c r="O28" i="11"/>
  <c r="P27" i="11"/>
  <c r="Q27" i="11"/>
  <c r="S27" i="11"/>
  <c r="O27" i="11"/>
  <c r="P26" i="11"/>
  <c r="Q26" i="11"/>
  <c r="S26" i="11"/>
  <c r="O26" i="11"/>
  <c r="Q33" i="11"/>
  <c r="S33" i="11"/>
  <c r="P33" i="11"/>
  <c r="O33" i="11"/>
  <c r="Q25" i="11"/>
  <c r="S25" i="11"/>
  <c r="P25" i="11"/>
  <c r="O25" i="11"/>
  <c r="S32" i="11"/>
  <c r="P32" i="11"/>
  <c r="O32" i="11"/>
  <c r="Q32" i="11"/>
  <c r="S24" i="11"/>
  <c r="P24" i="11"/>
  <c r="Q24" i="11"/>
  <c r="O24" i="11"/>
  <c r="P34" i="11"/>
  <c r="Q34" i="11"/>
  <c r="O34" i="11"/>
  <c r="S34" i="11"/>
  <c r="S31" i="11"/>
  <c r="P31" i="11"/>
  <c r="Q31" i="11"/>
  <c r="O31" i="11"/>
  <c r="S3" i="11"/>
  <c r="Q3" i="11"/>
  <c r="P3" i="11"/>
  <c r="O3" i="11"/>
  <c r="P30" i="11"/>
  <c r="S30" i="11"/>
  <c r="Q30" i="11"/>
  <c r="O30" i="11"/>
  <c r="Q29" i="11"/>
  <c r="S29" i="11"/>
  <c r="P29" i="11"/>
  <c r="O29" i="11"/>
  <c r="AE107" i="3"/>
  <c r="AE67" i="3"/>
  <c r="AE146" i="3"/>
  <c r="AE105" i="3"/>
  <c r="AE144" i="3"/>
  <c r="AE96" i="3"/>
  <c r="AE212" i="3"/>
  <c r="AE172" i="3"/>
  <c r="AE29" i="3"/>
  <c r="AE102" i="3"/>
  <c r="AE44" i="3"/>
  <c r="AE36" i="3"/>
  <c r="AE28" i="3"/>
  <c r="AE101" i="3"/>
  <c r="AE93" i="3"/>
  <c r="AE85" i="3"/>
  <c r="AE77" i="3"/>
  <c r="AE69" i="3"/>
  <c r="AE209" i="3"/>
  <c r="AE201" i="3"/>
  <c r="AE193" i="3"/>
  <c r="AE185" i="3"/>
  <c r="AE177" i="3"/>
  <c r="AE148" i="3"/>
  <c r="AE140" i="3"/>
  <c r="AE132" i="3"/>
  <c r="AE75" i="3"/>
  <c r="AE175" i="3"/>
  <c r="AE24" i="3"/>
  <c r="AE89" i="3"/>
  <c r="AE197" i="3"/>
  <c r="AE80" i="3"/>
  <c r="AE196" i="3"/>
  <c r="AE37" i="3"/>
  <c r="AE43" i="3"/>
  <c r="AE35" i="3"/>
  <c r="AE27" i="3"/>
  <c r="AE100" i="3"/>
  <c r="AE92" i="3"/>
  <c r="AE84" i="3"/>
  <c r="AE76" i="3"/>
  <c r="AE68" i="3"/>
  <c r="AE208" i="3"/>
  <c r="AE200" i="3"/>
  <c r="AE192" i="3"/>
  <c r="AE184" i="3"/>
  <c r="AE176" i="3"/>
  <c r="AE147" i="3"/>
  <c r="AE139" i="3"/>
  <c r="AE131" i="3"/>
  <c r="AE41" i="3"/>
  <c r="AE33" i="3"/>
  <c r="AE25" i="3"/>
  <c r="AE106" i="3"/>
  <c r="AE98" i="3"/>
  <c r="AE90" i="3"/>
  <c r="AE82" i="3"/>
  <c r="AE74" i="3"/>
  <c r="AE66" i="3"/>
  <c r="AE206" i="3"/>
  <c r="AE198" i="3"/>
  <c r="AE190" i="3"/>
  <c r="AE182" i="3"/>
  <c r="AE174" i="3"/>
  <c r="AE145" i="3"/>
  <c r="AE137" i="3"/>
  <c r="AE129" i="3"/>
  <c r="AE207" i="3"/>
  <c r="AE138" i="3"/>
  <c r="AE205" i="3"/>
  <c r="AE136" i="3"/>
  <c r="AE26" i="3"/>
  <c r="AE83" i="3"/>
  <c r="AE183" i="3"/>
  <c r="AE32" i="3"/>
  <c r="AE81" i="3"/>
  <c r="AE181" i="3"/>
  <c r="AE72" i="3"/>
  <c r="AE188" i="3"/>
  <c r="AE135" i="3"/>
  <c r="AE34" i="3"/>
  <c r="AE91" i="3"/>
  <c r="AE191" i="3"/>
  <c r="AE40" i="3"/>
  <c r="AE97" i="3"/>
  <c r="AE189" i="3"/>
  <c r="AE39" i="3"/>
  <c r="AE104" i="3"/>
  <c r="AE204" i="3"/>
  <c r="AE143" i="3"/>
  <c r="AE38" i="3"/>
  <c r="AE30" i="3"/>
  <c r="AE103" i="3"/>
  <c r="AE95" i="3"/>
  <c r="AE87" i="3"/>
  <c r="AE79" i="3"/>
  <c r="AE71" i="3"/>
  <c r="AE211" i="3"/>
  <c r="AE203" i="3"/>
  <c r="AE195" i="3"/>
  <c r="AE187" i="3"/>
  <c r="AE179" i="3"/>
  <c r="AE171" i="3"/>
  <c r="AE142" i="3"/>
  <c r="AE134" i="3"/>
  <c r="AE42" i="3"/>
  <c r="AE99" i="3"/>
  <c r="AE199" i="3"/>
  <c r="AE130" i="3"/>
  <c r="AE73" i="3"/>
  <c r="AE173" i="3"/>
  <c r="AE31" i="3"/>
  <c r="AE88" i="3"/>
  <c r="AE180" i="3"/>
  <c r="AE94" i="3"/>
  <c r="AE86" i="3"/>
  <c r="AE78" i="3"/>
  <c r="AE70" i="3"/>
  <c r="AE210" i="3"/>
  <c r="AE202" i="3"/>
  <c r="AE194" i="3"/>
  <c r="AE186" i="3"/>
  <c r="AE178" i="3"/>
  <c r="AE149" i="3"/>
  <c r="AE141" i="3"/>
  <c r="AE133" i="3"/>
  <c r="AE123" i="3"/>
  <c r="I81" i="11" s="1"/>
  <c r="L81" i="11" s="1"/>
  <c r="J81" i="11"/>
  <c r="M81" i="11" s="1"/>
  <c r="AE115" i="3"/>
  <c r="I73" i="11" s="1"/>
  <c r="L73" i="11" s="1"/>
  <c r="J73" i="11"/>
  <c r="M73" i="11" s="1"/>
  <c r="AE124" i="3"/>
  <c r="I82" i="11" s="1"/>
  <c r="L82" i="11" s="1"/>
  <c r="J82" i="11"/>
  <c r="M82" i="11" s="1"/>
  <c r="AE122" i="3"/>
  <c r="I80" i="11" s="1"/>
  <c r="L80" i="11" s="1"/>
  <c r="J80" i="11"/>
  <c r="M80" i="11" s="1"/>
  <c r="AE114" i="3"/>
  <c r="I72" i="11" s="1"/>
  <c r="L72" i="11" s="1"/>
  <c r="J72" i="11"/>
  <c r="M72" i="11" s="1"/>
  <c r="AE121" i="3"/>
  <c r="I79" i="11" s="1"/>
  <c r="L79" i="11" s="1"/>
  <c r="J79" i="11"/>
  <c r="M79" i="11" s="1"/>
  <c r="AE113" i="3"/>
  <c r="I71" i="11" s="1"/>
  <c r="L71" i="11" s="1"/>
  <c r="J71" i="11"/>
  <c r="M71" i="11" s="1"/>
  <c r="AE128" i="3"/>
  <c r="I86" i="11" s="1"/>
  <c r="L86" i="11" s="1"/>
  <c r="J86" i="11"/>
  <c r="M86" i="11" s="1"/>
  <c r="AE120" i="3"/>
  <c r="I78" i="11" s="1"/>
  <c r="L78" i="11" s="1"/>
  <c r="J78" i="11"/>
  <c r="M78" i="11" s="1"/>
  <c r="AE112" i="3"/>
  <c r="I70" i="11" s="1"/>
  <c r="L70" i="11" s="1"/>
  <c r="J70" i="11"/>
  <c r="M70" i="11" s="1"/>
  <c r="AE127" i="3"/>
  <c r="I85" i="11" s="1"/>
  <c r="L85" i="11" s="1"/>
  <c r="J85" i="11"/>
  <c r="M85" i="11" s="1"/>
  <c r="AE119" i="3"/>
  <c r="I77" i="11" s="1"/>
  <c r="L77" i="11" s="1"/>
  <c r="J77" i="11"/>
  <c r="M77" i="11" s="1"/>
  <c r="AE111" i="3"/>
  <c r="I69" i="11" s="1"/>
  <c r="L69" i="11" s="1"/>
  <c r="J69" i="11"/>
  <c r="M69" i="11" s="1"/>
  <c r="AE116" i="3"/>
  <c r="I74" i="11" s="1"/>
  <c r="L74" i="11" s="1"/>
  <c r="J74" i="11"/>
  <c r="M74" i="11" s="1"/>
  <c r="AE126" i="3"/>
  <c r="I84" i="11" s="1"/>
  <c r="L84" i="11" s="1"/>
  <c r="J84" i="11"/>
  <c r="M84" i="11" s="1"/>
  <c r="AE118" i="3"/>
  <c r="I76" i="11" s="1"/>
  <c r="L76" i="11" s="1"/>
  <c r="J76" i="11"/>
  <c r="M76" i="11" s="1"/>
  <c r="AE110" i="3"/>
  <c r="I68" i="11" s="1"/>
  <c r="L68" i="11" s="1"/>
  <c r="J68" i="11"/>
  <c r="M68" i="11" s="1"/>
  <c r="AE125" i="3"/>
  <c r="I83" i="11" s="1"/>
  <c r="L83" i="11" s="1"/>
  <c r="J83" i="11"/>
  <c r="M83" i="11" s="1"/>
  <c r="AE117" i="3"/>
  <c r="I75" i="11" s="1"/>
  <c r="L75" i="11" s="1"/>
  <c r="J75" i="11"/>
  <c r="M75" i="11" s="1"/>
  <c r="AE109" i="3"/>
  <c r="I67" i="11" s="1"/>
  <c r="L67" i="11" s="1"/>
  <c r="J67" i="11"/>
  <c r="M67" i="11" s="1"/>
  <c r="AE108" i="3"/>
  <c r="I66" i="11" s="1"/>
  <c r="L66" i="11" s="1"/>
  <c r="J66" i="11"/>
  <c r="M66" i="11" s="1"/>
  <c r="AE4" i="3"/>
  <c r="AE12" i="3"/>
  <c r="AE19" i="3"/>
  <c r="AE18" i="3"/>
  <c r="AE10" i="3"/>
  <c r="AE3" i="3"/>
  <c r="AE17" i="3"/>
  <c r="AE9" i="3"/>
  <c r="AE16" i="3"/>
  <c r="AE8" i="3"/>
  <c r="AE20" i="3"/>
  <c r="AE23" i="3"/>
  <c r="AE15" i="3"/>
  <c r="AE7" i="3"/>
  <c r="AE11" i="3"/>
  <c r="AE22" i="3"/>
  <c r="AE14" i="3"/>
  <c r="AE6" i="3"/>
  <c r="AE21" i="3"/>
  <c r="AE13" i="3"/>
  <c r="AE5" i="3"/>
  <c r="K3" i="3"/>
  <c r="N3" i="3" s="1"/>
  <c r="E3" i="3" a="1"/>
  <c r="E3" i="3" s="1"/>
  <c r="M3" i="3" s="1"/>
  <c r="P3" i="3" s="1"/>
  <c r="G3" i="3" a="1"/>
  <c r="G3" i="3" s="1"/>
  <c r="F3" i="3" a="1"/>
  <c r="F3" i="3" s="1"/>
  <c r="E24" i="3" a="1"/>
  <c r="E24" i="3" s="1"/>
  <c r="M24" i="3" s="1"/>
  <c r="P24" i="3" s="1"/>
  <c r="F24" i="3" a="1"/>
  <c r="F24" i="3" s="1"/>
  <c r="G24" i="3" a="1"/>
  <c r="G24" i="3" s="1"/>
  <c r="K24" i="3"/>
  <c r="N24" i="3" s="1"/>
  <c r="E38" i="11"/>
  <c r="BF81" i="3"/>
  <c r="BG81" i="3" s="1"/>
  <c r="AC168" i="3"/>
  <c r="AD168" i="3" s="1"/>
  <c r="E42" i="11" s="1"/>
  <c r="BF80" i="3"/>
  <c r="BG80" i="3" s="1"/>
  <c r="AC167" i="3"/>
  <c r="BF79" i="3"/>
  <c r="BG79" i="3" s="1"/>
  <c r="BF78" i="3"/>
  <c r="BG78" i="3" s="1"/>
  <c r="S41" i="3"/>
  <c r="S33" i="3"/>
  <c r="S25" i="3"/>
  <c r="AR128" i="3"/>
  <c r="T44" i="3" s="1"/>
  <c r="S44" i="3"/>
  <c r="AR120" i="3"/>
  <c r="T36" i="3" s="1"/>
  <c r="S36" i="3"/>
  <c r="AR112" i="3"/>
  <c r="T28" i="3" s="1"/>
  <c r="S28" i="3"/>
  <c r="AR127" i="3"/>
  <c r="S43" i="3"/>
  <c r="AR119" i="3"/>
  <c r="S35" i="3"/>
  <c r="AR111" i="3"/>
  <c r="S27" i="3"/>
  <c r="AT126" i="3"/>
  <c r="S42" i="3"/>
  <c r="AT118" i="3"/>
  <c r="S34" i="3"/>
  <c r="AT110" i="3"/>
  <c r="S26" i="3"/>
  <c r="AR124" i="3"/>
  <c r="S40" i="3"/>
  <c r="AR116" i="3"/>
  <c r="S32" i="3"/>
  <c r="AR108" i="3"/>
  <c r="S24" i="3"/>
  <c r="AS121" i="3"/>
  <c r="S37" i="3"/>
  <c r="AS113" i="3"/>
  <c r="S29" i="3"/>
  <c r="AP23" i="3"/>
  <c r="AQ23" i="3" s="1"/>
  <c r="AT23" i="3" s="1"/>
  <c r="AP15" i="3"/>
  <c r="AQ15" i="3" s="1"/>
  <c r="AS15" i="3" s="1"/>
  <c r="AP7" i="3"/>
  <c r="AQ7" i="3" s="1"/>
  <c r="AS7" i="3" s="1"/>
  <c r="AP22" i="3"/>
  <c r="AQ22" i="3" s="1"/>
  <c r="AS22" i="3" s="1"/>
  <c r="AP14" i="3"/>
  <c r="AQ14" i="3" s="1"/>
  <c r="AR14" i="3" s="1"/>
  <c r="T14" i="3" s="1"/>
  <c r="AP6" i="3"/>
  <c r="AQ6" i="3" s="1"/>
  <c r="AR6" i="3" s="1"/>
  <c r="T6" i="3" s="1"/>
  <c r="AP21" i="3"/>
  <c r="AQ21" i="3" s="1"/>
  <c r="S21" i="3" s="1"/>
  <c r="AP13" i="3"/>
  <c r="AQ13" i="3" s="1"/>
  <c r="S13" i="3" s="1"/>
  <c r="AP5" i="3"/>
  <c r="AQ5" i="3" s="1"/>
  <c r="S5" i="3" s="1"/>
  <c r="AP20" i="3"/>
  <c r="AQ20" i="3" s="1"/>
  <c r="AT20" i="3" s="1"/>
  <c r="AP12" i="3"/>
  <c r="AQ12" i="3" s="1"/>
  <c r="AT12" i="3" s="1"/>
  <c r="AP4" i="3"/>
  <c r="AQ4" i="3" s="1"/>
  <c r="AT4" i="3" s="1"/>
  <c r="AP3" i="3"/>
  <c r="AQ3" i="3" s="1"/>
  <c r="AR3" i="3" s="1"/>
  <c r="T3" i="3" s="1"/>
  <c r="AP16" i="3"/>
  <c r="AQ16" i="3" s="1"/>
  <c r="AT16" i="3" s="1"/>
  <c r="AP8" i="3"/>
  <c r="AQ8" i="3" s="1"/>
  <c r="AT8" i="3" s="1"/>
  <c r="AP9" i="3"/>
  <c r="AQ9" i="3" s="1"/>
  <c r="AT9" i="3" s="1"/>
  <c r="BG21" i="3"/>
  <c r="BG13" i="3"/>
  <c r="BG5" i="3"/>
  <c r="X111" i="2"/>
  <c r="Y111" i="2"/>
  <c r="Z111" i="2"/>
  <c r="X119" i="2"/>
  <c r="Y119" i="2"/>
  <c r="Z119" i="2"/>
  <c r="X127" i="2"/>
  <c r="Y127" i="2"/>
  <c r="Z127" i="2"/>
  <c r="X135" i="2"/>
  <c r="Y135" i="2"/>
  <c r="Z135" i="2"/>
  <c r="X143" i="2"/>
  <c r="Y143" i="2"/>
  <c r="Z143" i="2"/>
  <c r="X151" i="2"/>
  <c r="Y151" i="2"/>
  <c r="Z151" i="2"/>
  <c r="X159" i="2"/>
  <c r="Y159" i="2"/>
  <c r="Z159" i="2"/>
  <c r="X167" i="2"/>
  <c r="Y167" i="2"/>
  <c r="Z167" i="2"/>
  <c r="X175" i="2"/>
  <c r="Y175" i="2"/>
  <c r="Z175" i="2"/>
  <c r="X183" i="2"/>
  <c r="Y183" i="2"/>
  <c r="Z183" i="2"/>
  <c r="X191" i="2"/>
  <c r="Y191" i="2"/>
  <c r="Z191" i="2"/>
  <c r="X199" i="2"/>
  <c r="Y199" i="2"/>
  <c r="Z199" i="2"/>
  <c r="X207" i="2"/>
  <c r="Y207" i="2"/>
  <c r="Z207" i="2"/>
  <c r="X112" i="2"/>
  <c r="Y112" i="2"/>
  <c r="Z112" i="2"/>
  <c r="X120" i="2"/>
  <c r="Y120" i="2"/>
  <c r="Z120" i="2"/>
  <c r="X128" i="2"/>
  <c r="Y128" i="2"/>
  <c r="Z128" i="2"/>
  <c r="X136" i="2"/>
  <c r="Y136" i="2"/>
  <c r="Z136" i="2"/>
  <c r="X144" i="2"/>
  <c r="Y144" i="2"/>
  <c r="Z144" i="2"/>
  <c r="X152" i="2"/>
  <c r="Y152" i="2"/>
  <c r="Z152" i="2"/>
  <c r="X160" i="2"/>
  <c r="Y160" i="2"/>
  <c r="Z160" i="2"/>
  <c r="X168" i="2"/>
  <c r="Y168" i="2"/>
  <c r="Z168" i="2"/>
  <c r="X176" i="2"/>
  <c r="Y176" i="2"/>
  <c r="Z176" i="2"/>
  <c r="X184" i="2"/>
  <c r="Y184" i="2"/>
  <c r="Z184" i="2"/>
  <c r="X192" i="2"/>
  <c r="Y192" i="2"/>
  <c r="Z192" i="2"/>
  <c r="X200" i="2"/>
  <c r="Y200" i="2"/>
  <c r="Z200" i="2"/>
  <c r="X208" i="2"/>
  <c r="Y208" i="2"/>
  <c r="Z208" i="2"/>
  <c r="Y113" i="2"/>
  <c r="Z113" i="2"/>
  <c r="X113" i="2"/>
  <c r="Y121" i="2"/>
  <c r="Z121" i="2"/>
  <c r="X121" i="2"/>
  <c r="Y129" i="2"/>
  <c r="Z129" i="2"/>
  <c r="X129" i="2"/>
  <c r="Y137" i="2"/>
  <c r="Z137" i="2"/>
  <c r="X137" i="2"/>
  <c r="Y145" i="2"/>
  <c r="Z145" i="2"/>
  <c r="X145" i="2"/>
  <c r="Y153" i="2"/>
  <c r="Z153" i="2"/>
  <c r="X153" i="2"/>
  <c r="Y161" i="2"/>
  <c r="Z161" i="2"/>
  <c r="X161" i="2"/>
  <c r="Z169" i="2"/>
  <c r="X169" i="2"/>
  <c r="Y169" i="2"/>
  <c r="Z177" i="2"/>
  <c r="X177" i="2"/>
  <c r="Y177" i="2"/>
  <c r="Z185" i="2"/>
  <c r="X185" i="2"/>
  <c r="Y185" i="2"/>
  <c r="Z193" i="2"/>
  <c r="X193" i="2"/>
  <c r="Y193" i="2"/>
  <c r="Z201" i="2"/>
  <c r="X201" i="2"/>
  <c r="Y201" i="2"/>
  <c r="Z209" i="2"/>
  <c r="X209" i="2"/>
  <c r="Y209" i="2"/>
  <c r="X114" i="2"/>
  <c r="Y114" i="2"/>
  <c r="Z114" i="2"/>
  <c r="X122" i="2"/>
  <c r="Y122" i="2"/>
  <c r="Z122" i="2"/>
  <c r="X130" i="2"/>
  <c r="Y130" i="2"/>
  <c r="Z130" i="2"/>
  <c r="X138" i="2"/>
  <c r="Y138" i="2"/>
  <c r="Z138" i="2"/>
  <c r="X146" i="2"/>
  <c r="Z146" i="2"/>
  <c r="Y146" i="2"/>
  <c r="X154" i="2"/>
  <c r="Z154" i="2"/>
  <c r="Y154" i="2"/>
  <c r="X162" i="2"/>
  <c r="Z162" i="2"/>
  <c r="Y162" i="2"/>
  <c r="X170" i="2"/>
  <c r="Z170" i="2"/>
  <c r="Y170" i="2"/>
  <c r="X178" i="2"/>
  <c r="Z178" i="2"/>
  <c r="Y178" i="2"/>
  <c r="X186" i="2"/>
  <c r="Z186" i="2"/>
  <c r="Y186" i="2"/>
  <c r="X194" i="2"/>
  <c r="Z194" i="2"/>
  <c r="Y194" i="2"/>
  <c r="X202" i="2"/>
  <c r="Z202" i="2"/>
  <c r="Y202" i="2"/>
  <c r="X210" i="2"/>
  <c r="Z210" i="2"/>
  <c r="Y210" i="2"/>
  <c r="X115" i="2"/>
  <c r="Y115" i="2"/>
  <c r="Z115" i="2"/>
  <c r="X123" i="2"/>
  <c r="Y123" i="2"/>
  <c r="Z123" i="2"/>
  <c r="X131" i="2"/>
  <c r="Y131" i="2"/>
  <c r="Z131" i="2"/>
  <c r="X139" i="2"/>
  <c r="Y139" i="2"/>
  <c r="Z139" i="2"/>
  <c r="X147" i="2"/>
  <c r="Y147" i="2"/>
  <c r="Z147" i="2"/>
  <c r="X155" i="2"/>
  <c r="Y155" i="2"/>
  <c r="Z155" i="2"/>
  <c r="X163" i="2"/>
  <c r="Y163" i="2"/>
  <c r="Z163" i="2"/>
  <c r="X171" i="2"/>
  <c r="Y171" i="2"/>
  <c r="Z171" i="2"/>
  <c r="X179" i="2"/>
  <c r="Y179" i="2"/>
  <c r="Z179" i="2"/>
  <c r="X187" i="2"/>
  <c r="Y187" i="2"/>
  <c r="Z187" i="2"/>
  <c r="X195" i="2"/>
  <c r="Y195" i="2"/>
  <c r="Z195" i="2"/>
  <c r="X203" i="2"/>
  <c r="Y203" i="2"/>
  <c r="Z203" i="2"/>
  <c r="X211" i="2"/>
  <c r="Y211" i="2"/>
  <c r="Z211" i="2"/>
  <c r="X108" i="2"/>
  <c r="Y108" i="2"/>
  <c r="Z108" i="2"/>
  <c r="X116" i="2"/>
  <c r="Y116" i="2"/>
  <c r="Z116" i="2"/>
  <c r="X124" i="2"/>
  <c r="Y124" i="2"/>
  <c r="Z124" i="2"/>
  <c r="X132" i="2"/>
  <c r="Y132" i="2"/>
  <c r="Z132" i="2"/>
  <c r="X140" i="2"/>
  <c r="Y140" i="2"/>
  <c r="Z140" i="2"/>
  <c r="X148" i="2"/>
  <c r="Y148" i="2"/>
  <c r="Z148" i="2"/>
  <c r="X156" i="2"/>
  <c r="Y156" i="2"/>
  <c r="Z156" i="2"/>
  <c r="X164" i="2"/>
  <c r="Y164" i="2"/>
  <c r="Z164" i="2"/>
  <c r="Y172" i="2"/>
  <c r="Z172" i="2"/>
  <c r="X172" i="2"/>
  <c r="Y180" i="2"/>
  <c r="Z180" i="2"/>
  <c r="X180" i="2"/>
  <c r="Y188" i="2"/>
  <c r="Z188" i="2"/>
  <c r="X188" i="2"/>
  <c r="Y196" i="2"/>
  <c r="Z196" i="2"/>
  <c r="X196" i="2"/>
  <c r="Y204" i="2"/>
  <c r="Z204" i="2"/>
  <c r="X204" i="2"/>
  <c r="Y212" i="2"/>
  <c r="Z212" i="2"/>
  <c r="X212" i="2"/>
  <c r="X109" i="2"/>
  <c r="Y109" i="2"/>
  <c r="Z109" i="2"/>
  <c r="X117" i="2"/>
  <c r="Y117" i="2"/>
  <c r="Z117" i="2"/>
  <c r="X125" i="2"/>
  <c r="Y125" i="2"/>
  <c r="Z125" i="2"/>
  <c r="X133" i="2"/>
  <c r="Y133" i="2"/>
  <c r="Z133" i="2"/>
  <c r="X141" i="2"/>
  <c r="Y141" i="2"/>
  <c r="Z141" i="2"/>
  <c r="Y149" i="2"/>
  <c r="Z149" i="2"/>
  <c r="X149" i="2"/>
  <c r="Y157" i="2"/>
  <c r="Z157" i="2"/>
  <c r="X157" i="2"/>
  <c r="Y165" i="2"/>
  <c r="Z165" i="2"/>
  <c r="X165" i="2"/>
  <c r="Y173" i="2"/>
  <c r="Z173" i="2"/>
  <c r="X173" i="2"/>
  <c r="Y181" i="2"/>
  <c r="Z181" i="2"/>
  <c r="X181" i="2"/>
  <c r="Y189" i="2"/>
  <c r="Z189" i="2"/>
  <c r="X189" i="2"/>
  <c r="Y197" i="2"/>
  <c r="Z197" i="2"/>
  <c r="X197" i="2"/>
  <c r="Y205" i="2"/>
  <c r="Z205" i="2"/>
  <c r="X205" i="2"/>
  <c r="Z110" i="2"/>
  <c r="X110" i="2"/>
  <c r="Y110" i="2"/>
  <c r="Z118" i="2"/>
  <c r="X118" i="2"/>
  <c r="Y118" i="2"/>
  <c r="Z126" i="2"/>
  <c r="X126" i="2"/>
  <c r="Y126" i="2"/>
  <c r="Z134" i="2"/>
  <c r="X134" i="2"/>
  <c r="Y134" i="2"/>
  <c r="Z142" i="2"/>
  <c r="X142" i="2"/>
  <c r="Y142" i="2"/>
  <c r="Z150" i="2"/>
  <c r="Y150" i="2"/>
  <c r="X150" i="2"/>
  <c r="Z158" i="2"/>
  <c r="X158" i="2"/>
  <c r="Y158" i="2"/>
  <c r="Z166" i="2"/>
  <c r="X166" i="2"/>
  <c r="Y166" i="2"/>
  <c r="X174" i="2"/>
  <c r="Y174" i="2"/>
  <c r="Z174" i="2"/>
  <c r="X182" i="2"/>
  <c r="Y182" i="2"/>
  <c r="Z182" i="2"/>
  <c r="X190" i="2"/>
  <c r="Y190" i="2"/>
  <c r="Z190" i="2"/>
  <c r="X198" i="2"/>
  <c r="Y198" i="2"/>
  <c r="Z198" i="2"/>
  <c r="X206" i="2"/>
  <c r="Y206" i="2"/>
  <c r="Z206" i="2"/>
  <c r="BG20" i="3"/>
  <c r="BG12" i="3"/>
  <c r="BG4" i="3"/>
  <c r="BG19" i="3"/>
  <c r="BG11" i="3"/>
  <c r="BG18" i="3"/>
  <c r="BG10" i="3"/>
  <c r="BG17" i="3"/>
  <c r="BG9" i="3"/>
  <c r="BG3" i="3"/>
  <c r="BG16" i="3"/>
  <c r="BG8" i="3"/>
  <c r="BG23" i="3"/>
  <c r="BG15" i="3"/>
  <c r="BG7" i="3"/>
  <c r="BG22" i="3"/>
  <c r="BG14" i="3"/>
  <c r="BG6" i="3"/>
  <c r="AO152" i="3"/>
  <c r="AO144" i="3"/>
  <c r="AO136" i="3"/>
  <c r="AO128" i="3"/>
  <c r="AO120" i="3"/>
  <c r="AO112" i="3"/>
  <c r="AO104" i="3"/>
  <c r="AO96" i="3"/>
  <c r="AO88" i="3"/>
  <c r="AO80" i="3"/>
  <c r="AO72" i="3"/>
  <c r="AO64" i="3"/>
  <c r="AO56" i="3"/>
  <c r="AO48" i="3"/>
  <c r="AO40" i="3"/>
  <c r="AO32" i="3"/>
  <c r="AO24" i="3"/>
  <c r="AO16" i="3"/>
  <c r="AO8" i="3"/>
  <c r="AR193" i="3"/>
  <c r="AT139" i="3"/>
  <c r="AS70" i="3"/>
  <c r="AT211" i="3"/>
  <c r="AT187" i="3"/>
  <c r="AR137" i="3"/>
  <c r="AS62" i="3"/>
  <c r="AT203" i="3"/>
  <c r="AT131" i="3"/>
  <c r="AR203" i="3"/>
  <c r="AT171" i="3"/>
  <c r="AS118" i="3"/>
  <c r="AS46" i="3"/>
  <c r="AS54" i="3"/>
  <c r="AR201" i="3"/>
  <c r="AR169" i="3"/>
  <c r="AS102" i="3"/>
  <c r="AS38" i="3"/>
  <c r="AT179" i="3"/>
  <c r="AS199" i="3"/>
  <c r="AT163" i="3"/>
  <c r="AS94" i="3"/>
  <c r="AS30" i="3"/>
  <c r="AT195" i="3"/>
  <c r="AT155" i="3"/>
  <c r="AS86" i="3"/>
  <c r="AR195" i="3"/>
  <c r="AT147" i="3"/>
  <c r="AS78" i="3"/>
  <c r="AR211" i="3"/>
  <c r="AR202" i="3"/>
  <c r="AS192" i="3"/>
  <c r="AR161" i="3"/>
  <c r="AR129" i="3"/>
  <c r="AT99" i="3"/>
  <c r="AT67" i="3"/>
  <c r="AT35" i="3"/>
  <c r="AR210" i="3"/>
  <c r="AS126" i="3"/>
  <c r="AR209" i="3"/>
  <c r="AS200" i="3"/>
  <c r="AR185" i="3"/>
  <c r="AR153" i="3"/>
  <c r="AR121" i="3"/>
  <c r="AT91" i="3"/>
  <c r="AT59" i="3"/>
  <c r="AT27" i="3"/>
  <c r="AS208" i="3"/>
  <c r="AS207" i="3"/>
  <c r="AT197" i="3"/>
  <c r="AR177" i="3"/>
  <c r="AR145" i="3"/>
  <c r="AR113" i="3"/>
  <c r="AT83" i="3"/>
  <c r="AT51" i="3"/>
  <c r="AT205" i="3"/>
  <c r="AS110" i="3"/>
  <c r="AT107" i="3"/>
  <c r="AT75" i="3"/>
  <c r="AT43" i="3"/>
  <c r="AR125" i="3"/>
  <c r="AS125" i="3"/>
  <c r="AT125" i="3"/>
  <c r="AR117" i="3"/>
  <c r="AS117" i="3"/>
  <c r="AT117" i="3"/>
  <c r="AR109" i="3"/>
  <c r="AS109" i="3"/>
  <c r="AT109" i="3"/>
  <c r="AT206" i="3"/>
  <c r="AS206" i="3"/>
  <c r="AR206" i="3"/>
  <c r="AT198" i="3"/>
  <c r="AS198" i="3"/>
  <c r="AR198" i="3"/>
  <c r="AT190" i="3"/>
  <c r="AS190" i="3"/>
  <c r="AR190" i="3"/>
  <c r="AT182" i="3"/>
  <c r="AR182" i="3"/>
  <c r="AS182" i="3"/>
  <c r="AT174" i="3"/>
  <c r="AS174" i="3"/>
  <c r="AR174" i="3"/>
  <c r="AT166" i="3"/>
  <c r="AR166" i="3"/>
  <c r="AS166" i="3"/>
  <c r="AT158" i="3"/>
  <c r="AS158" i="3"/>
  <c r="AR158" i="3"/>
  <c r="AT150" i="3"/>
  <c r="AR150" i="3"/>
  <c r="AS150" i="3"/>
  <c r="AT142" i="3"/>
  <c r="AS142" i="3"/>
  <c r="AR142" i="3"/>
  <c r="AT134" i="3"/>
  <c r="AS134" i="3"/>
  <c r="AR134" i="3"/>
  <c r="AS105" i="3"/>
  <c r="AT105" i="3"/>
  <c r="AR105" i="3"/>
  <c r="AS97" i="3"/>
  <c r="AT97" i="3"/>
  <c r="AR97" i="3"/>
  <c r="AS89" i="3"/>
  <c r="AT89" i="3"/>
  <c r="AR89" i="3"/>
  <c r="AS81" i="3"/>
  <c r="AT81" i="3"/>
  <c r="AR81" i="3"/>
  <c r="AS73" i="3"/>
  <c r="AT73" i="3"/>
  <c r="AR73" i="3"/>
  <c r="AS65" i="3"/>
  <c r="AT65" i="3"/>
  <c r="AR65" i="3"/>
  <c r="AS57" i="3"/>
  <c r="AT57" i="3"/>
  <c r="AR57" i="3"/>
  <c r="AS49" i="3"/>
  <c r="AT49" i="3"/>
  <c r="AR49" i="3"/>
  <c r="AS41" i="3"/>
  <c r="AT41" i="3"/>
  <c r="AR41" i="3"/>
  <c r="AS33" i="3"/>
  <c r="AT33" i="3"/>
  <c r="AR33" i="3"/>
  <c r="AS25" i="3"/>
  <c r="AR25" i="3"/>
  <c r="AT25" i="3"/>
  <c r="AT208" i="3"/>
  <c r="AT200" i="3"/>
  <c r="AT192" i="3"/>
  <c r="AS187" i="3"/>
  <c r="AT184" i="3"/>
  <c r="AS179" i="3"/>
  <c r="AT176" i="3"/>
  <c r="AS171" i="3"/>
  <c r="AT168" i="3"/>
  <c r="AS163" i="3"/>
  <c r="AT160" i="3"/>
  <c r="AS155" i="3"/>
  <c r="AT152" i="3"/>
  <c r="AS147" i="3"/>
  <c r="AT144" i="3"/>
  <c r="AS139" i="3"/>
  <c r="AT136" i="3"/>
  <c r="AS131" i="3"/>
  <c r="AT128" i="3"/>
  <c r="AR126" i="3"/>
  <c r="AT120" i="3"/>
  <c r="AR118" i="3"/>
  <c r="AT112" i="3"/>
  <c r="AR110" i="3"/>
  <c r="T26" i="3" s="1"/>
  <c r="AS107" i="3"/>
  <c r="AT104" i="3"/>
  <c r="AR102" i="3"/>
  <c r="AS99" i="3"/>
  <c r="AT96" i="3"/>
  <c r="AR94" i="3"/>
  <c r="AS91" i="3"/>
  <c r="AT88" i="3"/>
  <c r="AR86" i="3"/>
  <c r="AS83" i="3"/>
  <c r="AT80" i="3"/>
  <c r="AR78" i="3"/>
  <c r="AS75" i="3"/>
  <c r="AT72" i="3"/>
  <c r="AR70" i="3"/>
  <c r="AS67" i="3"/>
  <c r="AT64" i="3"/>
  <c r="AR62" i="3"/>
  <c r="AS59" i="3"/>
  <c r="AT56" i="3"/>
  <c r="AR54" i="3"/>
  <c r="AS51" i="3"/>
  <c r="AT48" i="3"/>
  <c r="AR46" i="3"/>
  <c r="AS43" i="3"/>
  <c r="AT40" i="3"/>
  <c r="AR38" i="3"/>
  <c r="AS35" i="3"/>
  <c r="AT32" i="3"/>
  <c r="AR30" i="3"/>
  <c r="AS27" i="3"/>
  <c r="AT24" i="3"/>
  <c r="AT189" i="3"/>
  <c r="AS184" i="3"/>
  <c r="AT181" i="3"/>
  <c r="AS176" i="3"/>
  <c r="AT173" i="3"/>
  <c r="AS168" i="3"/>
  <c r="AT165" i="3"/>
  <c r="AS160" i="3"/>
  <c r="AT157" i="3"/>
  <c r="AS152" i="3"/>
  <c r="AT149" i="3"/>
  <c r="AS144" i="3"/>
  <c r="AT141" i="3"/>
  <c r="AS136" i="3"/>
  <c r="AT133" i="3"/>
  <c r="AS128" i="3"/>
  <c r="AS120" i="3"/>
  <c r="AS112" i="3"/>
  <c r="AS104" i="3"/>
  <c r="AT101" i="3"/>
  <c r="AS96" i="3"/>
  <c r="AT93" i="3"/>
  <c r="AS88" i="3"/>
  <c r="AT85" i="3"/>
  <c r="AS80" i="3"/>
  <c r="AT77" i="3"/>
  <c r="AS72" i="3"/>
  <c r="AT69" i="3"/>
  <c r="AS64" i="3"/>
  <c r="AT61" i="3"/>
  <c r="AS56" i="3"/>
  <c r="AT53" i="3"/>
  <c r="AS48" i="3"/>
  <c r="AT45" i="3"/>
  <c r="AS40" i="3"/>
  <c r="AT37" i="3"/>
  <c r="AS32" i="3"/>
  <c r="AT29" i="3"/>
  <c r="AS24" i="3"/>
  <c r="AS8" i="3"/>
  <c r="AT210" i="3"/>
  <c r="AS205" i="3"/>
  <c r="AT202" i="3"/>
  <c r="AS197" i="3"/>
  <c r="AT194" i="3"/>
  <c r="AS189" i="3"/>
  <c r="AT186" i="3"/>
  <c r="AS181" i="3"/>
  <c r="AT178" i="3"/>
  <c r="AS173" i="3"/>
  <c r="AT170" i="3"/>
  <c r="AS165" i="3"/>
  <c r="AT162" i="3"/>
  <c r="AS157" i="3"/>
  <c r="AT154" i="3"/>
  <c r="AS149" i="3"/>
  <c r="AT146" i="3"/>
  <c r="AS141" i="3"/>
  <c r="AT138" i="3"/>
  <c r="AS133" i="3"/>
  <c r="AT130" i="3"/>
  <c r="AT106" i="3"/>
  <c r="AS101" i="3"/>
  <c r="AT98" i="3"/>
  <c r="AS93" i="3"/>
  <c r="AT90" i="3"/>
  <c r="AS85" i="3"/>
  <c r="AT82" i="3"/>
  <c r="AS77" i="3"/>
  <c r="AT74" i="3"/>
  <c r="AS69" i="3"/>
  <c r="AT66" i="3"/>
  <c r="AS61" i="3"/>
  <c r="AT58" i="3"/>
  <c r="AS53" i="3"/>
  <c r="AT50" i="3"/>
  <c r="AS45" i="3"/>
  <c r="AT42" i="3"/>
  <c r="AS37" i="3"/>
  <c r="AT34" i="3"/>
  <c r="AS29" i="3"/>
  <c r="AT26" i="3"/>
  <c r="AT207" i="3"/>
  <c r="AT199" i="3"/>
  <c r="AS194" i="3"/>
  <c r="AT191" i="3"/>
  <c r="AS186" i="3"/>
  <c r="AT183" i="3"/>
  <c r="AS178" i="3"/>
  <c r="AT175" i="3"/>
  <c r="AS170" i="3"/>
  <c r="AT167" i="3"/>
  <c r="AS162" i="3"/>
  <c r="AT159" i="3"/>
  <c r="AS154" i="3"/>
  <c r="AT151" i="3"/>
  <c r="AS146" i="3"/>
  <c r="AT143" i="3"/>
  <c r="AS138" i="3"/>
  <c r="AT135" i="3"/>
  <c r="AS130" i="3"/>
  <c r="AT127" i="3"/>
  <c r="AT119" i="3"/>
  <c r="AT111" i="3"/>
  <c r="AS106" i="3"/>
  <c r="AT103" i="3"/>
  <c r="AS98" i="3"/>
  <c r="AT95" i="3"/>
  <c r="AS90" i="3"/>
  <c r="AT87" i="3"/>
  <c r="AS82" i="3"/>
  <c r="AT79" i="3"/>
  <c r="AS74" i="3"/>
  <c r="AT71" i="3"/>
  <c r="AS66" i="3"/>
  <c r="AT63" i="3"/>
  <c r="AS58" i="3"/>
  <c r="AT55" i="3"/>
  <c r="AS50" i="3"/>
  <c r="AT47" i="3"/>
  <c r="AS42" i="3"/>
  <c r="AT39" i="3"/>
  <c r="AS34" i="3"/>
  <c r="AT31" i="3"/>
  <c r="AS26" i="3"/>
  <c r="AT212" i="3"/>
  <c r="AT204" i="3"/>
  <c r="AT196" i="3"/>
  <c r="AS191" i="3"/>
  <c r="AT188" i="3"/>
  <c r="AS183" i="3"/>
  <c r="AT180" i="3"/>
  <c r="AS175" i="3"/>
  <c r="AT172" i="3"/>
  <c r="AS167" i="3"/>
  <c r="AT164" i="3"/>
  <c r="AS159" i="3"/>
  <c r="AT156" i="3"/>
  <c r="AS151" i="3"/>
  <c r="AT148" i="3"/>
  <c r="AS143" i="3"/>
  <c r="AT140" i="3"/>
  <c r="AS135" i="3"/>
  <c r="AT132" i="3"/>
  <c r="AS127" i="3"/>
  <c r="AT124" i="3"/>
  <c r="AS119" i="3"/>
  <c r="AT116" i="3"/>
  <c r="AS111" i="3"/>
  <c r="AT108" i="3"/>
  <c r="AS103" i="3"/>
  <c r="AT100" i="3"/>
  <c r="AS95" i="3"/>
  <c r="AT92" i="3"/>
  <c r="AS87" i="3"/>
  <c r="AT84" i="3"/>
  <c r="AS79" i="3"/>
  <c r="AT76" i="3"/>
  <c r="AS71" i="3"/>
  <c r="AT68" i="3"/>
  <c r="AS63" i="3"/>
  <c r="AT60" i="3"/>
  <c r="AS55" i="3"/>
  <c r="AT52" i="3"/>
  <c r="AS47" i="3"/>
  <c r="AT44" i="3"/>
  <c r="AS39" i="3"/>
  <c r="AT36" i="3"/>
  <c r="AS31" i="3"/>
  <c r="AT28" i="3"/>
  <c r="AS212" i="3"/>
  <c r="AT209" i="3"/>
  <c r="AS204" i="3"/>
  <c r="AT201" i="3"/>
  <c r="AS196" i="3"/>
  <c r="AT193" i="3"/>
  <c r="AS188" i="3"/>
  <c r="AT185" i="3"/>
  <c r="AS180" i="3"/>
  <c r="AT177" i="3"/>
  <c r="AS172" i="3"/>
  <c r="AT169" i="3"/>
  <c r="AS164" i="3"/>
  <c r="AT161" i="3"/>
  <c r="AS156" i="3"/>
  <c r="AT153" i="3"/>
  <c r="AS148" i="3"/>
  <c r="AT145" i="3"/>
  <c r="AS140" i="3"/>
  <c r="AT137" i="3"/>
  <c r="AS132" i="3"/>
  <c r="AT129" i="3"/>
  <c r="AS124" i="3"/>
  <c r="AT121" i="3"/>
  <c r="AS116" i="3"/>
  <c r="AT113" i="3"/>
  <c r="AS108" i="3"/>
  <c r="AS100" i="3"/>
  <c r="AS92" i="3"/>
  <c r="AS84" i="3"/>
  <c r="AS76" i="3"/>
  <c r="AS68" i="3"/>
  <c r="AS60" i="3"/>
  <c r="AS52" i="3"/>
  <c r="AS44" i="3"/>
  <c r="AS36" i="3"/>
  <c r="AS28" i="3"/>
  <c r="AO159" i="3"/>
  <c r="AO151" i="3"/>
  <c r="AO143" i="3"/>
  <c r="AO135" i="3"/>
  <c r="AO127" i="3"/>
  <c r="AO119" i="3"/>
  <c r="AO111" i="3"/>
  <c r="AO103" i="3"/>
  <c r="AO95" i="3"/>
  <c r="AO87" i="3"/>
  <c r="AO79" i="3"/>
  <c r="AO71" i="3"/>
  <c r="AO63" i="3"/>
  <c r="AO55" i="3"/>
  <c r="AO47" i="3"/>
  <c r="AO39" i="3"/>
  <c r="AO31" i="3"/>
  <c r="AO23" i="3"/>
  <c r="AO15" i="3"/>
  <c r="AO7" i="3"/>
  <c r="C38" i="3"/>
  <c r="D38" i="3" s="1"/>
  <c r="C35" i="3"/>
  <c r="D35" i="3" s="1"/>
  <c r="AC166" i="3"/>
  <c r="AO157" i="3"/>
  <c r="AO149" i="3"/>
  <c r="AO141" i="3"/>
  <c r="AO133" i="3"/>
  <c r="AO101" i="3"/>
  <c r="AO93" i="3"/>
  <c r="AO85" i="3"/>
  <c r="AO77" i="3"/>
  <c r="AO69" i="3"/>
  <c r="AO61" i="3"/>
  <c r="AO53" i="3"/>
  <c r="AO45" i="3"/>
  <c r="AO37" i="3"/>
  <c r="AO29" i="3"/>
  <c r="AO208" i="3"/>
  <c r="AO200" i="3"/>
  <c r="AO192" i="3"/>
  <c r="AO184" i="3"/>
  <c r="AO176" i="3"/>
  <c r="C36" i="3"/>
  <c r="D36" i="3" s="1"/>
  <c r="AO155" i="3"/>
  <c r="AO147" i="3"/>
  <c r="AO139" i="3"/>
  <c r="AO131" i="3"/>
  <c r="AO123" i="3"/>
  <c r="AO115" i="3"/>
  <c r="AO107" i="3"/>
  <c r="AO99" i="3"/>
  <c r="AO91" i="3"/>
  <c r="AO83" i="3"/>
  <c r="AO75" i="3"/>
  <c r="AO67" i="3"/>
  <c r="AO59" i="3"/>
  <c r="AO51" i="3"/>
  <c r="AO43" i="3"/>
  <c r="AO35" i="3"/>
  <c r="AO27" i="3"/>
  <c r="AO19" i="3"/>
  <c r="AO11" i="3"/>
  <c r="AO205" i="3"/>
  <c r="AO197" i="3"/>
  <c r="AO189" i="3"/>
  <c r="AO181" i="3"/>
  <c r="AO173" i="3"/>
  <c r="AO13" i="3"/>
  <c r="AC169" i="3"/>
  <c r="AD169" i="3" s="1"/>
  <c r="AO207" i="3"/>
  <c r="AO199" i="3"/>
  <c r="AO191" i="3"/>
  <c r="AO183" i="3"/>
  <c r="AO175" i="3"/>
  <c r="AO206" i="3"/>
  <c r="AO198" i="3"/>
  <c r="AO190" i="3"/>
  <c r="AO182" i="3"/>
  <c r="AO174" i="3"/>
  <c r="AO156" i="3"/>
  <c r="AO148" i="3"/>
  <c r="AO140" i="3"/>
  <c r="AO132" i="3"/>
  <c r="AO100" i="3"/>
  <c r="AO92" i="3"/>
  <c r="AO84" i="3"/>
  <c r="AO76" i="3"/>
  <c r="AO68" i="3"/>
  <c r="AO60" i="3"/>
  <c r="AO52" i="3"/>
  <c r="AO44" i="3"/>
  <c r="AO36" i="3"/>
  <c r="AO28" i="3"/>
  <c r="AO21" i="3"/>
  <c r="AO212" i="3"/>
  <c r="AO204" i="3"/>
  <c r="AO196" i="3"/>
  <c r="AO188" i="3"/>
  <c r="AO180" i="3"/>
  <c r="AO172" i="3"/>
  <c r="AO154" i="3"/>
  <c r="AO146" i="3"/>
  <c r="AO138" i="3"/>
  <c r="AO130" i="3"/>
  <c r="AO122" i="3"/>
  <c r="AO114" i="3"/>
  <c r="AO106" i="3"/>
  <c r="AO98" i="3"/>
  <c r="AO90" i="3"/>
  <c r="AO82" i="3"/>
  <c r="AO74" i="3"/>
  <c r="AO66" i="3"/>
  <c r="AO58" i="3"/>
  <c r="AO50" i="3"/>
  <c r="AO42" i="3"/>
  <c r="AO34" i="3"/>
  <c r="AO26" i="3"/>
  <c r="AO18" i="3"/>
  <c r="AO10" i="3"/>
  <c r="AO5" i="3"/>
  <c r="AO211" i="3"/>
  <c r="AO203" i="3"/>
  <c r="AO195" i="3"/>
  <c r="AO187" i="3"/>
  <c r="AO179" i="3"/>
  <c r="AO171" i="3"/>
  <c r="AO145" i="3"/>
  <c r="AO137" i="3"/>
  <c r="AO129" i="3"/>
  <c r="AO105" i="3"/>
  <c r="AO97" i="3"/>
  <c r="AO89" i="3"/>
  <c r="AO81" i="3"/>
  <c r="AO73" i="3"/>
  <c r="AO65" i="3"/>
  <c r="AO57" i="3"/>
  <c r="AO49" i="3"/>
  <c r="AO41" i="3"/>
  <c r="AO33" i="3"/>
  <c r="AO25" i="3"/>
  <c r="AO17" i="3"/>
  <c r="AO125" i="3"/>
  <c r="AC165" i="3"/>
  <c r="AO210" i="3"/>
  <c r="AO202" i="3"/>
  <c r="AO194" i="3"/>
  <c r="AO186" i="3"/>
  <c r="AO178" i="3"/>
  <c r="AO117" i="3"/>
  <c r="AO209" i="3"/>
  <c r="AO201" i="3"/>
  <c r="AO193" i="3"/>
  <c r="AO185" i="3"/>
  <c r="AO109" i="3"/>
  <c r="AP17" i="3"/>
  <c r="AQ17" i="3" s="1"/>
  <c r="S17" i="3" s="1"/>
  <c r="AO158" i="3"/>
  <c r="AO150" i="3"/>
  <c r="AO142" i="3"/>
  <c r="AO134" i="3"/>
  <c r="AO102" i="3"/>
  <c r="AO94" i="3"/>
  <c r="AO86" i="3"/>
  <c r="AO78" i="3"/>
  <c r="AO70" i="3"/>
  <c r="AO62" i="3"/>
  <c r="AO54" i="3"/>
  <c r="AO46" i="3"/>
  <c r="AO38" i="3"/>
  <c r="AO30" i="3"/>
  <c r="AO160" i="3"/>
  <c r="C42" i="3"/>
  <c r="D42" i="3" s="1"/>
  <c r="AP123" i="3"/>
  <c r="AQ123" i="3" s="1"/>
  <c r="S39" i="3" s="1"/>
  <c r="AP115" i="3"/>
  <c r="AQ115" i="3" s="1"/>
  <c r="S31" i="3" s="1"/>
  <c r="AP19" i="3"/>
  <c r="AQ19" i="3" s="1"/>
  <c r="S19" i="3" s="1"/>
  <c r="AP11" i="3"/>
  <c r="AQ11" i="3" s="1"/>
  <c r="S11" i="3" s="1"/>
  <c r="C37" i="3"/>
  <c r="D37" i="3" s="1"/>
  <c r="AO126" i="3"/>
  <c r="AO118" i="3"/>
  <c r="AO110" i="3"/>
  <c r="AO22" i="3"/>
  <c r="AO14" i="3"/>
  <c r="AO6" i="3"/>
  <c r="AP122" i="3"/>
  <c r="AQ122" i="3" s="1"/>
  <c r="S38" i="3" s="1"/>
  <c r="AP114" i="3"/>
  <c r="AQ114" i="3" s="1"/>
  <c r="S30" i="3" s="1"/>
  <c r="AP18" i="3"/>
  <c r="AQ18" i="3" s="1"/>
  <c r="S18" i="3" s="1"/>
  <c r="AP10" i="3"/>
  <c r="AQ10" i="3" s="1"/>
  <c r="S10" i="3" s="1"/>
  <c r="AO124" i="3"/>
  <c r="AO116" i="3"/>
  <c r="AO108" i="3"/>
  <c r="AO20" i="3"/>
  <c r="AO12" i="3"/>
  <c r="AO4" i="3"/>
  <c r="E37" i="11"/>
  <c r="AO177" i="3"/>
  <c r="AO153" i="3"/>
  <c r="AO121" i="3"/>
  <c r="AO113" i="3"/>
  <c r="AO9" i="3"/>
  <c r="I18" i="7"/>
  <c r="I19" i="7" s="1"/>
  <c r="G19" i="7"/>
  <c r="Q8" i="11" l="1"/>
  <c r="AG47" i="3"/>
  <c r="AL47" i="3" s="1"/>
  <c r="AE760" i="16" s="1"/>
  <c r="I760" i="16" s="1"/>
  <c r="AG55" i="3"/>
  <c r="AL55" i="3" s="1"/>
  <c r="AE768" i="16" s="1"/>
  <c r="I768" i="16" s="1"/>
  <c r="AG63" i="3"/>
  <c r="AL63" i="3" s="1"/>
  <c r="AE776" i="16" s="1"/>
  <c r="I776" i="16" s="1"/>
  <c r="AG151" i="3"/>
  <c r="AL151" i="3" s="1"/>
  <c r="AG159" i="3"/>
  <c r="AL159" i="3" s="1"/>
  <c r="AG167" i="3"/>
  <c r="AL167" i="3" s="1"/>
  <c r="AG54" i="3"/>
  <c r="AL54" i="3" s="1"/>
  <c r="AE767" i="16" s="1"/>
  <c r="I767" i="16" s="1"/>
  <c r="AG158" i="3"/>
  <c r="AL158" i="3" s="1"/>
  <c r="AG48" i="3"/>
  <c r="AL48" i="3" s="1"/>
  <c r="AE761" i="16" s="1"/>
  <c r="I761" i="16" s="1"/>
  <c r="AG56" i="3"/>
  <c r="AL56" i="3" s="1"/>
  <c r="AE769" i="16" s="1"/>
  <c r="I769" i="16" s="1"/>
  <c r="AG64" i="3"/>
  <c r="AL64" i="3" s="1"/>
  <c r="AE777" i="16" s="1"/>
  <c r="I777" i="16" s="1"/>
  <c r="AG152" i="3"/>
  <c r="AL152" i="3" s="1"/>
  <c r="AG160" i="3"/>
  <c r="AL160" i="3" s="1"/>
  <c r="AG168" i="3"/>
  <c r="AL168" i="3" s="1"/>
  <c r="AG46" i="3"/>
  <c r="AL46" i="3" s="1"/>
  <c r="AE759" i="16" s="1"/>
  <c r="I759" i="16" s="1"/>
  <c r="AG49" i="3"/>
  <c r="AL49" i="3" s="1"/>
  <c r="AE762" i="16" s="1"/>
  <c r="I762" i="16" s="1"/>
  <c r="AG57" i="3"/>
  <c r="AL57" i="3" s="1"/>
  <c r="AE770" i="16" s="1"/>
  <c r="I770" i="16" s="1"/>
  <c r="AG65" i="3"/>
  <c r="AL65" i="3" s="1"/>
  <c r="AE778" i="16" s="1"/>
  <c r="I778" i="16" s="1"/>
  <c r="AG153" i="3"/>
  <c r="AL153" i="3" s="1"/>
  <c r="AG161" i="3"/>
  <c r="AL161" i="3" s="1"/>
  <c r="AG169" i="3"/>
  <c r="AL169" i="3" s="1"/>
  <c r="AG62" i="3"/>
  <c r="AL62" i="3" s="1"/>
  <c r="AE775" i="16" s="1"/>
  <c r="I775" i="16" s="1"/>
  <c r="AG50" i="3"/>
  <c r="AL50" i="3" s="1"/>
  <c r="AE763" i="16" s="1"/>
  <c r="I763" i="16" s="1"/>
  <c r="AG58" i="3"/>
  <c r="AL58" i="3" s="1"/>
  <c r="AE771" i="16" s="1"/>
  <c r="I771" i="16" s="1"/>
  <c r="AG154" i="3"/>
  <c r="AL154" i="3" s="1"/>
  <c r="AG162" i="3"/>
  <c r="AL162" i="3" s="1"/>
  <c r="J36" i="11" s="1"/>
  <c r="M36" i="11" s="1"/>
  <c r="AG170" i="3"/>
  <c r="AL170" i="3" s="1"/>
  <c r="AG51" i="3"/>
  <c r="AL51" i="3" s="1"/>
  <c r="AE764" i="16" s="1"/>
  <c r="I764" i="16" s="1"/>
  <c r="AG59" i="3"/>
  <c r="AL59" i="3" s="1"/>
  <c r="AE772" i="16" s="1"/>
  <c r="I772" i="16" s="1"/>
  <c r="AG155" i="3"/>
  <c r="AL155" i="3" s="1"/>
  <c r="AG163" i="3"/>
  <c r="AL163" i="3" s="1"/>
  <c r="J37" i="11" s="1"/>
  <c r="M37" i="11" s="1"/>
  <c r="AG45" i="3"/>
  <c r="AL45" i="3" s="1"/>
  <c r="AE758" i="16" s="1"/>
  <c r="I758" i="16" s="1"/>
  <c r="AG61" i="3"/>
  <c r="AL61" i="3" s="1"/>
  <c r="AE774" i="16" s="1"/>
  <c r="I774" i="16" s="1"/>
  <c r="AG157" i="3"/>
  <c r="AL157" i="3" s="1"/>
  <c r="AG166" i="3"/>
  <c r="AL166" i="3" s="1"/>
  <c r="AG52" i="3"/>
  <c r="AL52" i="3" s="1"/>
  <c r="AE765" i="16" s="1"/>
  <c r="I765" i="16" s="1"/>
  <c r="AG60" i="3"/>
  <c r="AL60" i="3" s="1"/>
  <c r="AE773" i="16" s="1"/>
  <c r="I773" i="16" s="1"/>
  <c r="AG156" i="3"/>
  <c r="AL156" i="3" s="1"/>
  <c r="AG164" i="3"/>
  <c r="AL164" i="3" s="1"/>
  <c r="J38" i="11" s="1"/>
  <c r="M38" i="11" s="1"/>
  <c r="AG53" i="3"/>
  <c r="AL53" i="3" s="1"/>
  <c r="AE766" i="16" s="1"/>
  <c r="I766" i="16" s="1"/>
  <c r="AG165" i="3"/>
  <c r="AL165" i="3" s="1"/>
  <c r="AG150" i="3"/>
  <c r="AL150" i="3" s="1"/>
  <c r="AM153" i="3"/>
  <c r="AK153" i="3" s="1"/>
  <c r="AM48" i="3"/>
  <c r="AF761" i="16" s="1"/>
  <c r="J761" i="16" s="1"/>
  <c r="J41" i="11"/>
  <c r="AM167" i="3"/>
  <c r="K41" i="11" s="1"/>
  <c r="AM46" i="3"/>
  <c r="K4" i="11" s="1"/>
  <c r="N4" i="11" s="1"/>
  <c r="AM160" i="3"/>
  <c r="K34" i="11" s="1"/>
  <c r="N34" i="11" s="1"/>
  <c r="AM64" i="3"/>
  <c r="AM47" i="3"/>
  <c r="S23" i="11"/>
  <c r="AM159" i="3"/>
  <c r="K33" i="11" s="1"/>
  <c r="N33" i="11" s="1"/>
  <c r="J42" i="11"/>
  <c r="AM168" i="3"/>
  <c r="K42" i="11" s="1"/>
  <c r="AM52" i="3"/>
  <c r="AE9" i="16"/>
  <c r="AM155" i="3"/>
  <c r="K29" i="11" s="1"/>
  <c r="N29" i="11" s="1"/>
  <c r="AM65" i="3"/>
  <c r="AM55" i="3"/>
  <c r="AF768" i="16" s="1"/>
  <c r="J768" i="16" s="1"/>
  <c r="AM161" i="3"/>
  <c r="K35" i="11" s="1"/>
  <c r="N35" i="11" s="1"/>
  <c r="AM166" i="3"/>
  <c r="K40" i="11" s="1"/>
  <c r="AM56" i="3"/>
  <c r="AE13" i="16"/>
  <c r="AE19" i="16"/>
  <c r="AM62" i="3"/>
  <c r="AM60" i="3"/>
  <c r="AF773" i="16" s="1"/>
  <c r="J773" i="16" s="1"/>
  <c r="J18" i="11"/>
  <c r="M18" i="11" s="1"/>
  <c r="Q5" i="11"/>
  <c r="AM152" i="3"/>
  <c r="K26" i="11" s="1"/>
  <c r="N26" i="11" s="1"/>
  <c r="AM59" i="3"/>
  <c r="AM51" i="3"/>
  <c r="AM63" i="3"/>
  <c r="AF776" i="16" s="1"/>
  <c r="J776" i="16" s="1"/>
  <c r="J32" i="11"/>
  <c r="M32" i="11" s="1"/>
  <c r="AM158" i="3"/>
  <c r="K32" i="11" s="1"/>
  <c r="N32" i="11" s="1"/>
  <c r="AM53" i="3"/>
  <c r="AM154" i="3"/>
  <c r="K28" i="11" s="1"/>
  <c r="N28" i="11" s="1"/>
  <c r="AM58" i="3"/>
  <c r="AM156" i="3"/>
  <c r="K30" i="11" s="1"/>
  <c r="N30" i="11" s="1"/>
  <c r="AM45" i="3"/>
  <c r="AF758" i="16" s="1"/>
  <c r="J758" i="16" s="1"/>
  <c r="J33" i="11"/>
  <c r="M33" i="11" s="1"/>
  <c r="J44" i="11"/>
  <c r="AM170" i="3"/>
  <c r="K44" i="11" s="1"/>
  <c r="AM57" i="3"/>
  <c r="AM49" i="3"/>
  <c r="AM151" i="3"/>
  <c r="K25" i="11" s="1"/>
  <c r="N25" i="11" s="1"/>
  <c r="AM169" i="3"/>
  <c r="K43" i="11" s="1"/>
  <c r="P9" i="11"/>
  <c r="P8" i="11"/>
  <c r="P14" i="11"/>
  <c r="O17" i="11"/>
  <c r="S16" i="11"/>
  <c r="Q17" i="11"/>
  <c r="Q9" i="11"/>
  <c r="Q19" i="11"/>
  <c r="O9" i="11"/>
  <c r="O19" i="11"/>
  <c r="P17" i="11"/>
  <c r="O5" i="11"/>
  <c r="O14" i="11"/>
  <c r="O23" i="11"/>
  <c r="Q14" i="11"/>
  <c r="Q23" i="11"/>
  <c r="S15" i="11"/>
  <c r="S19" i="11"/>
  <c r="G41" i="11"/>
  <c r="AD167" i="3"/>
  <c r="E41" i="11" s="1"/>
  <c r="G39" i="11"/>
  <c r="AD165" i="3"/>
  <c r="P22" i="11"/>
  <c r="G40" i="11"/>
  <c r="AD166" i="3"/>
  <c r="K6" i="11"/>
  <c r="N6" i="11" s="1"/>
  <c r="AF5" i="16"/>
  <c r="AE41" i="16"/>
  <c r="I41" i="16" s="1"/>
  <c r="J63" i="11"/>
  <c r="M63" i="11" s="1"/>
  <c r="AE31" i="16"/>
  <c r="I31" i="16" s="1"/>
  <c r="J53" i="11"/>
  <c r="M53" i="11" s="1"/>
  <c r="AE40" i="16"/>
  <c r="I40" i="16" s="1"/>
  <c r="J62" i="11"/>
  <c r="M62" i="11" s="1"/>
  <c r="AE37" i="16"/>
  <c r="I37" i="16" s="1"/>
  <c r="J59" i="11"/>
  <c r="M59" i="11" s="1"/>
  <c r="AE39" i="16"/>
  <c r="I39" i="16" s="1"/>
  <c r="J61" i="11"/>
  <c r="M61" i="11" s="1"/>
  <c r="K5" i="11"/>
  <c r="N5" i="11" s="1"/>
  <c r="I63" i="11"/>
  <c r="L63" i="11" s="1"/>
  <c r="AD41" i="16"/>
  <c r="H41" i="16" s="1"/>
  <c r="I53" i="11"/>
  <c r="L53" i="11" s="1"/>
  <c r="AD31" i="16"/>
  <c r="H31" i="16" s="1"/>
  <c r="I62" i="11"/>
  <c r="L62" i="11" s="1"/>
  <c r="AD40" i="16"/>
  <c r="H40" i="16" s="1"/>
  <c r="I59" i="11"/>
  <c r="L59" i="11" s="1"/>
  <c r="AD37" i="16"/>
  <c r="H37" i="16" s="1"/>
  <c r="I61" i="11"/>
  <c r="L61" i="11" s="1"/>
  <c r="AD39" i="16"/>
  <c r="H39" i="16" s="1"/>
  <c r="AE10" i="16"/>
  <c r="J11" i="11"/>
  <c r="M11" i="11" s="1"/>
  <c r="AE26" i="16"/>
  <c r="I26" i="16" s="1"/>
  <c r="J48" i="11"/>
  <c r="M48" i="11" s="1"/>
  <c r="AE27" i="16"/>
  <c r="I27" i="16" s="1"/>
  <c r="J49" i="11"/>
  <c r="M49" i="11" s="1"/>
  <c r="AE28" i="16"/>
  <c r="I28" i="16" s="1"/>
  <c r="J50" i="11"/>
  <c r="M50" i="11" s="1"/>
  <c r="AE23" i="16"/>
  <c r="I23" i="16" s="1"/>
  <c r="J45" i="11"/>
  <c r="M45" i="11" s="1"/>
  <c r="AE32" i="16"/>
  <c r="I32" i="16" s="1"/>
  <c r="J54" i="11"/>
  <c r="M54" i="11" s="1"/>
  <c r="AF22" i="16"/>
  <c r="AF12" i="16"/>
  <c r="K13" i="11"/>
  <c r="N13" i="11" s="1"/>
  <c r="I48" i="11"/>
  <c r="L48" i="11" s="1"/>
  <c r="AD26" i="16"/>
  <c r="H26" i="16" s="1"/>
  <c r="I49" i="11"/>
  <c r="L49" i="11" s="1"/>
  <c r="AD27" i="16"/>
  <c r="H27" i="16" s="1"/>
  <c r="I50" i="11"/>
  <c r="L50" i="11" s="1"/>
  <c r="AD28" i="16"/>
  <c r="H28" i="16" s="1"/>
  <c r="I45" i="11"/>
  <c r="L45" i="11" s="1"/>
  <c r="AD23" i="16"/>
  <c r="H23" i="16" s="1"/>
  <c r="I54" i="11"/>
  <c r="L54" i="11" s="1"/>
  <c r="AD32" i="16"/>
  <c r="H32" i="16" s="1"/>
  <c r="K18" i="11"/>
  <c r="N18" i="11" s="1"/>
  <c r="AF17" i="16"/>
  <c r="AE25" i="16"/>
  <c r="I25" i="16" s="1"/>
  <c r="J47" i="11"/>
  <c r="M47" i="11" s="1"/>
  <c r="AE34" i="16"/>
  <c r="I34" i="16" s="1"/>
  <c r="J56" i="11"/>
  <c r="M56" i="11" s="1"/>
  <c r="AE35" i="16"/>
  <c r="I35" i="16" s="1"/>
  <c r="J57" i="11"/>
  <c r="M57" i="11" s="1"/>
  <c r="AE36" i="16"/>
  <c r="I36" i="16" s="1"/>
  <c r="J58" i="11"/>
  <c r="M58" i="11" s="1"/>
  <c r="AE30" i="16"/>
  <c r="I30" i="16" s="1"/>
  <c r="J52" i="11"/>
  <c r="M52" i="11" s="1"/>
  <c r="AE24" i="16"/>
  <c r="I24" i="16" s="1"/>
  <c r="J46" i="11"/>
  <c r="M46" i="11" s="1"/>
  <c r="AE15" i="16"/>
  <c r="J16" i="11"/>
  <c r="M16" i="11" s="1"/>
  <c r="AE2" i="16"/>
  <c r="I2" i="16" s="1"/>
  <c r="J3" i="11"/>
  <c r="M3" i="11" s="1"/>
  <c r="AS6" i="3"/>
  <c r="U6" i="3" s="1"/>
  <c r="AF20" i="16"/>
  <c r="K21" i="11"/>
  <c r="N21" i="11" s="1"/>
  <c r="I47" i="11"/>
  <c r="L47" i="11" s="1"/>
  <c r="AD25" i="16"/>
  <c r="H25" i="16" s="1"/>
  <c r="I56" i="11"/>
  <c r="L56" i="11" s="1"/>
  <c r="AD34" i="16"/>
  <c r="H34" i="16" s="1"/>
  <c r="I57" i="11"/>
  <c r="L57" i="11" s="1"/>
  <c r="AD35" i="16"/>
  <c r="H35" i="16" s="1"/>
  <c r="I58" i="11"/>
  <c r="L58" i="11" s="1"/>
  <c r="AD36" i="16"/>
  <c r="H36" i="16" s="1"/>
  <c r="I52" i="11"/>
  <c r="L52" i="11" s="1"/>
  <c r="AD30" i="16"/>
  <c r="H30" i="16" s="1"/>
  <c r="I46" i="11"/>
  <c r="L46" i="11" s="1"/>
  <c r="AD24" i="16"/>
  <c r="H24" i="16" s="1"/>
  <c r="P5" i="11"/>
  <c r="AF10" i="16"/>
  <c r="AF2" i="16"/>
  <c r="J2" i="16" s="1"/>
  <c r="K3" i="11"/>
  <c r="N3" i="11" s="1"/>
  <c r="AE33" i="16"/>
  <c r="I33" i="16" s="1"/>
  <c r="J55" i="11"/>
  <c r="M55" i="11" s="1"/>
  <c r="AE42" i="16"/>
  <c r="I42" i="16" s="1"/>
  <c r="J64" i="11"/>
  <c r="M64" i="11" s="1"/>
  <c r="AE43" i="16"/>
  <c r="I43" i="16" s="1"/>
  <c r="J65" i="11"/>
  <c r="M65" i="11" s="1"/>
  <c r="AE29" i="16"/>
  <c r="I29" i="16" s="1"/>
  <c r="J51" i="11"/>
  <c r="M51" i="11" s="1"/>
  <c r="AE38" i="16"/>
  <c r="I38" i="16" s="1"/>
  <c r="J60" i="11"/>
  <c r="M60" i="11" s="1"/>
  <c r="I55" i="11"/>
  <c r="L55" i="11" s="1"/>
  <c r="AD33" i="16"/>
  <c r="H33" i="16" s="1"/>
  <c r="I64" i="11"/>
  <c r="L64" i="11" s="1"/>
  <c r="AD42" i="16"/>
  <c r="H42" i="16" s="1"/>
  <c r="I65" i="11"/>
  <c r="L65" i="11" s="1"/>
  <c r="AD43" i="16"/>
  <c r="H43" i="16" s="1"/>
  <c r="I51" i="11"/>
  <c r="L51" i="11" s="1"/>
  <c r="AD29" i="16"/>
  <c r="H29" i="16" s="1"/>
  <c r="I60" i="11"/>
  <c r="L60" i="11" s="1"/>
  <c r="AD38" i="16"/>
  <c r="H38" i="16" s="1"/>
  <c r="O18" i="11"/>
  <c r="Q18" i="11"/>
  <c r="S21" i="11"/>
  <c r="Q7" i="11"/>
  <c r="S8" i="11"/>
  <c r="O13" i="11"/>
  <c r="P13" i="11"/>
  <c r="O22" i="11"/>
  <c r="S13" i="11"/>
  <c r="Q22" i="11"/>
  <c r="O4" i="11"/>
  <c r="P11" i="11"/>
  <c r="Q12" i="11"/>
  <c r="O15" i="11"/>
  <c r="Q16" i="11"/>
  <c r="S12" i="11"/>
  <c r="Q15" i="11"/>
  <c r="O16" i="11"/>
  <c r="P20" i="11"/>
  <c r="O21" i="11"/>
  <c r="S18" i="11"/>
  <c r="P21" i="11"/>
  <c r="O7" i="11"/>
  <c r="P12" i="11"/>
  <c r="P7" i="11"/>
  <c r="S11" i="11"/>
  <c r="Q6" i="11"/>
  <c r="Q11" i="11"/>
  <c r="Q20" i="11"/>
  <c r="O6" i="11"/>
  <c r="O20" i="11"/>
  <c r="S6" i="11"/>
  <c r="O10" i="11"/>
  <c r="S10" i="11"/>
  <c r="Q4" i="11"/>
  <c r="Q10" i="11"/>
  <c r="P4" i="11"/>
  <c r="M21" i="16"/>
  <c r="N21" i="16"/>
  <c r="L21" i="16"/>
  <c r="K21" i="16"/>
  <c r="G21" i="16"/>
  <c r="K3" i="16"/>
  <c r="L3" i="16"/>
  <c r="M3" i="16"/>
  <c r="N3" i="16"/>
  <c r="L7" i="16"/>
  <c r="G7" i="16"/>
  <c r="N7" i="16"/>
  <c r="M7" i="16"/>
  <c r="K7" i="16"/>
  <c r="M17" i="16"/>
  <c r="N17" i="16"/>
  <c r="L17" i="16"/>
  <c r="K17" i="16"/>
  <c r="G17" i="16"/>
  <c r="L11" i="16"/>
  <c r="N11" i="16"/>
  <c r="G11" i="16"/>
  <c r="M11" i="16"/>
  <c r="K11" i="16"/>
  <c r="G20" i="16"/>
  <c r="L20" i="16"/>
  <c r="M20" i="16"/>
  <c r="K20" i="16"/>
  <c r="N20" i="16"/>
  <c r="G6" i="16"/>
  <c r="N6" i="16"/>
  <c r="M6" i="16"/>
  <c r="K6" i="16"/>
  <c r="L6" i="16"/>
  <c r="L15" i="16"/>
  <c r="N15" i="16"/>
  <c r="M15" i="16"/>
  <c r="K15" i="16"/>
  <c r="G15" i="16"/>
  <c r="L12" i="16"/>
  <c r="N12" i="16"/>
  <c r="G12" i="16"/>
  <c r="M12" i="16"/>
  <c r="K12" i="16"/>
  <c r="G10" i="16"/>
  <c r="N10" i="16"/>
  <c r="L10" i="16"/>
  <c r="M10" i="16"/>
  <c r="K10" i="16"/>
  <c r="L19" i="16"/>
  <c r="M19" i="16"/>
  <c r="K19" i="16"/>
  <c r="N19" i="16"/>
  <c r="G19" i="16"/>
  <c r="K5" i="16"/>
  <c r="N5" i="16"/>
  <c r="M5" i="16"/>
  <c r="G5" i="16"/>
  <c r="L5" i="16"/>
  <c r="M14" i="16"/>
  <c r="G14" i="16"/>
  <c r="N14" i="16"/>
  <c r="K14" i="16"/>
  <c r="L14" i="16"/>
  <c r="K8" i="16"/>
  <c r="M8" i="16"/>
  <c r="G8" i="16"/>
  <c r="N8" i="16"/>
  <c r="L8" i="16"/>
  <c r="K9" i="16"/>
  <c r="N9" i="16"/>
  <c r="M9" i="16"/>
  <c r="G9" i="16"/>
  <c r="L9" i="16"/>
  <c r="M18" i="16"/>
  <c r="L18" i="16"/>
  <c r="N18" i="16"/>
  <c r="G18" i="16"/>
  <c r="K18" i="16"/>
  <c r="K4" i="16"/>
  <c r="N4" i="16"/>
  <c r="M4" i="16"/>
  <c r="G4" i="16"/>
  <c r="L4" i="16"/>
  <c r="L13" i="16"/>
  <c r="K13" i="16"/>
  <c r="M13" i="16"/>
  <c r="G13" i="16"/>
  <c r="N13" i="16"/>
  <c r="M22" i="16"/>
  <c r="G22" i="16"/>
  <c r="N22" i="16"/>
  <c r="K22" i="16"/>
  <c r="L22" i="16"/>
  <c r="K16" i="16"/>
  <c r="G16" i="16"/>
  <c r="M16" i="16"/>
  <c r="N16" i="16"/>
  <c r="L16" i="16"/>
  <c r="S55" i="11"/>
  <c r="P55" i="11"/>
  <c r="Q55" i="11"/>
  <c r="O55" i="11"/>
  <c r="S71" i="11"/>
  <c r="P71" i="11"/>
  <c r="Q71" i="11"/>
  <c r="O71" i="11"/>
  <c r="P75" i="11"/>
  <c r="Q75" i="11"/>
  <c r="S75" i="11"/>
  <c r="O75" i="11"/>
  <c r="S84" i="11"/>
  <c r="O84" i="11"/>
  <c r="P84" i="11"/>
  <c r="Q84" i="11"/>
  <c r="Q49" i="11"/>
  <c r="S49" i="11"/>
  <c r="P49" i="11"/>
  <c r="O49" i="11"/>
  <c r="P58" i="11"/>
  <c r="Q58" i="11"/>
  <c r="S58" i="11"/>
  <c r="O58" i="11"/>
  <c r="S60" i="11"/>
  <c r="Q60" i="11"/>
  <c r="O60" i="11"/>
  <c r="P60" i="11"/>
  <c r="P54" i="11"/>
  <c r="S54" i="11"/>
  <c r="Q54" i="11"/>
  <c r="O54" i="11"/>
  <c r="P70" i="11"/>
  <c r="S70" i="11"/>
  <c r="Q70" i="11"/>
  <c r="O70" i="11"/>
  <c r="Q81" i="11"/>
  <c r="S81" i="11"/>
  <c r="P81" i="11"/>
  <c r="O81" i="11"/>
  <c r="S63" i="11"/>
  <c r="P63" i="11"/>
  <c r="Q63" i="11"/>
  <c r="O63" i="11"/>
  <c r="S79" i="11"/>
  <c r="P79" i="11"/>
  <c r="Q79" i="11"/>
  <c r="O79" i="11"/>
  <c r="Q41" i="11"/>
  <c r="S41" i="11"/>
  <c r="P41" i="11"/>
  <c r="O41" i="11"/>
  <c r="S36" i="11"/>
  <c r="P36" i="11"/>
  <c r="Q36" i="11"/>
  <c r="O36" i="11"/>
  <c r="P42" i="11"/>
  <c r="Q42" i="11"/>
  <c r="S42" i="11"/>
  <c r="O42" i="11"/>
  <c r="P74" i="11"/>
  <c r="Q74" i="11"/>
  <c r="S74" i="11"/>
  <c r="O74" i="11"/>
  <c r="P83" i="11"/>
  <c r="Q83" i="11"/>
  <c r="S83" i="11"/>
  <c r="O83" i="11"/>
  <c r="S48" i="11"/>
  <c r="P48" i="11"/>
  <c r="Q48" i="11"/>
  <c r="O48" i="11"/>
  <c r="Q57" i="11"/>
  <c r="S57" i="11"/>
  <c r="P57" i="11"/>
  <c r="O57" i="11"/>
  <c r="P51" i="11"/>
  <c r="Q51" i="11"/>
  <c r="O51" i="11"/>
  <c r="S51" i="11"/>
  <c r="P66" i="11"/>
  <c r="Q66" i="11"/>
  <c r="O66" i="11"/>
  <c r="S66" i="11"/>
  <c r="Q53" i="11"/>
  <c r="S53" i="11"/>
  <c r="O53" i="11"/>
  <c r="P53" i="11"/>
  <c r="Q69" i="11"/>
  <c r="S69" i="11"/>
  <c r="P69" i="11"/>
  <c r="O69" i="11"/>
  <c r="S72" i="11"/>
  <c r="P72" i="11"/>
  <c r="Q72" i="11"/>
  <c r="O72" i="11"/>
  <c r="Q37" i="11"/>
  <c r="S37" i="11"/>
  <c r="P37" i="11"/>
  <c r="O37" i="11"/>
  <c r="P62" i="11"/>
  <c r="S62" i="11"/>
  <c r="Q62" i="11"/>
  <c r="O62" i="11"/>
  <c r="P78" i="11"/>
  <c r="S78" i="11"/>
  <c r="Q78" i="11"/>
  <c r="O78" i="11"/>
  <c r="Q45" i="11"/>
  <c r="S45" i="11"/>
  <c r="P45" i="11"/>
  <c r="O45" i="11"/>
  <c r="P38" i="11"/>
  <c r="S38" i="11"/>
  <c r="Q38" i="11"/>
  <c r="O38" i="11"/>
  <c r="Q61" i="11"/>
  <c r="S61" i="11"/>
  <c r="P61" i="11"/>
  <c r="O61" i="11"/>
  <c r="S68" i="11"/>
  <c r="P68" i="11"/>
  <c r="Q68" i="11"/>
  <c r="O68" i="11"/>
  <c r="Q77" i="11"/>
  <c r="S77" i="11"/>
  <c r="P77" i="11"/>
  <c r="O77" i="11"/>
  <c r="Q65" i="11"/>
  <c r="S65" i="11"/>
  <c r="P65" i="11"/>
  <c r="O65" i="11"/>
  <c r="P59" i="11"/>
  <c r="Q59" i="11"/>
  <c r="O59" i="11"/>
  <c r="S59" i="11"/>
  <c r="P82" i="11"/>
  <c r="Q82" i="11"/>
  <c r="S82" i="11"/>
  <c r="O82" i="11"/>
  <c r="S56" i="11"/>
  <c r="P56" i="11"/>
  <c r="Q56" i="11"/>
  <c r="O56" i="11"/>
  <c r="S80" i="11"/>
  <c r="P80" i="11"/>
  <c r="O80" i="11"/>
  <c r="Q80" i="11"/>
  <c r="S47" i="11"/>
  <c r="P47" i="11"/>
  <c r="Q47" i="11"/>
  <c r="O47" i="11"/>
  <c r="P86" i="11"/>
  <c r="S86" i="11"/>
  <c r="Q86" i="11"/>
  <c r="O86" i="11"/>
  <c r="P35" i="11"/>
  <c r="Q35" i="11"/>
  <c r="O35" i="11"/>
  <c r="S35" i="11"/>
  <c r="P67" i="11"/>
  <c r="Q67" i="11"/>
  <c r="O67" i="11"/>
  <c r="S67" i="11"/>
  <c r="S76" i="11"/>
  <c r="Q76" i="11"/>
  <c r="O76" i="11"/>
  <c r="P76" i="11"/>
  <c r="Q85" i="11"/>
  <c r="S85" i="11"/>
  <c r="P85" i="11"/>
  <c r="O85" i="11"/>
  <c r="P50" i="11"/>
  <c r="Q50" i="11"/>
  <c r="S50" i="11"/>
  <c r="O50" i="11"/>
  <c r="S52" i="11"/>
  <c r="P52" i="11"/>
  <c r="O52" i="11"/>
  <c r="Q52" i="11"/>
  <c r="P46" i="11"/>
  <c r="S46" i="11"/>
  <c r="Q46" i="11"/>
  <c r="O46" i="11"/>
  <c r="S64" i="11"/>
  <c r="Q64" i="11"/>
  <c r="O64" i="11"/>
  <c r="P64" i="11"/>
  <c r="Q73" i="11"/>
  <c r="S73" i="11"/>
  <c r="P73" i="11"/>
  <c r="O73" i="11"/>
  <c r="AT7" i="3"/>
  <c r="V7" i="3" s="1"/>
  <c r="AO161" i="3"/>
  <c r="R35" i="3" s="1"/>
  <c r="AE152" i="3"/>
  <c r="J26" i="11"/>
  <c r="M26" i="11" s="1"/>
  <c r="AE153" i="3"/>
  <c r="J27" i="11"/>
  <c r="M27" i="11" s="1"/>
  <c r="AE170" i="3"/>
  <c r="AE165" i="3"/>
  <c r="J39" i="11"/>
  <c r="AE162" i="3"/>
  <c r="AE167" i="3"/>
  <c r="AE158" i="3"/>
  <c r="AE169" i="3"/>
  <c r="J43" i="11"/>
  <c r="AE155" i="3"/>
  <c r="J29" i="11"/>
  <c r="M29" i="11" s="1"/>
  <c r="AE160" i="3"/>
  <c r="J34" i="11"/>
  <c r="M34" i="11" s="1"/>
  <c r="AE151" i="3"/>
  <c r="J25" i="11"/>
  <c r="M25" i="11" s="1"/>
  <c r="AE57" i="3"/>
  <c r="AE48" i="3"/>
  <c r="AE61" i="3"/>
  <c r="AE50" i="3"/>
  <c r="AE51" i="3"/>
  <c r="AE47" i="3"/>
  <c r="AE63" i="3"/>
  <c r="AE49" i="3"/>
  <c r="AE65" i="3"/>
  <c r="AE64" i="3"/>
  <c r="AE55" i="3"/>
  <c r="AE59" i="3"/>
  <c r="AT15" i="3"/>
  <c r="V15" i="3" s="1"/>
  <c r="AE161" i="3"/>
  <c r="AE56" i="3"/>
  <c r="AE166" i="3"/>
  <c r="AE62" i="3"/>
  <c r="AO164" i="3"/>
  <c r="R38" i="3" s="1"/>
  <c r="AE60" i="3"/>
  <c r="E116" i="11"/>
  <c r="E126" i="11"/>
  <c r="E112" i="11"/>
  <c r="E125" i="11"/>
  <c r="E101" i="11"/>
  <c r="E89" i="11"/>
  <c r="E113" i="11"/>
  <c r="E124" i="11"/>
  <c r="E111" i="11"/>
  <c r="E120" i="11"/>
  <c r="E105" i="11"/>
  <c r="E121" i="11"/>
  <c r="E110" i="11"/>
  <c r="E119" i="11"/>
  <c r="E128" i="11"/>
  <c r="E97" i="11"/>
  <c r="E95" i="11"/>
  <c r="E103" i="11"/>
  <c r="AS16" i="3"/>
  <c r="U16" i="3" s="1"/>
  <c r="E94" i="11"/>
  <c r="BF86" i="3"/>
  <c r="BG86" i="3" s="1"/>
  <c r="G43" i="11"/>
  <c r="E114" i="11"/>
  <c r="E115" i="11"/>
  <c r="E108" i="11"/>
  <c r="E118" i="11"/>
  <c r="E127" i="11"/>
  <c r="E109" i="11"/>
  <c r="BF85" i="3"/>
  <c r="BG85" i="3" s="1"/>
  <c r="G42" i="11"/>
  <c r="E102" i="11"/>
  <c r="E122" i="11"/>
  <c r="E123" i="11"/>
  <c r="AS20" i="3"/>
  <c r="U20" i="3" s="1"/>
  <c r="AT21" i="3"/>
  <c r="V21" i="3" s="1"/>
  <c r="E117" i="11"/>
  <c r="AE168" i="3"/>
  <c r="AE159" i="3"/>
  <c r="AE150" i="3"/>
  <c r="AE52" i="3"/>
  <c r="AE58" i="3"/>
  <c r="AS21" i="3"/>
  <c r="U21" i="3" s="1"/>
  <c r="AE45" i="3"/>
  <c r="Q24" i="3" a="1"/>
  <c r="Q24" i="3" s="1"/>
  <c r="L24" i="3"/>
  <c r="O24" i="3" s="1"/>
  <c r="AE53" i="3"/>
  <c r="AE156" i="3"/>
  <c r="AE157" i="3"/>
  <c r="AE154" i="3"/>
  <c r="Q3" i="3" a="1"/>
  <c r="Q3" i="3" s="1"/>
  <c r="L3" i="3"/>
  <c r="O3" i="3" s="1"/>
  <c r="AR21" i="3"/>
  <c r="T21" i="3" s="1"/>
  <c r="AS12" i="3"/>
  <c r="U12" i="3" s="1"/>
  <c r="K18" i="7"/>
  <c r="K19" i="7" s="1"/>
  <c r="AR22" i="3"/>
  <c r="T22" i="3" s="1"/>
  <c r="G34" i="2"/>
  <c r="E33" i="2"/>
  <c r="E34" i="2"/>
  <c r="E41" i="2"/>
  <c r="AS5" i="3"/>
  <c r="U5" i="3" s="1"/>
  <c r="AT3" i="3"/>
  <c r="V3" i="3" s="1"/>
  <c r="AR5" i="3"/>
  <c r="T5" i="3" s="1"/>
  <c r="AS23" i="3"/>
  <c r="U23" i="3" s="1"/>
  <c r="C41" i="3"/>
  <c r="D41" i="3" s="1"/>
  <c r="BF84" i="3"/>
  <c r="BG84" i="3" s="1"/>
  <c r="AS14" i="3"/>
  <c r="U14" i="3" s="1"/>
  <c r="AC170" i="3"/>
  <c r="BF82" i="3"/>
  <c r="BG82" i="3" s="1"/>
  <c r="C40" i="3"/>
  <c r="D40" i="3" s="1"/>
  <c r="BF83" i="3"/>
  <c r="BG83" i="3" s="1"/>
  <c r="AT5" i="3"/>
  <c r="V5" i="3" s="1"/>
  <c r="T34" i="3"/>
  <c r="AT13" i="3"/>
  <c r="V13" i="3" s="1"/>
  <c r="AS13" i="3"/>
  <c r="U13" i="3" s="1"/>
  <c r="AS4" i="3"/>
  <c r="U4" i="3" s="1"/>
  <c r="AR13" i="3"/>
  <c r="T13" i="3" s="1"/>
  <c r="AR9" i="3"/>
  <c r="T9" i="3" s="1"/>
  <c r="G25" i="2"/>
  <c r="F32" i="2"/>
  <c r="E39" i="2"/>
  <c r="G44" i="2"/>
  <c r="E28" i="2"/>
  <c r="AR16" i="3"/>
  <c r="T16" i="3" s="1"/>
  <c r="S16" i="3"/>
  <c r="AR20" i="3"/>
  <c r="T20" i="3" s="1"/>
  <c r="S20" i="3"/>
  <c r="AT6" i="3"/>
  <c r="V6" i="3" s="1"/>
  <c r="S6" i="3"/>
  <c r="AR15" i="3"/>
  <c r="T15" i="3" s="1"/>
  <c r="S15" i="3"/>
  <c r="AS3" i="3"/>
  <c r="U3" i="3" s="1"/>
  <c r="S3" i="3"/>
  <c r="AT14" i="3"/>
  <c r="V14" i="3" s="1"/>
  <c r="S14" i="3"/>
  <c r="AR23" i="3"/>
  <c r="T23" i="3" s="1"/>
  <c r="S23" i="3"/>
  <c r="U24" i="3"/>
  <c r="AS9" i="3"/>
  <c r="U9" i="3" s="1"/>
  <c r="S9" i="3"/>
  <c r="AR4" i="3"/>
  <c r="T4" i="3" s="1"/>
  <c r="S4" i="3"/>
  <c r="AT22" i="3"/>
  <c r="V22" i="3" s="1"/>
  <c r="S22" i="3"/>
  <c r="AR8" i="3"/>
  <c r="T8" i="3" s="1"/>
  <c r="S8" i="3"/>
  <c r="AR12" i="3"/>
  <c r="T12" i="3" s="1"/>
  <c r="S12" i="3"/>
  <c r="AR7" i="3"/>
  <c r="T7" i="3" s="1"/>
  <c r="S7" i="3"/>
  <c r="G42" i="2"/>
  <c r="E42" i="2"/>
  <c r="F43" i="2"/>
  <c r="F25" i="2"/>
  <c r="U35" i="3"/>
  <c r="V23" i="3"/>
  <c r="U44" i="3"/>
  <c r="T41" i="3"/>
  <c r="AO167" i="3"/>
  <c r="R41" i="3" s="1"/>
  <c r="AO162" i="3"/>
  <c r="R36" i="3" s="1"/>
  <c r="AO168" i="3"/>
  <c r="R42" i="3" s="1"/>
  <c r="AO163" i="3"/>
  <c r="R37" i="3" s="1"/>
  <c r="F42" i="2"/>
  <c r="F34" i="2"/>
  <c r="F26" i="2"/>
  <c r="E32" i="2"/>
  <c r="G31" i="2"/>
  <c r="F30" i="2"/>
  <c r="F29" i="2"/>
  <c r="F44" i="2"/>
  <c r="E43" i="2"/>
  <c r="E26" i="2"/>
  <c r="G41" i="2"/>
  <c r="E25" i="2"/>
  <c r="G24" i="2"/>
  <c r="F31" i="2"/>
  <c r="E30" i="2"/>
  <c r="E44" i="2"/>
  <c r="G35" i="2"/>
  <c r="G26" i="2"/>
  <c r="F41" i="2"/>
  <c r="F24" i="2"/>
  <c r="E31" i="2"/>
  <c r="G36" i="2"/>
  <c r="F35" i="2"/>
  <c r="G29" i="2"/>
  <c r="G40" i="2"/>
  <c r="E24" i="2"/>
  <c r="E37" i="2"/>
  <c r="F36" i="2"/>
  <c r="E35" i="2"/>
  <c r="G30" i="2"/>
  <c r="G33" i="2"/>
  <c r="F40" i="2"/>
  <c r="G38" i="2"/>
  <c r="G37" i="2"/>
  <c r="E36" i="2"/>
  <c r="G27" i="2"/>
  <c r="F33" i="2"/>
  <c r="E40" i="2"/>
  <c r="G39" i="2"/>
  <c r="F38" i="2"/>
  <c r="F37" i="2"/>
  <c r="G28" i="2"/>
  <c r="F27" i="2"/>
  <c r="G32" i="2"/>
  <c r="F39" i="2"/>
  <c r="E38" i="2"/>
  <c r="E29" i="2"/>
  <c r="F28" i="2"/>
  <c r="G43" i="2"/>
  <c r="E27" i="2"/>
  <c r="X80" i="2"/>
  <c r="Y80" i="2"/>
  <c r="Z80" i="2"/>
  <c r="X16" i="2"/>
  <c r="Y16" i="2"/>
  <c r="Z16" i="2"/>
  <c r="X98" i="2"/>
  <c r="Y98" i="2"/>
  <c r="Z98" i="2"/>
  <c r="X82" i="2"/>
  <c r="Y82" i="2"/>
  <c r="Z82" i="2"/>
  <c r="X66" i="2"/>
  <c r="Y66" i="2"/>
  <c r="Z66" i="2"/>
  <c r="X50" i="2"/>
  <c r="Y50" i="2"/>
  <c r="Z50" i="2"/>
  <c r="X34" i="2"/>
  <c r="Y34" i="2"/>
  <c r="Z34" i="2"/>
  <c r="X26" i="2"/>
  <c r="Y26" i="2"/>
  <c r="Z26" i="2"/>
  <c r="X18" i="2"/>
  <c r="Y18" i="2"/>
  <c r="Z18" i="2"/>
  <c r="X10" i="2"/>
  <c r="Y10" i="2"/>
  <c r="Z10" i="2"/>
  <c r="X96" i="2"/>
  <c r="Y96" i="2"/>
  <c r="Z96" i="2"/>
  <c r="X32" i="2"/>
  <c r="Y32" i="2"/>
  <c r="Z32" i="2"/>
  <c r="X106" i="2"/>
  <c r="Y106" i="2"/>
  <c r="Z106" i="2"/>
  <c r="X90" i="2"/>
  <c r="Y90" i="2"/>
  <c r="Z90" i="2"/>
  <c r="X74" i="2"/>
  <c r="Y74" i="2"/>
  <c r="Z74" i="2"/>
  <c r="X58" i="2"/>
  <c r="Y58" i="2"/>
  <c r="Z58" i="2"/>
  <c r="X42" i="2"/>
  <c r="Y42" i="2"/>
  <c r="Z42" i="2"/>
  <c r="Y105" i="2"/>
  <c r="Z105" i="2"/>
  <c r="X105" i="2"/>
  <c r="Y97" i="2"/>
  <c r="Z97" i="2"/>
  <c r="X97" i="2"/>
  <c r="Y89" i="2"/>
  <c r="Z89" i="2"/>
  <c r="X89" i="2"/>
  <c r="Y81" i="2"/>
  <c r="Z81" i="2"/>
  <c r="X81" i="2"/>
  <c r="Y73" i="2"/>
  <c r="Z73" i="2"/>
  <c r="X73" i="2"/>
  <c r="Y65" i="2"/>
  <c r="Z65" i="2"/>
  <c r="X65" i="2"/>
  <c r="Y57" i="2"/>
  <c r="Z57" i="2"/>
  <c r="X57" i="2"/>
  <c r="Y49" i="2"/>
  <c r="Z49" i="2"/>
  <c r="X49" i="2"/>
  <c r="Y41" i="2"/>
  <c r="Z41" i="2"/>
  <c r="X41" i="2"/>
  <c r="Y33" i="2"/>
  <c r="Z33" i="2"/>
  <c r="X33" i="2"/>
  <c r="Y25" i="2"/>
  <c r="Z25" i="2"/>
  <c r="X25" i="2"/>
  <c r="Y17" i="2"/>
  <c r="Z17" i="2"/>
  <c r="X17" i="2"/>
  <c r="Y9" i="2"/>
  <c r="Z9" i="2"/>
  <c r="X9" i="2"/>
  <c r="X56" i="2"/>
  <c r="Y56" i="2"/>
  <c r="Z56" i="2"/>
  <c r="X64" i="2"/>
  <c r="Y64" i="2"/>
  <c r="Z64" i="2"/>
  <c r="X63" i="2"/>
  <c r="Y63" i="2"/>
  <c r="Z63" i="2"/>
  <c r="X47" i="2"/>
  <c r="Y47" i="2"/>
  <c r="Z47" i="2"/>
  <c r="X15" i="2"/>
  <c r="Y15" i="2"/>
  <c r="Z15" i="2"/>
  <c r="X7" i="2"/>
  <c r="Y7" i="2"/>
  <c r="Z7" i="2"/>
  <c r="X88" i="2"/>
  <c r="Y88" i="2"/>
  <c r="Z88" i="2"/>
  <c r="X40" i="2"/>
  <c r="Y40" i="2"/>
  <c r="Z40" i="2"/>
  <c r="X87" i="2"/>
  <c r="Y87" i="2"/>
  <c r="Z87" i="2"/>
  <c r="X55" i="2"/>
  <c r="Y55" i="2"/>
  <c r="Z55" i="2"/>
  <c r="Z102" i="2"/>
  <c r="X102" i="2"/>
  <c r="Y102" i="2"/>
  <c r="Z78" i="2"/>
  <c r="Y78" i="2"/>
  <c r="X78" i="2"/>
  <c r="Z70" i="2"/>
  <c r="X70" i="2"/>
  <c r="Y70" i="2"/>
  <c r="Z62" i="2"/>
  <c r="X62" i="2"/>
  <c r="Y62" i="2"/>
  <c r="Z54" i="2"/>
  <c r="X54" i="2"/>
  <c r="Y54" i="2"/>
  <c r="Z46" i="2"/>
  <c r="Y46" i="2"/>
  <c r="X46" i="2"/>
  <c r="Z38" i="2"/>
  <c r="X38" i="2"/>
  <c r="Y38" i="2"/>
  <c r="Z30" i="2"/>
  <c r="X30" i="2"/>
  <c r="Y30" i="2"/>
  <c r="Z22" i="2"/>
  <c r="X22" i="2"/>
  <c r="Y22" i="2"/>
  <c r="Z14" i="2"/>
  <c r="X14" i="2"/>
  <c r="Y14" i="2"/>
  <c r="Z6" i="2"/>
  <c r="X6" i="2"/>
  <c r="Y6" i="2"/>
  <c r="X72" i="2"/>
  <c r="Y72" i="2"/>
  <c r="Z72" i="2"/>
  <c r="X8" i="2"/>
  <c r="Y8" i="2"/>
  <c r="Z8" i="2"/>
  <c r="X79" i="2"/>
  <c r="Y79" i="2"/>
  <c r="Z79" i="2"/>
  <c r="X23" i="2"/>
  <c r="Y23" i="2"/>
  <c r="Z23" i="2"/>
  <c r="X93" i="2"/>
  <c r="Y93" i="2"/>
  <c r="Z93" i="2"/>
  <c r="X61" i="2"/>
  <c r="Y61" i="2"/>
  <c r="Z61" i="2"/>
  <c r="X53" i="2"/>
  <c r="Y53" i="2"/>
  <c r="Z53" i="2"/>
  <c r="X45" i="2"/>
  <c r="Y45" i="2"/>
  <c r="Z45" i="2"/>
  <c r="X37" i="2"/>
  <c r="Y37" i="2"/>
  <c r="Z37" i="2"/>
  <c r="X29" i="2"/>
  <c r="Y29" i="2"/>
  <c r="Z29" i="2"/>
  <c r="X21" i="2"/>
  <c r="Y21" i="2"/>
  <c r="Z21" i="2"/>
  <c r="X13" i="2"/>
  <c r="Y13" i="2"/>
  <c r="Z13" i="2"/>
  <c r="X5" i="2"/>
  <c r="Y5" i="2"/>
  <c r="Z5" i="2"/>
  <c r="X104" i="2"/>
  <c r="Y104" i="2"/>
  <c r="Z104" i="2"/>
  <c r="X48" i="2"/>
  <c r="Y48" i="2"/>
  <c r="Z48" i="2"/>
  <c r="X103" i="2"/>
  <c r="Y103" i="2"/>
  <c r="Z103" i="2"/>
  <c r="X71" i="2"/>
  <c r="Y71" i="2"/>
  <c r="Z71" i="2"/>
  <c r="X39" i="2"/>
  <c r="Y39" i="2"/>
  <c r="Z39" i="2"/>
  <c r="Z94" i="2"/>
  <c r="X94" i="2"/>
  <c r="Y94" i="2"/>
  <c r="X77" i="2"/>
  <c r="Y77" i="2"/>
  <c r="Z77" i="2"/>
  <c r="Z3" i="2"/>
  <c r="X3" i="2"/>
  <c r="Y3" i="2"/>
  <c r="X100" i="2"/>
  <c r="Y100" i="2"/>
  <c r="Z100" i="2"/>
  <c r="X92" i="2"/>
  <c r="Y92" i="2"/>
  <c r="Z92" i="2"/>
  <c r="X84" i="2"/>
  <c r="Y84" i="2"/>
  <c r="Z84" i="2"/>
  <c r="X76" i="2"/>
  <c r="Y76" i="2"/>
  <c r="Z76" i="2"/>
  <c r="X68" i="2"/>
  <c r="Y68" i="2"/>
  <c r="Z68" i="2"/>
  <c r="X60" i="2"/>
  <c r="Y60" i="2"/>
  <c r="Z60" i="2"/>
  <c r="X52" i="2"/>
  <c r="Y52" i="2"/>
  <c r="Z52" i="2"/>
  <c r="X44" i="2"/>
  <c r="Y44" i="2"/>
  <c r="Z44" i="2"/>
  <c r="X36" i="2"/>
  <c r="Y36" i="2"/>
  <c r="Z36" i="2"/>
  <c r="X28" i="2"/>
  <c r="Y28" i="2"/>
  <c r="Z28" i="2"/>
  <c r="X20" i="2"/>
  <c r="Y20" i="2"/>
  <c r="Z20" i="2"/>
  <c r="X12" i="2"/>
  <c r="Y12" i="2"/>
  <c r="Z12" i="2"/>
  <c r="X4" i="2"/>
  <c r="Y4" i="2"/>
  <c r="Z4" i="2"/>
  <c r="Y24" i="2"/>
  <c r="Z24" i="2"/>
  <c r="X95" i="2"/>
  <c r="Y95" i="2"/>
  <c r="Z95" i="2"/>
  <c r="X31" i="2"/>
  <c r="Y31" i="2"/>
  <c r="Z31" i="2"/>
  <c r="Z86" i="2"/>
  <c r="X86" i="2"/>
  <c r="Y86" i="2"/>
  <c r="X101" i="2"/>
  <c r="Y101" i="2"/>
  <c r="Z101" i="2"/>
  <c r="X85" i="2"/>
  <c r="Y85" i="2"/>
  <c r="Z85" i="2"/>
  <c r="X69" i="2"/>
  <c r="Y69" i="2"/>
  <c r="Z69" i="2"/>
  <c r="X107" i="2"/>
  <c r="Y107" i="2"/>
  <c r="Z107" i="2"/>
  <c r="X99" i="2"/>
  <c r="Y99" i="2"/>
  <c r="Z99" i="2"/>
  <c r="X91" i="2"/>
  <c r="Y91" i="2"/>
  <c r="Z91" i="2"/>
  <c r="X83" i="2"/>
  <c r="Y83" i="2"/>
  <c r="Z83" i="2"/>
  <c r="X75" i="2"/>
  <c r="Y75" i="2"/>
  <c r="Z75" i="2"/>
  <c r="X67" i="2"/>
  <c r="Z67" i="2"/>
  <c r="Y67" i="2"/>
  <c r="X59" i="2"/>
  <c r="Y59" i="2"/>
  <c r="Z59" i="2"/>
  <c r="X51" i="2"/>
  <c r="Y51" i="2"/>
  <c r="Z51" i="2"/>
  <c r="X43" i="2"/>
  <c r="Y43" i="2"/>
  <c r="Z43" i="2"/>
  <c r="X35" i="2"/>
  <c r="Z35" i="2"/>
  <c r="Y35" i="2"/>
  <c r="X27" i="2"/>
  <c r="Y27" i="2"/>
  <c r="Z27" i="2"/>
  <c r="X19" i="2"/>
  <c r="Y19" i="2"/>
  <c r="Z19" i="2"/>
  <c r="X11" i="2"/>
  <c r="Y11" i="2"/>
  <c r="Z11" i="2"/>
  <c r="V37" i="3"/>
  <c r="V20" i="3"/>
  <c r="T25" i="3"/>
  <c r="V4" i="3"/>
  <c r="V43" i="3"/>
  <c r="T29" i="3"/>
  <c r="V29" i="3"/>
  <c r="T40" i="3"/>
  <c r="T42" i="3"/>
  <c r="V34" i="3"/>
  <c r="U37" i="3"/>
  <c r="T24" i="3"/>
  <c r="T35" i="3"/>
  <c r="V26" i="3"/>
  <c r="T43" i="3"/>
  <c r="U29" i="3"/>
  <c r="T32" i="3"/>
  <c r="U43" i="3"/>
  <c r="V8" i="3"/>
  <c r="T27" i="3"/>
  <c r="V42" i="3"/>
  <c r="V40" i="3"/>
  <c r="V36" i="3"/>
  <c r="V33" i="3"/>
  <c r="T37" i="3"/>
  <c r="U33" i="3"/>
  <c r="V44" i="3"/>
  <c r="T33" i="3"/>
  <c r="U26" i="3"/>
  <c r="U34" i="3"/>
  <c r="U40" i="3"/>
  <c r="U7" i="3"/>
  <c r="V16" i="3"/>
  <c r="V41" i="3"/>
  <c r="U22" i="3"/>
  <c r="U32" i="3"/>
  <c r="V9" i="3"/>
  <c r="V12" i="3"/>
  <c r="V24" i="3"/>
  <c r="U41" i="3"/>
  <c r="U27" i="3"/>
  <c r="V27" i="3"/>
  <c r="U28" i="3"/>
  <c r="V25" i="3"/>
  <c r="U42" i="3"/>
  <c r="U15" i="3"/>
  <c r="V32" i="3"/>
  <c r="V35" i="3"/>
  <c r="U8" i="3"/>
  <c r="U36" i="3"/>
  <c r="V28" i="3"/>
  <c r="U25" i="3"/>
  <c r="AR122" i="3"/>
  <c r="T38" i="3" s="1"/>
  <c r="AS122" i="3"/>
  <c r="U38" i="3" s="1"/>
  <c r="AT122" i="3"/>
  <c r="V38" i="3" s="1"/>
  <c r="AT19" i="3"/>
  <c r="V19" i="3" s="1"/>
  <c r="AR19" i="3"/>
  <c r="T19" i="3" s="1"/>
  <c r="AS19" i="3"/>
  <c r="U19" i="3" s="1"/>
  <c r="AT11" i="3"/>
  <c r="V11" i="3" s="1"/>
  <c r="AR11" i="3"/>
  <c r="T11" i="3" s="1"/>
  <c r="AS11" i="3"/>
  <c r="U11" i="3" s="1"/>
  <c r="AT115" i="3"/>
  <c r="V31" i="3" s="1"/>
  <c r="AR115" i="3"/>
  <c r="T31" i="3" s="1"/>
  <c r="AS115" i="3"/>
  <c r="U31" i="3" s="1"/>
  <c r="AT123" i="3"/>
  <c r="V39" i="3" s="1"/>
  <c r="AR123" i="3"/>
  <c r="T39" i="3" s="1"/>
  <c r="AS123" i="3"/>
  <c r="U39" i="3" s="1"/>
  <c r="AR10" i="3"/>
  <c r="T10" i="3" s="1"/>
  <c r="AS10" i="3"/>
  <c r="U10" i="3" s="1"/>
  <c r="AT10" i="3"/>
  <c r="V10" i="3" s="1"/>
  <c r="AS17" i="3"/>
  <c r="U17" i="3" s="1"/>
  <c r="AT17" i="3"/>
  <c r="V17" i="3" s="1"/>
  <c r="AR17" i="3"/>
  <c r="T17" i="3" s="1"/>
  <c r="AR18" i="3"/>
  <c r="T18" i="3" s="1"/>
  <c r="AS18" i="3"/>
  <c r="U18" i="3" s="1"/>
  <c r="AT18" i="3"/>
  <c r="V18" i="3" s="1"/>
  <c r="AR114" i="3"/>
  <c r="T30" i="3" s="1"/>
  <c r="AS114" i="3"/>
  <c r="U30" i="3" s="1"/>
  <c r="AT114" i="3"/>
  <c r="V30" i="3" s="1"/>
  <c r="R33" i="3"/>
  <c r="E40" i="11"/>
  <c r="R14" i="3"/>
  <c r="E39" i="11"/>
  <c r="R21" i="3"/>
  <c r="R19" i="3"/>
  <c r="R17" i="3"/>
  <c r="R26" i="3"/>
  <c r="R22" i="3"/>
  <c r="R34" i="3"/>
  <c r="R3" i="3"/>
  <c r="R13" i="3"/>
  <c r="R8" i="3"/>
  <c r="R4" i="3"/>
  <c r="R7" i="3"/>
  <c r="R16" i="3"/>
  <c r="R28" i="3"/>
  <c r="R9" i="3"/>
  <c r="R15" i="3"/>
  <c r="R10" i="3"/>
  <c r="R11" i="3"/>
  <c r="E43" i="11"/>
  <c r="C43" i="3"/>
  <c r="D43" i="3" s="1"/>
  <c r="R12" i="3"/>
  <c r="R25" i="3"/>
  <c r="R31" i="3"/>
  <c r="R18" i="3"/>
  <c r="R5" i="3"/>
  <c r="R29" i="3"/>
  <c r="R20" i="3"/>
  <c r="R23" i="3"/>
  <c r="R30" i="3"/>
  <c r="C39" i="3"/>
  <c r="D39" i="3" s="1"/>
  <c r="R24" i="3"/>
  <c r="R27" i="3"/>
  <c r="R6" i="3"/>
  <c r="R32" i="3"/>
  <c r="AM50" i="3" l="1"/>
  <c r="AE54" i="3"/>
  <c r="AE163" i="3"/>
  <c r="AE164" i="3"/>
  <c r="AM54" i="3"/>
  <c r="AE46" i="3"/>
  <c r="AM162" i="3"/>
  <c r="K36" i="11" s="1"/>
  <c r="N36" i="11" s="1"/>
  <c r="AM157" i="3"/>
  <c r="K31" i="11" s="1"/>
  <c r="N31" i="11" s="1"/>
  <c r="K27" i="11"/>
  <c r="N27" i="11" s="1"/>
  <c r="AF6" i="16"/>
  <c r="J6" i="16" s="1"/>
  <c r="AF762" i="16"/>
  <c r="J762" i="16" s="1"/>
  <c r="AF3" i="16"/>
  <c r="J3" i="16" s="1"/>
  <c r="AF759" i="16"/>
  <c r="J759" i="16" s="1"/>
  <c r="AF14" i="16"/>
  <c r="J14" i="16" s="1"/>
  <c r="AF770" i="16"/>
  <c r="J770" i="16" s="1"/>
  <c r="K11" i="11"/>
  <c r="N11" i="11" s="1"/>
  <c r="AF766" i="16"/>
  <c r="J766" i="16" s="1"/>
  <c r="AF9" i="16"/>
  <c r="J9" i="16" s="1"/>
  <c r="AF765" i="16"/>
  <c r="J765" i="16" s="1"/>
  <c r="AF4" i="16"/>
  <c r="J4" i="16" s="1"/>
  <c r="AF760" i="16"/>
  <c r="J760" i="16" s="1"/>
  <c r="AF11" i="16"/>
  <c r="J11" i="16" s="1"/>
  <c r="AF767" i="16"/>
  <c r="J767" i="16" s="1"/>
  <c r="AF7" i="16"/>
  <c r="J7" i="16" s="1"/>
  <c r="AF763" i="16"/>
  <c r="J763" i="16" s="1"/>
  <c r="AM164" i="3"/>
  <c r="K38" i="11" s="1"/>
  <c r="N38" i="11" s="1"/>
  <c r="AF19" i="16"/>
  <c r="AF775" i="16"/>
  <c r="J775" i="16" s="1"/>
  <c r="K23" i="11"/>
  <c r="N23" i="11" s="1"/>
  <c r="AF778" i="16"/>
  <c r="J778" i="16" s="1"/>
  <c r="AM150" i="3"/>
  <c r="K24" i="11" s="1"/>
  <c r="N24" i="11" s="1"/>
  <c r="AM165" i="3"/>
  <c r="K39" i="11" s="1"/>
  <c r="N39" i="11" s="1"/>
  <c r="AM163" i="3"/>
  <c r="K37" i="11" s="1"/>
  <c r="N37" i="11" s="1"/>
  <c r="K22" i="11"/>
  <c r="N22" i="11" s="1"/>
  <c r="AF777" i="16"/>
  <c r="J777" i="16" s="1"/>
  <c r="AF8" i="16"/>
  <c r="J8" i="16" s="1"/>
  <c r="AF764" i="16"/>
  <c r="J764" i="16" s="1"/>
  <c r="AM61" i="3"/>
  <c r="AF15" i="16"/>
  <c r="J15" i="16" s="1"/>
  <c r="AF771" i="16"/>
  <c r="J771" i="16" s="1"/>
  <c r="AF16" i="16"/>
  <c r="J16" i="16" s="1"/>
  <c r="AF772" i="16"/>
  <c r="J772" i="16" s="1"/>
  <c r="AF13" i="16"/>
  <c r="AF769" i="16"/>
  <c r="J769" i="16" s="1"/>
  <c r="K9" i="11"/>
  <c r="N9" i="11" s="1"/>
  <c r="AF18" i="16"/>
  <c r="J18" i="16" s="1"/>
  <c r="K17" i="11"/>
  <c r="N17" i="11" s="1"/>
  <c r="AF21" i="16"/>
  <c r="J21" i="16" s="1"/>
  <c r="M39" i="11"/>
  <c r="K10" i="11"/>
  <c r="N10" i="11" s="1"/>
  <c r="I27" i="11"/>
  <c r="L27" i="11" s="1"/>
  <c r="N41" i="11"/>
  <c r="M41" i="11"/>
  <c r="K20" i="11"/>
  <c r="N20" i="11" s="1"/>
  <c r="AK155" i="3"/>
  <c r="I29" i="11" s="1"/>
  <c r="L29" i="11" s="1"/>
  <c r="J10" i="11"/>
  <c r="M10" i="11" s="1"/>
  <c r="K8" i="11"/>
  <c r="N8" i="11" s="1"/>
  <c r="J14" i="11"/>
  <c r="M14" i="11" s="1"/>
  <c r="K14" i="11"/>
  <c r="N14" i="11" s="1"/>
  <c r="K12" i="11"/>
  <c r="N12" i="11" s="1"/>
  <c r="K16" i="11"/>
  <c r="N16" i="11" s="1"/>
  <c r="K15" i="11"/>
  <c r="N15" i="11" s="1"/>
  <c r="AE17" i="16"/>
  <c r="I17" i="16" s="1"/>
  <c r="K7" i="11"/>
  <c r="N7" i="11" s="1"/>
  <c r="J20" i="11"/>
  <c r="M20" i="11" s="1"/>
  <c r="AK160" i="3"/>
  <c r="I34" i="11" s="1"/>
  <c r="L34" i="11" s="1"/>
  <c r="N40" i="11"/>
  <c r="AK169" i="3"/>
  <c r="I43" i="11" s="1"/>
  <c r="L43" i="11" s="1"/>
  <c r="AK156" i="3"/>
  <c r="I30" i="11" s="1"/>
  <c r="L30" i="11" s="1"/>
  <c r="AK161" i="3"/>
  <c r="I35" i="11" s="1"/>
  <c r="L35" i="11" s="1"/>
  <c r="AK152" i="3"/>
  <c r="I26" i="11" s="1"/>
  <c r="L26" i="11" s="1"/>
  <c r="AK151" i="3"/>
  <c r="I25" i="11" s="1"/>
  <c r="L25" i="11" s="1"/>
  <c r="AK150" i="3"/>
  <c r="I24" i="11" s="1"/>
  <c r="L24" i="11" s="1"/>
  <c r="AK164" i="3"/>
  <c r="I38" i="11" s="1"/>
  <c r="L38" i="11" s="1"/>
  <c r="AK166" i="3"/>
  <c r="I40" i="11" s="1"/>
  <c r="L40" i="11" s="1"/>
  <c r="AF519" i="16"/>
  <c r="J519" i="16" s="1"/>
  <c r="AF267" i="16"/>
  <c r="J267" i="16" s="1"/>
  <c r="AK59" i="3"/>
  <c r="AE520" i="16"/>
  <c r="I520" i="16" s="1"/>
  <c r="AE268" i="16"/>
  <c r="I268" i="16" s="1"/>
  <c r="AF521" i="16"/>
  <c r="J521" i="16" s="1"/>
  <c r="AF269" i="16"/>
  <c r="J269" i="16" s="1"/>
  <c r="AF511" i="16"/>
  <c r="J511" i="16" s="1"/>
  <c r="AF259" i="16"/>
  <c r="J259" i="16" s="1"/>
  <c r="AE515" i="16"/>
  <c r="I515" i="16" s="1"/>
  <c r="AK54" i="3"/>
  <c r="AE263" i="16"/>
  <c r="I263" i="16" s="1"/>
  <c r="AF525" i="16"/>
  <c r="J525" i="16" s="1"/>
  <c r="AF273" i="16"/>
  <c r="J273" i="16" s="1"/>
  <c r="J24" i="11"/>
  <c r="M24" i="11" s="1"/>
  <c r="AK58" i="3"/>
  <c r="AE519" i="16"/>
  <c r="I519" i="16" s="1"/>
  <c r="AE267" i="16"/>
  <c r="I267" i="16" s="1"/>
  <c r="AK158" i="3"/>
  <c r="I32" i="11" s="1"/>
  <c r="L32" i="11" s="1"/>
  <c r="AF523" i="16"/>
  <c r="J523" i="16" s="1"/>
  <c r="AF271" i="16"/>
  <c r="J271" i="16" s="1"/>
  <c r="AK50" i="3"/>
  <c r="AE511" i="16"/>
  <c r="I511" i="16" s="1"/>
  <c r="AE259" i="16"/>
  <c r="I259" i="16" s="1"/>
  <c r="AK61" i="3"/>
  <c r="AE522" i="16"/>
  <c r="I522" i="16" s="1"/>
  <c r="AE270" i="16"/>
  <c r="I270" i="16" s="1"/>
  <c r="AK167" i="3"/>
  <c r="I41" i="11" s="1"/>
  <c r="L41" i="11" s="1"/>
  <c r="AK49" i="3"/>
  <c r="AE510" i="16"/>
  <c r="I510" i="16" s="1"/>
  <c r="AE258" i="16"/>
  <c r="I258" i="16" s="1"/>
  <c r="AK62" i="3"/>
  <c r="AE271" i="16"/>
  <c r="I271" i="16" s="1"/>
  <c r="AE523" i="16"/>
  <c r="I523" i="16" s="1"/>
  <c r="AK65" i="3"/>
  <c r="AD778" i="16" s="1"/>
  <c r="H778" i="16" s="1"/>
  <c r="AE526" i="16"/>
  <c r="I526" i="16" s="1"/>
  <c r="AE274" i="16"/>
  <c r="I274" i="16" s="1"/>
  <c r="AK52" i="3"/>
  <c r="AE513" i="16"/>
  <c r="I513" i="16" s="1"/>
  <c r="AE261" i="16"/>
  <c r="I261" i="16" s="1"/>
  <c r="AF270" i="16"/>
  <c r="J270" i="16" s="1"/>
  <c r="AF522" i="16"/>
  <c r="J522" i="16" s="1"/>
  <c r="AF510" i="16"/>
  <c r="J510" i="16" s="1"/>
  <c r="AF258" i="16"/>
  <c r="J258" i="16" s="1"/>
  <c r="AK45" i="3"/>
  <c r="AE506" i="16"/>
  <c r="I506" i="16" s="1"/>
  <c r="AE254" i="16"/>
  <c r="I254" i="16" s="1"/>
  <c r="AK154" i="3"/>
  <c r="I28" i="11" s="1"/>
  <c r="L28" i="11" s="1"/>
  <c r="AF524" i="16"/>
  <c r="J524" i="16" s="1"/>
  <c r="AF272" i="16"/>
  <c r="J272" i="16" s="1"/>
  <c r="AK56" i="3"/>
  <c r="AD769" i="16" s="1"/>
  <c r="H769" i="16" s="1"/>
  <c r="AE517" i="16"/>
  <c r="I517" i="16" s="1"/>
  <c r="AE265" i="16"/>
  <c r="I265" i="16" s="1"/>
  <c r="J28" i="11"/>
  <c r="M28" i="11" s="1"/>
  <c r="AF526" i="16"/>
  <c r="J526" i="16" s="1"/>
  <c r="AF274" i="16"/>
  <c r="J274" i="16" s="1"/>
  <c r="AF261" i="16"/>
  <c r="J261" i="16" s="1"/>
  <c r="AF513" i="16"/>
  <c r="J513" i="16" s="1"/>
  <c r="AK163" i="3"/>
  <c r="I37" i="11" s="1"/>
  <c r="L37" i="11" s="1"/>
  <c r="J30" i="11"/>
  <c r="M30" i="11" s="1"/>
  <c r="AK48" i="3"/>
  <c r="AE509" i="16"/>
  <c r="I509" i="16" s="1"/>
  <c r="AE257" i="16"/>
  <c r="I257" i="16" s="1"/>
  <c r="AK57" i="3"/>
  <c r="AE518" i="16"/>
  <c r="I518" i="16" s="1"/>
  <c r="AE266" i="16"/>
  <c r="I266" i="16" s="1"/>
  <c r="AF506" i="16"/>
  <c r="J506" i="16" s="1"/>
  <c r="AF254" i="16"/>
  <c r="J254" i="16" s="1"/>
  <c r="AK63" i="3"/>
  <c r="AE524" i="16"/>
  <c r="I524" i="16" s="1"/>
  <c r="AE272" i="16"/>
  <c r="I272" i="16" s="1"/>
  <c r="J40" i="11"/>
  <c r="M40" i="11" s="1"/>
  <c r="AF517" i="16"/>
  <c r="J517" i="16" s="1"/>
  <c r="AF265" i="16"/>
  <c r="J265" i="16" s="1"/>
  <c r="J31" i="11"/>
  <c r="M31" i="11" s="1"/>
  <c r="AF509" i="16"/>
  <c r="J509" i="16" s="1"/>
  <c r="AF257" i="16"/>
  <c r="J257" i="16" s="1"/>
  <c r="AF518" i="16"/>
  <c r="J518" i="16" s="1"/>
  <c r="AF266" i="16"/>
  <c r="J266" i="16" s="1"/>
  <c r="AK53" i="3"/>
  <c r="AE262" i="16"/>
  <c r="I262" i="16" s="1"/>
  <c r="AE514" i="16"/>
  <c r="I514" i="16" s="1"/>
  <c r="AF512" i="16"/>
  <c r="J512" i="16" s="1"/>
  <c r="AF260" i="16"/>
  <c r="J260" i="16" s="1"/>
  <c r="J35" i="11"/>
  <c r="M35" i="11" s="1"/>
  <c r="AK162" i="3"/>
  <c r="I36" i="11" s="1"/>
  <c r="L36" i="11" s="1"/>
  <c r="AK168" i="3"/>
  <c r="AF508" i="16"/>
  <c r="J508" i="16" s="1"/>
  <c r="AF256" i="16"/>
  <c r="J256" i="16" s="1"/>
  <c r="AF514" i="16"/>
  <c r="J514" i="16" s="1"/>
  <c r="AF262" i="16"/>
  <c r="J262" i="16" s="1"/>
  <c r="AK51" i="3"/>
  <c r="AE512" i="16"/>
  <c r="I512" i="16" s="1"/>
  <c r="AE260" i="16"/>
  <c r="I260" i="16" s="1"/>
  <c r="AF516" i="16"/>
  <c r="J516" i="16" s="1"/>
  <c r="AF264" i="16"/>
  <c r="J264" i="16" s="1"/>
  <c r="AK159" i="3"/>
  <c r="I33" i="11" s="1"/>
  <c r="L33" i="11" s="1"/>
  <c r="AK47" i="3"/>
  <c r="AE508" i="16"/>
  <c r="I508" i="16" s="1"/>
  <c r="AE256" i="16"/>
  <c r="I256" i="16" s="1"/>
  <c r="AF507" i="16"/>
  <c r="J507" i="16" s="1"/>
  <c r="AF255" i="16"/>
  <c r="J255" i="16" s="1"/>
  <c r="I42" i="11"/>
  <c r="L42" i="11" s="1"/>
  <c r="AK170" i="3"/>
  <c r="I44" i="11" s="1"/>
  <c r="AF520" i="16"/>
  <c r="J520" i="16" s="1"/>
  <c r="AF268" i="16"/>
  <c r="J268" i="16" s="1"/>
  <c r="AK60" i="3"/>
  <c r="AD773" i="16" s="1"/>
  <c r="H773" i="16" s="1"/>
  <c r="AE521" i="16"/>
  <c r="I521" i="16" s="1"/>
  <c r="AE269" i="16"/>
  <c r="I269" i="16" s="1"/>
  <c r="AK55" i="3"/>
  <c r="AE516" i="16"/>
  <c r="I516" i="16" s="1"/>
  <c r="AE264" i="16"/>
  <c r="I264" i="16" s="1"/>
  <c r="AF515" i="16"/>
  <c r="J515" i="16" s="1"/>
  <c r="AF263" i="16"/>
  <c r="J263" i="16" s="1"/>
  <c r="AK64" i="3"/>
  <c r="AE525" i="16"/>
  <c r="I525" i="16" s="1"/>
  <c r="AE273" i="16"/>
  <c r="I273" i="16" s="1"/>
  <c r="AE507" i="16"/>
  <c r="I507" i="16" s="1"/>
  <c r="AK46" i="3"/>
  <c r="AE255" i="16"/>
  <c r="I255" i="16" s="1"/>
  <c r="J13" i="16"/>
  <c r="I13" i="16"/>
  <c r="I15" i="16"/>
  <c r="I19" i="16"/>
  <c r="J19" i="16"/>
  <c r="I9" i="16"/>
  <c r="J20" i="16"/>
  <c r="I10" i="16"/>
  <c r="J10" i="16"/>
  <c r="J22" i="16"/>
  <c r="J17" i="16"/>
  <c r="J5" i="16"/>
  <c r="J12" i="16"/>
  <c r="G44" i="11"/>
  <c r="AD170" i="3"/>
  <c r="Q4" i="3" s="1" a="1"/>
  <c r="Q4" i="3" s="1"/>
  <c r="AE12" i="16"/>
  <c r="I12" i="16" s="1"/>
  <c r="J13" i="11"/>
  <c r="M13" i="11" s="1"/>
  <c r="AE11" i="16"/>
  <c r="I11" i="16" s="1"/>
  <c r="J12" i="11"/>
  <c r="M12" i="11" s="1"/>
  <c r="AE7" i="16"/>
  <c r="I7" i="16" s="1"/>
  <c r="J8" i="11"/>
  <c r="M8" i="11" s="1"/>
  <c r="AE21" i="16"/>
  <c r="I21" i="16" s="1"/>
  <c r="J22" i="11"/>
  <c r="M22" i="11" s="1"/>
  <c r="AE20" i="16"/>
  <c r="I20" i="16" s="1"/>
  <c r="J21" i="11"/>
  <c r="M21" i="11" s="1"/>
  <c r="AE18" i="16"/>
  <c r="I18" i="16" s="1"/>
  <c r="J19" i="11"/>
  <c r="M19" i="11" s="1"/>
  <c r="AE16" i="16"/>
  <c r="I16" i="16" s="1"/>
  <c r="J17" i="11"/>
  <c r="M17" i="11" s="1"/>
  <c r="AE22" i="16"/>
  <c r="I22" i="16" s="1"/>
  <c r="J23" i="11"/>
  <c r="M23" i="11" s="1"/>
  <c r="AE4" i="16"/>
  <c r="I4" i="16" s="1"/>
  <c r="J5" i="11"/>
  <c r="M5" i="11" s="1"/>
  <c r="AE5" i="16"/>
  <c r="I5" i="16" s="1"/>
  <c r="J6" i="11"/>
  <c r="M6" i="11" s="1"/>
  <c r="I23" i="11"/>
  <c r="L23" i="11" s="1"/>
  <c r="AE3" i="16"/>
  <c r="I3" i="16" s="1"/>
  <c r="J4" i="11"/>
  <c r="M4" i="11" s="1"/>
  <c r="J7" i="11"/>
  <c r="M7" i="11" s="1"/>
  <c r="AE6" i="16"/>
  <c r="I6" i="16" s="1"/>
  <c r="AE8" i="16"/>
  <c r="I8" i="16" s="1"/>
  <c r="J9" i="11"/>
  <c r="M9" i="11" s="1"/>
  <c r="J15" i="11"/>
  <c r="M15" i="11" s="1"/>
  <c r="AE14" i="16"/>
  <c r="I14" i="16" s="1"/>
  <c r="R14" i="16"/>
  <c r="O14" i="16"/>
  <c r="P14" i="16"/>
  <c r="Q14" i="16"/>
  <c r="R5" i="16"/>
  <c r="P5" i="16"/>
  <c r="Q5" i="16"/>
  <c r="O5" i="16"/>
  <c r="Q13" i="16"/>
  <c r="O13" i="16"/>
  <c r="R13" i="16"/>
  <c r="P13" i="16"/>
  <c r="O9" i="16"/>
  <c r="R9" i="16"/>
  <c r="P9" i="16"/>
  <c r="Q9" i="16"/>
  <c r="Q15" i="16"/>
  <c r="O15" i="16"/>
  <c r="R15" i="16"/>
  <c r="P15" i="16"/>
  <c r="Q7" i="16"/>
  <c r="O7" i="16"/>
  <c r="R7" i="16"/>
  <c r="P7" i="16"/>
  <c r="P16" i="16"/>
  <c r="Q16" i="16"/>
  <c r="R16" i="16"/>
  <c r="O16" i="16"/>
  <c r="Q18" i="16"/>
  <c r="R18" i="16"/>
  <c r="O18" i="16"/>
  <c r="P18" i="16"/>
  <c r="R22" i="16"/>
  <c r="P22" i="16"/>
  <c r="Q22" i="16"/>
  <c r="O22" i="16"/>
  <c r="P3" i="16"/>
  <c r="O3" i="16"/>
  <c r="Q3" i="16"/>
  <c r="R3" i="16"/>
  <c r="O19" i="16"/>
  <c r="R19" i="16"/>
  <c r="Q19" i="16"/>
  <c r="P19" i="16"/>
  <c r="Q12" i="16"/>
  <c r="R12" i="16"/>
  <c r="O12" i="16"/>
  <c r="P12" i="16"/>
  <c r="Q20" i="16"/>
  <c r="R20" i="16"/>
  <c r="O20" i="16"/>
  <c r="P20" i="16"/>
  <c r="P21" i="16"/>
  <c r="O21" i="16"/>
  <c r="R21" i="16"/>
  <c r="Q21" i="16"/>
  <c r="O17" i="16"/>
  <c r="R17" i="16"/>
  <c r="Q17" i="16"/>
  <c r="P17" i="16"/>
  <c r="Q8" i="16"/>
  <c r="R8" i="16"/>
  <c r="O8" i="16"/>
  <c r="P8" i="16"/>
  <c r="R10" i="16"/>
  <c r="O10" i="16"/>
  <c r="P10" i="16"/>
  <c r="Q10" i="16"/>
  <c r="P6" i="16"/>
  <c r="Q6" i="16"/>
  <c r="R6" i="16"/>
  <c r="O6" i="16"/>
  <c r="P4" i="16"/>
  <c r="Q4" i="16"/>
  <c r="R4" i="16"/>
  <c r="O4" i="16"/>
  <c r="P11" i="16"/>
  <c r="O11" i="16"/>
  <c r="R11" i="16"/>
  <c r="Q11" i="16"/>
  <c r="N42" i="11"/>
  <c r="M42" i="11"/>
  <c r="M43" i="11"/>
  <c r="N43" i="11"/>
  <c r="P118" i="11"/>
  <c r="S118" i="11"/>
  <c r="Q118" i="11"/>
  <c r="O118" i="11"/>
  <c r="S120" i="11"/>
  <c r="P120" i="11"/>
  <c r="Q120" i="11"/>
  <c r="O120" i="11"/>
  <c r="P126" i="11"/>
  <c r="S126" i="11"/>
  <c r="Q126" i="11"/>
  <c r="O126" i="11"/>
  <c r="S103" i="11"/>
  <c r="P103" i="11"/>
  <c r="Q103" i="11"/>
  <c r="O103" i="11"/>
  <c r="P123" i="11"/>
  <c r="Q123" i="11"/>
  <c r="O123" i="11"/>
  <c r="S123" i="11"/>
  <c r="S108" i="11"/>
  <c r="Q108" i="11"/>
  <c r="P108" i="11"/>
  <c r="O108" i="11"/>
  <c r="S95" i="11"/>
  <c r="P95" i="11"/>
  <c r="Q95" i="11"/>
  <c r="O95" i="11"/>
  <c r="S111" i="11"/>
  <c r="P111" i="11"/>
  <c r="Q111" i="11"/>
  <c r="O111" i="11"/>
  <c r="S116" i="11"/>
  <c r="P116" i="11"/>
  <c r="O116" i="11"/>
  <c r="Q116" i="11"/>
  <c r="P115" i="11"/>
  <c r="Q115" i="11"/>
  <c r="O115" i="11"/>
  <c r="S115" i="11"/>
  <c r="S124" i="11"/>
  <c r="Q124" i="11"/>
  <c r="O124" i="11"/>
  <c r="P124" i="11"/>
  <c r="P122" i="11"/>
  <c r="Q122" i="11"/>
  <c r="S122" i="11"/>
  <c r="O122" i="11"/>
  <c r="Q97" i="11"/>
  <c r="S97" i="11"/>
  <c r="P97" i="11"/>
  <c r="O97" i="11"/>
  <c r="P102" i="11"/>
  <c r="S102" i="11"/>
  <c r="Q102" i="11"/>
  <c r="O102" i="11"/>
  <c r="P114" i="11"/>
  <c r="Q114" i="11"/>
  <c r="S114" i="11"/>
  <c r="O114" i="11"/>
  <c r="S128" i="11"/>
  <c r="Q128" i="11"/>
  <c r="O128" i="11"/>
  <c r="P128" i="11"/>
  <c r="Q113" i="11"/>
  <c r="S113" i="11"/>
  <c r="P113" i="11"/>
  <c r="O113" i="11"/>
  <c r="S40" i="11"/>
  <c r="P40" i="11"/>
  <c r="Q40" i="11"/>
  <c r="O40" i="11"/>
  <c r="S39" i="11"/>
  <c r="P39" i="11"/>
  <c r="Q39" i="11"/>
  <c r="O39" i="11"/>
  <c r="S119" i="11"/>
  <c r="P119" i="11"/>
  <c r="Q119" i="11"/>
  <c r="O119" i="11"/>
  <c r="Q89" i="11"/>
  <c r="S89" i="11"/>
  <c r="P89" i="11"/>
  <c r="O89" i="11"/>
  <c r="P110" i="11"/>
  <c r="S110" i="11"/>
  <c r="Q110" i="11"/>
  <c r="O110" i="11"/>
  <c r="Q101" i="11"/>
  <c r="S101" i="11"/>
  <c r="O101" i="11"/>
  <c r="P101" i="11"/>
  <c r="Q109" i="11"/>
  <c r="S109" i="11"/>
  <c r="P109" i="11"/>
  <c r="O109" i="11"/>
  <c r="Q121" i="11"/>
  <c r="S121" i="11"/>
  <c r="P121" i="11"/>
  <c r="O121" i="11"/>
  <c r="P43" i="11"/>
  <c r="Q43" i="11"/>
  <c r="S43" i="11"/>
  <c r="O43" i="11"/>
  <c r="Q117" i="11"/>
  <c r="S117" i="11"/>
  <c r="O117" i="11"/>
  <c r="P117" i="11"/>
  <c r="P94" i="11"/>
  <c r="S94" i="11"/>
  <c r="Q94" i="11"/>
  <c r="O94" i="11"/>
  <c r="Q125" i="11"/>
  <c r="S125" i="11"/>
  <c r="P125" i="11"/>
  <c r="O125" i="11"/>
  <c r="S127" i="11"/>
  <c r="P127" i="11"/>
  <c r="Q127" i="11"/>
  <c r="O127" i="11"/>
  <c r="Q105" i="11"/>
  <c r="S105" i="11"/>
  <c r="P105" i="11"/>
  <c r="O105" i="11"/>
  <c r="S112" i="11"/>
  <c r="P112" i="11"/>
  <c r="Q112" i="11"/>
  <c r="O112" i="11"/>
  <c r="F13" i="3" a="1"/>
  <c r="F13" i="3" s="1"/>
  <c r="L13" i="3" s="1"/>
  <c r="O13" i="3" s="1"/>
  <c r="G26" i="3" a="1"/>
  <c r="G26" i="3" s="1"/>
  <c r="G27" i="3" a="1"/>
  <c r="G27" i="3" s="1"/>
  <c r="E96" i="11"/>
  <c r="E93" i="11"/>
  <c r="F19" i="3" a="1"/>
  <c r="F19" i="3" s="1"/>
  <c r="L19" i="3" s="1"/>
  <c r="O19" i="3" s="1"/>
  <c r="F28" i="3" a="1"/>
  <c r="F28" i="3" s="1"/>
  <c r="L28" i="3" s="1"/>
  <c r="O28" i="3" s="1"/>
  <c r="G13" i="3" a="1"/>
  <c r="G13" i="3" s="1"/>
  <c r="G31" i="3" a="1"/>
  <c r="G31" i="3" s="1"/>
  <c r="G37" i="3" a="1"/>
  <c r="G37" i="3" s="1"/>
  <c r="G18" i="3" a="1"/>
  <c r="G18" i="3" s="1"/>
  <c r="F38" i="3" a="1"/>
  <c r="F38" i="3" s="1"/>
  <c r="L38" i="3" s="1"/>
  <c r="O38" i="3" s="1"/>
  <c r="F14" i="3" a="1"/>
  <c r="F14" i="3" s="1"/>
  <c r="L14" i="3" s="1"/>
  <c r="O14" i="3" s="1"/>
  <c r="F12" i="3" a="1"/>
  <c r="F12" i="3" s="1"/>
  <c r="L12" i="3" s="1"/>
  <c r="O12" i="3" s="1"/>
  <c r="E99" i="11"/>
  <c r="F18" i="3" a="1"/>
  <c r="F18" i="3" s="1"/>
  <c r="L18" i="3" s="1"/>
  <c r="O18" i="3" s="1"/>
  <c r="F10" i="3" a="1"/>
  <c r="F10" i="3" s="1"/>
  <c r="L10" i="3" s="1"/>
  <c r="O10" i="3" s="1"/>
  <c r="G16" i="3" a="1"/>
  <c r="G16" i="3" s="1"/>
  <c r="G34" i="3" a="1"/>
  <c r="G34" i="3" s="1"/>
  <c r="F30" i="3" a="1"/>
  <c r="F30" i="3" s="1"/>
  <c r="L30" i="3" s="1"/>
  <c r="O30" i="3" s="1"/>
  <c r="G17" i="3" a="1"/>
  <c r="G17" i="3" s="1"/>
  <c r="F37" i="3" a="1"/>
  <c r="F37" i="3" s="1"/>
  <c r="L37" i="3" s="1"/>
  <c r="O37" i="3" s="1"/>
  <c r="G29" i="3" a="1"/>
  <c r="G29" i="3" s="1"/>
  <c r="F29" i="3" a="1"/>
  <c r="F29" i="3" s="1"/>
  <c r="L29" i="3" s="1"/>
  <c r="O29" i="3" s="1"/>
  <c r="E92" i="11"/>
  <c r="G33" i="3" a="1"/>
  <c r="G33" i="3" s="1"/>
  <c r="F4" i="3" a="1"/>
  <c r="F4" i="3" s="1"/>
  <c r="L4" i="3" s="1"/>
  <c r="O4" i="3" s="1"/>
  <c r="F33" i="3" a="1"/>
  <c r="F33" i="3" s="1"/>
  <c r="L33" i="3" s="1"/>
  <c r="O33" i="3" s="1"/>
  <c r="G22" i="3" a="1"/>
  <c r="G22" i="3" s="1"/>
  <c r="F5" i="3" a="1"/>
  <c r="F5" i="3" s="1"/>
  <c r="L5" i="3" s="1"/>
  <c r="O5" i="3" s="1"/>
  <c r="G25" i="3" a="1"/>
  <c r="G25" i="3" s="1"/>
  <c r="F25" i="3" a="1"/>
  <c r="F25" i="3" s="1"/>
  <c r="L25" i="3" s="1"/>
  <c r="O25" i="3" s="1"/>
  <c r="G35" i="3" a="1"/>
  <c r="G35" i="3" s="1"/>
  <c r="G5" i="3" a="1"/>
  <c r="G5" i="3" s="1"/>
  <c r="E107" i="11"/>
  <c r="E90" i="11"/>
  <c r="G10" i="3" a="1"/>
  <c r="G10" i="3" s="1"/>
  <c r="G32" i="3" a="1"/>
  <c r="G32" i="3" s="1"/>
  <c r="F36" i="3" a="1"/>
  <c r="F36" i="3" s="1"/>
  <c r="L36" i="3" s="1"/>
  <c r="O36" i="3" s="1"/>
  <c r="F17" i="3" a="1"/>
  <c r="F17" i="3" s="1"/>
  <c r="L17" i="3" s="1"/>
  <c r="O17" i="3" s="1"/>
  <c r="G6" i="3" a="1"/>
  <c r="G6" i="3" s="1"/>
  <c r="F21" i="3" a="1"/>
  <c r="F21" i="3" s="1"/>
  <c r="L21" i="3" s="1"/>
  <c r="O21" i="3" s="1"/>
  <c r="F35" i="3" a="1"/>
  <c r="F35" i="3" s="1"/>
  <c r="L35" i="3" s="1"/>
  <c r="O35" i="3" s="1"/>
  <c r="F23" i="3" a="1"/>
  <c r="F23" i="3" s="1"/>
  <c r="L23" i="3" s="1"/>
  <c r="O23" i="3" s="1"/>
  <c r="E106" i="11"/>
  <c r="G8" i="3" a="1"/>
  <c r="G8" i="3" s="1"/>
  <c r="F32" i="3" a="1"/>
  <c r="F32" i="3" s="1"/>
  <c r="L32" i="3" s="1"/>
  <c r="O32" i="3" s="1"/>
  <c r="G36" i="3" a="1"/>
  <c r="G36" i="3" s="1"/>
  <c r="G9" i="3" a="1"/>
  <c r="G9" i="3" s="1"/>
  <c r="F20" i="3" a="1"/>
  <c r="F20" i="3" s="1"/>
  <c r="L20" i="3" s="1"/>
  <c r="O20" i="3" s="1"/>
  <c r="F9" i="3" a="1"/>
  <c r="F9" i="3" s="1"/>
  <c r="L9" i="3" s="1"/>
  <c r="O9" i="3" s="1"/>
  <c r="G19" i="3" a="1"/>
  <c r="G19" i="3" s="1"/>
  <c r="F42" i="3" a="1"/>
  <c r="F42" i="3" s="1"/>
  <c r="L42" i="3" s="1"/>
  <c r="O42" i="3" s="1"/>
  <c r="E98" i="11"/>
  <c r="E104" i="11"/>
  <c r="F22" i="3" a="1"/>
  <c r="F22" i="3" s="1"/>
  <c r="L22" i="3" s="1"/>
  <c r="O22" i="3" s="1"/>
  <c r="F15" i="3" a="1"/>
  <c r="F15" i="3" s="1"/>
  <c r="L15" i="3" s="1"/>
  <c r="O15" i="3" s="1"/>
  <c r="G28" i="3" a="1"/>
  <c r="G28" i="3" s="1"/>
  <c r="G23" i="3" a="1"/>
  <c r="G23" i="3" s="1"/>
  <c r="F31" i="3" a="1"/>
  <c r="F31" i="3" s="1"/>
  <c r="L31" i="3" s="1"/>
  <c r="O31" i="3" s="1"/>
  <c r="G21" i="3" a="1"/>
  <c r="G21" i="3" s="1"/>
  <c r="F26" i="3" a="1"/>
  <c r="F26" i="3" s="1"/>
  <c r="L26" i="3" s="1"/>
  <c r="O26" i="3" s="1"/>
  <c r="G42" i="3" a="1"/>
  <c r="G42" i="3" s="1"/>
  <c r="E91" i="11"/>
  <c r="E88" i="11"/>
  <c r="G15" i="3" a="1"/>
  <c r="G15" i="3" s="1"/>
  <c r="F27" i="3" a="1"/>
  <c r="F27" i="3" s="1"/>
  <c r="L27" i="3" s="1"/>
  <c r="O27" i="3" s="1"/>
  <c r="F8" i="3" a="1"/>
  <c r="F8" i="3" s="1"/>
  <c r="L8" i="3" s="1"/>
  <c r="O8" i="3" s="1"/>
  <c r="G4" i="3" a="1"/>
  <c r="G4" i="3" s="1"/>
  <c r="G11" i="3" a="1"/>
  <c r="G11" i="3" s="1"/>
  <c r="G30" i="3" a="1"/>
  <c r="G30" i="3" s="1"/>
  <c r="F16" i="3" a="1"/>
  <c r="F16" i="3" s="1"/>
  <c r="L16" i="3" s="1"/>
  <c r="O16" i="3" s="1"/>
  <c r="E87" i="11"/>
  <c r="E100" i="11"/>
  <c r="F6" i="3" a="1"/>
  <c r="F6" i="3" s="1"/>
  <c r="L6" i="3" s="1"/>
  <c r="O6" i="3" s="1"/>
  <c r="G7" i="3" a="1"/>
  <c r="G7" i="3" s="1"/>
  <c r="F11" i="3" a="1"/>
  <c r="F11" i="3" s="1"/>
  <c r="L11" i="3" s="1"/>
  <c r="O11" i="3" s="1"/>
  <c r="G20" i="3" a="1"/>
  <c r="G20" i="3" s="1"/>
  <c r="F34" i="3" a="1"/>
  <c r="F34" i="3" s="1"/>
  <c r="L34" i="3" s="1"/>
  <c r="O34" i="3" s="1"/>
  <c r="G14" i="3" a="1"/>
  <c r="G14" i="3" s="1"/>
  <c r="G12" i="3" a="1"/>
  <c r="G12" i="3" s="1"/>
  <c r="G38" i="3" a="1"/>
  <c r="G38" i="3" s="1"/>
  <c r="F7" i="3" a="1"/>
  <c r="F7" i="3" s="1"/>
  <c r="L7" i="3" s="1"/>
  <c r="O7" i="3" s="1"/>
  <c r="E32" i="3" a="1"/>
  <c r="E32" i="3" s="1"/>
  <c r="E14" i="3" a="1"/>
  <c r="E14" i="3" s="1"/>
  <c r="K14" i="3" s="1"/>
  <c r="N14" i="3" s="1"/>
  <c r="E30" i="3" a="1"/>
  <c r="E30" i="3" s="1"/>
  <c r="K30" i="3" s="1"/>
  <c r="N30" i="3" s="1"/>
  <c r="E7" i="3" a="1"/>
  <c r="E7" i="3" s="1"/>
  <c r="K7" i="3" s="1"/>
  <c r="N7" i="3" s="1"/>
  <c r="E23" i="3" a="1"/>
  <c r="E23" i="3" s="1"/>
  <c r="E35" i="3" a="1"/>
  <c r="E35" i="3" s="1"/>
  <c r="M35" i="3" s="1"/>
  <c r="P35" i="3" s="1"/>
  <c r="E39" i="3" a="1"/>
  <c r="E39" i="3" s="1"/>
  <c r="K39" i="3" s="1"/>
  <c r="N39" i="3" s="1"/>
  <c r="F39" i="3" a="1"/>
  <c r="F39" i="3" s="1"/>
  <c r="G39" i="3" a="1"/>
  <c r="G39" i="3" s="1"/>
  <c r="E8" i="3" a="1"/>
  <c r="E8" i="3" s="1"/>
  <c r="E33" i="3" a="1"/>
  <c r="E33" i="3" s="1"/>
  <c r="E27" i="3" a="1"/>
  <c r="E27" i="3" s="1"/>
  <c r="E16" i="3" a="1"/>
  <c r="E16" i="3" s="1"/>
  <c r="E21" i="3" a="1"/>
  <c r="E21" i="3" s="1"/>
  <c r="E37" i="3" a="1"/>
  <c r="E37" i="3" s="1"/>
  <c r="E11" i="3" a="1"/>
  <c r="E11" i="3" s="1"/>
  <c r="E19" i="3" a="1"/>
  <c r="E19" i="3" s="1"/>
  <c r="E43" i="3" a="1"/>
  <c r="E43" i="3" s="1"/>
  <c r="G43" i="3" a="1"/>
  <c r="G43" i="3" s="1"/>
  <c r="F43" i="3" a="1"/>
  <c r="F43" i="3" s="1"/>
  <c r="E31" i="3" a="1"/>
  <c r="E31" i="3" s="1"/>
  <c r="E13" i="3" a="1"/>
  <c r="E13" i="3" s="1"/>
  <c r="E12" i="3" a="1"/>
  <c r="E12" i="3" s="1"/>
  <c r="E26" i="3" a="1"/>
  <c r="E26" i="3" s="1"/>
  <c r="E4" i="3" a="1"/>
  <c r="E4" i="3" s="1"/>
  <c r="E42" i="3" a="1"/>
  <c r="E42" i="3" s="1"/>
  <c r="F41" i="3" a="1"/>
  <c r="F41" i="3" s="1"/>
  <c r="E41" i="3" a="1"/>
  <c r="E41" i="3" s="1"/>
  <c r="K41" i="3" s="1"/>
  <c r="N41" i="3" s="1"/>
  <c r="G41" i="3" a="1"/>
  <c r="G41" i="3" s="1"/>
  <c r="E36" i="3" a="1"/>
  <c r="E36" i="3" s="1"/>
  <c r="E34" i="3" a="1"/>
  <c r="E34" i="3" s="1"/>
  <c r="E15" i="3" a="1"/>
  <c r="E15" i="3" s="1"/>
  <c r="E29" i="3" a="1"/>
  <c r="E29" i="3" s="1"/>
  <c r="E10" i="3" a="1"/>
  <c r="E10" i="3" s="1"/>
  <c r="E17" i="3" a="1"/>
  <c r="E17" i="3" s="1"/>
  <c r="E18" i="3" a="1"/>
  <c r="E18" i="3" s="1"/>
  <c r="E38" i="3" a="1"/>
  <c r="E38" i="3" s="1"/>
  <c r="E25" i="3" a="1"/>
  <c r="E25" i="3" s="1"/>
  <c r="E22" i="3" a="1"/>
  <c r="E22" i="3" s="1"/>
  <c r="E20" i="3" a="1"/>
  <c r="E20" i="3" s="1"/>
  <c r="E5" i="3" a="1"/>
  <c r="E5" i="3" s="1"/>
  <c r="G40" i="3" a="1"/>
  <c r="G40" i="3" s="1"/>
  <c r="F40" i="3" a="1"/>
  <c r="F40" i="3" s="1"/>
  <c r="L40" i="3" s="1"/>
  <c r="O40" i="3" s="1"/>
  <c r="E40" i="3" a="1"/>
  <c r="E40" i="3" s="1"/>
  <c r="E9" i="3" a="1"/>
  <c r="E9" i="3" s="1"/>
  <c r="E6" i="3" a="1"/>
  <c r="E6" i="3" s="1"/>
  <c r="E28" i="3" a="1"/>
  <c r="E28" i="3" s="1"/>
  <c r="Q15" i="3" a="1"/>
  <c r="Q15" i="3" s="1"/>
  <c r="C44" i="3"/>
  <c r="D44" i="3" s="1"/>
  <c r="BF87" i="3"/>
  <c r="BG87" i="3" s="1"/>
  <c r="F11" i="2"/>
  <c r="F21" i="2"/>
  <c r="F6" i="2"/>
  <c r="G20" i="2"/>
  <c r="AO165" i="3"/>
  <c r="R39" i="3" s="1"/>
  <c r="AO166" i="3"/>
  <c r="R40" i="3" s="1"/>
  <c r="G11" i="2"/>
  <c r="G15" i="2"/>
  <c r="E3" i="2"/>
  <c r="F20" i="2"/>
  <c r="G5" i="2"/>
  <c r="E21" i="2"/>
  <c r="G4" i="2"/>
  <c r="E20" i="2"/>
  <c r="F5" i="2"/>
  <c r="G8" i="2"/>
  <c r="G6" i="2"/>
  <c r="E9" i="2"/>
  <c r="G19" i="2"/>
  <c r="F3" i="2"/>
  <c r="F4" i="2"/>
  <c r="G3" i="2"/>
  <c r="F8" i="2"/>
  <c r="F14" i="2"/>
  <c r="G17" i="2"/>
  <c r="G10" i="2"/>
  <c r="G16" i="2"/>
  <c r="F19" i="2"/>
  <c r="G13" i="2"/>
  <c r="G23" i="2"/>
  <c r="F17" i="2"/>
  <c r="F10" i="2"/>
  <c r="F16" i="2"/>
  <c r="F15" i="2"/>
  <c r="F9" i="2"/>
  <c r="G12" i="2"/>
  <c r="F13" i="2"/>
  <c r="F23" i="2"/>
  <c r="G14" i="2"/>
  <c r="G7" i="2"/>
  <c r="F12" i="2"/>
  <c r="E23" i="2"/>
  <c r="F22" i="2"/>
  <c r="F7" i="2"/>
  <c r="G18" i="2"/>
  <c r="G21" i="2"/>
  <c r="F18" i="2"/>
  <c r="G22" i="2"/>
  <c r="G9" i="2"/>
  <c r="E6" i="2"/>
  <c r="E15" i="2"/>
  <c r="E17" i="2"/>
  <c r="E19" i="2"/>
  <c r="E10" i="2"/>
  <c r="E5" i="2"/>
  <c r="E8" i="2"/>
  <c r="E14" i="2"/>
  <c r="E7" i="2"/>
  <c r="E4" i="2"/>
  <c r="E16" i="2"/>
  <c r="E13" i="2"/>
  <c r="E22" i="2"/>
  <c r="E11" i="2"/>
  <c r="E12" i="2"/>
  <c r="E18" i="2"/>
  <c r="Q38" i="3" a="1"/>
  <c r="Q38" i="3" s="1"/>
  <c r="AO169" i="3"/>
  <c r="R43" i="3" s="1"/>
  <c r="Q13" i="3" a="1"/>
  <c r="Q13" i="3" s="1"/>
  <c r="AK165" i="3" l="1"/>
  <c r="I39" i="11" s="1"/>
  <c r="L39" i="11" s="1"/>
  <c r="AK157" i="3"/>
  <c r="I31" i="11" s="1"/>
  <c r="L31" i="11" s="1"/>
  <c r="I17" i="11"/>
  <c r="L17" i="11" s="1"/>
  <c r="AD772" i="16"/>
  <c r="H772" i="16" s="1"/>
  <c r="AD17" i="16"/>
  <c r="H17" i="16" s="1"/>
  <c r="AD13" i="16"/>
  <c r="H13" i="16" s="1"/>
  <c r="I5" i="11"/>
  <c r="L5" i="11" s="1"/>
  <c r="AD760" i="16"/>
  <c r="H760" i="16" s="1"/>
  <c r="AD21" i="16"/>
  <c r="H21" i="16" s="1"/>
  <c r="AD777" i="16"/>
  <c r="H777" i="16" s="1"/>
  <c r="I18" i="11"/>
  <c r="L18" i="11" s="1"/>
  <c r="I14" i="11"/>
  <c r="L14" i="11" s="1"/>
  <c r="AD18" i="16"/>
  <c r="H18" i="16" s="1"/>
  <c r="AD774" i="16"/>
  <c r="H774" i="16" s="1"/>
  <c r="AD10" i="16"/>
  <c r="H10" i="16" s="1"/>
  <c r="AD766" i="16"/>
  <c r="H766" i="16" s="1"/>
  <c r="I15" i="11"/>
  <c r="L15" i="11" s="1"/>
  <c r="AD770" i="16"/>
  <c r="H770" i="16" s="1"/>
  <c r="I20" i="11"/>
  <c r="L20" i="11" s="1"/>
  <c r="AD775" i="16"/>
  <c r="H775" i="16" s="1"/>
  <c r="I16" i="11"/>
  <c r="L16" i="11" s="1"/>
  <c r="AD771" i="16"/>
  <c r="H771" i="16" s="1"/>
  <c r="K19" i="11"/>
  <c r="N19" i="11" s="1"/>
  <c r="AF774" i="16"/>
  <c r="J774" i="16" s="1"/>
  <c r="I12" i="11"/>
  <c r="L12" i="11" s="1"/>
  <c r="AD767" i="16"/>
  <c r="H767" i="16" s="1"/>
  <c r="I4" i="11"/>
  <c r="L4" i="11" s="1"/>
  <c r="AD759" i="16"/>
  <c r="H759" i="16" s="1"/>
  <c r="I13" i="11"/>
  <c r="L13" i="11" s="1"/>
  <c r="AD768" i="16"/>
  <c r="H768" i="16" s="1"/>
  <c r="AD9" i="16"/>
  <c r="H9" i="16" s="1"/>
  <c r="AD765" i="16"/>
  <c r="H765" i="16" s="1"/>
  <c r="I8" i="11"/>
  <c r="L8" i="11" s="1"/>
  <c r="AD763" i="16"/>
  <c r="H763" i="16" s="1"/>
  <c r="I21" i="11"/>
  <c r="L21" i="11" s="1"/>
  <c r="AD776" i="16"/>
  <c r="H776" i="16" s="1"/>
  <c r="AD5" i="16"/>
  <c r="H5" i="16" s="1"/>
  <c r="AD761" i="16"/>
  <c r="H761" i="16" s="1"/>
  <c r="AD2" i="16"/>
  <c r="H2" i="16" s="1"/>
  <c r="AD758" i="16"/>
  <c r="H758" i="16" s="1"/>
  <c r="I7" i="11"/>
  <c r="L7" i="11" s="1"/>
  <c r="AD762" i="16"/>
  <c r="H762" i="16" s="1"/>
  <c r="AD22" i="16"/>
  <c r="H22" i="16" s="1"/>
  <c r="I9" i="11"/>
  <c r="L9" i="11" s="1"/>
  <c r="AD764" i="16"/>
  <c r="H764" i="16" s="1"/>
  <c r="I22" i="11"/>
  <c r="L22" i="11" s="1"/>
  <c r="I6" i="11"/>
  <c r="L6" i="11" s="1"/>
  <c r="I11" i="11"/>
  <c r="L11" i="11" s="1"/>
  <c r="I19" i="11"/>
  <c r="L19" i="11" s="1"/>
  <c r="AD16" i="16"/>
  <c r="H16" i="16" s="1"/>
  <c r="Q14" i="3" a="1"/>
  <c r="Q14" i="3" s="1"/>
  <c r="Q37" i="3" a="1"/>
  <c r="Q37" i="3" s="1"/>
  <c r="AD11" i="16"/>
  <c r="H11" i="16" s="1"/>
  <c r="I10" i="11"/>
  <c r="L10" i="11" s="1"/>
  <c r="AD14" i="16"/>
  <c r="H14" i="16" s="1"/>
  <c r="AD19" i="16"/>
  <c r="H19" i="16" s="1"/>
  <c r="AD6" i="16"/>
  <c r="H6" i="16" s="1"/>
  <c r="AD20" i="16"/>
  <c r="H20" i="16" s="1"/>
  <c r="I3" i="11"/>
  <c r="L3" i="11" s="1"/>
  <c r="AD7" i="16"/>
  <c r="H7" i="16" s="1"/>
  <c r="AD12" i="16"/>
  <c r="H12" i="16" s="1"/>
  <c r="M32" i="3"/>
  <c r="P32" i="3" s="1"/>
  <c r="AD8" i="16"/>
  <c r="H8" i="16" s="1"/>
  <c r="AD3" i="16"/>
  <c r="H3" i="16" s="1"/>
  <c r="AD15" i="16"/>
  <c r="H15" i="16" s="1"/>
  <c r="AD4" i="16"/>
  <c r="H4" i="16" s="1"/>
  <c r="AD510" i="16"/>
  <c r="H510" i="16" s="1"/>
  <c r="AD258" i="16"/>
  <c r="H258" i="16" s="1"/>
  <c r="AD519" i="16"/>
  <c r="H519" i="16" s="1"/>
  <c r="AD267" i="16"/>
  <c r="H267" i="16" s="1"/>
  <c r="AD517" i="16"/>
  <c r="H517" i="16" s="1"/>
  <c r="AD265" i="16"/>
  <c r="H265" i="16" s="1"/>
  <c r="AD507" i="16"/>
  <c r="H507" i="16" s="1"/>
  <c r="AD255" i="16"/>
  <c r="H255" i="16" s="1"/>
  <c r="AD526" i="16"/>
  <c r="H526" i="16" s="1"/>
  <c r="AD274" i="16"/>
  <c r="H274" i="16" s="1"/>
  <c r="AD511" i="16"/>
  <c r="H511" i="16" s="1"/>
  <c r="AD259" i="16"/>
  <c r="H259" i="16" s="1"/>
  <c r="AD516" i="16"/>
  <c r="H516" i="16" s="1"/>
  <c r="AD264" i="16"/>
  <c r="H264" i="16" s="1"/>
  <c r="AD514" i="16"/>
  <c r="H514" i="16" s="1"/>
  <c r="AD262" i="16"/>
  <c r="H262" i="16" s="1"/>
  <c r="AD518" i="16"/>
  <c r="H518" i="16" s="1"/>
  <c r="AD266" i="16"/>
  <c r="H266" i="16" s="1"/>
  <c r="AD260" i="16"/>
  <c r="H260" i="16" s="1"/>
  <c r="AD512" i="16"/>
  <c r="H512" i="16" s="1"/>
  <c r="AD523" i="16"/>
  <c r="H523" i="16" s="1"/>
  <c r="AD271" i="16"/>
  <c r="H271" i="16" s="1"/>
  <c r="AD263" i="16"/>
  <c r="H263" i="16" s="1"/>
  <c r="AD515" i="16"/>
  <c r="H515" i="16" s="1"/>
  <c r="AD268" i="16"/>
  <c r="H268" i="16" s="1"/>
  <c r="AD520" i="16"/>
  <c r="H520" i="16" s="1"/>
  <c r="AD525" i="16"/>
  <c r="H525" i="16" s="1"/>
  <c r="AD273" i="16"/>
  <c r="H273" i="16" s="1"/>
  <c r="AD521" i="16"/>
  <c r="H521" i="16" s="1"/>
  <c r="AD269" i="16"/>
  <c r="H269" i="16" s="1"/>
  <c r="AD272" i="16"/>
  <c r="H272" i="16" s="1"/>
  <c r="AD524" i="16"/>
  <c r="H524" i="16" s="1"/>
  <c r="L44" i="11"/>
  <c r="AD508" i="16"/>
  <c r="H508" i="16" s="1"/>
  <c r="AD256" i="16"/>
  <c r="H256" i="16" s="1"/>
  <c r="AD509" i="16"/>
  <c r="H509" i="16" s="1"/>
  <c r="AD257" i="16"/>
  <c r="H257" i="16" s="1"/>
  <c r="AD254" i="16"/>
  <c r="H254" i="16" s="1"/>
  <c r="AD506" i="16"/>
  <c r="H506" i="16" s="1"/>
  <c r="AD513" i="16"/>
  <c r="H513" i="16" s="1"/>
  <c r="AD261" i="16"/>
  <c r="H261" i="16" s="1"/>
  <c r="AD522" i="16"/>
  <c r="H522" i="16" s="1"/>
  <c r="AD270" i="16"/>
  <c r="H270" i="16" s="1"/>
  <c r="N44" i="11"/>
  <c r="M44" i="11"/>
  <c r="M23" i="3"/>
  <c r="P23" i="3" s="1"/>
  <c r="S104" i="11"/>
  <c r="P104" i="11"/>
  <c r="Q104" i="11"/>
  <c r="O104" i="11"/>
  <c r="P99" i="11"/>
  <c r="Q99" i="11"/>
  <c r="O99" i="11"/>
  <c r="S99" i="11"/>
  <c r="P98" i="11"/>
  <c r="Q98" i="11"/>
  <c r="O98" i="11"/>
  <c r="S98" i="11"/>
  <c r="P106" i="11"/>
  <c r="Q106" i="11"/>
  <c r="S106" i="11"/>
  <c r="O106" i="11"/>
  <c r="Q93" i="11"/>
  <c r="S93" i="11"/>
  <c r="P93" i="11"/>
  <c r="O93" i="11"/>
  <c r="P90" i="11"/>
  <c r="Q90" i="11"/>
  <c r="S90" i="11"/>
  <c r="O90" i="11"/>
  <c r="S96" i="11"/>
  <c r="P96" i="11"/>
  <c r="O96" i="11"/>
  <c r="Q96" i="11"/>
  <c r="P107" i="11"/>
  <c r="Q107" i="11"/>
  <c r="S107" i="11"/>
  <c r="O107" i="11"/>
  <c r="S100" i="11"/>
  <c r="P100" i="11"/>
  <c r="Q100" i="11"/>
  <c r="O100" i="11"/>
  <c r="S88" i="11"/>
  <c r="P88" i="11"/>
  <c r="Q88" i="11"/>
  <c r="O88" i="11"/>
  <c r="S92" i="11"/>
  <c r="Q92" i="11"/>
  <c r="P92" i="11"/>
  <c r="O92" i="11"/>
  <c r="S87" i="11"/>
  <c r="P87" i="11"/>
  <c r="Q87" i="11"/>
  <c r="O87" i="11"/>
  <c r="P91" i="11"/>
  <c r="Q91" i="11"/>
  <c r="S91" i="11"/>
  <c r="O91" i="11"/>
  <c r="Q18" i="3" a="1"/>
  <c r="Q18" i="3" s="1"/>
  <c r="K32" i="3"/>
  <c r="N32" i="3" s="1"/>
  <c r="M43" i="3"/>
  <c r="P43" i="3" s="1"/>
  <c r="Q23" i="3" a="1"/>
  <c r="Q23" i="3" s="1"/>
  <c r="Q21" i="3" a="1"/>
  <c r="Q21" i="3" s="1"/>
  <c r="Q17" i="3" a="1"/>
  <c r="Q17" i="3" s="1"/>
  <c r="Q6" i="3" a="1"/>
  <c r="Q6" i="3" s="1"/>
  <c r="Q42" i="3" a="1"/>
  <c r="Q42" i="3" s="1"/>
  <c r="Q26" i="3" a="1"/>
  <c r="Q26" i="3" s="1"/>
  <c r="Q22" i="3" a="1"/>
  <c r="Q22" i="3" s="1"/>
  <c r="M14" i="3"/>
  <c r="P14" i="3" s="1"/>
  <c r="Q29" i="3" a="1"/>
  <c r="Q29" i="3" s="1"/>
  <c r="Q41" i="3" a="1"/>
  <c r="Q41" i="3" s="1"/>
  <c r="Q28" i="3" a="1"/>
  <c r="Q28" i="3" s="1"/>
  <c r="E44" i="11"/>
  <c r="M7" i="3"/>
  <c r="P7" i="3" s="1"/>
  <c r="K35" i="3"/>
  <c r="N35" i="3" s="1"/>
  <c r="Q20" i="3" a="1"/>
  <c r="Q20" i="3" s="1"/>
  <c r="M40" i="3"/>
  <c r="P40" i="3" s="1"/>
  <c r="M30" i="3"/>
  <c r="P30" i="3" s="1"/>
  <c r="K23" i="3"/>
  <c r="N23" i="3" s="1"/>
  <c r="K40" i="3"/>
  <c r="N40" i="3" s="1"/>
  <c r="M22" i="3"/>
  <c r="P22" i="3" s="1"/>
  <c r="K22" i="3"/>
  <c r="N22" i="3" s="1"/>
  <c r="M34" i="3"/>
  <c r="P34" i="3" s="1"/>
  <c r="K34" i="3"/>
  <c r="N34" i="3" s="1"/>
  <c r="M4" i="3"/>
  <c r="P4" i="3" s="1"/>
  <c r="K4" i="3"/>
  <c r="N4" i="3" s="1"/>
  <c r="K43" i="3"/>
  <c r="N43" i="3" s="1"/>
  <c r="M16" i="3"/>
  <c r="P16" i="3" s="1"/>
  <c r="K16" i="3"/>
  <c r="N16" i="3" s="1"/>
  <c r="M25" i="3"/>
  <c r="P25" i="3" s="1"/>
  <c r="K25" i="3"/>
  <c r="N25" i="3" s="1"/>
  <c r="M36" i="3"/>
  <c r="P36" i="3" s="1"/>
  <c r="K36" i="3"/>
  <c r="N36" i="3" s="1"/>
  <c r="M26" i="3"/>
  <c r="P26" i="3" s="1"/>
  <c r="K26" i="3"/>
  <c r="N26" i="3" s="1"/>
  <c r="M27" i="3"/>
  <c r="P27" i="3" s="1"/>
  <c r="K27" i="3"/>
  <c r="N27" i="3" s="1"/>
  <c r="M33" i="3"/>
  <c r="P33" i="3" s="1"/>
  <c r="K33" i="3"/>
  <c r="N33" i="3" s="1"/>
  <c r="M18" i="3"/>
  <c r="P18" i="3" s="1"/>
  <c r="K18" i="3"/>
  <c r="N18" i="3" s="1"/>
  <c r="M13" i="3"/>
  <c r="P13" i="3" s="1"/>
  <c r="K13" i="3"/>
  <c r="N13" i="3" s="1"/>
  <c r="M8" i="3"/>
  <c r="P8" i="3" s="1"/>
  <c r="K8" i="3"/>
  <c r="N8" i="3" s="1"/>
  <c r="M38" i="3"/>
  <c r="P38" i="3" s="1"/>
  <c r="K38" i="3"/>
  <c r="N38" i="3" s="1"/>
  <c r="F44" i="3" a="1"/>
  <c r="F44" i="3" s="1"/>
  <c r="E44" i="3" a="1"/>
  <c r="E44" i="3" s="1"/>
  <c r="K44" i="3" s="1"/>
  <c r="N44" i="3" s="1"/>
  <c r="G44" i="3" a="1"/>
  <c r="G44" i="3" s="1"/>
  <c r="M17" i="3"/>
  <c r="P17" i="3" s="1"/>
  <c r="K17" i="3"/>
  <c r="N17" i="3" s="1"/>
  <c r="M41" i="3"/>
  <c r="P41" i="3" s="1"/>
  <c r="M31" i="3"/>
  <c r="P31" i="3" s="1"/>
  <c r="K31" i="3"/>
  <c r="N31" i="3" s="1"/>
  <c r="M11" i="3"/>
  <c r="P11" i="3" s="1"/>
  <c r="K11" i="3"/>
  <c r="N11" i="3" s="1"/>
  <c r="M19" i="3"/>
  <c r="P19" i="3" s="1"/>
  <c r="K19" i="3"/>
  <c r="N19" i="3" s="1"/>
  <c r="Q43" i="3" a="1"/>
  <c r="Q43" i="3" s="1"/>
  <c r="L43" i="3"/>
  <c r="O43" i="3" s="1"/>
  <c r="M28" i="3"/>
  <c r="P28" i="3" s="1"/>
  <c r="K28" i="3"/>
  <c r="N28" i="3" s="1"/>
  <c r="M10" i="3"/>
  <c r="P10" i="3" s="1"/>
  <c r="K10" i="3"/>
  <c r="N10" i="3" s="1"/>
  <c r="M37" i="3"/>
  <c r="P37" i="3" s="1"/>
  <c r="K37" i="3"/>
  <c r="N37" i="3" s="1"/>
  <c r="M12" i="3"/>
  <c r="P12" i="3" s="1"/>
  <c r="K12" i="3"/>
  <c r="N12" i="3" s="1"/>
  <c r="Q39" i="3" a="1"/>
  <c r="Q39" i="3" s="1"/>
  <c r="L39" i="3"/>
  <c r="O39" i="3" s="1"/>
  <c r="M6" i="3"/>
  <c r="P6" i="3" s="1"/>
  <c r="K6" i="3"/>
  <c r="N6" i="3" s="1"/>
  <c r="M5" i="3"/>
  <c r="P5" i="3" s="1"/>
  <c r="K5" i="3"/>
  <c r="N5" i="3" s="1"/>
  <c r="M29" i="3"/>
  <c r="P29" i="3" s="1"/>
  <c r="K29" i="3"/>
  <c r="N29" i="3" s="1"/>
  <c r="L41" i="3"/>
  <c r="O41" i="3" s="1"/>
  <c r="M21" i="3"/>
  <c r="P21" i="3" s="1"/>
  <c r="K21" i="3"/>
  <c r="N21" i="3" s="1"/>
  <c r="M9" i="3"/>
  <c r="P9" i="3" s="1"/>
  <c r="K9" i="3"/>
  <c r="N9" i="3" s="1"/>
  <c r="M20" i="3"/>
  <c r="P20" i="3" s="1"/>
  <c r="K20" i="3"/>
  <c r="N20" i="3" s="1"/>
  <c r="M15" i="3"/>
  <c r="P15" i="3" s="1"/>
  <c r="K15" i="3"/>
  <c r="N15" i="3" s="1"/>
  <c r="M42" i="3"/>
  <c r="P42" i="3" s="1"/>
  <c r="K42" i="3"/>
  <c r="N42" i="3" s="1"/>
  <c r="M39" i="3"/>
  <c r="P39" i="3" s="1"/>
  <c r="Q40" i="3" a="1"/>
  <c r="Q40" i="3" s="1"/>
  <c r="Q33" i="3" a="1"/>
  <c r="Q33" i="3" s="1"/>
  <c r="Q34" i="3" a="1"/>
  <c r="Q34" i="3" s="1"/>
  <c r="Q8" i="3" a="1"/>
  <c r="Q8" i="3" s="1"/>
  <c r="Q5" i="3" a="1"/>
  <c r="Q5" i="3" s="1"/>
  <c r="Q31" i="3" a="1"/>
  <c r="Q31" i="3" s="1"/>
  <c r="Q16" i="3" a="1"/>
  <c r="Q16" i="3" s="1"/>
  <c r="Q32" i="3" a="1"/>
  <c r="Q32" i="3" s="1"/>
  <c r="Q11" i="3" a="1"/>
  <c r="Q11" i="3" s="1"/>
  <c r="Q35" i="3" a="1"/>
  <c r="Q35" i="3" s="1"/>
  <c r="Q7" i="3" a="1"/>
  <c r="Q7" i="3" s="1"/>
  <c r="AO170" i="3"/>
  <c r="R44" i="3" s="1"/>
  <c r="Q36" i="3" a="1"/>
  <c r="Q36" i="3" s="1"/>
  <c r="Q9" i="3" a="1"/>
  <c r="Q9" i="3" s="1"/>
  <c r="Q30" i="3" a="1"/>
  <c r="Q30" i="3" s="1"/>
  <c r="Q10" i="3" a="1"/>
  <c r="Q10" i="3" s="1"/>
  <c r="Q19" i="3" a="1"/>
  <c r="Q19" i="3" s="1"/>
  <c r="Q12" i="3" a="1"/>
  <c r="Q12" i="3" s="1"/>
  <c r="Q27" i="3" a="1"/>
  <c r="Q27" i="3" s="1"/>
  <c r="Q25" i="3" a="1"/>
  <c r="Q25" i="3" s="1"/>
  <c r="S44" i="11" l="1"/>
  <c r="Q44" i="11"/>
  <c r="P44" i="11"/>
  <c r="O44" i="11"/>
  <c r="M44" i="3"/>
  <c r="P44" i="3" s="1"/>
  <c r="Q44" i="3" a="1"/>
  <c r="Q44" i="3" s="1"/>
  <c r="L44" i="3"/>
  <c r="O4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<sst xmlns="http://schemas.openxmlformats.org/spreadsheetml/2006/main" count="11197" uniqueCount="503">
  <si>
    <t>Year</t>
  </si>
  <si>
    <t>Scenario Name</t>
  </si>
  <si>
    <t>Blue H2 Production (metric ton/year)</t>
  </si>
  <si>
    <t>Green H2 Production  (metric ton/year)</t>
  </si>
  <si>
    <t>Wind-Grid Installation (Cumulative) (MW)</t>
  </si>
  <si>
    <t>Solar-Grid Installation (Cumulative) (MW)</t>
  </si>
  <si>
    <t>LiBattery-Grid Installation (Cumulative) (MW)</t>
  </si>
  <si>
    <t>Biomass-Grid Installation (Cumulative) (MW/Year)</t>
  </si>
  <si>
    <t>LDES-Grid Installation (Cumulative) (MW/Year)</t>
  </si>
  <si>
    <t>Biogas Production from Animal Manure (mcf/year)</t>
  </si>
  <si>
    <t>Biogas Production from Food Waste (mcf/year)</t>
  </si>
  <si>
    <t>Renewable Jet Fuel Production from Corn/Soybean oil (million gallons/year)</t>
  </si>
  <si>
    <t>Renewable Jet Fuel Production from Animal fat and waste oil (million gallons/year)</t>
  </si>
  <si>
    <t>Current Projects</t>
  </si>
  <si>
    <t>Reference values (Max CA potential)</t>
  </si>
  <si>
    <t>Source:</t>
  </si>
  <si>
    <t>Scoping Plan demand in 2045</t>
  </si>
  <si>
    <t>SB100 Solar in 2045</t>
  </si>
  <si>
    <t>SB100 Wind in 2045</t>
  </si>
  <si>
    <t>Getting to Neutral CA Biogas Potential</t>
  </si>
  <si>
    <t>key</t>
  </si>
  <si>
    <t>Win</t>
  </si>
  <si>
    <t>Sol</t>
  </si>
  <si>
    <t>Li_</t>
  </si>
  <si>
    <t>Bio</t>
  </si>
  <si>
    <t>LDE</t>
  </si>
  <si>
    <t xml:space="preserve">AD </t>
  </si>
  <si>
    <t>Foo</t>
  </si>
  <si>
    <t>Soy</t>
  </si>
  <si>
    <t>Ani</t>
  </si>
  <si>
    <t>State Policy Aligned</t>
  </si>
  <si>
    <t>Max Buildout</t>
  </si>
  <si>
    <t>Incremental Buildout</t>
  </si>
  <si>
    <t>Scenario A</t>
  </si>
  <si>
    <t>Renewable Jet Fuel Production from Corn/Soybean oil (gallons/year)</t>
  </si>
  <si>
    <t>Renewable Jet Fuel Production from Animal fat and waste oil (gallons/year)</t>
  </si>
  <si>
    <t>Column Labels</t>
  </si>
  <si>
    <t>Average of GHG Emissions Avoided (Average) (CO2e million metric ton/year)</t>
  </si>
  <si>
    <t>Average of GHG Emissions Avoided (Minimum) (CO2e million metric ton/year)</t>
  </si>
  <si>
    <t>Average of GHG Emissions Avoided (Maximum) (CO2e million metric ton/year)</t>
  </si>
  <si>
    <t>Row Labels</t>
  </si>
  <si>
    <t>Electricity</t>
  </si>
  <si>
    <t>Product</t>
  </si>
  <si>
    <t>Tech/ Feedstock</t>
  </si>
  <si>
    <t>Annual Production or Cumulative Installation</t>
  </si>
  <si>
    <t>Unit</t>
  </si>
  <si>
    <t>Annual Production (EJ/year)</t>
  </si>
  <si>
    <t>GHG Emissions Avoided (Average) (CO2e million metric ton/year)</t>
  </si>
  <si>
    <t>GHG Emissions Avoided (Minimum) (CO2e million metric ton/year)</t>
  </si>
  <si>
    <t>GHG Emissions Avoided (Maximum) (CO2e million metric ton/year)</t>
  </si>
  <si>
    <t>Required Land (Average) (acres)</t>
  </si>
  <si>
    <t>Required Land (Minimum) (acres)</t>
  </si>
  <si>
    <t>Required Land (Maximum) (acres)</t>
  </si>
  <si>
    <t>Water Use from Electrolysis (million gallon/year)</t>
  </si>
  <si>
    <t>Water Quality Improvement (kg Nitrate/year)</t>
  </si>
  <si>
    <t>Water Quality Improvement (kg Phosphorous/year)</t>
  </si>
  <si>
    <t>Water Quality Improvement (kg TDS/year)</t>
  </si>
  <si>
    <t>Water Quality Improvement (kg Uranium/year)</t>
  </si>
  <si>
    <t>High school diploma or equivalent (None or some training)</t>
  </si>
  <si>
    <t>High school diploma or equivalent (Apprenticeship or long term training)</t>
  </si>
  <si>
    <t>Bachelor's degree (None or some training)</t>
  </si>
  <si>
    <t>Doctoral or professional degree</t>
  </si>
  <si>
    <t>Case</t>
  </si>
  <si>
    <t>Effective Generation MWh</t>
  </si>
  <si>
    <t>Conversion Factor</t>
  </si>
  <si>
    <t>CI AVG (g CO2e/MJ or MT CO2e/MWh)</t>
  </si>
  <si>
    <t>CI MIN (g CO2e/MJ or MT CO2e/MWh)</t>
  </si>
  <si>
    <t>CI MAX (g CO2e/MJ or MT CO2e/MWh)</t>
  </si>
  <si>
    <t>Water Use Rate gal water per kg h2</t>
  </si>
  <si>
    <t xml:space="preserve">Reduced Nitrate Contaminant (kg): 14-36 kg/acre/year </t>
  </si>
  <si>
    <t xml:space="preserve">Reduced Phosphorous Contaminant (kg): 1.4-3.6 kg/acre/year </t>
  </si>
  <si>
    <t xml:space="preserve">Reduced TDS Contaminant (kg): 250 kg/acre/year </t>
  </si>
  <si>
    <t xml:space="preserve">Reduced Uranium Contaminant (kg): 0.31 kg/acre/year </t>
  </si>
  <si>
    <t>Blue H2</t>
  </si>
  <si>
    <t>SMR w/CC</t>
  </si>
  <si>
    <t>metric ton production/year</t>
  </si>
  <si>
    <t>Base</t>
  </si>
  <si>
    <t>EJ per metric ton</t>
  </si>
  <si>
    <t>Green H2</t>
  </si>
  <si>
    <t>Off-Grid Electrolysis</t>
  </si>
  <si>
    <t>Solar</t>
  </si>
  <si>
    <t>MW</t>
  </si>
  <si>
    <t>EJ per MWh</t>
  </si>
  <si>
    <t>Wind</t>
  </si>
  <si>
    <t>Biomass</t>
  </si>
  <si>
    <t>Li_Battery</t>
  </si>
  <si>
    <t>LDES</t>
  </si>
  <si>
    <t>Biogas</t>
  </si>
  <si>
    <t>AD - Animal Manure</t>
  </si>
  <si>
    <t>mcf production/year</t>
  </si>
  <si>
    <t>EJ per mcf production</t>
  </si>
  <si>
    <t>Food Waste</t>
  </si>
  <si>
    <t>RJF</t>
  </si>
  <si>
    <t>Soybean Oil and Corn Oil</t>
  </si>
  <si>
    <t>Millions of Gallons production/year</t>
  </si>
  <si>
    <t>EJ per Millions of Gallons</t>
  </si>
  <si>
    <t>Animal Fat and Waste Oil</t>
  </si>
  <si>
    <t>Solar (Off-Grid)</t>
  </si>
  <si>
    <t>Energy Content in EJ</t>
  </si>
  <si>
    <t>Avoided GHG AVG (MMT CO2e)</t>
  </si>
  <si>
    <t>Avoided GHG MIN (MMT CO2e)</t>
  </si>
  <si>
    <t>Avoided GHG MAX (MMT CO2e)</t>
  </si>
  <si>
    <t>Required Land AVG (acres)</t>
  </si>
  <si>
    <t>Required Land MIN (acres)</t>
  </si>
  <si>
    <t>Required Land MAX (acres)</t>
  </si>
  <si>
    <t>Water Use MM Gal per Year (from Electrolysis)</t>
  </si>
  <si>
    <t>mteric ton per year</t>
  </si>
  <si>
    <t>A1</t>
  </si>
  <si>
    <t>MM MT production/year</t>
  </si>
  <si>
    <t>MM Gal production/year</t>
  </si>
  <si>
    <t>Summary</t>
  </si>
  <si>
    <t>Source</t>
  </si>
  <si>
    <t>CaseName</t>
  </si>
  <si>
    <t>Solar_Cumulative_MW</t>
  </si>
  <si>
    <t>Wind_Cumulative_MW</t>
  </si>
  <si>
    <t>Avoided GHG MM MT CO2e AVG</t>
  </si>
  <si>
    <t>Avoided GHG MMT CO2e MIN</t>
  </si>
  <si>
    <t>Avoided GHG MMT CO2e MAX</t>
  </si>
  <si>
    <t>Land Use AVG Acres</t>
  </si>
  <si>
    <t>Land Use MIN Acres</t>
  </si>
  <si>
    <t>Land Use MAX Acres</t>
  </si>
  <si>
    <t>ScenarioID</t>
  </si>
  <si>
    <t>Tech</t>
  </si>
  <si>
    <t>New Capacity MW</t>
  </si>
  <si>
    <t>Cumulative Capacity MW</t>
  </si>
  <si>
    <t>EffectiveEnergyFactor_MWh_perMW</t>
  </si>
  <si>
    <t>EffectiveGen MWh</t>
  </si>
  <si>
    <t>Average Grid GHG Emission Factor_AVG
CO2e MT perMWh</t>
  </si>
  <si>
    <t>Average Grid GHG Emission Factor_MIN
CO2e MT perMWh</t>
  </si>
  <si>
    <t>Average Grid GHG Emission Factor_MAX CO2e MT perMWh</t>
  </si>
  <si>
    <t>Avoided GHG AVG MT CO2e</t>
  </si>
  <si>
    <t>Avoided GHG MIN MT CO2e</t>
  </si>
  <si>
    <t>Avoided GHG MAX MT CO2e</t>
  </si>
  <si>
    <t>Case Name</t>
  </si>
  <si>
    <t>Description</t>
  </si>
  <si>
    <t>CPUC IRP (busbar to 2035 and nothing more)</t>
  </si>
  <si>
    <t>Extrapolate to SB100 study (2021)</t>
  </si>
  <si>
    <t>(negative= avoided)</t>
  </si>
  <si>
    <t>EJ per year</t>
  </si>
  <si>
    <t>Use</t>
  </si>
  <si>
    <t>Case_Name</t>
  </si>
  <si>
    <t>H2_e_EJ per Year</t>
  </si>
  <si>
    <t>H2_MT per Year</t>
  </si>
  <si>
    <t>Production GHG Emission Factor AVG (g CO2e/MJ)</t>
  </si>
  <si>
    <t>Production GHG Emission Factor MIN (g CO2e/MJ)</t>
  </si>
  <si>
    <t>Production GHG Emission Factor MAX (g CO2e/MJ)</t>
  </si>
  <si>
    <t>Displaced Fuel GHG Emission Factor_AVG
g CO2e per MJ</t>
  </si>
  <si>
    <t>Displaced Fuel GHG Emission Factor_MIN
g CO2e per MJ</t>
  </si>
  <si>
    <t>Displaced Fuel GHG Emission Factor_MAX g CO2e per MJ</t>
  </si>
  <si>
    <t>Net Avoided Emission AVG (Production + Use) g CO2e/MJ</t>
  </si>
  <si>
    <t>Net Avoided Emission MIN (Production + Use) g CO2e/MJ</t>
  </si>
  <si>
    <t>Net Avoided Emission MAX (Production + Use) g CO2e/MJ</t>
  </si>
  <si>
    <t>Total Avoided GHG AVG (MM MT CO2e per Year)</t>
  </si>
  <si>
    <t>Total Avoided GHG MIN (MM MT CO2e per Year)</t>
  </si>
  <si>
    <t>Total Avoided GHG MAX (MM MT CO2e per Year)</t>
  </si>
  <si>
    <t>Water Use MM Gal per Year</t>
  </si>
  <si>
    <t>Offgrid Solar Capacity MW</t>
  </si>
  <si>
    <t>Conversion Tech</t>
  </si>
  <si>
    <t>To</t>
  </si>
  <si>
    <t>value_e_EJ</t>
  </si>
  <si>
    <t>value_n_MT</t>
  </si>
  <si>
    <t>Water Use MM Gal</t>
  </si>
  <si>
    <t>Solar Energy Needed MWh</t>
  </si>
  <si>
    <t>Solar Capacity Needed MW</t>
  </si>
  <si>
    <t>Land Use Average Acres</t>
  </si>
  <si>
    <t>Land Use Max Acres</t>
  </si>
  <si>
    <t>Land Use Min Acres</t>
  </si>
  <si>
    <t>Assumptions</t>
  </si>
  <si>
    <t>EV Proportions</t>
  </si>
  <si>
    <t>Biomethane Conversion Year</t>
  </si>
  <si>
    <t>Total</t>
  </si>
  <si>
    <t>DOE initial funding 400k MT in CA (24% in CV)+ Kern Blue Hydrogen (start with 30 MT per day) starting 2026</t>
  </si>
  <si>
    <t>https://labusinessjournal.com/featured/california-resources-agrees-to-store-carbon-from-hydrogen-fuel-plant-to-be-built-on-its-oil-field/#:~:text=This%20blue%20hydrogen%20plant%20is,in%20an%20underground%20storage%20vault.</t>
  </si>
  <si>
    <t>ARCHES CA Green H2 Plan 110k MT in 2030 and 11.6 MM MT in 2045 (24% in CV) + Blue H2 expansion x2 every 5 years (NREL Hydra 24% potential)</t>
  </si>
  <si>
    <t>A2</t>
  </si>
  <si>
    <t>ARCHES CA Green H2 Plan 110k MT in 2030 and 11.6 MM MT in 2045 (24% in CV - NREL Hydra) + SMR H2 expansion x2 every 5 years, replace with biomethane starting 2036.)</t>
  </si>
  <si>
    <t>ton per year</t>
  </si>
  <si>
    <t>MJ per kg</t>
  </si>
  <si>
    <t>SMR w/Biomethane</t>
  </si>
  <si>
    <t>Green Hydrogen</t>
  </si>
  <si>
    <t>Transportation</t>
  </si>
  <si>
    <t>percent</t>
  </si>
  <si>
    <t>max diesel 100% (Look up table LCFS)</t>
  </si>
  <si>
    <t>scoping plan SP scenario energy demand (ground transportation only)</t>
  </si>
  <si>
    <t>max diesel 100%</t>
  </si>
  <si>
    <t>Industrial Process</t>
  </si>
  <si>
    <t>2025-2045</t>
  </si>
  <si>
    <t>natural gas</t>
  </si>
  <si>
    <t>Power Generation</t>
  </si>
  <si>
    <t>Based on Grid CI</t>
  </si>
  <si>
    <t>Bio-gasification w/CC</t>
  </si>
  <si>
    <t>Grid-Connected Electrolysis</t>
  </si>
  <si>
    <t>Gray Hydrogren</t>
  </si>
  <si>
    <t>scoping plan scenario energy demand (ground transportation only)</t>
  </si>
  <si>
    <t>California Potential in 2025 and 2045 (source: LLNL Getting to Neutral)</t>
  </si>
  <si>
    <t>Biogas_e_EJ per Year</t>
  </si>
  <si>
    <t>Biogas_MT per Year</t>
  </si>
  <si>
    <t>From</t>
  </si>
  <si>
    <t>Technology</t>
  </si>
  <si>
    <t>Biogas_mmcf per year</t>
  </si>
  <si>
    <t>Net GHG Emission Factor AVG (g CO2e/MJ)</t>
  </si>
  <si>
    <t>Net GHG Emission Factor MIN (g CO2e/MJ)</t>
  </si>
  <si>
    <t>Net GHG Emission Factor MAX (g CO2e/MJ)</t>
  </si>
  <si>
    <t>Run Name</t>
  </si>
  <si>
    <t xml:space="preserve">From </t>
  </si>
  <si>
    <t>Target Percentage in 2045</t>
  </si>
  <si>
    <t>Dairy Manure in 2045</t>
  </si>
  <si>
    <t>Food Waste 9n 2045</t>
  </si>
  <si>
    <t>Volume Billion cft</t>
  </si>
  <si>
    <t>CH4 Content</t>
  </si>
  <si>
    <t>Mass million ton</t>
  </si>
  <si>
    <t>Value3</t>
  </si>
  <si>
    <t>Unit3</t>
  </si>
  <si>
    <t>Energy Content MJ</t>
  </si>
  <si>
    <t>1.09MJ per cbft (EIA energy content for NG)</t>
  </si>
  <si>
    <t>Notes</t>
  </si>
  <si>
    <t>Wastewater</t>
  </si>
  <si>
    <t>Anarerobic Digestion</t>
  </si>
  <si>
    <t>31% of CA food waste and Dairy Manure (50% potential of CV) are treated by 2045</t>
  </si>
  <si>
    <t>Gallons</t>
  </si>
  <si>
    <t>EJ</t>
  </si>
  <si>
    <t>Existing Treatment capacity</t>
  </si>
  <si>
    <t>62% of CA food waste and Dairy Manure (100% potential of CV) are treated by 2045</t>
  </si>
  <si>
    <t>Dairy Manure</t>
  </si>
  <si>
    <t>Million dairy cows</t>
  </si>
  <si>
    <t>cft per day per dairy cow</t>
  </si>
  <si>
    <t>Assuming  all dairy manure in the state will be anaerobically digested.</t>
  </si>
  <si>
    <t>million BDT</t>
  </si>
  <si>
    <t>Landfill Gas</t>
  </si>
  <si>
    <t>None</t>
  </si>
  <si>
    <t>facilities</t>
  </si>
  <si>
    <t>Combustion</t>
  </si>
  <si>
    <t>CNG</t>
  </si>
  <si>
    <t>2025-2042</t>
  </si>
  <si>
    <t>SMR</t>
  </si>
  <si>
    <t>2025-2043</t>
  </si>
  <si>
    <t>?</t>
  </si>
  <si>
    <t>Power Plant</t>
  </si>
  <si>
    <t>2025-2044</t>
  </si>
  <si>
    <t>Pipeline Injection</t>
  </si>
  <si>
    <t>Natural Gas Substitute</t>
  </si>
  <si>
    <t>Capture</t>
  </si>
  <si>
    <t>RJF_e_EJ per Year</t>
  </si>
  <si>
    <t>RJF_mm gallon_ per year</t>
  </si>
  <si>
    <t>Benchmarks for Conventional Jet Fuel
g CO2e per MJ</t>
  </si>
  <si>
    <t>Proportion of waste oil in feedstock</t>
  </si>
  <si>
    <t>Proportion of waste oil in 2045</t>
  </si>
  <si>
    <t>Refinery</t>
  </si>
  <si>
    <t>no RJF</t>
  </si>
  <si>
    <t>20% of RJF demand from SP is produced in CV</t>
  </si>
  <si>
    <t>SP Plan Demand (RJF)</t>
  </si>
  <si>
    <t>RJF_Base_EJ_CA</t>
  </si>
  <si>
    <t>RJF_Base_gallon</t>
  </si>
  <si>
    <t>conversion factor</t>
  </si>
  <si>
    <t>Run Name (clean name)</t>
  </si>
  <si>
    <t>State</t>
  </si>
  <si>
    <t>From||Outputs Group Aggregate (CCUS)</t>
  </si>
  <si>
    <t>value</t>
  </si>
  <si>
    <t>unit</t>
  </si>
  <si>
    <t>To (CCUS)</t>
  </si>
  <si>
    <t>Baseline</t>
  </si>
  <si>
    <t>california</t>
  </si>
  <si>
    <t>Direct air capture</t>
  </si>
  <si>
    <t>megatonne</t>
  </si>
  <si>
    <t>CCU: gas</t>
  </si>
  <si>
    <t>CCU: liquids</t>
  </si>
  <si>
    <t>CCS</t>
  </si>
  <si>
    <t>H2 Conversion</t>
  </si>
  <si>
    <t>Source: NREL Resource Assessment for Hydrogen Production (2020)</t>
  </si>
  <si>
    <t>Feedstock</t>
  </si>
  <si>
    <t>ConversionTech</t>
  </si>
  <si>
    <t>Amount to produce 1kg H2</t>
  </si>
  <si>
    <t>Energy content in MJ</t>
  </si>
  <si>
    <t>Production Efficiency in %</t>
  </si>
  <si>
    <t>Hydrogen Energy per kg</t>
  </si>
  <si>
    <t>unit2</t>
  </si>
  <si>
    <t>Natural Gas</t>
  </si>
  <si>
    <t>Steam Methane Reforming</t>
  </si>
  <si>
    <t>scf</t>
  </si>
  <si>
    <t>MJ</t>
  </si>
  <si>
    <t>Coal</t>
  </si>
  <si>
    <t>Coal Gasification</t>
  </si>
  <si>
    <t>kg</t>
  </si>
  <si>
    <t>Nuclear</t>
  </si>
  <si>
    <t>High Temp Electrolysis</t>
  </si>
  <si>
    <t>kg U</t>
  </si>
  <si>
    <t>Biomass Gasification</t>
  </si>
  <si>
    <t>kg bone dry biomass</t>
  </si>
  <si>
    <t>Biomethane</t>
  </si>
  <si>
    <t>kg methane</t>
  </si>
  <si>
    <t>Low Temp Electrolysis</t>
  </si>
  <si>
    <t>kWh</t>
  </si>
  <si>
    <t>Hydro</t>
  </si>
  <si>
    <t>Geothermal</t>
  </si>
  <si>
    <t>Energy Content Conversion</t>
  </si>
  <si>
    <t>Value</t>
  </si>
  <si>
    <t>BTU per scf (HHV)</t>
  </si>
  <si>
    <t>March 2020 monthly energy review (EIA)</t>
  </si>
  <si>
    <t>MJ per scf</t>
  </si>
  <si>
    <t>EIA Energy conversion Factor</t>
  </si>
  <si>
    <t>https://www.eia.gov/energyexplained/units-and-calculators/energy-conversion-calculators.php</t>
  </si>
  <si>
    <t>Hydrogen_LHV</t>
  </si>
  <si>
    <t>MJ per kg H2</t>
  </si>
  <si>
    <t>DOE website (120 MJ per kg h2)</t>
  </si>
  <si>
    <t>Blue H2 Potential</t>
  </si>
  <si>
    <t>Biomass_LHV</t>
  </si>
  <si>
    <t>MJ per kg biomass (LHV)</t>
  </si>
  <si>
    <t>H2A Conversion Factor (Biomass Multi-Year Program Plan Feedstock)</t>
  </si>
  <si>
    <t>ton</t>
  </si>
  <si>
    <t>Biomass_HHV</t>
  </si>
  <si>
    <t>MJ per kg biomass (HHV)</t>
  </si>
  <si>
    <t>Lopez et al. (2012)</t>
  </si>
  <si>
    <t>Biomethane_LHV</t>
  </si>
  <si>
    <t>MJ per kg biomethane (LHV)</t>
  </si>
  <si>
    <t>Saur and Milbrandt (2014)</t>
  </si>
  <si>
    <t>Biomethane_HHV</t>
  </si>
  <si>
    <t>MJ per kg biomethane (HHV)</t>
  </si>
  <si>
    <t>kWh per MMBtu</t>
  </si>
  <si>
    <t>CEC LCFS 2022 Lookup Table</t>
  </si>
  <si>
    <t>https://ww2.arb.ca.gov/sites/default/files/classic/fuels/lcfs/fuelpathways/comments/tier2/2022_elec_update.pdf</t>
  </si>
  <si>
    <t>MWh per MJ</t>
  </si>
  <si>
    <t>conversion</t>
  </si>
  <si>
    <t>Resource Constraints in CV</t>
  </si>
  <si>
    <t>Column1</t>
  </si>
  <si>
    <t>Biomass_BDT</t>
  </si>
  <si>
    <t>Wind_MW</t>
  </si>
  <si>
    <t>Solar_MW</t>
  </si>
  <si>
    <t>LDES_MW</t>
  </si>
  <si>
    <t>H2_kg</t>
  </si>
  <si>
    <t>Technical Resource Potential</t>
  </si>
  <si>
    <t>LLNL Getting to Neutral Appendix B. Biomass Feedstock County Tables</t>
  </si>
  <si>
    <t>Total_H2</t>
  </si>
  <si>
    <t>Water Use during H2 Production</t>
  </si>
  <si>
    <t>Source: NREL Resource Assessment for Hydrogen Production (2020) Fig.22</t>
  </si>
  <si>
    <t>Average Direct Water Consumption (Gal/ kg h2)</t>
  </si>
  <si>
    <t>Key</t>
  </si>
  <si>
    <t>Centralized NG SMR</t>
  </si>
  <si>
    <t>Centralized Biomass Gasification</t>
  </si>
  <si>
    <t>BIO</t>
  </si>
  <si>
    <t>Biomass resources include corn stover, willow, poplar, switchgrass, forest residue, and miscanthus</t>
  </si>
  <si>
    <t>High Temperature Electrolysis</t>
  </si>
  <si>
    <t>Distributed Electrolysis</t>
  </si>
  <si>
    <t>Centralized Electroysis</t>
  </si>
  <si>
    <t>GRI</t>
  </si>
  <si>
    <t>OFF</t>
  </si>
  <si>
    <t>Carbon Capture Efficiency</t>
  </si>
  <si>
    <t>https://www.llnl.gov/sites/gs/files/2023-06/ca-ccs-economic-study-report-v06.pdf</t>
  </si>
  <si>
    <t>Efficiency</t>
  </si>
  <si>
    <t>Capture Rate for on-site CCS</t>
  </si>
  <si>
    <t>LLNL, Sharing the benefit, 2023</t>
  </si>
  <si>
    <t>Construction Periods</t>
  </si>
  <si>
    <t>Min Period</t>
  </si>
  <si>
    <t>Max Period</t>
  </si>
  <si>
    <t>Geologic CO2 storage</t>
  </si>
  <si>
    <t>SMR Process Emissions Factor g CO2e per MJ (not including fusitive emissions)</t>
  </si>
  <si>
    <t>https://onlinelibrary.wiley.com/doi/pdf/10.1002/ese3.956</t>
  </si>
  <si>
    <t>CA GREET 3.0: SMR NG- 125.97 g per MJ</t>
  </si>
  <si>
    <t>Production Process</t>
  </si>
  <si>
    <t>Energy to drive SMR</t>
  </si>
  <si>
    <t>Energy Compressing H2</t>
  </si>
  <si>
    <t>Energy to Power CCS</t>
  </si>
  <si>
    <t>Total Emission</t>
  </si>
  <si>
    <t>source</t>
  </si>
  <si>
    <t>Gray H2</t>
  </si>
  <si>
    <t>Howarth and Jacobson (2021)</t>
  </si>
  <si>
    <t>Blue H2 (w CCS 90% capture rate)</t>
  </si>
  <si>
    <t>CARB LCFS Table 7.1 Lookup Table (GREET 3.0)</t>
  </si>
  <si>
    <t>https://ww2.arb.ca.gov/sites/default/files/classic/fuels/lcfs/ca-greet/lut.pdf?_ga=2.94958684.1139203258.1701039068-1524579603.1683167939</t>
  </si>
  <si>
    <t>Estimated</t>
  </si>
  <si>
    <t>Electrolysis</t>
  </si>
  <si>
    <t>Transportation Sector Direct Emissions Factor g CO2e per MJ</t>
  </si>
  <si>
    <t>source: Scoping Plan</t>
  </si>
  <si>
    <t>Fuel</t>
  </si>
  <si>
    <t>EF g CO2e per MJ</t>
  </si>
  <si>
    <t>Diesel</t>
  </si>
  <si>
    <t>Gasoline</t>
  </si>
  <si>
    <t>Jet Fuel</t>
  </si>
  <si>
    <t>acres per MW</t>
  </si>
  <si>
    <t>acre per hectare</t>
  </si>
  <si>
    <t xml:space="preserve">This implies a total direct impact area (both temporary and permanently disturbed land) of about 1 ± 0.7 hectare/MW, but with a wide variation in this area. </t>
  </si>
  <si>
    <t>Land Use acres per MW</t>
  </si>
  <si>
    <t>NREL study (NREL 2013 and NREL 2009)</t>
  </si>
  <si>
    <t>solar power density: 48 to 32 MW/km2 -&gt; 5.1 ~ 7.7 acres per MW (NREL 2020 Resource Assessment for Hydrogen Production)</t>
  </si>
  <si>
    <t>AVG</t>
  </si>
  <si>
    <t>MIN</t>
  </si>
  <si>
    <t>MAX</t>
  </si>
  <si>
    <t>IEEE</t>
  </si>
  <si>
    <t>Solar_Total</t>
  </si>
  <si>
    <t>NREL (old)</t>
  </si>
  <si>
    <t>Direct</t>
  </si>
  <si>
    <t>Wind_Total</t>
  </si>
  <si>
    <t>Power Sector Average Emissions Intensities</t>
  </si>
  <si>
    <t>source: CPUC CPS, Scoping Plan: BAU and SP, SB100</t>
  </si>
  <si>
    <t>MT CO2e per MJ (CEC 2022 LCFS Look up table value for average grid CI)</t>
  </si>
  <si>
    <t>AVG
CO2e MT per MWh</t>
  </si>
  <si>
    <t>MIN
CO2e MT per MWh</t>
  </si>
  <si>
    <t>MAX CO2e MT per MWh</t>
  </si>
  <si>
    <t>AVG
CO2e MT per MJ</t>
  </si>
  <si>
    <t>MIN
CO2e MT per MJ</t>
  </si>
  <si>
    <t>MAX CO2e MT per MJ</t>
  </si>
  <si>
    <t>Emissions Intensity (Currently certified CI GREET 3.0)</t>
  </si>
  <si>
    <t xml:space="preserve">https://ww2.arb.ca.gov/sites/default/files/2020-09/basics-notes.pdf </t>
  </si>
  <si>
    <t>https://ww2.arb.ca.gov/sites/default/files/classic/fuels/lcfs/ca-greet/temp.pdf?_ga=2.126556234.697753401.1701988818-1524579603.1683167939</t>
  </si>
  <si>
    <t>Fuel Type</t>
  </si>
  <si>
    <t>Average of Current Certified CI (GREET 3.0)</t>
  </si>
  <si>
    <t>Min of Current Certified CI (GREET 3.0)</t>
  </si>
  <si>
    <t>Max of Current Certified CI (GREET 3.0)</t>
  </si>
  <si>
    <t>Fossil baseline</t>
  </si>
  <si>
    <t>Alternative Jet Fuel (AJF)</t>
  </si>
  <si>
    <t>Soybean Oil and Corn Oil (AVG)</t>
  </si>
  <si>
    <t>Annimal Fat and Waste Oil (AVG)</t>
  </si>
  <si>
    <t>AD</t>
  </si>
  <si>
    <t>Fo</t>
  </si>
  <si>
    <t>Food scrap</t>
  </si>
  <si>
    <t>H2</t>
  </si>
  <si>
    <t>NG</t>
  </si>
  <si>
    <t>Avoided Intensity (Currently certified CI GREET 3.0)</t>
  </si>
  <si>
    <t>Avoided Carbon Intensity for Biogas</t>
  </si>
  <si>
    <t>Job</t>
  </si>
  <si>
    <t>High school diploma or equivalent (# of Jobs)</t>
  </si>
  <si>
    <t>Bachelor's degree (# of Jobs)</t>
  </si>
  <si>
    <t>Doctoral or professional degree (# of Jobs)</t>
  </si>
  <si>
    <t>Job with training requirement (jobs per MW)</t>
  </si>
  <si>
    <t>`Typical Entry Level Education`</t>
  </si>
  <si>
    <t>`Typical On-The-Job Training`</t>
  </si>
  <si>
    <t>None or some training</t>
  </si>
  <si>
    <t>Apprenticeship or long term training</t>
  </si>
  <si>
    <t>Current Certified CI (GREET 3.0)</t>
  </si>
  <si>
    <t>g CO2e per MJ</t>
  </si>
  <si>
    <t>https://ww2.arb.ca.gov/sites/default/files/classic/fuels/lcfs/ca-greet/lut.pdf?_ga=2.135800371.362042384.1702160960-1524579603.1683167939</t>
  </si>
  <si>
    <t>Min of Current Certified CI (GREET 3.0)2</t>
  </si>
  <si>
    <t>Max of Current Certified CI (GREET 3.0)3</t>
  </si>
  <si>
    <t>Distillers' Corn Oil  (003)</t>
  </si>
  <si>
    <t>Soybean Oil (005)</t>
  </si>
  <si>
    <t>Tallow (animal and poultry fat) (002)</t>
  </si>
  <si>
    <t>Used Cooking Oil/Waste Oil (UCO) (001)</t>
  </si>
  <si>
    <t>https://ww2.arb.ca.gov/sites/default/files/2020-09/basics-notes.pdf</t>
  </si>
  <si>
    <t>(Multiple Items)</t>
  </si>
  <si>
    <t>Pathways for Fuels with Indeterminate Cis</t>
  </si>
  <si>
    <t>Current certified pathways (3.0)</t>
  </si>
  <si>
    <t xml:space="preserve">Average of Soybean / Corn oil </t>
  </si>
  <si>
    <t>https://ww2.arb.ca.gov/sites/default/files/2020-07/2020_lcfs_fro_oal-approved_unofficial_06302020.pdf</t>
  </si>
  <si>
    <t>LCFS Carbon Intensity Benchmarks for 2019 to 2030 for Fuels Used as
a Substitute for Conventional Jet Fuel</t>
  </si>
  <si>
    <t>Avoided Carbon Intensity  for RJF from waste fat and waste oil</t>
  </si>
  <si>
    <t>Avoided Carbon Intensity  for RJF from soybean oil and corn oil</t>
  </si>
  <si>
    <t>Carbon Itensity (g/MJ)</t>
  </si>
  <si>
    <t>2019*</t>
  </si>
  <si>
    <t>Bio CNG</t>
  </si>
  <si>
    <t>Lookup Table for Gasoline and Diesel and Fuels that Substitute for
Gasoline and Diese1</t>
  </si>
  <si>
    <t>MIN (max)</t>
  </si>
  <si>
    <t>MAX (average)</t>
  </si>
  <si>
    <t>Municipal Wastewater sludge, Food Scraps, Urban Landscaping Waste, or Other
Organic Waste</t>
  </si>
  <si>
    <t>Starting annual build rate
(2024-2026)</t>
  </si>
  <si>
    <t>Mid term
(2030-2035)</t>
  </si>
  <si>
    <t>Long term
(2040-2045)</t>
  </si>
  <si>
    <t>Utility scale solar PV</t>
  </si>
  <si>
    <t>In development resource/ Historical build rate (i.e. 2023)</t>
  </si>
  <si>
    <t>Onshore Wind</t>
  </si>
  <si>
    <t>Li-Battery</t>
  </si>
  <si>
    <t>(use a “ratio” to solar?) more economic as more solar penetrates</t>
  </si>
  <si>
    <t>(use a “ratio” to solar?)</t>
  </si>
  <si>
    <t>No LDES</t>
  </si>
  <si>
    <t>Proposed projects</t>
  </si>
  <si>
    <t>Double from mid term?</t>
  </si>
  <si>
    <t>Blue hydrogen only for in development project</t>
  </si>
  <si>
    <t>DOE hydrogen hub approved project (Electrolysis)</t>
  </si>
  <si>
    <t>Existing or proposed projects</t>
  </si>
  <si>
    <t>Double the starting build rate?</t>
  </si>
  <si>
    <t>SB 1383 target (organic waste disposal reduction targets), additional expansion of anaerobic digestion facilities are planned to be online by 2025</t>
  </si>
  <si>
    <t>X% of existing biogas potential</t>
  </si>
  <si>
    <t>Renewable Jet Fuel</t>
  </si>
  <si>
    <t>No RJF</t>
  </si>
  <si>
    <t>X% of existing refinery produce RJF</t>
  </si>
  <si>
    <t>All of existing refinery produce RJF</t>
  </si>
  <si>
    <t>Conservation/Efficiency</t>
  </si>
  <si>
    <t>Lower</t>
  </si>
  <si>
    <t>Upper</t>
  </si>
  <si>
    <t>Total Jobs (Lower)</t>
  </si>
  <si>
    <t>Total Jobs (Upper)</t>
  </si>
  <si>
    <t>Additional Jobs (Lower)</t>
  </si>
  <si>
    <t>Additional Jobs (Upper)</t>
  </si>
  <si>
    <t>Annual electricity Capacity Expansion</t>
  </si>
  <si>
    <t>Sum of Total Jobs (Lower)</t>
  </si>
  <si>
    <t>Sum of Total Jobs (Upper)</t>
  </si>
  <si>
    <t>Lower Total</t>
  </si>
  <si>
    <t>Upper Total</t>
  </si>
  <si>
    <t>Sum of High school diploma or equivalent (None or some training)</t>
  </si>
  <si>
    <t>Sum of High school diploma or equivalent (Apprenticeship or long term training)</t>
  </si>
  <si>
    <t>Sum of Bachelor's degree (None or some training)</t>
  </si>
  <si>
    <t>Sum of Doctoral or professional degree</t>
  </si>
  <si>
    <t>"California Cattle County Estimates." United States Department of Agriculture National Agricultural Statistics Service. May 9, 2022. https://www.nass.usda.gov/Statistics_by_State/California/Publications/County_Estimates/2022/CATCNTYE2022.pdf.</t>
  </si>
  <si>
    <t>Milk Cows</t>
  </si>
  <si>
    <t>2022 heads</t>
  </si>
  <si>
    <t>Fresno</t>
  </si>
  <si>
    <t>Kings</t>
  </si>
  <si>
    <t>Madera</t>
  </si>
  <si>
    <t>Stanislaus</t>
  </si>
  <si>
    <t>Tulare</t>
  </si>
  <si>
    <t>SJV</t>
  </si>
  <si>
    <t>Kern</t>
  </si>
  <si>
    <t>Merced</t>
  </si>
  <si>
    <t>San Joaquin</t>
  </si>
  <si>
    <t>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</si>
</sst>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0000"/>
    <numFmt numFmtId="165" formatCode="0.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_);_(* \(#,##0.000\);_(* &quot;-&quot;??_);_(@_)"/>
    <numFmt numFmtId="170" formatCode="_(* #,##0.0000_);_(* \(#,##0.0000\);_(* &quot;-&quot;??_);_(@_)"/>
    <numFmt numFmtId="171" formatCode="0.0E+00"/>
    <numFmt numFmtId="172" formatCode="_(* #,##0.00000_);_(* \(#,##0.00000\);_(* &quot;-&quot;??_);_(@_)"/>
    <numFmt numFmtId="173" formatCode="_(* #,##0.000000000_);_(* \(#,##0.000000000\);_(* &quot;-&quot;??_);_(@_)"/>
    <numFmt numFmtId="174" formatCode="0.0000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38">
    <xf numFmtId="0" fontId="0" fillId="0" borderId="0" xfId="0"/>
    <xf numFmtId="11" fontId="0" fillId="0" borderId="0" xfId="0" applyNumberFormat="1"/>
    <xf numFmtId="9" fontId="0" fillId="0" borderId="0" xfId="0" applyNumberFormat="1"/>
    <xf numFmtId="10" fontId="0" fillId="0" borderId="0" xfId="0" applyNumberFormat="1"/>
    <xf numFmtId="0" fontId="3" fillId="2" borderId="1" xfId="0" applyFont="1" applyFill="1" applyBorder="1"/>
    <xf numFmtId="0" fontId="4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43" fontId="0" fillId="0" borderId="0" xfId="1" applyFont="1"/>
    <xf numFmtId="167" fontId="0" fillId="0" borderId="0" xfId="1" applyNumberFormat="1" applyFont="1"/>
    <xf numFmtId="168" fontId="0" fillId="0" borderId="0" xfId="1" applyNumberFormat="1" applyFont="1"/>
    <xf numFmtId="169" fontId="0" fillId="0" borderId="0" xfId="1" applyNumberFormat="1" applyFont="1"/>
    <xf numFmtId="170" fontId="0" fillId="0" borderId="0" xfId="1" applyNumberFormat="1" applyFont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3" borderId="0" xfId="0" applyFill="1"/>
    <xf numFmtId="9" fontId="0" fillId="3" borderId="0" xfId="0" applyNumberFormat="1" applyFill="1"/>
    <xf numFmtId="0" fontId="6" fillId="0" borderId="0" xfId="3"/>
    <xf numFmtId="0" fontId="0" fillId="4" borderId="0" xfId="0" applyFill="1"/>
    <xf numFmtId="0" fontId="4" fillId="5" borderId="0" xfId="0" applyFont="1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4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7" borderId="0" xfId="0" applyFill="1"/>
    <xf numFmtId="168" fontId="0" fillId="0" borderId="0" xfId="0" applyNumberFormat="1"/>
    <xf numFmtId="43" fontId="0" fillId="0" borderId="0" xfId="0" applyNumberFormat="1"/>
    <xf numFmtId="0" fontId="4" fillId="9" borderId="0" xfId="0" applyFont="1" applyFill="1"/>
    <xf numFmtId="0" fontId="0" fillId="9" borderId="0" xfId="0" applyFill="1" applyAlignment="1">
      <alignment wrapText="1"/>
    </xf>
    <xf numFmtId="0" fontId="0" fillId="9" borderId="0" xfId="0" applyFill="1"/>
    <xf numFmtId="0" fontId="4" fillId="10" borderId="0" xfId="0" applyFont="1" applyFill="1"/>
    <xf numFmtId="0" fontId="0" fillId="10" borderId="0" xfId="0" applyFill="1" applyAlignment="1">
      <alignment wrapText="1"/>
    </xf>
    <xf numFmtId="0" fontId="0" fillId="10" borderId="0" xfId="0" applyFill="1"/>
    <xf numFmtId="166" fontId="0" fillId="3" borderId="0" xfId="0" applyNumberFormat="1" applyFill="1"/>
    <xf numFmtId="167" fontId="0" fillId="4" borderId="0" xfId="1" applyNumberFormat="1" applyFont="1" applyFill="1"/>
    <xf numFmtId="168" fontId="0" fillId="4" borderId="0" xfId="1" applyNumberFormat="1" applyFont="1" applyFill="1"/>
    <xf numFmtId="164" fontId="0" fillId="4" borderId="0" xfId="0" applyNumberFormat="1" applyFill="1"/>
    <xf numFmtId="165" fontId="0" fillId="0" borderId="0" xfId="2" applyNumberFormat="1" applyFont="1"/>
    <xf numFmtId="2" fontId="0" fillId="0" borderId="0" xfId="0" applyNumberFormat="1" applyAlignment="1">
      <alignment wrapText="1"/>
    </xf>
    <xf numFmtId="0" fontId="0" fillId="11" borderId="0" xfId="0" applyFill="1"/>
    <xf numFmtId="9" fontId="0" fillId="7" borderId="0" xfId="0" applyNumberFormat="1" applyFill="1"/>
    <xf numFmtId="169" fontId="0" fillId="0" borderId="0" xfId="0" applyNumberFormat="1"/>
    <xf numFmtId="9" fontId="0" fillId="3" borderId="0" xfId="2" applyFont="1" applyFill="1"/>
    <xf numFmtId="171" fontId="0" fillId="0" borderId="0" xfId="0" applyNumberFormat="1"/>
    <xf numFmtId="11" fontId="0" fillId="3" borderId="0" xfId="0" applyNumberFormat="1" applyFill="1"/>
    <xf numFmtId="171" fontId="0" fillId="4" borderId="0" xfId="0" applyNumberFormat="1" applyFill="1"/>
    <xf numFmtId="43" fontId="0" fillId="8" borderId="0" xfId="1" applyFont="1" applyFill="1"/>
    <xf numFmtId="170" fontId="0" fillId="8" borderId="0" xfId="1" applyNumberFormat="1" applyFont="1" applyFill="1"/>
    <xf numFmtId="0" fontId="0" fillId="7" borderId="0" xfId="0" applyFill="1" applyAlignment="1">
      <alignment wrapText="1"/>
    </xf>
    <xf numFmtId="0" fontId="0" fillId="3" borderId="0" xfId="0" applyFill="1" applyAlignment="1">
      <alignment wrapText="1"/>
    </xf>
    <xf numFmtId="43" fontId="0" fillId="3" borderId="0" xfId="0" applyNumberFormat="1" applyFill="1"/>
    <xf numFmtId="0" fontId="7" fillId="0" borderId="0" xfId="0" applyFont="1"/>
    <xf numFmtId="0" fontId="0" fillId="0" borderId="0" xfId="0" pivotButton="1"/>
    <xf numFmtId="9" fontId="0" fillId="0" borderId="0" xfId="2" applyFont="1" applyFill="1"/>
    <xf numFmtId="172" fontId="0" fillId="0" borderId="0" xfId="1" applyNumberFormat="1" applyFont="1"/>
    <xf numFmtId="0" fontId="8" fillId="0" borderId="0" xfId="0" applyFont="1"/>
    <xf numFmtId="0" fontId="9" fillId="0" borderId="0" xfId="0" applyFont="1"/>
    <xf numFmtId="168" fontId="0" fillId="0" borderId="0" xfId="1" applyNumberFormat="1" applyFont="1" applyAlignment="1">
      <alignment wrapText="1"/>
    </xf>
    <xf numFmtId="170" fontId="0" fillId="0" borderId="0" xfId="0" applyNumberFormat="1"/>
    <xf numFmtId="0" fontId="0" fillId="8" borderId="0" xfId="0" applyFill="1" applyAlignment="1">
      <alignment wrapText="1"/>
    </xf>
    <xf numFmtId="0" fontId="0" fillId="13" borderId="0" xfId="0" applyFill="1" applyAlignment="1">
      <alignment wrapText="1"/>
    </xf>
    <xf numFmtId="168" fontId="0" fillId="14" borderId="0" xfId="1" applyNumberFormat="1" applyFont="1" applyFill="1"/>
    <xf numFmtId="173" fontId="0" fillId="4" borderId="0" xfId="1" applyNumberFormat="1" applyFont="1" applyFill="1"/>
    <xf numFmtId="43" fontId="0" fillId="4" borderId="0" xfId="0" applyNumberFormat="1" applyFill="1"/>
    <xf numFmtId="172" fontId="0" fillId="4" borderId="0" xfId="1" applyNumberFormat="1" applyFont="1" applyFill="1"/>
    <xf numFmtId="168" fontId="0" fillId="4" borderId="0" xfId="1" applyNumberFormat="1" applyFont="1" applyFill="1" applyAlignment="1">
      <alignment wrapText="1"/>
    </xf>
    <xf numFmtId="0" fontId="0" fillId="6" borderId="0" xfId="0" applyFill="1"/>
    <xf numFmtId="0" fontId="0" fillId="0" borderId="0" xfId="0" applyAlignment="1">
      <alignment vertical="center" wrapText="1"/>
    </xf>
    <xf numFmtId="0" fontId="0" fillId="0" borderId="0" xfId="0" applyAlignment="1">
      <alignment horizontal="center" wrapText="1"/>
    </xf>
    <xf numFmtId="0" fontId="0" fillId="6" borderId="0" xfId="0" applyFill="1" applyAlignment="1">
      <alignment horizontal="center" wrapText="1"/>
    </xf>
    <xf numFmtId="0" fontId="0" fillId="15" borderId="0" xfId="0" applyFill="1" applyAlignment="1">
      <alignment horizontal="center" wrapText="1"/>
    </xf>
    <xf numFmtId="11" fontId="0" fillId="4" borderId="0" xfId="1" applyNumberFormat="1" applyFont="1" applyFill="1"/>
    <xf numFmtId="0" fontId="0" fillId="6" borderId="2" xfId="0" applyFill="1" applyBorder="1" applyAlignment="1">
      <alignment wrapText="1"/>
    </xf>
    <xf numFmtId="0" fontId="0" fillId="6" borderId="3" xfId="0" applyFill="1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6" borderId="0" xfId="0" applyFill="1" applyAlignment="1">
      <alignment horizontal="left" wrapText="1"/>
    </xf>
    <xf numFmtId="0" fontId="0" fillId="16" borderId="0" xfId="0" applyFill="1" applyAlignment="1">
      <alignment horizontal="center" wrapText="1"/>
    </xf>
    <xf numFmtId="43" fontId="0" fillId="8" borderId="0" xfId="0" applyNumberFormat="1" applyFill="1" applyAlignment="1">
      <alignment horizontal="center" wrapText="1"/>
    </xf>
    <xf numFmtId="0" fontId="0" fillId="13" borderId="0" xfId="0" applyFill="1" applyAlignment="1">
      <alignment horizontal="center" wrapText="1"/>
    </xf>
    <xf numFmtId="0" fontId="0" fillId="17" borderId="0" xfId="0" applyFill="1" applyAlignment="1">
      <alignment wrapText="1"/>
    </xf>
    <xf numFmtId="0" fontId="10" fillId="17" borderId="0" xfId="0" applyFont="1" applyFill="1"/>
    <xf numFmtId="0" fontId="0" fillId="12" borderId="0" xfId="0" applyFill="1" applyAlignment="1">
      <alignment horizontal="center" wrapText="1"/>
    </xf>
    <xf numFmtId="0" fontId="11" fillId="0" borderId="0" xfId="0" applyFont="1"/>
    <xf numFmtId="0" fontId="11" fillId="0" borderId="2" xfId="0" applyFont="1" applyBorder="1" applyAlignment="1">
      <alignment horizontal="center" wrapText="1"/>
    </xf>
    <xf numFmtId="0" fontId="11" fillId="0" borderId="3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11" fillId="18" borderId="0" xfId="0" applyFont="1" applyFill="1"/>
    <xf numFmtId="0" fontId="11" fillId="18" borderId="2" xfId="0" applyFont="1" applyFill="1" applyBorder="1" applyAlignment="1">
      <alignment wrapText="1"/>
    </xf>
    <xf numFmtId="0" fontId="11" fillId="18" borderId="3" xfId="0" applyFont="1" applyFill="1" applyBorder="1" applyAlignment="1">
      <alignment wrapText="1"/>
    </xf>
    <xf numFmtId="0" fontId="11" fillId="18" borderId="0" xfId="0" applyFont="1" applyFill="1" applyAlignment="1">
      <alignment wrapText="1"/>
    </xf>
    <xf numFmtId="0" fontId="11" fillId="19" borderId="0" xfId="0" applyFont="1" applyFill="1" applyAlignment="1">
      <alignment wrapText="1"/>
    </xf>
    <xf numFmtId="1" fontId="11" fillId="18" borderId="2" xfId="0" applyNumberFormat="1" applyFont="1" applyFill="1" applyBorder="1" applyAlignment="1">
      <alignment wrapText="1"/>
    </xf>
    <xf numFmtId="166" fontId="11" fillId="18" borderId="2" xfId="0" applyNumberFormat="1" applyFont="1" applyFill="1" applyBorder="1" applyAlignment="1">
      <alignment wrapText="1"/>
    </xf>
    <xf numFmtId="1" fontId="11" fillId="18" borderId="3" xfId="0" applyNumberFormat="1" applyFont="1" applyFill="1" applyBorder="1" applyAlignment="1">
      <alignment wrapText="1"/>
    </xf>
    <xf numFmtId="166" fontId="11" fillId="18" borderId="3" xfId="0" applyNumberFormat="1" applyFont="1" applyFill="1" applyBorder="1" applyAlignment="1">
      <alignment wrapText="1"/>
    </xf>
    <xf numFmtId="166" fontId="0" fillId="0" borderId="1" xfId="0" applyNumberFormat="1" applyBorder="1"/>
    <xf numFmtId="166" fontId="0" fillId="20" borderId="1" xfId="0" applyNumberFormat="1" applyFill="1" applyBorder="1"/>
    <xf numFmtId="0" fontId="4" fillId="0" borderId="4" xfId="0" applyFont="1" applyBorder="1"/>
    <xf numFmtId="0" fontId="4" fillId="0" borderId="0" xfId="0" applyFont="1" applyAlignment="1">
      <alignment wrapText="1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3" xfId="0" applyFill="1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0" xfId="2" applyFont="1"/>
    <xf numFmtId="0" fontId="12" fillId="0" borderId="0" xfId="0" applyFont="1"/>
    <xf numFmtId="168" fontId="0" fillId="5" borderId="0" xfId="1" applyNumberFormat="1" applyFont="1" applyFill="1" applyBorder="1" applyAlignment="1">
      <alignment wrapText="1"/>
    </xf>
    <xf numFmtId="43" fontId="11" fillId="18" borderId="0" xfId="0" applyNumberFormat="1" applyFont="1" applyFill="1" applyAlignment="1">
      <alignment wrapText="1"/>
    </xf>
    <xf numFmtId="167" fontId="11" fillId="18" borderId="0" xfId="0" applyNumberFormat="1" applyFont="1" applyFill="1" applyAlignment="1">
      <alignment wrapText="1"/>
    </xf>
    <xf numFmtId="168" fontId="11" fillId="18" borderId="0" xfId="0" applyNumberFormat="1" applyFont="1" applyFill="1" applyAlignment="1">
      <alignment wrapText="1"/>
    </xf>
    <xf numFmtId="174" fontId="0" fillId="0" borderId="0" xfId="0" applyNumberFormat="1"/>
    <xf numFmtId="11" fontId="0" fillId="4" borderId="0" xfId="0" applyNumberFormat="1" applyFill="1"/>
    <xf numFmtId="0" fontId="0" fillId="0" borderId="0" xfId="0" applyAlignment="1">
      <alignment horizontal="left"/>
    </xf>
    <xf numFmtId="43" fontId="0" fillId="14" borderId="0" xfId="1" applyFont="1" applyFill="1"/>
    <xf numFmtId="0" fontId="0" fillId="6" borderId="2" xfId="0" applyFill="1" applyBorder="1" applyAlignment="1">
      <alignment horizontal="left" wrapText="1"/>
    </xf>
    <xf numFmtId="0" fontId="0" fillId="6" borderId="3" xfId="0" applyFill="1" applyBorder="1" applyAlignment="1">
      <alignment horizontal="left" wrapText="1"/>
    </xf>
    <xf numFmtId="0" fontId="0" fillId="0" borderId="0" xfId="0" applyAlignment="1">
      <alignment horizontal="center"/>
    </xf>
    <xf numFmtId="1" fontId="11" fillId="18" borderId="0" xfId="0" applyNumberFormat="1" applyFont="1" applyFill="1" applyAlignment="1">
      <alignment wrapText="1"/>
    </xf>
    <xf numFmtId="3" fontId="0" fillId="0" borderId="0" xfId="0" applyNumberFormat="1"/>
    <xf numFmtId="9" fontId="0" fillId="7" borderId="0" xfId="2" applyFont="1" applyFill="1"/>
    <xf numFmtId="1" fontId="0" fillId="0" borderId="0" xfId="0" applyNumberFormat="1" applyAlignment="1">
      <alignment wrapText="1"/>
    </xf>
    <xf numFmtId="1" fontId="0" fillId="6" borderId="2" xfId="1" applyNumberFormat="1" applyFont="1" applyFill="1" applyBorder="1" applyAlignment="1">
      <alignment horizontal="center" vertical="center"/>
    </xf>
    <xf numFmtId="1" fontId="0" fillId="6" borderId="3" xfId="1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left" wrapText="1"/>
    </xf>
    <xf numFmtId="0" fontId="0" fillId="6" borderId="3" xfId="0" applyFill="1" applyBorder="1" applyAlignment="1">
      <alignment horizontal="left" wrapText="1"/>
    </xf>
    <xf numFmtId="0" fontId="0" fillId="6" borderId="2" xfId="0" applyFill="1" applyBorder="1" applyAlignment="1">
      <alignment horizontal="center" wrapText="1"/>
    </xf>
    <xf numFmtId="0" fontId="0" fillId="6" borderId="3" xfId="0" applyFill="1" applyBorder="1" applyAlignment="1">
      <alignment horizontal="center" wrapText="1"/>
    </xf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/>
    </xf>
    <xf numFmtId="0" fontId="4" fillId="3" borderId="3" xfId="0" applyFont="1" applyFill="1" applyBorder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21">
    <dxf>
      <numFmt numFmtId="166" formatCode="0.0"/>
    </dxf>
    <dxf>
      <numFmt numFmtId="166" formatCode="0.0"/>
    </dxf>
    <dxf>
      <numFmt numFmtId="174" formatCode="0.0000"/>
    </dxf>
    <dxf>
      <numFmt numFmtId="174" formatCode="0.0000"/>
    </dxf>
    <dxf>
      <alignment horizontal="general" vertical="center" textRotation="0" wrapText="1" indent="0" justifyLastLine="0" shrinkToFit="0" readingOrder="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71" formatCode="0.0E+00"/>
    </dxf>
    <dxf>
      <numFmt numFmtId="171" formatCode="0.0E+00"/>
    </dxf>
    <dxf>
      <numFmt numFmtId="171" formatCode="0.0E+00"/>
    </dxf>
    <dxf>
      <numFmt numFmtId="174" formatCode="0.0000"/>
    </dxf>
    <dxf>
      <numFmt numFmtId="17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0.0000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[CATF Dashboard A 11.29.23.xlsx]Sheet1!PivotTable2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768502791891277E-2"/>
          <c:y val="0.14681498146065075"/>
          <c:w val="0.591694729151234"/>
          <c:h val="0.69526285404800592"/>
        </c:manualLayout>
      </c:layout>
      <c:lineChart>
        <c:grouping val="stacke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Average of GHG Emissions Avoided (Average) (CO2e million metric ton/year) - 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Sheet1!$A$6:$A$26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Sheet1!$B$6:$B$26</c:f>
              <c:numCache>
                <c:formatCode>General</c:formatCode>
                <c:ptCount val="21"/>
                <c:pt idx="0">
                  <c:v>0.10435576607649907</c:v>
                </c:pt>
                <c:pt idx="1">
                  <c:v>0.20076126556564361</c:v>
                </c:pt>
                <c:pt idx="2">
                  <c:v>0.2867939784282264</c:v>
                </c:pt>
                <c:pt idx="3">
                  <c:v>0.36368516122743155</c:v>
                </c:pt>
                <c:pt idx="4">
                  <c:v>0.43165069441376974</c:v>
                </c:pt>
                <c:pt idx="5">
                  <c:v>0.49187732237489074</c:v>
                </c:pt>
                <c:pt idx="6">
                  <c:v>0.54318062185390004</c:v>
                </c:pt>
                <c:pt idx="7">
                  <c:v>0.58729273877510413</c:v>
                </c:pt>
                <c:pt idx="8">
                  <c:v>0.62320427373437859</c:v>
                </c:pt>
                <c:pt idx="9">
                  <c:v>0.69254579030748276</c:v>
                </c:pt>
                <c:pt idx="10">
                  <c:v>0.71337943577240159</c:v>
                </c:pt>
                <c:pt idx="11">
                  <c:v>0.72762070143494584</c:v>
                </c:pt>
                <c:pt idx="12">
                  <c:v>0.73559491498364338</c:v>
                </c:pt>
                <c:pt idx="13">
                  <c:v>0.73769719697282565</c:v>
                </c:pt>
                <c:pt idx="14">
                  <c:v>0.73422560117490554</c:v>
                </c:pt>
                <c:pt idx="15">
                  <c:v>0.72551138166613849</c:v>
                </c:pt>
                <c:pt idx="16">
                  <c:v>0.71188579252278006</c:v>
                </c:pt>
                <c:pt idx="17">
                  <c:v>0.69368008782108559</c:v>
                </c:pt>
                <c:pt idx="18">
                  <c:v>0.67121231660053982</c:v>
                </c:pt>
                <c:pt idx="19">
                  <c:v>0.67274108946784406</c:v>
                </c:pt>
                <c:pt idx="20">
                  <c:v>0.64125955917300581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C-4ECC-B71E-018C765441E4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Average of GHG Emissions Avoided (Minimum) (CO2e million metric ton/year) - Electricity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Sheet1!$A$6:$A$26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Sheet1!$C$6:$C$26</c:f>
              <c:numCache>
                <c:formatCode>General</c:formatCode>
                <c:ptCount val="21"/>
                <c:pt idx="0">
                  <c:v>9.5675595590707083E-2</c:v>
                </c:pt>
                <c:pt idx="1">
                  <c:v>0.18221670127416764</c:v>
                </c:pt>
                <c:pt idx="2">
                  <c:v>0.25750182101589403</c:v>
                </c:pt>
                <c:pt idx="3">
                  <c:v>0.32275968239866709</c:v>
                </c:pt>
                <c:pt idx="4">
                  <c:v>0.37829263965402216</c:v>
                </c:pt>
                <c:pt idx="5">
                  <c:v>0.42524772407566258</c:v>
                </c:pt>
                <c:pt idx="6">
                  <c:v>0.46270908169473846</c:v>
                </c:pt>
                <c:pt idx="7">
                  <c:v>0.49228389739740896</c:v>
                </c:pt>
                <c:pt idx="8">
                  <c:v>0.51324369500410183</c:v>
                </c:pt>
                <c:pt idx="9">
                  <c:v>0.5593813807220539</c:v>
                </c:pt>
                <c:pt idx="10">
                  <c:v>0.56397244154380732</c:v>
                </c:pt>
                <c:pt idx="11">
                  <c:v>0.56166949960320822</c:v>
                </c:pt>
                <c:pt idx="12">
                  <c:v>0.55287398315839886</c:v>
                </c:pt>
                <c:pt idx="13">
                  <c:v>0.538039015513465</c:v>
                </c:pt>
                <c:pt idx="14">
                  <c:v>0.5175434576056861</c:v>
                </c:pt>
                <c:pt idx="15">
                  <c:v>0.49179179855747945</c:v>
                </c:pt>
                <c:pt idx="16">
                  <c:v>0.46118852749126216</c:v>
                </c:pt>
                <c:pt idx="17">
                  <c:v>0.42613813352945107</c:v>
                </c:pt>
                <c:pt idx="18">
                  <c:v>0.38703749144624616</c:v>
                </c:pt>
                <c:pt idx="19">
                  <c:v>0.35920435457396505</c:v>
                </c:pt>
                <c:pt idx="20">
                  <c:v>0.31114136807659021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C-4ECC-B71E-018C765441E4}"/>
            </c:ext>
          </c:extLst>
        </c:ser>
        <c:ser>
          <c:idx val="2"/>
          <c:order val="2"/>
          <c:tx>
            <c:strRef>
              <c:f>Sheet1!$D$3:$D$5</c:f>
              <c:strCache>
                <c:ptCount val="1"/>
                <c:pt idx="0">
                  <c:v>Average of GHG Emissions Avoided (Maximum) (CO2e million metric ton/year) - Electricity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Sheet1!$A$6:$A$26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Sheet1!$D$6:$D$26</c:f>
              <c:numCache>
                <c:formatCode>General</c:formatCode>
                <c:ptCount val="21"/>
                <c:pt idx="0">
                  <c:v>0.11303593583775111</c:v>
                </c:pt>
                <c:pt idx="1">
                  <c:v>0.21930582842112539</c:v>
                </c:pt>
                <c:pt idx="2">
                  <c:v>0.31608613372528649</c:v>
                </c:pt>
                <c:pt idx="3">
                  <c:v>0.4046106372875527</c:v>
                </c:pt>
                <c:pt idx="4">
                  <c:v>0.48500874577829378</c:v>
                </c:pt>
                <c:pt idx="5">
                  <c:v>0.55850691667221319</c:v>
                </c:pt>
                <c:pt idx="6">
                  <c:v>0.62365215743647529</c:v>
                </c:pt>
                <c:pt idx="7">
                  <c:v>0.68230157502194422</c:v>
                </c:pt>
                <c:pt idx="8">
                  <c:v>0.73316484681144534</c:v>
                </c:pt>
                <c:pt idx="9">
                  <c:v>0.82571019336039053</c:v>
                </c:pt>
                <c:pt idx="10">
                  <c:v>0.86278642299273078</c:v>
                </c:pt>
                <c:pt idx="11">
                  <c:v>0.89357189580905005</c:v>
                </c:pt>
                <c:pt idx="12">
                  <c:v>0.91831583892835655</c:v>
                </c:pt>
                <c:pt idx="13">
                  <c:v>0.93735537015455817</c:v>
                </c:pt>
                <c:pt idx="14">
                  <c:v>0.95090773609554069</c:v>
                </c:pt>
                <c:pt idx="15">
                  <c:v>0.9592309557813985</c:v>
                </c:pt>
                <c:pt idx="16">
                  <c:v>0.96258304824222507</c:v>
                </c:pt>
                <c:pt idx="17">
                  <c:v>0.96122203250811444</c:v>
                </c:pt>
                <c:pt idx="18">
                  <c:v>0.95538713188403024</c:v>
                </c:pt>
                <c:pt idx="19">
                  <c:v>0.9862778138131979</c:v>
                </c:pt>
                <c:pt idx="20">
                  <c:v>0.97137773950134565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5C-4ECC-B71E-018C76544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948520"/>
        <c:axId val="652946000"/>
      </c:lineChart>
      <c:catAx>
        <c:axId val="65294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46000"/>
        <c:crosses val="autoZero"/>
        <c:auto val="1"/>
        <c:lblAlgn val="ctr"/>
        <c:lblOffset val="100"/>
        <c:noMultiLvlLbl val="0"/>
      </c:catAx>
      <c:valAx>
        <c:axId val="6529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4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Sheet2!$J$5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Sheet2!$J$6:$J$26</c:f>
              <c:numCache>
                <c:formatCode>General</c:formatCode>
                <c:ptCount val="21"/>
                <c:pt idx="0">
                  <c:v>123.30401999999999</c:v>
                </c:pt>
                <c:pt idx="1">
                  <c:v>246.60803999999999</c:v>
                </c:pt>
                <c:pt idx="2">
                  <c:v>357.69365999999997</c:v>
                </c:pt>
                <c:pt idx="3">
                  <c:v>476.92487999999997</c:v>
                </c:pt>
                <c:pt idx="4">
                  <c:v>596.05427999999995</c:v>
                </c:pt>
                <c:pt idx="5">
                  <c:v>715.28549999999996</c:v>
                </c:pt>
                <c:pt idx="6">
                  <c:v>834.51671999999996</c:v>
                </c:pt>
                <c:pt idx="7">
                  <c:v>953.74793999999997</c:v>
                </c:pt>
                <c:pt idx="8">
                  <c:v>1072.9791599999999</c:v>
                </c:pt>
                <c:pt idx="9">
                  <c:v>1192.21038</c:v>
                </c:pt>
                <c:pt idx="10">
                  <c:v>1356.2423999999999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136-9914-CCE3541AA51F}"/>
            </c:ext>
          </c:extLst>
        </c:ser>
        <c:ser>
          <c:idx val="1"/>
          <c:order val="1"/>
          <c:tx>
            <c:strRef>
              <c:f>Sheet2!$K$5</c:f>
              <c:strCache>
                <c:ptCount val="1"/>
                <c:pt idx="0">
                  <c:v>Solar (Off-Grid)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Sheet2!$K$6:$K$26</c:f>
              <c:numCache>
                <c:formatCode>General</c:formatCode>
                <c:ptCount val="21"/>
                <c:pt idx="5">
                  <c:v>190.80789041095892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136-9914-CCE3541AA51F}"/>
            </c:ext>
          </c:extLst>
        </c:ser>
        <c:ser>
          <c:idx val="2"/>
          <c:order val="2"/>
          <c:tx>
            <c:strRef>
              <c:f>Sheet2!$L$5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Sheet2!$L$6:$L$26</c:f>
              <c:numCache>
                <c:formatCode>General</c:formatCode>
                <c:ptCount val="21"/>
                <c:pt idx="0">
                  <c:v>2.1407500000000002</c:v>
                </c:pt>
                <c:pt idx="1">
                  <c:v>4.2815000000000003</c:v>
                </c:pt>
                <c:pt idx="2">
                  <c:v>6.4222500000000009</c:v>
                </c:pt>
                <c:pt idx="3">
                  <c:v>8.5630000000000006</c:v>
                </c:pt>
                <c:pt idx="4">
                  <c:v>10.703750000000001</c:v>
                </c:pt>
                <c:pt idx="5">
                  <c:v>12.758870000000002</c:v>
                </c:pt>
                <c:pt idx="6">
                  <c:v>14.899620000000002</c:v>
                </c:pt>
                <c:pt idx="7">
                  <c:v>17.040370000000003</c:v>
                </c:pt>
                <c:pt idx="8">
                  <c:v>19.181120000000004</c:v>
                </c:pt>
                <c:pt idx="9">
                  <c:v>21.321870000000004</c:v>
                </c:pt>
                <c:pt idx="10">
                  <c:v>23.462620000000005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136-9914-CCE3541AA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459640"/>
        <c:axId val="1325461080"/>
      </c:areaChart>
      <c:catAx>
        <c:axId val="1325459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61080"/>
        <c:crosses val="autoZero"/>
        <c:auto val="1"/>
        <c:lblAlgn val="ctr"/>
        <c:lblOffset val="100"/>
        <c:noMultiLvlLbl val="0"/>
      </c:catAx>
      <c:valAx>
        <c:axId val="132546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59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[CATF Dashboard A 11.29.23.xlsx]Sheet2!PivotTable7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Sheet2!$B$46</c:f>
              <c:strCache>
                <c:ptCount val="1"/>
                <c:pt idx="0">
                  <c:v>Sum of Total Jobs (Lower)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Sheet2!$A$47:$A$67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Sheet2!$B$47:$B$67</c:f>
              <c:numCache>
                <c:formatCode>General</c:formatCode>
                <c:ptCount val="21"/>
                <c:pt idx="0">
                  <c:v>127.70858999999999</c:v>
                </c:pt>
                <c:pt idx="1">
                  <c:v>128.90741</c:v>
                </c:pt>
                <c:pt idx="2">
                  <c:v>128.90741</c:v>
                </c:pt>
                <c:pt idx="3">
                  <c:v>128.90741</c:v>
                </c:pt>
                <c:pt idx="4">
                  <c:v>128.80559</c:v>
                </c:pt>
                <c:pt idx="5">
                  <c:v>362.06272658904112</c:v>
                </c:pt>
                <c:pt idx="6">
                  <c:v>158.68059619999997</c:v>
                </c:pt>
                <c:pt idx="7">
                  <c:v>158.68059619999997</c:v>
                </c:pt>
                <c:pt idx="8">
                  <c:v>158.68059620000002</c:v>
                </c:pt>
                <c:pt idx="9">
                  <c:v>158.68059620000008</c:v>
                </c:pt>
                <c:pt idx="10">
                  <c:v>158.68059619999988</c:v>
                </c:pt>
                <c:pt idx="11">
                  <c:v>158.68059619999997</c:v>
                </c:pt>
                <c:pt idx="12">
                  <c:v>158.57877619999999</c:v>
                </c:pt>
                <c:pt idx="13">
                  <c:v>158.68059620000017</c:v>
                </c:pt>
                <c:pt idx="14">
                  <c:v>158.68059619999988</c:v>
                </c:pt>
                <c:pt idx="15">
                  <c:v>158.68059620000008</c:v>
                </c:pt>
                <c:pt idx="16">
                  <c:v>158.68059619999997</c:v>
                </c:pt>
                <c:pt idx="17">
                  <c:v>158.68059619999988</c:v>
                </c:pt>
                <c:pt idx="18">
                  <c:v>158.59496619999999</c:v>
                </c:pt>
                <c:pt idx="19">
                  <c:v>158.6805961999998</c:v>
                </c:pt>
                <c:pt idx="20">
                  <c:v>158.68059620000008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D-40A1-A676-2145F21BE53D}"/>
            </c:ext>
          </c:extLst>
        </c:ser>
        <c:ser>
          <c:idx val="1"/>
          <c:order val="1"/>
          <c:tx>
            <c:strRef>
              <c:f>Sheet2!$C$46</c:f>
              <c:strCache>
                <c:ptCount val="1"/>
                <c:pt idx="0">
                  <c:v>Sum of Total Jobs (Upper)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Sheet2!$A$47:$A$67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Sheet2!$C$47:$C$67</c:f>
              <c:numCache>
                <c:formatCode>General</c:formatCode>
                <c:ptCount val="21"/>
                <c:pt idx="0">
                  <c:v>7221.6921599999987</c:v>
                </c:pt>
                <c:pt idx="1">
                  <c:v>7231.2827199999992</c:v>
                </c:pt>
                <c:pt idx="2">
                  <c:v>7231.2827199999992</c:v>
                </c:pt>
                <c:pt idx="3">
                  <c:v>7231.2827199999992</c:v>
                </c:pt>
                <c:pt idx="4">
                  <c:v>7225.1735199999994</c:v>
                </c:pt>
                <c:pt idx="5">
                  <c:v>21220.601715342465</c:v>
                </c:pt>
                <c:pt idx="6">
                  <c:v>9017.6738919999989</c:v>
                </c:pt>
                <c:pt idx="7">
                  <c:v>9017.6738919999989</c:v>
                </c:pt>
                <c:pt idx="8">
                  <c:v>9017.6738920000007</c:v>
                </c:pt>
                <c:pt idx="9">
                  <c:v>9017.6738920000025</c:v>
                </c:pt>
                <c:pt idx="10">
                  <c:v>9017.6738919999916</c:v>
                </c:pt>
                <c:pt idx="11">
                  <c:v>9017.6738919999989</c:v>
                </c:pt>
                <c:pt idx="12">
                  <c:v>9011.5646919999981</c:v>
                </c:pt>
                <c:pt idx="13">
                  <c:v>9017.6738920000098</c:v>
                </c:pt>
                <c:pt idx="14">
                  <c:v>9017.6738919999916</c:v>
                </c:pt>
                <c:pt idx="15">
                  <c:v>9017.6738920000025</c:v>
                </c:pt>
                <c:pt idx="16">
                  <c:v>9017.6738919999989</c:v>
                </c:pt>
                <c:pt idx="17">
                  <c:v>9017.6738919999916</c:v>
                </c:pt>
                <c:pt idx="18">
                  <c:v>9016.9888519999986</c:v>
                </c:pt>
                <c:pt idx="19">
                  <c:v>9017.6738919999862</c:v>
                </c:pt>
                <c:pt idx="20">
                  <c:v>9017.6738920000025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D-40A1-A676-2145F21BE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469000"/>
        <c:axId val="1325473680"/>
      </c:lineChart>
      <c:catAx>
        <c:axId val="132546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73680"/>
        <c:crosses val="autoZero"/>
        <c:auto val="1"/>
        <c:lblAlgn val="ctr"/>
        <c:lblOffset val="100"/>
        <c:noMultiLvlLbl val="0"/>
      </c:catAx>
      <c:valAx>
        <c:axId val="132547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6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[CATF Dashboard A 11.29.23.xlsx]Sheet2!PivotTable8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Sheet2!$B$81</c:f>
              <c:strCache>
                <c:ptCount val="1"/>
                <c:pt idx="0">
                  <c:v>Sum of High school diploma or equivalent (None or some training)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Sheet2!$A$82:$A$102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Sheet2!$B$82:$B$102</c:f>
              <c:numCache>
                <c:formatCode>General</c:formatCode>
                <c:ptCount val="21"/>
                <c:pt idx="0">
                  <c:v>42.852999999999994</c:v>
                </c:pt>
                <c:pt idx="1">
                  <c:v>43.183399999999999</c:v>
                </c:pt>
                <c:pt idx="2">
                  <c:v>43.183399999999999</c:v>
                </c:pt>
                <c:pt idx="3">
                  <c:v>43.183399999999999</c:v>
                </c:pt>
                <c:pt idx="4">
                  <c:v>43.148800000000001</c:v>
                </c:pt>
                <c:pt idx="5">
                  <c:v>122.41315794520548</c:v>
                </c:pt>
                <c:pt idx="6">
                  <c:v>53.300785999999988</c:v>
                </c:pt>
                <c:pt idx="7">
                  <c:v>53.300785999999988</c:v>
                </c:pt>
                <c:pt idx="8">
                  <c:v>53.300786000000009</c:v>
                </c:pt>
                <c:pt idx="9">
                  <c:v>53.300786000000024</c:v>
                </c:pt>
                <c:pt idx="10">
                  <c:v>53.30078599999996</c:v>
                </c:pt>
                <c:pt idx="11">
                  <c:v>53.300785999999988</c:v>
                </c:pt>
                <c:pt idx="12">
                  <c:v>53.26618599999999</c:v>
                </c:pt>
                <c:pt idx="13">
                  <c:v>53.300786000000059</c:v>
                </c:pt>
                <c:pt idx="14">
                  <c:v>53.30078599999996</c:v>
                </c:pt>
                <c:pt idx="15">
                  <c:v>53.300786000000024</c:v>
                </c:pt>
                <c:pt idx="16">
                  <c:v>53.300785999999988</c:v>
                </c:pt>
                <c:pt idx="17">
                  <c:v>53.30078599999996</c:v>
                </c:pt>
                <c:pt idx="18">
                  <c:v>53.277185999999993</c:v>
                </c:pt>
                <c:pt idx="19">
                  <c:v>53.300785999999931</c:v>
                </c:pt>
                <c:pt idx="20">
                  <c:v>53.300786000000024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D-4603-B76D-DE08E9FAE57B}"/>
            </c:ext>
          </c:extLst>
        </c:ser>
        <c:ser>
          <c:idx val="1"/>
          <c:order val="1"/>
          <c:tx>
            <c:strRef>
              <c:f>Sheet2!$C$81</c:f>
              <c:strCache>
                <c:ptCount val="1"/>
                <c:pt idx="0">
                  <c:v>Sum of High school diploma or equivalent (Apprenticeship or long term training)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Sheet2!$A$82:$A$102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Sheet2!$C$82:$C$102</c:f>
              <c:numCache>
                <c:formatCode>General</c:formatCode>
                <c:ptCount val="21"/>
                <c:pt idx="0">
                  <c:v>37.071300000000001</c:v>
                </c:pt>
                <c:pt idx="1">
                  <c:v>37.643899999999995</c:v>
                </c:pt>
                <c:pt idx="2">
                  <c:v>37.643899999999995</c:v>
                </c:pt>
                <c:pt idx="3">
                  <c:v>37.643899999999995</c:v>
                </c:pt>
                <c:pt idx="4">
                  <c:v>37.615699999999997</c:v>
                </c:pt>
                <c:pt idx="5">
                  <c:v>102.21844260273974</c:v>
                </c:pt>
                <c:pt idx="6">
                  <c:v>45.889861999999994</c:v>
                </c:pt>
                <c:pt idx="7">
                  <c:v>45.889861999999994</c:v>
                </c:pt>
                <c:pt idx="8">
                  <c:v>45.889862000000008</c:v>
                </c:pt>
                <c:pt idx="9">
                  <c:v>45.889862000000022</c:v>
                </c:pt>
                <c:pt idx="10">
                  <c:v>45.889861999999965</c:v>
                </c:pt>
                <c:pt idx="11">
                  <c:v>45.889861999999994</c:v>
                </c:pt>
                <c:pt idx="12">
                  <c:v>45.861661999999995</c:v>
                </c:pt>
                <c:pt idx="13">
                  <c:v>45.889862000000043</c:v>
                </c:pt>
                <c:pt idx="14">
                  <c:v>45.889861999999965</c:v>
                </c:pt>
                <c:pt idx="15">
                  <c:v>45.889862000000022</c:v>
                </c:pt>
                <c:pt idx="16">
                  <c:v>45.889861999999994</c:v>
                </c:pt>
                <c:pt idx="17">
                  <c:v>45.889861999999965</c:v>
                </c:pt>
                <c:pt idx="18">
                  <c:v>45.848961999999993</c:v>
                </c:pt>
                <c:pt idx="19">
                  <c:v>45.889861999999937</c:v>
                </c:pt>
                <c:pt idx="20">
                  <c:v>45.889862000000022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D-4603-B76D-DE08E9FAE57B}"/>
            </c:ext>
          </c:extLst>
        </c:ser>
        <c:ser>
          <c:idx val="2"/>
          <c:order val="2"/>
          <c:tx>
            <c:strRef>
              <c:f>Sheet2!$D$81</c:f>
              <c:strCache>
                <c:ptCount val="1"/>
                <c:pt idx="0">
                  <c:v>Sum of Bachelor's degree (None or some training)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Sheet2!$A$82:$A$102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Sheet2!$D$82:$D$102</c:f>
              <c:numCache>
                <c:formatCode>General</c:formatCode>
                <c:ptCount val="21"/>
                <c:pt idx="0">
                  <c:v>41.091399999999993</c:v>
                </c:pt>
                <c:pt idx="1">
                  <c:v>41.371399999999994</c:v>
                </c:pt>
                <c:pt idx="2">
                  <c:v>41.371399999999994</c:v>
                </c:pt>
                <c:pt idx="3">
                  <c:v>41.371399999999994</c:v>
                </c:pt>
                <c:pt idx="4">
                  <c:v>41.337999999999994</c:v>
                </c:pt>
                <c:pt idx="5">
                  <c:v>117.85330506849317</c:v>
                </c:pt>
                <c:pt idx="6">
                  <c:v>51.137893999999989</c:v>
                </c:pt>
                <c:pt idx="7">
                  <c:v>51.137893999999989</c:v>
                </c:pt>
                <c:pt idx="8">
                  <c:v>51.137894000000003</c:v>
                </c:pt>
                <c:pt idx="9">
                  <c:v>51.137894000000017</c:v>
                </c:pt>
                <c:pt idx="10">
                  <c:v>51.13789399999996</c:v>
                </c:pt>
                <c:pt idx="11">
                  <c:v>51.137893999999989</c:v>
                </c:pt>
                <c:pt idx="12">
                  <c:v>51.104493999999988</c:v>
                </c:pt>
                <c:pt idx="13">
                  <c:v>51.137894000000053</c:v>
                </c:pt>
                <c:pt idx="14">
                  <c:v>51.13789399999996</c:v>
                </c:pt>
                <c:pt idx="15">
                  <c:v>51.137894000000017</c:v>
                </c:pt>
                <c:pt idx="16">
                  <c:v>51.137893999999989</c:v>
                </c:pt>
                <c:pt idx="17">
                  <c:v>51.13789399999996</c:v>
                </c:pt>
                <c:pt idx="18">
                  <c:v>51.117893999999993</c:v>
                </c:pt>
                <c:pt idx="19">
                  <c:v>51.137893999999932</c:v>
                </c:pt>
                <c:pt idx="20">
                  <c:v>51.137894000000017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D-4603-B76D-DE08E9FAE57B}"/>
            </c:ext>
          </c:extLst>
        </c:ser>
        <c:ser>
          <c:idx val="3"/>
          <c:order val="3"/>
          <c:tx>
            <c:strRef>
              <c:f>Sheet2!$E$81</c:f>
              <c:strCache>
                <c:ptCount val="1"/>
                <c:pt idx="0">
                  <c:v>Sum of Doctoral or professional degree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Sheet2!$A$82:$A$102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Sheet2!$E$82:$E$102</c:f>
              <c:numCache>
                <c:formatCode>General</c:formatCode>
                <c:ptCount val="21"/>
                <c:pt idx="0">
                  <c:v>6.6928899999999993</c:v>
                </c:pt>
                <c:pt idx="1">
                  <c:v>6.70871</c:v>
                </c:pt>
                <c:pt idx="2">
                  <c:v>6.70871</c:v>
                </c:pt>
                <c:pt idx="3">
                  <c:v>6.70871</c:v>
                </c:pt>
                <c:pt idx="4">
                  <c:v>6.7030900000000004</c:v>
                </c:pt>
                <c:pt idx="5">
                  <c:v>19.577820972602741</c:v>
                </c:pt>
                <c:pt idx="6">
                  <c:v>8.3520541999999995</c:v>
                </c:pt>
                <c:pt idx="7">
                  <c:v>8.3520541999999995</c:v>
                </c:pt>
                <c:pt idx="8">
                  <c:v>8.3520542000000013</c:v>
                </c:pt>
                <c:pt idx="9">
                  <c:v>8.3520542000000049</c:v>
                </c:pt>
                <c:pt idx="10">
                  <c:v>8.3520541999999942</c:v>
                </c:pt>
                <c:pt idx="11">
                  <c:v>8.3520541999999995</c:v>
                </c:pt>
                <c:pt idx="12">
                  <c:v>8.3464341999999991</c:v>
                </c:pt>
                <c:pt idx="13">
                  <c:v>8.3520542000000084</c:v>
                </c:pt>
                <c:pt idx="14">
                  <c:v>8.3520541999999942</c:v>
                </c:pt>
                <c:pt idx="15">
                  <c:v>8.3520542000000049</c:v>
                </c:pt>
                <c:pt idx="16">
                  <c:v>8.3520541999999995</c:v>
                </c:pt>
                <c:pt idx="17">
                  <c:v>8.3520541999999942</c:v>
                </c:pt>
                <c:pt idx="18">
                  <c:v>8.3509241999999979</c:v>
                </c:pt>
                <c:pt idx="19">
                  <c:v>8.3520541999999889</c:v>
                </c:pt>
                <c:pt idx="20">
                  <c:v>8.3520542000000049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6D-4603-B76D-DE08E9FAE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5486640"/>
        <c:axId val="1325486280"/>
      </c:barChart>
      <c:catAx>
        <c:axId val="13254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86280"/>
        <c:crosses val="autoZero"/>
        <c:auto val="1"/>
        <c:lblAlgn val="ctr"/>
        <c:lblOffset val="100"/>
        <c:noMultiLvlLbl val="0"/>
      </c:catAx>
      <c:valAx>
        <c:axId val="132548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581026</xdr:colOff>
      <xdr:row>1</xdr:row>
      <xdr:rowOff>47625</xdr:rowOff>
    </xdr:from>
    <xdr:to>
      <xdr:col>5</xdr:col>
      <xdr:colOff>1352550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3E12D-D1A6-412F-0ECB-9119F6698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1795462</xdr:colOff>
      <xdr:row>19</xdr:row>
      <xdr:rowOff>85725</xdr:rowOff>
    </xdr:from>
    <xdr:to>
      <xdr:col>11</xdr:col>
      <xdr:colOff>90487</xdr:colOff>
      <xdr:row>33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8259DF-A019-6105-87CB-414A36D62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39</xdr:row>
      <xdr:rowOff>161925</xdr:rowOff>
    </xdr:from>
    <xdr:to>
      <xdr:col>8</xdr:col>
      <xdr:colOff>247650</xdr:colOff>
      <xdr:row>69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D74BEA-3CBE-C036-FC40-6F4D2682A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252412</xdr:colOff>
      <xdr:row>89</xdr:row>
      <xdr:rowOff>142875</xdr:rowOff>
    </xdr:from>
    <xdr:to>
      <xdr:col>7</xdr:col>
      <xdr:colOff>3219450</xdr:colOff>
      <xdr:row>110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35CD9B-B2EF-930A-F2BB-BB18119FB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180976</xdr:colOff>
      <xdr:row>29</xdr:row>
      <xdr:rowOff>191773</xdr:rowOff>
    </xdr:from>
    <xdr:to>
      <xdr:col>11</xdr:col>
      <xdr:colOff>122961</xdr:colOff>
      <xdr:row>43</xdr:row>
      <xdr:rowOff>9012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8C069-FF22-6778-FBD8-5B67DDD03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82876" y="6192523"/>
          <a:ext cx="4409210" cy="261758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21</xdr:col>
      <xdr:colOff>141930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732DD1-8C61-4B08-844E-A15D4A7C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26525" y="200025"/>
          <a:ext cx="4942530" cy="39147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, Hye Min" refreshedDate="45256.64714375" createdVersion="8" refreshedVersion="8" minRefreshableVersion="3" recordCount="171" xr:uid="{7B044317-DFE1-40F3-93DE-768F4A75E278}">
  <cacheSource type="worksheet">
    <worksheetSource ref="A2:C173" sheet="GREET3.0"/>
  </cacheSource>
  <cacheFields count="3">
    <cacheField name="Feedstock" numFmtId="0">
      <sharedItems count="7">
        <s v="Dairy Manure"/>
        <s v="Food scrap"/>
        <s v="NG"/>
        <s v="Tallow (animal and poultry fat) (002)"/>
        <s v="Soybean Oil (005)"/>
        <s v="Distillers' Corn Oil  (003)"/>
        <s v="Used Cooking Oil/Waste Oil (UCO) (001)"/>
      </sharedItems>
    </cacheField>
    <cacheField name="Fuel Type" numFmtId="0">
      <sharedItems count="3">
        <s v="CNG"/>
        <s v="H2"/>
        <s v="Alternative Jet Fuel (AJF)"/>
      </sharedItems>
    </cacheField>
    <cacheField name="Current Certified CI (GREET 3.0)" numFmtId="0">
      <sharedItems containsSemiMixedTypes="0" containsString="0" containsNumber="1" minValue="-532.74" maxValue="176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, Hye Min" refreshedDate="45273.44856921296" createdVersion="8" refreshedVersion="8" minRefreshableVersion="3" recordCount="756" xr:uid="{22798ECD-619D-433A-AD69-BCB2CAF88FE3}">
  <cacheSource type="worksheet">
    <worksheetSource ref="A1:J757" sheet="UserMade_Scenario"/>
  </cacheSource>
  <cacheFields count="10">
    <cacheField name="Scenario Name" numFmtId="0">
      <sharedItems count="3">
        <s v="Current Projects"/>
        <s v="State Policy Aligned"/>
        <s v="Max Buildout"/>
      </sharedItems>
    </cacheField>
    <cacheField name="Year" numFmtId="0">
      <sharedItems containsSemiMixedTypes="0" containsString="0" containsNumber="1" containsInteger="1" minValue="2025" maxValue="2045" count="21"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</sharedItems>
    </cacheField>
    <cacheField name="Product" numFmtId="0">
      <sharedItems count="5">
        <s v="Blue H2"/>
        <s v="Green H2"/>
        <s v="Electricity"/>
        <s v="Biogas"/>
        <s v="RJF"/>
      </sharedItems>
    </cacheField>
    <cacheField name="Tech/ Feedstock" numFmtId="0">
      <sharedItems/>
    </cacheField>
    <cacheField name="Annual Production or Cumulative Installation" numFmtId="168">
      <sharedItems containsSemiMixedTypes="0" containsString="0" containsNumber="1" minValue="0" maxValue="341999.99999999994"/>
    </cacheField>
    <cacheField name="Unit" numFmtId="0">
      <sharedItems/>
    </cacheField>
    <cacheField name="Annual Production (EJ/year)" numFmtId="0">
      <sharedItems containsString="0" containsBlank="1" containsNumber="1" minValue="0" maxValue="0.10768227773702438"/>
    </cacheField>
    <cacheField name="GHG Emissions Avoided (Average) (CO2e million metric ton/year)" numFmtId="170">
      <sharedItems containsString="0" containsBlank="1" containsNumber="1" minValue="0" maxValue="7.1550376968000045"/>
    </cacheField>
    <cacheField name="GHG Emissions Avoided (Minimum) (CO2e million metric ton/year)" numFmtId="170">
      <sharedItems containsString="0" containsBlank="1" containsNumber="1" minValue="0" maxValue="6.6090684576000038"/>
    </cacheField>
    <cacheField name="GHG Emissions Avoided (Maximum) (CO2e million metric ton/year)" numFmtId="170">
      <sharedItems containsString="0" containsBlank="1" containsNumber="1" minValue="0" maxValue="12.7370026872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, Hye Min" refreshedDate="45273.47610925926" createdVersion="8" refreshedVersion="8" minRefreshableVersion="3" recordCount="1008" xr:uid="{AB34F4ED-09A3-44B8-8B84-4B9D96F8E853}">
  <cacheSource type="worksheet">
    <worksheetSource ref="A1:X1009" sheet="UserMade_Scenario"/>
  </cacheSource>
  <cacheFields count="24">
    <cacheField name="Scenario Name" numFmtId="0">
      <sharedItems count="4">
        <s v="Current Projects"/>
        <s v="State Policy Aligned"/>
        <s v="Max Buildout"/>
        <s v="Incremental Buildout"/>
      </sharedItems>
    </cacheField>
    <cacheField name="Year" numFmtId="0">
      <sharedItems containsSemiMixedTypes="0" containsString="0" containsNumber="1" containsInteger="1" minValue="2025" maxValue="2045" count="21"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</sharedItems>
    </cacheField>
    <cacheField name="Product" numFmtId="0">
      <sharedItems/>
    </cacheField>
    <cacheField name="Tech/ Feedstock" numFmtId="0">
      <sharedItems count="12">
        <s v="SMR w/CC"/>
        <s v="Off-Grid Electrolysis"/>
        <s v="Solar"/>
        <s v="Wind"/>
        <s v="Biomass"/>
        <s v="Li_Battery"/>
        <s v="LDES"/>
        <s v="AD - Animal Manure"/>
        <s v="Food Waste"/>
        <s v="Soybean Oil and Corn Oil"/>
        <s v="Animal Fat and Waste Oil"/>
        <s v="Solar (Off-Grid)"/>
      </sharedItems>
    </cacheField>
    <cacheField name="Annual Production or Cumulative Installation" numFmtId="0">
      <sharedItems containsSemiMixedTypes="0" containsString="0" containsNumber="1" minValue="0" maxValue="341999.99999999994"/>
    </cacheField>
    <cacheField name="Unit" numFmtId="0">
      <sharedItems/>
    </cacheField>
    <cacheField name="Annual Production (EJ/year)" numFmtId="0">
      <sharedItems containsString="0" containsBlank="1" containsNumber="1" minValue="0" maxValue="0.10768227773702438"/>
    </cacheField>
    <cacheField name="GHG Emissions Avoided (Average) (CO2e million metric ton/year)" numFmtId="170">
      <sharedItems containsString="0" containsBlank="1" containsNumber="1" minValue="0" maxValue="7.1550376968000045"/>
    </cacheField>
    <cacheField name="GHG Emissions Avoided (Minimum) (CO2e million metric ton/year)" numFmtId="170">
      <sharedItems containsString="0" containsBlank="1" containsNumber="1" minValue="0" maxValue="6.6090684576000038"/>
    </cacheField>
    <cacheField name="GHG Emissions Avoided (Maximum) (CO2e million metric ton/year)" numFmtId="170">
      <sharedItems containsString="0" containsBlank="1" containsNumber="1" minValue="0" maxValue="12.737002687200004"/>
    </cacheField>
    <cacheField name="Required Land (Average) (acres)" numFmtId="168">
      <sharedItems containsSemiMixedTypes="0" containsString="0" containsNumber="1" minValue="0" maxValue="86061.5"/>
    </cacheField>
    <cacheField name="Required Land (Minimum) (acres)" numFmtId="168">
      <sharedItems containsSemiMixedTypes="0" containsString="0" containsNumber="1" minValue="0" maxValue="68849.2"/>
    </cacheField>
    <cacheField name="Required Land (Maximum) (acres)" numFmtId="168">
      <sharedItems containsSemiMixedTypes="0" containsString="0" containsNumber="1" minValue="0" maxValue="103273.8"/>
    </cacheField>
    <cacheField name="Water Use from Electrolysis (million gallon/year)" numFmtId="0">
      <sharedItems containsSemiMixedTypes="0" containsString="0" containsNumber="1" minValue="0" maxValue="1402.1999999999996"/>
    </cacheField>
    <cacheField name="Water Quality Improvement (kg Nitrate/year)" numFmtId="0">
      <sharedItems containsSemiMixedTypes="0" containsString="0" containsNumber="1" minValue="0" maxValue="1204861"/>
    </cacheField>
    <cacheField name="Water Quality Improvement (kg Phosphorous/year)" numFmtId="0">
      <sharedItems containsSemiMixedTypes="0" containsString="0" containsNumber="1" minValue="0" maxValue="120486.09999999999"/>
    </cacheField>
    <cacheField name="Water Quality Improvement (kg TDS/year)" numFmtId="0">
      <sharedItems containsSemiMixedTypes="0" containsString="0" containsNumber="1" minValue="0" maxValue="21515375"/>
    </cacheField>
    <cacheField name="Water Quality Improvement (kg Uranium/year)" numFmtId="0">
      <sharedItems containsSemiMixedTypes="0" containsString="0" containsNumber="1" minValue="0" maxValue="26679.064999999999"/>
    </cacheField>
    <cacheField name="High school diploma or equivalent (None or some training)" numFmtId="168">
      <sharedItems containsSemiMixedTypes="0" containsString="0" containsNumber="1" minValue="0" maxValue="79.229757945205492"/>
    </cacheField>
    <cacheField name="High school diploma or equivalent (Apprenticeship or long term training)" numFmtId="168">
      <sharedItems containsSemiMixedTypes="0" containsString="0" containsNumber="1" minValue="0" maxValue="64.57454260273974"/>
    </cacheField>
    <cacheField name="Bachelor's degree (None or some training)" numFmtId="168">
      <sharedItems containsSemiMixedTypes="0" containsString="0" containsNumber="1" minValue="0" maxValue="76.481905068493163"/>
    </cacheField>
    <cacheField name="Doctoral or professional degree" numFmtId="168">
      <sharedItems containsSemiMixedTypes="0" containsString="0" containsNumber="1" minValue="0" maxValue="12.869110972602742"/>
    </cacheField>
    <cacheField name="Total Jobs (Lower)" numFmtId="168">
      <sharedItems containsSemiMixedTypes="0" containsString="0" containsNumber="1" minValue="0" maxValue="233.15531658904112"/>
    </cacheField>
    <cacheField name="Total Jobs (Upper)" numFmtId="168">
      <sharedItems containsSemiMixedTypes="0" containsString="0" containsNumber="1" minValue="0" maxValue="13989.318995342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">
  <r>
    <x v="0"/>
    <x v="0"/>
    <n v="-355.35"/>
  </r>
  <r>
    <x v="0"/>
    <x v="0"/>
    <n v="-377.83"/>
  </r>
  <r>
    <x v="0"/>
    <x v="0"/>
    <n v="-368.04"/>
  </r>
  <r>
    <x v="0"/>
    <x v="0"/>
    <n v="-374.1"/>
  </r>
  <r>
    <x v="0"/>
    <x v="0"/>
    <n v="-167.04"/>
  </r>
  <r>
    <x v="0"/>
    <x v="0"/>
    <n v="-151.41"/>
  </r>
  <r>
    <x v="0"/>
    <x v="0"/>
    <n v="-257.77999999999997"/>
  </r>
  <r>
    <x v="0"/>
    <x v="0"/>
    <n v="-255.74"/>
  </r>
  <r>
    <x v="0"/>
    <x v="0"/>
    <n v="-188.78"/>
  </r>
  <r>
    <x v="0"/>
    <x v="0"/>
    <n v="-453.1"/>
  </r>
  <r>
    <x v="0"/>
    <x v="0"/>
    <n v="-308.48"/>
  </r>
  <r>
    <x v="0"/>
    <x v="0"/>
    <n v="-236.96"/>
  </r>
  <r>
    <x v="0"/>
    <x v="0"/>
    <n v="-532.74"/>
  </r>
  <r>
    <x v="0"/>
    <x v="0"/>
    <n v="-372.2"/>
  </r>
  <r>
    <x v="0"/>
    <x v="0"/>
    <n v="-230.13"/>
  </r>
  <r>
    <x v="0"/>
    <x v="0"/>
    <n v="-408.62"/>
  </r>
  <r>
    <x v="0"/>
    <x v="0"/>
    <n v="-289.76"/>
  </r>
  <r>
    <x v="0"/>
    <x v="0"/>
    <n v="-308.74"/>
  </r>
  <r>
    <x v="0"/>
    <x v="0"/>
    <n v="-417.35"/>
  </r>
  <r>
    <x v="0"/>
    <x v="0"/>
    <n v="-417.27"/>
  </r>
  <r>
    <x v="0"/>
    <x v="0"/>
    <n v="-418.9"/>
  </r>
  <r>
    <x v="0"/>
    <x v="0"/>
    <n v="-392.44"/>
  </r>
  <r>
    <x v="0"/>
    <x v="0"/>
    <n v="-408.62"/>
  </r>
  <r>
    <x v="0"/>
    <x v="0"/>
    <n v="-435.22"/>
  </r>
  <r>
    <x v="0"/>
    <x v="0"/>
    <n v="-406.35"/>
  </r>
  <r>
    <x v="0"/>
    <x v="0"/>
    <n v="-389.66"/>
  </r>
  <r>
    <x v="0"/>
    <x v="0"/>
    <n v="-388.91"/>
  </r>
  <r>
    <x v="0"/>
    <x v="0"/>
    <n v="-388.29"/>
  </r>
  <r>
    <x v="0"/>
    <x v="0"/>
    <n v="-135.37"/>
  </r>
  <r>
    <x v="0"/>
    <x v="0"/>
    <n v="-211.01"/>
  </r>
  <r>
    <x v="0"/>
    <x v="0"/>
    <n v="-382.83"/>
  </r>
  <r>
    <x v="0"/>
    <x v="0"/>
    <n v="-303.92"/>
  </r>
  <r>
    <x v="0"/>
    <x v="0"/>
    <n v="-192.49"/>
  </r>
  <r>
    <x v="0"/>
    <x v="0"/>
    <n v="-323.10000000000002"/>
  </r>
  <r>
    <x v="0"/>
    <x v="0"/>
    <n v="-329.76"/>
  </r>
  <r>
    <x v="0"/>
    <x v="0"/>
    <n v="-177.03"/>
  </r>
  <r>
    <x v="0"/>
    <x v="0"/>
    <n v="-156.78"/>
  </r>
  <r>
    <x v="0"/>
    <x v="0"/>
    <n v="-295.26"/>
  </r>
  <r>
    <x v="0"/>
    <x v="0"/>
    <n v="-382.11"/>
  </r>
  <r>
    <x v="0"/>
    <x v="0"/>
    <n v="-414.26"/>
  </r>
  <r>
    <x v="0"/>
    <x v="0"/>
    <n v="-405.41"/>
  </r>
  <r>
    <x v="0"/>
    <x v="0"/>
    <n v="-385.4"/>
  </r>
  <r>
    <x v="0"/>
    <x v="0"/>
    <n v="-420.69"/>
  </r>
  <r>
    <x v="0"/>
    <x v="0"/>
    <n v="-310.70999999999998"/>
  </r>
  <r>
    <x v="0"/>
    <x v="0"/>
    <n v="-182.67"/>
  </r>
  <r>
    <x v="0"/>
    <x v="0"/>
    <n v="-267.51"/>
  </r>
  <r>
    <x v="0"/>
    <x v="0"/>
    <n v="-255.34"/>
  </r>
  <r>
    <x v="0"/>
    <x v="0"/>
    <n v="-353.38"/>
  </r>
  <r>
    <x v="0"/>
    <x v="0"/>
    <n v="-405.57"/>
  </r>
  <r>
    <x v="0"/>
    <x v="0"/>
    <n v="-255.83"/>
  </r>
  <r>
    <x v="0"/>
    <x v="0"/>
    <n v="-366.91"/>
  </r>
  <r>
    <x v="0"/>
    <x v="0"/>
    <n v="-249.43"/>
  </r>
  <r>
    <x v="0"/>
    <x v="0"/>
    <n v="-195.09"/>
  </r>
  <r>
    <x v="0"/>
    <x v="0"/>
    <n v="-362.84"/>
  </r>
  <r>
    <x v="0"/>
    <x v="0"/>
    <n v="-349.17"/>
  </r>
  <r>
    <x v="0"/>
    <x v="0"/>
    <n v="-210.67"/>
  </r>
  <r>
    <x v="0"/>
    <x v="0"/>
    <n v="-417.26"/>
  </r>
  <r>
    <x v="0"/>
    <x v="0"/>
    <n v="-406.28"/>
  </r>
  <r>
    <x v="0"/>
    <x v="0"/>
    <n v="-417.24"/>
  </r>
  <r>
    <x v="0"/>
    <x v="0"/>
    <n v="-356.29"/>
  </r>
  <r>
    <x v="0"/>
    <x v="0"/>
    <n v="-272.08"/>
  </r>
  <r>
    <x v="0"/>
    <x v="0"/>
    <n v="-418.04"/>
  </r>
  <r>
    <x v="0"/>
    <x v="0"/>
    <n v="-383.14"/>
  </r>
  <r>
    <x v="0"/>
    <x v="0"/>
    <n v="-419.34"/>
  </r>
  <r>
    <x v="0"/>
    <x v="0"/>
    <n v="-276.38"/>
  </r>
  <r>
    <x v="0"/>
    <x v="0"/>
    <n v="-299.39"/>
  </r>
  <r>
    <x v="0"/>
    <x v="0"/>
    <n v="-341.84"/>
  </r>
  <r>
    <x v="0"/>
    <x v="0"/>
    <n v="-403.86"/>
  </r>
  <r>
    <x v="0"/>
    <x v="0"/>
    <n v="-273.88"/>
  </r>
  <r>
    <x v="0"/>
    <x v="0"/>
    <n v="-403.96"/>
  </r>
  <r>
    <x v="0"/>
    <x v="0"/>
    <n v="-311.72000000000003"/>
  </r>
  <r>
    <x v="0"/>
    <x v="0"/>
    <n v="-344.72"/>
  </r>
  <r>
    <x v="0"/>
    <x v="0"/>
    <n v="-411.77"/>
  </r>
  <r>
    <x v="0"/>
    <x v="0"/>
    <n v="-351.51"/>
  </r>
  <r>
    <x v="0"/>
    <x v="0"/>
    <n v="-180.73"/>
  </r>
  <r>
    <x v="0"/>
    <x v="0"/>
    <n v="-318.35000000000002"/>
  </r>
  <r>
    <x v="0"/>
    <x v="0"/>
    <n v="-206.88"/>
  </r>
  <r>
    <x v="0"/>
    <x v="0"/>
    <n v="-237.77"/>
  </r>
  <r>
    <x v="0"/>
    <x v="0"/>
    <n v="-171.65"/>
  </r>
  <r>
    <x v="0"/>
    <x v="0"/>
    <n v="-288.39"/>
  </r>
  <r>
    <x v="0"/>
    <x v="0"/>
    <n v="-278.19"/>
  </r>
  <r>
    <x v="0"/>
    <x v="0"/>
    <n v="-247.83"/>
  </r>
  <r>
    <x v="0"/>
    <x v="0"/>
    <n v="-372.4"/>
  </r>
  <r>
    <x v="0"/>
    <x v="0"/>
    <n v="-445.37"/>
  </r>
  <r>
    <x v="0"/>
    <x v="0"/>
    <n v="-392.3"/>
  </r>
  <r>
    <x v="0"/>
    <x v="0"/>
    <n v="-399.36"/>
  </r>
  <r>
    <x v="0"/>
    <x v="0"/>
    <n v="-240.91"/>
  </r>
  <r>
    <x v="0"/>
    <x v="0"/>
    <n v="-419.62"/>
  </r>
  <r>
    <x v="0"/>
    <x v="0"/>
    <n v="-420.14"/>
  </r>
  <r>
    <x v="0"/>
    <x v="0"/>
    <n v="-420.7"/>
  </r>
  <r>
    <x v="0"/>
    <x v="0"/>
    <n v="-410.41"/>
  </r>
  <r>
    <x v="0"/>
    <x v="0"/>
    <n v="-392.3"/>
  </r>
  <r>
    <x v="0"/>
    <x v="0"/>
    <n v="-403.57"/>
  </r>
  <r>
    <x v="0"/>
    <x v="0"/>
    <n v="-366.51"/>
  </r>
  <r>
    <x v="0"/>
    <x v="0"/>
    <n v="-421.53"/>
  </r>
  <r>
    <x v="0"/>
    <x v="0"/>
    <n v="-294.39999999999998"/>
  </r>
  <r>
    <x v="0"/>
    <x v="0"/>
    <n v="-193.95"/>
  </r>
  <r>
    <x v="0"/>
    <x v="0"/>
    <n v="-132.51"/>
  </r>
  <r>
    <x v="0"/>
    <x v="0"/>
    <n v="-333.34"/>
  </r>
  <r>
    <x v="0"/>
    <x v="0"/>
    <n v="-274.25"/>
  </r>
  <r>
    <x v="0"/>
    <x v="0"/>
    <n v="-260.56"/>
  </r>
  <r>
    <x v="0"/>
    <x v="0"/>
    <n v="-204.42"/>
  </r>
  <r>
    <x v="0"/>
    <x v="0"/>
    <n v="-216.27"/>
  </r>
  <r>
    <x v="0"/>
    <x v="0"/>
    <n v="-216.63"/>
  </r>
  <r>
    <x v="0"/>
    <x v="0"/>
    <n v="-284.20999999999998"/>
  </r>
  <r>
    <x v="0"/>
    <x v="0"/>
    <n v="-411.32"/>
  </r>
  <r>
    <x v="0"/>
    <x v="0"/>
    <n v="-416.41"/>
  </r>
  <r>
    <x v="0"/>
    <x v="0"/>
    <n v="-417.71"/>
  </r>
  <r>
    <x v="0"/>
    <x v="0"/>
    <n v="-418.87"/>
  </r>
  <r>
    <x v="0"/>
    <x v="0"/>
    <n v="-419.4"/>
  </r>
  <r>
    <x v="0"/>
    <x v="0"/>
    <n v="-404.74"/>
  </r>
  <r>
    <x v="0"/>
    <x v="0"/>
    <n v="-191.29"/>
  </r>
  <r>
    <x v="0"/>
    <x v="0"/>
    <n v="-416.31"/>
  </r>
  <r>
    <x v="0"/>
    <x v="0"/>
    <n v="-429.59"/>
  </r>
  <r>
    <x v="0"/>
    <x v="0"/>
    <n v="-249.95"/>
  </r>
  <r>
    <x v="0"/>
    <x v="0"/>
    <n v="-260.14"/>
  </r>
  <r>
    <x v="0"/>
    <x v="0"/>
    <n v="-411.49"/>
  </r>
  <r>
    <x v="0"/>
    <x v="0"/>
    <n v="-418.96"/>
  </r>
  <r>
    <x v="0"/>
    <x v="0"/>
    <n v="-328.54"/>
  </r>
  <r>
    <x v="1"/>
    <x v="0"/>
    <n v="-79.91"/>
  </r>
  <r>
    <x v="1"/>
    <x v="0"/>
    <n v="-28.2"/>
  </r>
  <r>
    <x v="2"/>
    <x v="1"/>
    <n v="165.88"/>
  </r>
  <r>
    <x v="2"/>
    <x v="1"/>
    <n v="151.01"/>
  </r>
  <r>
    <x v="2"/>
    <x v="1"/>
    <n v="151.01"/>
  </r>
  <r>
    <x v="2"/>
    <x v="1"/>
    <n v="105.65"/>
  </r>
  <r>
    <x v="2"/>
    <x v="1"/>
    <n v="105.13"/>
  </r>
  <r>
    <x v="2"/>
    <x v="1"/>
    <n v="176.43"/>
  </r>
  <r>
    <x v="2"/>
    <x v="1"/>
    <n v="117.67"/>
  </r>
  <r>
    <x v="2"/>
    <x v="1"/>
    <n v="117.67"/>
  </r>
  <r>
    <x v="2"/>
    <x v="1"/>
    <n v="117.67"/>
  </r>
  <r>
    <x v="2"/>
    <x v="1"/>
    <n v="117.67"/>
  </r>
  <r>
    <x v="2"/>
    <x v="1"/>
    <n v="117.67"/>
  </r>
  <r>
    <x v="2"/>
    <x v="1"/>
    <n v="115.15"/>
  </r>
  <r>
    <x v="2"/>
    <x v="1"/>
    <n v="117.67"/>
  </r>
  <r>
    <x v="2"/>
    <x v="1"/>
    <n v="142.27000000000001"/>
  </r>
  <r>
    <x v="3"/>
    <x v="2"/>
    <n v="25.08"/>
  </r>
  <r>
    <x v="3"/>
    <x v="2"/>
    <n v="42.91"/>
  </r>
  <r>
    <x v="3"/>
    <x v="2"/>
    <n v="37.130000000000003"/>
  </r>
  <r>
    <x v="3"/>
    <x v="2"/>
    <n v="23.93"/>
  </r>
  <r>
    <x v="3"/>
    <x v="2"/>
    <n v="19.510000000000002"/>
  </r>
  <r>
    <x v="3"/>
    <x v="2"/>
    <n v="33.42"/>
  </r>
  <r>
    <x v="3"/>
    <x v="2"/>
    <n v="18.87"/>
  </r>
  <r>
    <x v="3"/>
    <x v="2"/>
    <n v="29.26"/>
  </r>
  <r>
    <x v="3"/>
    <x v="2"/>
    <n v="38.93"/>
  </r>
  <r>
    <x v="3"/>
    <x v="2"/>
    <n v="35.53"/>
  </r>
  <r>
    <x v="3"/>
    <x v="2"/>
    <n v="19.54"/>
  </r>
  <r>
    <x v="3"/>
    <x v="2"/>
    <n v="15.64"/>
  </r>
  <r>
    <x v="3"/>
    <x v="2"/>
    <n v="32.93"/>
  </r>
  <r>
    <x v="3"/>
    <x v="2"/>
    <n v="38.43"/>
  </r>
  <r>
    <x v="3"/>
    <x v="2"/>
    <n v="29.78"/>
  </r>
  <r>
    <x v="3"/>
    <x v="2"/>
    <n v="18.93"/>
  </r>
  <r>
    <x v="4"/>
    <x v="2"/>
    <n v="62"/>
  </r>
  <r>
    <x v="5"/>
    <x v="2"/>
    <n v="33"/>
  </r>
  <r>
    <x v="6"/>
    <x v="2"/>
    <n v="26.5"/>
  </r>
  <r>
    <x v="6"/>
    <x v="2"/>
    <n v="20.5"/>
  </r>
  <r>
    <x v="6"/>
    <x v="2"/>
    <n v="27"/>
  </r>
  <r>
    <x v="6"/>
    <x v="2"/>
    <n v="31.5"/>
  </r>
  <r>
    <x v="3"/>
    <x v="2"/>
    <n v="37.5"/>
  </r>
  <r>
    <x v="3"/>
    <x v="2"/>
    <n v="40"/>
  </r>
  <r>
    <x v="3"/>
    <x v="2"/>
    <n v="48.5"/>
  </r>
  <r>
    <x v="3"/>
    <x v="2"/>
    <n v="24.5"/>
  </r>
  <r>
    <x v="6"/>
    <x v="2"/>
    <n v="27.61"/>
  </r>
  <r>
    <x v="6"/>
    <x v="2"/>
    <n v="33.92"/>
  </r>
  <r>
    <x v="3"/>
    <x v="2"/>
    <n v="48.17"/>
  </r>
  <r>
    <x v="3"/>
    <x v="2"/>
    <n v="41.36"/>
  </r>
  <r>
    <x v="3"/>
    <x v="2"/>
    <n v="43.87"/>
  </r>
  <r>
    <x v="6"/>
    <x v="2"/>
    <n v="29.42"/>
  </r>
  <r>
    <x v="6"/>
    <x v="2"/>
    <n v="35.72"/>
  </r>
  <r>
    <x v="3"/>
    <x v="2"/>
    <n v="43.17"/>
  </r>
  <r>
    <x v="3"/>
    <x v="2"/>
    <n v="49.97"/>
  </r>
  <r>
    <x v="3"/>
    <x v="2"/>
    <n v="45.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">
  <r>
    <x v="0"/>
    <x v="0"/>
    <x v="0"/>
    <s v="SMR w/CC"/>
    <n v="0"/>
    <s v="metric ton production/year"/>
    <n v="0"/>
    <n v="0"/>
    <n v="0"/>
    <n v="0"/>
  </r>
  <r>
    <x v="0"/>
    <x v="1"/>
    <x v="0"/>
    <s v="SMR w/CC"/>
    <n v="10950"/>
    <s v="metric ton production/year"/>
    <n v="1.3139999999999998E-3"/>
    <n v="3.3642995397322573E-2"/>
    <n v="3.1738730097632332E-2"/>
    <n v="3.5547260697012813E-2"/>
  </r>
  <r>
    <x v="0"/>
    <x v="2"/>
    <x v="0"/>
    <s v="SMR w/CC"/>
    <n v="10950"/>
    <s v="metric ton production/year"/>
    <n v="1.3139999999999998E-3"/>
    <n v="3.3067002811679964E-2"/>
    <n v="3.0586744926347116E-2"/>
    <n v="3.5547260697012813E-2"/>
  </r>
  <r>
    <x v="0"/>
    <x v="3"/>
    <x v="0"/>
    <s v="SMR w/CC"/>
    <n v="10950"/>
    <s v="metric ton production/year"/>
    <n v="1.3139999999999998E-3"/>
    <n v="3.2444741256886019E-2"/>
    <n v="2.9342221816759228E-2"/>
    <n v="3.5547260697012813E-2"/>
  </r>
  <r>
    <x v="0"/>
    <x v="4"/>
    <x v="0"/>
    <s v="SMR w/CC"/>
    <n v="10950"/>
    <s v="metric ton production/year"/>
    <n v="1.3139999999999998E-3"/>
    <n v="3.1729917090649325E-2"/>
    <n v="2.7912573484285837E-2"/>
    <n v="3.5547260697012813E-2"/>
  </r>
  <r>
    <x v="0"/>
    <x v="5"/>
    <x v="0"/>
    <s v="SMR w/CC"/>
    <n v="10950"/>
    <s v="metric ton production/year"/>
    <n v="1.3139999999999998E-3"/>
    <n v="3.0914903949623714E-2"/>
    <n v="2.6282547202234618E-2"/>
    <n v="3.5547260697012813E-2"/>
  </r>
  <r>
    <x v="0"/>
    <x v="6"/>
    <x v="0"/>
    <s v="SMR w/CC"/>
    <n v="10950"/>
    <s v="metric ton production/year"/>
    <n v="1.3139999999999998E-3"/>
    <n v="2.9988879691984504E-2"/>
    <n v="2.4430498686956199E-2"/>
    <n v="3.5547260697012813E-2"/>
  </r>
  <r>
    <x v="0"/>
    <x v="7"/>
    <x v="0"/>
    <s v="SMR w/CC"/>
    <n v="10950"/>
    <s v="metric ton production/year"/>
    <n v="1.3139999999999998E-3"/>
    <n v="2.895257451398759E-2"/>
    <n v="2.2357888330962368E-2"/>
    <n v="3.5547260697012813E-2"/>
  </r>
  <r>
    <x v="0"/>
    <x v="8"/>
    <x v="0"/>
    <s v="SMR w/CC"/>
    <n v="10950"/>
    <s v="metric ton production/year"/>
    <n v="1.3139999999999998E-3"/>
    <n v="2.776246237806938E-2"/>
    <n v="1.997766405912595E-2"/>
    <n v="3.5547260697012813E-2"/>
  </r>
  <r>
    <x v="0"/>
    <x v="9"/>
    <x v="0"/>
    <s v="SMR w/CC"/>
    <n v="10950"/>
    <s v="metric ton production/year"/>
    <n v="1.3139999999999998E-3"/>
    <n v="2.6434931290165983E-2"/>
    <n v="1.7322601883319161E-2"/>
    <n v="3.5547260697012813E-2"/>
  </r>
  <r>
    <x v="0"/>
    <x v="10"/>
    <x v="0"/>
    <s v="SMR w/CC"/>
    <n v="10950"/>
    <s v="metric ton production/year"/>
    <n v="1.3139999999999998E-3"/>
    <n v="2.4919180517734053E-2"/>
    <n v="1.4291100338455298E-2"/>
    <n v="3.5547260697012813E-2"/>
  </r>
  <r>
    <x v="0"/>
    <x v="11"/>
    <x v="0"/>
    <s v="SMR w/CC"/>
    <n v="10950"/>
    <s v="metric ton production/year"/>
    <n v="1.3139999999999998E-3"/>
    <n v="2.3293387019833401E-2"/>
    <n v="1.1039513342653993E-2"/>
    <n v="3.5547260697012813E-2"/>
  </r>
  <r>
    <x v="0"/>
    <x v="12"/>
    <x v="0"/>
    <s v="SMR w/CC"/>
    <n v="10950"/>
    <s v="metric ton production/year"/>
    <n v="1.3139999999999998E-3"/>
    <n v="2.1613452192274375E-2"/>
    <n v="7.6796436875359378E-3"/>
    <n v="3.5547260697012813E-2"/>
  </r>
  <r>
    <x v="0"/>
    <x v="13"/>
    <x v="0"/>
    <s v="SMR w/CC"/>
    <n v="10950"/>
    <s v="metric ton production/year"/>
    <n v="1.3139999999999998E-3"/>
    <n v="1.9942915701518467E-2"/>
    <n v="4.3385707060241228E-3"/>
    <n v="3.5547260697012813E-2"/>
  </r>
  <r>
    <x v="0"/>
    <x v="14"/>
    <x v="0"/>
    <s v="SMR w/CC"/>
    <n v="10950"/>
    <s v="metric ton production/year"/>
    <n v="1.3139999999999998E-3"/>
    <n v="1.8233311840129517E-2"/>
    <n v="9.1936298324622257E-4"/>
    <n v="3.5547260697012813E-2"/>
  </r>
  <r>
    <x v="0"/>
    <x v="15"/>
    <x v="0"/>
    <s v="SMR w/CC"/>
    <n v="10950"/>
    <s v="metric ton production/year"/>
    <n v="1.3139999999999998E-3"/>
    <n v="1.7773630348506406E-2"/>
    <n v="0"/>
    <n v="3.5547260697012813E-2"/>
  </r>
  <r>
    <x v="0"/>
    <x v="16"/>
    <x v="0"/>
    <s v="SMR w/CC"/>
    <n v="10950"/>
    <s v="metric ton production/year"/>
    <n v="1.3139999999999998E-3"/>
    <n v="1.7773630348506406E-2"/>
    <n v="0"/>
    <n v="3.5547260697012813E-2"/>
  </r>
  <r>
    <x v="0"/>
    <x v="17"/>
    <x v="0"/>
    <s v="SMR w/CC"/>
    <n v="10950"/>
    <s v="metric ton production/year"/>
    <n v="1.3139999999999998E-3"/>
    <n v="1.7773630348506406E-2"/>
    <n v="0"/>
    <n v="3.5547260697012813E-2"/>
  </r>
  <r>
    <x v="0"/>
    <x v="18"/>
    <x v="0"/>
    <s v="SMR w/CC"/>
    <n v="10950"/>
    <s v="metric ton production/year"/>
    <n v="1.3139999999999998E-3"/>
    <n v="1.7773630348506406E-2"/>
    <n v="0"/>
    <n v="3.5547260697012813E-2"/>
  </r>
  <r>
    <x v="0"/>
    <x v="19"/>
    <x v="0"/>
    <s v="SMR w/CC"/>
    <n v="10950"/>
    <s v="metric ton production/year"/>
    <n v="1.3139999999999998E-3"/>
    <n v="1.7773630348506406E-2"/>
    <n v="0"/>
    <n v="3.5547260697012813E-2"/>
  </r>
  <r>
    <x v="0"/>
    <x v="20"/>
    <x v="0"/>
    <s v="SMR w/CC"/>
    <n v="10950"/>
    <s v="metric ton production/year"/>
    <n v="1.3139999999999998E-3"/>
    <n v="1.7773630348506406E-2"/>
    <n v="0"/>
    <n v="3.5547260697012813E-2"/>
  </r>
  <r>
    <x v="0"/>
    <x v="0"/>
    <x v="1"/>
    <s v="Off-Grid Electrolysis"/>
    <n v="0"/>
    <s v="metric ton production/year"/>
    <n v="0"/>
    <n v="0"/>
    <n v="0"/>
    <n v="0"/>
  </r>
  <r>
    <x v="0"/>
    <x v="1"/>
    <x v="1"/>
    <s v="Off-Grid Electrolysis"/>
    <n v="0"/>
    <s v="metric ton production/year"/>
    <n v="0"/>
    <n v="0"/>
    <n v="0"/>
    <n v="0"/>
  </r>
  <r>
    <x v="0"/>
    <x v="2"/>
    <x v="1"/>
    <s v="Off-Grid Electrolysis"/>
    <n v="0"/>
    <s v="metric ton production/year"/>
    <n v="0"/>
    <n v="0"/>
    <n v="0"/>
    <n v="0"/>
  </r>
  <r>
    <x v="0"/>
    <x v="3"/>
    <x v="1"/>
    <s v="Off-Grid Electrolysis"/>
    <n v="0"/>
    <s v="metric ton production/year"/>
    <n v="0"/>
    <n v="0"/>
    <n v="0"/>
    <n v="0"/>
  </r>
  <r>
    <x v="0"/>
    <x v="4"/>
    <x v="1"/>
    <s v="Off-Grid Electrolysis"/>
    <n v="0"/>
    <s v="metric ton production/year"/>
    <n v="0"/>
    <n v="0"/>
    <n v="0"/>
    <n v="0"/>
  </r>
  <r>
    <x v="0"/>
    <x v="5"/>
    <x v="1"/>
    <s v="Off-Grid Electrolysis"/>
    <n v="96000"/>
    <s v="metric ton production/year"/>
    <n v="1.1519999999999999E-2"/>
    <n v="0.99549635728316399"/>
    <n v="0.95488391456632804"/>
    <n v="1.0361087999999998"/>
  </r>
  <r>
    <x v="0"/>
    <x v="6"/>
    <x v="1"/>
    <s v="Off-Grid Electrolysis"/>
    <n v="96000"/>
    <s v="metric ton production/year"/>
    <n v="1.1519999999999999E-2"/>
    <n v="0.98737778844906665"/>
    <n v="0.93864677689813369"/>
    <n v="1.0361087999999998"/>
  </r>
  <r>
    <x v="0"/>
    <x v="7"/>
    <x v="1"/>
    <s v="Off-Grid Electrolysis"/>
    <n v="96000"/>
    <s v="metric ton production/year"/>
    <n v="1.1519999999999999E-2"/>
    <n v="0.9782923731899158"/>
    <n v="0.92047594637983166"/>
    <n v="1.0361087999999998"/>
  </r>
  <r>
    <x v="0"/>
    <x v="8"/>
    <x v="1"/>
    <s v="Off-Grid Electrolysis"/>
    <n v="96000"/>
    <s v="metric ton production/year"/>
    <n v="1.1519999999999999E-2"/>
    <n v="0.96785851336816697"/>
    <n v="0.89960822673633423"/>
    <n v="1.0361087999999998"/>
  </r>
  <r>
    <x v="0"/>
    <x v="9"/>
    <x v="1"/>
    <s v="Off-Grid Electrolysis"/>
    <n v="96000"/>
    <s v="metric ton production/year"/>
    <n v="1.1519999999999999E-2"/>
    <n v="0.95621988465230168"/>
    <n v="0.87633096930460352"/>
    <n v="1.0361087999999998"/>
  </r>
  <r>
    <x v="0"/>
    <x v="10"/>
    <x v="1"/>
    <s v="Off-Grid Electrolysis"/>
    <n v="96000"/>
    <s v="metric ton production/year"/>
    <n v="1.1519999999999999E-2"/>
    <n v="0.94293111075700808"/>
    <n v="0.84975342151401623"/>
    <n v="1.0361087999999998"/>
  </r>
  <r>
    <x v="0"/>
    <x v="11"/>
    <x v="1"/>
    <s v="Off-Grid Electrolysis"/>
    <n v="96000"/>
    <s v="metric ton production/year"/>
    <n v="1.1519999999999999E-2"/>
    <n v="0.92867757872061873"/>
    <n v="0.82124635744123764"/>
    <n v="1.0361087999999998"/>
  </r>
  <r>
    <x v="0"/>
    <x v="12"/>
    <x v="1"/>
    <s v="Off-Grid Electrolysis"/>
    <n v="96000"/>
    <s v="metric ton production/year"/>
    <n v="1.1519999999999999E-2"/>
    <n v="0.913949382972156"/>
    <n v="0.79178996594431228"/>
    <n v="1.0361087999999998"/>
  </r>
  <r>
    <x v="0"/>
    <x v="13"/>
    <x v="1"/>
    <s v="Off-Grid Electrolysis"/>
    <n v="96000"/>
    <s v="metric ton production/year"/>
    <n v="1.1519999999999999E-2"/>
    <n v="0.89930358360114537"/>
    <n v="0.76249836720229081"/>
    <n v="1.0361087999999998"/>
  </r>
  <r>
    <x v="0"/>
    <x v="14"/>
    <x v="1"/>
    <s v="Off-Grid Electrolysis"/>
    <n v="96000"/>
    <s v="metric ton production/year"/>
    <n v="1.1519999999999999E-2"/>
    <n v="0.88431527577526958"/>
    <n v="0.73252175155053945"/>
    <n v="1.0361087999999998"/>
  </r>
  <r>
    <x v="0"/>
    <x v="15"/>
    <x v="1"/>
    <s v="Off-Grid Electrolysis"/>
    <n v="96000"/>
    <s v="metric ton production/year"/>
    <n v="1.1519999999999999E-2"/>
    <n v="0.869083496153643"/>
    <n v="0.70205819230728617"/>
    <n v="1.0361087999999998"/>
  </r>
  <r>
    <x v="0"/>
    <x v="16"/>
    <x v="1"/>
    <s v="Off-Grid Electrolysis"/>
    <n v="96000"/>
    <s v="metric ton production/year"/>
    <n v="1.1519999999999999E-2"/>
    <n v="0.85394586917932125"/>
    <n v="0.67178293835864267"/>
    <n v="1.0361087999999998"/>
  </r>
  <r>
    <x v="0"/>
    <x v="17"/>
    <x v="1"/>
    <s v="Off-Grid Electrolysis"/>
    <n v="96000"/>
    <s v="metric ton production/year"/>
    <n v="1.1519999999999999E-2"/>
    <n v="0.83928160924173545"/>
    <n v="0.64245441848347085"/>
    <n v="1.0361087999999998"/>
  </r>
  <r>
    <x v="0"/>
    <x v="18"/>
    <x v="1"/>
    <s v="Off-Grid Electrolysis"/>
    <n v="96000"/>
    <s v="metric ton production/year"/>
    <n v="1.1519999999999999E-2"/>
    <n v="0.82520875309316832"/>
    <n v="0.61430870618633671"/>
    <n v="1.0361087999999998"/>
  </r>
  <r>
    <x v="0"/>
    <x v="19"/>
    <x v="1"/>
    <s v="Off-Grid Electrolysis"/>
    <n v="96000"/>
    <s v="metric ton production/year"/>
    <n v="1.1519999999999999E-2"/>
    <n v="0.8119316873835517"/>
    <n v="0.58775457476710347"/>
    <n v="1.0361087999999998"/>
  </r>
  <r>
    <x v="0"/>
    <x v="20"/>
    <x v="1"/>
    <s v="Off-Grid Electrolysis"/>
    <n v="96000"/>
    <s v="metric ton production/year"/>
    <n v="1.1519999999999999E-2"/>
    <n v="0.79960946750384898"/>
    <n v="0.56311013500769802"/>
    <n v="1.0361087999999998"/>
  </r>
  <r>
    <x v="0"/>
    <x v="0"/>
    <x v="2"/>
    <s v="Solar"/>
    <n v="1210.909090909091"/>
    <s v="MW"/>
    <n v="9.9998346925038277E-3"/>
    <n v="0.40009750022304769"/>
    <n v="0.36681793510223398"/>
    <n v="0.43337706256599257"/>
  </r>
  <r>
    <x v="0"/>
    <x v="1"/>
    <x v="2"/>
    <s v="Solar"/>
    <n v="2421.818181818182"/>
    <s v="MW"/>
    <n v="1.9529977709004498E-2"/>
    <n v="0.75848655116787667"/>
    <n v="0.68842421831336775"/>
    <n v="0.82854887859712434"/>
  </r>
  <r>
    <x v="0"/>
    <x v="2"/>
    <x v="2"/>
    <s v="Solar"/>
    <n v="3632.727272727273"/>
    <s v="MW"/>
    <n v="2.8590429049502007E-2"/>
    <n v="1.076820519354091"/>
    <n v="0.96683774938584566"/>
    <n v="1.186803281380159"/>
  </r>
  <r>
    <x v="0"/>
    <x v="3"/>
    <x v="2"/>
    <s v="Solar"/>
    <n v="4843.636363636364"/>
    <s v="MW"/>
    <n v="3.7181188713996359E-2"/>
    <n v="1.3567527713012943"/>
    <n v="1.204077428072112"/>
    <n v="1.5094281042018605"/>
  </r>
  <r>
    <x v="0"/>
    <x v="4"/>
    <x v="2"/>
    <s v="Solar"/>
    <n v="6054.545454545455"/>
    <s v="MW"/>
    <n v="4.5302256702487553E-2"/>
    <n v="1.5999366735290914"/>
    <n v="1.4021621541246112"/>
    <n v="1.7977111803489925"/>
  </r>
  <r>
    <x v="0"/>
    <x v="5"/>
    <x v="2"/>
    <s v="Solar"/>
    <n v="7265.454545454546"/>
    <s v="MW"/>
    <n v="5.2953633014975597E-2"/>
    <n v="1.8080255925570858"/>
    <n v="1.5631108272957872"/>
    <n v="2.0529403431083186"/>
  </r>
  <r>
    <x v="0"/>
    <x v="6"/>
    <x v="2"/>
    <s v="Solar"/>
    <n v="8476.363636363636"/>
    <s v="MW"/>
    <n v="6.0135317651460483E-2"/>
    <n v="1.9826728949048815"/>
    <n v="1.6889423473380845"/>
    <n v="2.2764034257666026"/>
  </r>
  <r>
    <x v="0"/>
    <x v="7"/>
    <x v="2"/>
    <s v="Solar"/>
    <n v="9687.2727272727279"/>
    <s v="MW"/>
    <n v="6.6847310611942212E-2"/>
    <n v="2.1255319470920826"/>
    <n v="1.7816756140039474"/>
    <n v="2.4693882616106086"/>
  </r>
  <r>
    <x v="0"/>
    <x v="8"/>
    <x v="2"/>
    <s v="Solar"/>
    <n v="10898.18181818182"/>
    <s v="MW"/>
    <n v="7.3089611896420797E-2"/>
    <n v="2.2382561156382934"/>
    <n v="1.8433295270458203"/>
    <n v="2.6331826839271"/>
  </r>
  <r>
    <x v="0"/>
    <x v="9"/>
    <x v="2"/>
    <s v="Solar"/>
    <n v="12109.090909090912"/>
    <s v="MW"/>
    <n v="7.8862221504896218E-2"/>
    <n v="2.3224987670631179"/>
    <n v="1.8759229862161473"/>
    <n v="2.7690745260028411"/>
  </r>
  <r>
    <x v="0"/>
    <x v="10"/>
    <x v="2"/>
    <s v="Solar"/>
    <n v="13320.000000000004"/>
    <s v="MW"/>
    <n v="8.4165139437368489E-2"/>
    <n v="2.3799132678861596"/>
    <n v="1.8814748912673722"/>
    <n v="2.8783516211245943"/>
  </r>
  <r>
    <x v="0"/>
    <x v="11"/>
    <x v="2"/>
    <s v="Solar"/>
    <n v="13320"/>
    <s v="MW"/>
    <n v="8.1581835219351098E-2"/>
    <n v="2.2111402359081032"/>
    <n v="1.7068371301226108"/>
    <n v="2.7154433190308627"/>
  </r>
  <r>
    <x v="0"/>
    <x v="12"/>
    <x v="2"/>
    <s v="Solar"/>
    <n v="13320"/>
    <s v="MW"/>
    <n v="7.8998531001333736E-2"/>
    <n v="2.0484295478352617"/>
    <n v="1.539602001403479"/>
    <n v="2.5572570723219323"/>
  </r>
  <r>
    <x v="0"/>
    <x v="13"/>
    <x v="2"/>
    <s v="Solar"/>
    <n v="13320"/>
    <s v="MW"/>
    <n v="7.6415226783316387E-2"/>
    <n v="1.8917812036676354"/>
    <n v="1.3797695051099761"/>
    <n v="2.4037928809978024"/>
  </r>
  <r>
    <x v="0"/>
    <x v="14"/>
    <x v="2"/>
    <s v="Solar"/>
    <n v="13320"/>
    <s v="MW"/>
    <n v="7.3831922565299038E-2"/>
    <n v="1.741195203405224"/>
    <n v="1.2273396412421023"/>
    <n v="2.2550507450584734"/>
  </r>
  <r>
    <x v="0"/>
    <x v="15"/>
    <x v="2"/>
    <s v="Solar"/>
    <n v="13320"/>
    <s v="MW"/>
    <n v="7.1248618347281675E-2"/>
    <n v="1.5966715470480268"/>
    <n v="1.0823124097998571"/>
    <n v="2.1110306645039438"/>
  </r>
  <r>
    <x v="0"/>
    <x v="16"/>
    <x v="2"/>
    <s v="Solar"/>
    <n v="13320"/>
    <s v="MW"/>
    <n v="6.8665314129264313E-2"/>
    <n v="1.4582102345960444"/>
    <n v="0.94468781078324104"/>
    <n v="1.9717326393342152"/>
  </r>
  <r>
    <x v="0"/>
    <x v="17"/>
    <x v="2"/>
    <s v="Solar"/>
    <n v="13320"/>
    <s v="MW"/>
    <n v="6.608200991124695E-2"/>
    <n v="1.3258112660492765"/>
    <n v="0.81446584419225365"/>
    <n v="1.8371566695492862"/>
  </r>
  <r>
    <x v="0"/>
    <x v="18"/>
    <x v="2"/>
    <s v="Solar"/>
    <n v="13320"/>
    <s v="MW"/>
    <n v="6.3498705693229587E-2"/>
    <n v="1.1994746414077233"/>
    <n v="0.69164651002689537"/>
    <n v="1.7073027551491582"/>
  </r>
  <r>
    <x v="0"/>
    <x v="19"/>
    <x v="2"/>
    <s v="Solar"/>
    <n v="13320"/>
    <s v="MW"/>
    <n v="6.0915401475212225E-2"/>
    <n v="1.0792003606713849"/>
    <n v="0.57622980828716619"/>
    <n v="1.5821708961338303"/>
  </r>
  <r>
    <x v="0"/>
    <x v="20"/>
    <x v="2"/>
    <s v="Solar"/>
    <n v="13320"/>
    <s v="MW"/>
    <n v="5.8332097257194869E-2"/>
    <n v="0.96498842384026162"/>
    <n v="0.46821573897306595"/>
    <n v="1.4617610925033033"/>
  </r>
  <r>
    <x v="0"/>
    <x v="0"/>
    <x v="2"/>
    <s v="Wind"/>
    <n v="24.90909090909091"/>
    <s v="MW"/>
    <n v="2.2442261949444557E-4"/>
    <n v="8.9792413389139149E-3"/>
    <n v="8.2323602744051438E-3"/>
    <n v="9.7261223410799943E-3"/>
  </r>
  <r>
    <x v="0"/>
    <x v="1"/>
    <x v="2"/>
    <s v="Wind"/>
    <n v="49.81818181818182"/>
    <s v="MW"/>
    <n v="4.4525105261724077E-4"/>
    <n v="1.7292233526094086E-2"/>
    <n v="1.5694928710026292E-2"/>
    <n v="1.8889538218474937E-2"/>
  </r>
  <r>
    <x v="0"/>
    <x v="2"/>
    <x v="2"/>
    <s v="Wind"/>
    <n v="74.727272727272734"/>
    <s v="MW"/>
    <n v="6.6248529936838553E-4"/>
    <n v="2.4951628494107578E-2"/>
    <n v="2.2403154381962474E-2"/>
    <n v="2.7500102422219921E-2"/>
  </r>
  <r>
    <x v="0"/>
    <x v="3"/>
    <x v="2"/>
    <s v="Wind"/>
    <n v="99.63636363636364"/>
    <s v="MW"/>
    <n v="8.7612535974787998E-4"/>
    <n v="3.1970078175521457E-2"/>
    <n v="2.8372486365312727E-2"/>
    <n v="3.5567669742350046E-2"/>
  </r>
  <r>
    <x v="0"/>
    <x v="4"/>
    <x v="2"/>
    <s v="Wind"/>
    <n v="124.54545454545455"/>
    <s v="MW"/>
    <n v="1.0861712337557239E-3"/>
    <n v="3.8360234502902789E-2"/>
    <n v="3.3618373735176087E-2"/>
    <n v="4.3102094968900412E-2"/>
  </r>
  <r>
    <x v="0"/>
    <x v="5"/>
    <x v="2"/>
    <s v="Wind"/>
    <n v="149.45454545454547"/>
    <s v="MW"/>
    <n v="1.2926229213919176E-3"/>
    <n v="4.413474940881864E-2"/>
    <n v="3.8156265566651582E-2"/>
    <n v="5.0113232891906112E-2"/>
  </r>
  <r>
    <x v="0"/>
    <x v="6"/>
    <x v="2"/>
    <s v="Wind"/>
    <n v="174.36363636363637"/>
    <s v="MW"/>
    <n v="1.495480422656461E-3"/>
    <n v="4.9306274825836063E-2"/>
    <n v="4.2001610934838243E-2"/>
    <n v="5.6610938301402243E-2"/>
  </r>
  <r>
    <x v="0"/>
    <x v="7"/>
    <x v="2"/>
    <s v="Wind"/>
    <n v="199.27272727272728"/>
    <s v="MW"/>
    <n v="1.6947437375493537E-3"/>
    <n v="5.3887462686522142E-2"/>
    <n v="4.5169858914835111E-2"/>
    <n v="6.2605065987423894E-2"/>
  </r>
  <r>
    <x v="0"/>
    <x v="8"/>
    <x v="2"/>
    <s v="Wind"/>
    <n v="224.18181818181819"/>
    <s v="MW"/>
    <n v="1.8904128660705963E-3"/>
    <n v="5.7890964923443936E-2"/>
    <n v="4.7676458581741216E-2"/>
    <n v="6.8105470740006183E-2"/>
  </r>
  <r>
    <x v="0"/>
    <x v="9"/>
    <x v="2"/>
    <s v="Wind"/>
    <n v="249.09090909090909"/>
    <s v="MW"/>
    <n v="2.0824878082201883E-3"/>
    <n v="6.1329433469168498E-2"/>
    <n v="4.9536859010655583E-2"/>
    <n v="7.3122007349184184E-2"/>
  </r>
  <r>
    <x v="0"/>
    <x v="10"/>
    <x v="2"/>
    <s v="Wind"/>
    <n v="274"/>
    <s v="MW"/>
    <n v="2.2709685639981303E-3"/>
    <n v="6.4215520256262912E-2"/>
    <n v="5.0766509276677259E-2"/>
    <n v="7.7664530604993023E-2"/>
  </r>
  <r>
    <x v="0"/>
    <x v="11"/>
    <x v="2"/>
    <s v="Wind"/>
    <n v="274"/>
    <s v="MW"/>
    <n v="2.2512005389540529E-3"/>
    <n v="6.1015054115853035E-2"/>
    <n v="4.7099120250329821E-2"/>
    <n v="7.4930987356012099E-2"/>
  </r>
  <r>
    <x v="0"/>
    <x v="12"/>
    <x v="2"/>
    <s v="Wind"/>
    <n v="274"/>
    <s v="MW"/>
    <n v="2.2314325139099755E-3"/>
    <n v="5.7860978394855739E-2"/>
    <n v="4.3488377832678844E-2"/>
    <n v="7.2233578337159876E-2"/>
  </r>
  <r>
    <x v="0"/>
    <x v="13"/>
    <x v="2"/>
    <s v="Wind"/>
    <n v="274"/>
    <s v="MW"/>
    <n v="2.2116644888658982E-3"/>
    <n v="5.475329309327101E-2"/>
    <n v="3.9934282023724323E-2"/>
    <n v="6.957230354843634E-2"/>
  </r>
  <r>
    <x v="0"/>
    <x v="14"/>
    <x v="2"/>
    <s v="Wind"/>
    <n v="274"/>
    <s v="MW"/>
    <n v="2.1918964638218213E-3"/>
    <n v="5.169199821109887E-2"/>
    <n v="3.6436832823466263E-2"/>
    <n v="6.6947162989841505E-2"/>
  </r>
  <r>
    <x v="0"/>
    <x v="15"/>
    <x v="2"/>
    <s v="Wind"/>
    <n v="274"/>
    <s v="MW"/>
    <n v="2.1721284387777443E-3"/>
    <n v="4.8677093748339277E-2"/>
    <n v="3.2996030231904637E-2"/>
    <n v="6.4358156661375343E-2"/>
  </r>
  <r>
    <x v="0"/>
    <x v="16"/>
    <x v="2"/>
    <s v="Wind"/>
    <n v="274"/>
    <s v="MW"/>
    <n v="2.152360413733667E-3"/>
    <n v="4.5708579704992272E-2"/>
    <n v="2.961187424903948E-2"/>
    <n v="6.1805284563037875E-2"/>
  </r>
  <r>
    <x v="0"/>
    <x v="17"/>
    <x v="2"/>
    <s v="Wind"/>
    <n v="274"/>
    <s v="MW"/>
    <n v="2.1325923886895901E-3"/>
    <n v="4.2786456081057841E-2"/>
    <n v="2.6284364874870778E-2"/>
    <n v="5.9288546694829108E-2"/>
  </r>
  <r>
    <x v="0"/>
    <x v="18"/>
    <x v="2"/>
    <s v="Wind"/>
    <n v="274"/>
    <s v="MW"/>
    <n v="2.1128243636455127E-3"/>
    <n v="3.9910722876535978E-2"/>
    <n v="2.3013502109398527E-2"/>
    <n v="5.6807943056749022E-2"/>
  </r>
  <r>
    <x v="0"/>
    <x v="19"/>
    <x v="2"/>
    <s v="Wind"/>
    <n v="274"/>
    <s v="MW"/>
    <n v="2.0930563386014358E-3"/>
    <n v="3.7081380091426676E-2"/>
    <n v="1.9799285952622727E-2"/>
    <n v="5.4363473648797615E-2"/>
  </r>
  <r>
    <x v="0"/>
    <x v="20"/>
    <x v="2"/>
    <s v="Wind"/>
    <n v="274"/>
    <s v="MW"/>
    <n v="2.0732883135573589E-3"/>
    <n v="3.4298427725729969E-2"/>
    <n v="1.6641716404543389E-2"/>
    <n v="5.1955138470974917E-2"/>
  </r>
  <r>
    <x v="0"/>
    <x v="0"/>
    <x v="2"/>
    <s v="Biomass"/>
    <n v="0"/>
    <s v="MW"/>
    <n v="0"/>
    <n v="0"/>
    <n v="0"/>
    <n v="0"/>
  </r>
  <r>
    <x v="0"/>
    <x v="1"/>
    <x v="2"/>
    <s v="Biomass"/>
    <n v="5"/>
    <s v="MW"/>
    <n v="1.0784054976135365E-4"/>
    <n v="4.1882078865263742E-3"/>
    <n v="3.8013379880978866E-3"/>
    <n v="4.5750777549976767E-3"/>
  </r>
  <r>
    <x v="0"/>
    <x v="2"/>
    <x v="2"/>
    <s v="Biomass"/>
    <n v="5"/>
    <s v="MW"/>
    <n v="1.0705490865668688E-4"/>
    <n v="4.0320808806157552E-3"/>
    <n v="3.6202579110347871E-3"/>
    <n v="4.4439038204577841E-3"/>
  </r>
  <r>
    <x v="0"/>
    <x v="3"/>
    <x v="2"/>
    <s v="Biomass"/>
    <n v="5"/>
    <s v="MW"/>
    <n v="1.0626926755202014E-4"/>
    <n v="3.8777975702828189E-3"/>
    <n v="3.4414291415318862E-3"/>
    <n v="4.3141659695130567E-3"/>
  </r>
  <r>
    <x v="0"/>
    <x v="4"/>
    <x v="2"/>
    <s v="Biomass"/>
    <n v="5"/>
    <s v="MW"/>
    <n v="1.0548362644735336E-4"/>
    <n v="3.7253579555275619E-3"/>
    <n v="3.2648516795891823E-3"/>
    <n v="4.1858642021634926E-3"/>
  </r>
  <r>
    <x v="0"/>
    <x v="5"/>
    <x v="2"/>
    <s v="Biomass"/>
    <n v="10"/>
    <s v="MW"/>
    <n v="2.0939597068537322E-4"/>
    <n v="7.1495240726999736E-3"/>
    <n v="6.181051050413354E-3"/>
    <n v="8.1179970368181857E-3"/>
  </r>
  <r>
    <x v="0"/>
    <x v="6"/>
    <x v="2"/>
    <s v="Biomass"/>
    <n v="10"/>
    <s v="MW"/>
    <n v="2.078246884760397E-4"/>
    <n v="6.8520196255001829E-3"/>
    <n v="5.8369013567687372E-3"/>
    <n v="7.8671378364997113E-3"/>
  </r>
  <r>
    <x v="0"/>
    <x v="7"/>
    <x v="2"/>
    <s v="Biomass"/>
    <n v="15"/>
    <s v="MW"/>
    <n v="3.0938010940005932E-4"/>
    <n v="9.8373038541836339E-3"/>
    <n v="8.2458814173667749E-3"/>
    <n v="1.1428726205057351E-2"/>
  </r>
  <r>
    <x v="0"/>
    <x v="8"/>
    <x v="2"/>
    <s v="Biomass"/>
    <n v="15"/>
    <s v="MW"/>
    <n v="3.0702318608605896E-4"/>
    <n v="9.4021093568500327E-3"/>
    <n v="7.7431647222610351E-3"/>
    <n v="1.1061053906150625E-2"/>
  </r>
  <r>
    <x v="0"/>
    <x v="9"/>
    <x v="2"/>
    <s v="Biomass"/>
    <n v="15"/>
    <s v="MW"/>
    <n v="3.0466626277205871E-4"/>
    <n v="8.9724459462494754E-3"/>
    <n v="7.2472019498358905E-3"/>
    <n v="1.0697689858029389E-2"/>
  </r>
  <r>
    <x v="0"/>
    <x v="10"/>
    <x v="2"/>
    <s v="Biomass"/>
    <n v="19"/>
    <s v="MW"/>
    <n v="3.8292516331354069E-4"/>
    <n v="1.0827863921683814E-2"/>
    <n v="8.5601245934490283E-3"/>
    <n v="1.3095603143545282E-2"/>
  </r>
  <r>
    <x v="0"/>
    <x v="11"/>
    <x v="2"/>
    <s v="Biomass"/>
    <n v="19"/>
    <s v="MW"/>
    <n v="3.79939727115807E-4"/>
    <n v="1.0297635687980148E-2"/>
    <n v="7.9490150191680129E-3"/>
    <n v="1.2646256251248295E-2"/>
  </r>
  <r>
    <x v="0"/>
    <x v="12"/>
    <x v="2"/>
    <s v="Biomass"/>
    <n v="19"/>
    <s v="MW"/>
    <n v="3.7695429091807336E-4"/>
    <n v="9.7744134974716707E-3"/>
    <n v="7.346460413615751E-3"/>
    <n v="1.2202366476612931E-2"/>
  </r>
  <r>
    <x v="0"/>
    <x v="13"/>
    <x v="2"/>
    <s v="Biomass"/>
    <n v="19"/>
    <s v="MW"/>
    <n v="3.7396885472033967E-4"/>
    <n v="9.2581973501583772E-3"/>
    <n v="6.7524607767922382E-3"/>
    <n v="1.1763933819639189E-2"/>
  </r>
  <r>
    <x v="0"/>
    <x v="14"/>
    <x v="2"/>
    <s v="Biomass"/>
    <n v="19"/>
    <s v="MW"/>
    <n v="3.7098341852260592E-4"/>
    <n v="8.7489872460402712E-3"/>
    <n v="6.1670161086974772E-3"/>
    <n v="1.1330958280327067E-2"/>
  </r>
  <r>
    <x v="0"/>
    <x v="15"/>
    <x v="2"/>
    <s v="Biomass"/>
    <n v="19"/>
    <s v="MW"/>
    <n v="3.6799798232487228E-4"/>
    <n v="8.2467831851173526E-3"/>
    <n v="5.5901264093314662E-3"/>
    <n v="1.090343985867657E-2"/>
  </r>
  <r>
    <x v="0"/>
    <x v="16"/>
    <x v="2"/>
    <s v="Biomass"/>
    <n v="19"/>
    <s v="MW"/>
    <n v="3.6501254612713858E-4"/>
    <n v="7.7515851673896213E-3"/>
    <n v="5.021791678694207E-3"/>
    <n v="1.0481378554687695E-2"/>
  </r>
  <r>
    <x v="0"/>
    <x v="17"/>
    <x v="2"/>
    <s v="Biomass"/>
    <n v="19"/>
    <s v="MW"/>
    <n v="3.6202710992940494E-4"/>
    <n v="7.2633931928570775E-3"/>
    <n v="4.4620119167857004E-3"/>
    <n v="1.0064774368360443E-2"/>
  </r>
  <r>
    <x v="0"/>
    <x v="18"/>
    <x v="2"/>
    <s v="Biomass"/>
    <n v="19"/>
    <s v="MW"/>
    <n v="3.5904167373167119E-4"/>
    <n v="6.7822072615197184E-3"/>
    <n v="3.910787123605943E-3"/>
    <n v="9.6536272996948103E-3"/>
  </r>
  <r>
    <x v="0"/>
    <x v="19"/>
    <x v="2"/>
    <s v="Biomass"/>
    <n v="19"/>
    <s v="MW"/>
    <n v="3.5605623753393755E-4"/>
    <n v="6.3080273733775467E-3"/>
    <n v="3.3681172991549377E-3"/>
    <n v="9.2479373486908014E-3"/>
  </r>
  <r>
    <x v="0"/>
    <x v="20"/>
    <x v="2"/>
    <s v="Biomass"/>
    <n v="19"/>
    <s v="MW"/>
    <n v="3.5307080133620386E-4"/>
    <n v="5.8408535284305641E-3"/>
    <n v="2.8340024434326842E-3"/>
    <n v="8.8477045153484181E-3"/>
  </r>
  <r>
    <x v="0"/>
    <x v="0"/>
    <x v="2"/>
    <s v="Li_Battery"/>
    <n v="670.90909090909088"/>
    <s v="MW"/>
    <n v="2.8283824219461932E-3"/>
    <n v="0.11316474436760275"/>
    <n v="0.10375185506571422"/>
    <n v="0.12257763288379077"/>
  </r>
  <r>
    <x v="0"/>
    <x v="1"/>
    <x v="2"/>
    <s v="Li_Battery"/>
    <n v="1341.8181818181818"/>
    <s v="MW"/>
    <n v="5.6567648438923864E-3"/>
    <n v="0.21969200995213692"/>
    <n v="0.1993987895871315"/>
    <n v="0.23998522874574135"/>
  </r>
  <r>
    <x v="0"/>
    <x v="2"/>
    <x v="2"/>
    <s v="Li_Battery"/>
    <n v="2012.7272727272725"/>
    <s v="MW"/>
    <n v="8.4851472658385788E-3"/>
    <n v="0.31958179675360249"/>
    <n v="0.28694080356425178"/>
    <n v="0.35222278758585168"/>
  </r>
  <r>
    <x v="0"/>
    <x v="3"/>
    <x v="2"/>
    <s v="Li_Battery"/>
    <n v="2683.6363636363635"/>
    <s v="MW"/>
    <n v="1.1313529687784773E-2"/>
    <n v="0.4128341047719995"/>
    <n v="0.36637789699707524"/>
    <n v="0.45929030940412197"/>
  </r>
  <r>
    <x v="0"/>
    <x v="4"/>
    <x v="2"/>
    <s v="Li_Battery"/>
    <n v="3354.5454545454545"/>
    <s v="MW"/>
    <n v="1.4141912109730965E-2"/>
    <n v="0.49944893400732787"/>
    <n v="0.43771006988560163"/>
    <n v="0.56118779420055198"/>
  </r>
  <r>
    <x v="0"/>
    <x v="5"/>
    <x v="2"/>
    <s v="Li_Battery"/>
    <n v="4025.4545454545455"/>
    <s v="MW"/>
    <n v="1.6970294531677161E-2"/>
    <n v="0.57942628445958777"/>
    <n v="0.50093732222983123"/>
    <n v="0.65791524197514184"/>
  </r>
  <r>
    <x v="0"/>
    <x v="6"/>
    <x v="2"/>
    <s v="Li_Battery"/>
    <n v="4696.363636363636"/>
    <s v="MW"/>
    <n v="1.9798676953623348E-2"/>
    <n v="0.65276615612877886"/>
    <n v="0.55605965402976365"/>
    <n v="0.74947265272789132"/>
  </r>
  <r>
    <x v="0"/>
    <x v="7"/>
    <x v="2"/>
    <s v="Li_Battery"/>
    <n v="5367.272727272727"/>
    <s v="MW"/>
    <n v="2.2627059375569546E-2"/>
    <n v="0.71946854901490165"/>
    <n v="0.60307706528539939"/>
    <n v="0.83586002645880098"/>
  </r>
  <r>
    <x v="0"/>
    <x v="8"/>
    <x v="2"/>
    <s v="Li_Battery"/>
    <n v="6038.181818181818"/>
    <s v="MW"/>
    <n v="2.5455441797515736E-2"/>
    <n v="0.77953346311795568"/>
    <n v="0.64198955599673801"/>
    <n v="0.91707736316787014"/>
  </r>
  <r>
    <x v="0"/>
    <x v="9"/>
    <x v="2"/>
    <s v="Li_Battery"/>
    <n v="6709.090909090909"/>
    <s v="MW"/>
    <n v="2.828382421946193E-2"/>
    <n v="0.83296089843794119"/>
    <n v="0.67279712616377974"/>
    <n v="0.99312466285509926"/>
  </r>
  <r>
    <x v="0"/>
    <x v="10"/>
    <x v="2"/>
    <s v="Li_Battery"/>
    <n v="7380"/>
    <s v="MW"/>
    <n v="3.1112206641408124E-2"/>
    <n v="0.87975085497485817"/>
    <n v="0.69549977578652467"/>
    <n v="1.064001925520488"/>
  </r>
  <r>
    <x v="0"/>
    <x v="11"/>
    <x v="2"/>
    <s v="Li_Battery"/>
    <n v="7380"/>
    <s v="MW"/>
    <n v="3.1112206641408124E-2"/>
    <n v="0.84324472166798092"/>
    <n v="0.65092271279289149"/>
    <n v="1.035566721900367"/>
  </r>
  <r>
    <x v="0"/>
    <x v="12"/>
    <x v="2"/>
    <s v="Li_Battery"/>
    <n v="7380"/>
    <s v="MW"/>
    <n v="3.1112206641408124E-2"/>
    <n v="0.80673858836110368"/>
    <n v="0.60634564979925831"/>
    <n v="1.0071315182802458"/>
  </r>
  <r>
    <x v="0"/>
    <x v="13"/>
    <x v="2"/>
    <s v="Li_Battery"/>
    <n v="7380"/>
    <s v="MW"/>
    <n v="3.1112206641408124E-2"/>
    <n v="0.77023245505422655"/>
    <n v="0.56176858680562514"/>
    <n v="0.97869631466012463"/>
  </r>
  <r>
    <x v="0"/>
    <x v="14"/>
    <x v="2"/>
    <s v="Li_Battery"/>
    <n v="7380"/>
    <s v="MW"/>
    <n v="3.1112206641408124E-2"/>
    <n v="0.73372632174734931"/>
    <n v="0.51719152381199196"/>
    <n v="0.95026111104000355"/>
  </r>
  <r>
    <x v="0"/>
    <x v="15"/>
    <x v="2"/>
    <s v="Li_Battery"/>
    <n v="7380"/>
    <s v="MW"/>
    <n v="3.1112206641408124E-2"/>
    <n v="0.69722018844047207"/>
    <n v="0.47261446081835867"/>
    <n v="0.92182590741988235"/>
  </r>
  <r>
    <x v="0"/>
    <x v="16"/>
    <x v="2"/>
    <s v="Li_Battery"/>
    <n v="7380"/>
    <s v="MW"/>
    <n v="3.1112206641408124E-2"/>
    <n v="0.66071405513359482"/>
    <n v="0.42803739782472544"/>
    <n v="0.89339070379976127"/>
  </r>
  <r>
    <x v="0"/>
    <x v="17"/>
    <x v="2"/>
    <s v="Li_Battery"/>
    <n v="7380"/>
    <s v="MW"/>
    <n v="3.1112206641408124E-2"/>
    <n v="0.62420792182671769"/>
    <n v="0.38346033483109221"/>
    <n v="0.86495550017964007"/>
  </r>
  <r>
    <x v="0"/>
    <x v="18"/>
    <x v="2"/>
    <s v="Li_Battery"/>
    <n v="7380"/>
    <s v="MW"/>
    <n v="3.1112206641408124E-2"/>
    <n v="0.58770178851984045"/>
    <n v="0.33888327183745898"/>
    <n v="0.83652029655951898"/>
  </r>
  <r>
    <x v="0"/>
    <x v="19"/>
    <x v="2"/>
    <s v="Li_Battery"/>
    <n v="7380"/>
    <s v="MW"/>
    <n v="3.1112206641408124E-2"/>
    <n v="0.55119565521296321"/>
    <n v="0.29430620884382575"/>
    <n v="0.80808509293939779"/>
  </r>
  <r>
    <x v="0"/>
    <x v="20"/>
    <x v="2"/>
    <s v="Li_Battery"/>
    <n v="7380"/>
    <s v="MW"/>
    <n v="3.1112206641408124E-2"/>
    <n v="0.51468952190608608"/>
    <n v="0.24972914585019254"/>
    <n v="0.7796498893192767"/>
  </r>
  <r>
    <x v="0"/>
    <x v="0"/>
    <x v="2"/>
    <s v="LDES"/>
    <n v="0"/>
    <s v="MW"/>
    <n v="0"/>
    <n v="0"/>
    <n v="0"/>
    <n v="0"/>
  </r>
  <r>
    <x v="0"/>
    <x v="1"/>
    <x v="2"/>
    <s v="LDES"/>
    <n v="0"/>
    <s v="MW"/>
    <n v="0"/>
    <n v="0"/>
    <n v="0"/>
    <n v="0"/>
  </r>
  <r>
    <x v="0"/>
    <x v="2"/>
    <x v="2"/>
    <s v="LDES"/>
    <n v="0"/>
    <s v="MW"/>
    <n v="0"/>
    <n v="0"/>
    <n v="0"/>
    <n v="0"/>
  </r>
  <r>
    <x v="0"/>
    <x v="3"/>
    <x v="2"/>
    <s v="LDES"/>
    <n v="0"/>
    <s v="MW"/>
    <n v="0"/>
    <n v="0"/>
    <n v="0"/>
    <n v="0"/>
  </r>
  <r>
    <x v="0"/>
    <x v="4"/>
    <x v="2"/>
    <s v="LDES"/>
    <n v="0"/>
    <s v="MW"/>
    <n v="0"/>
    <n v="0"/>
    <n v="0"/>
    <n v="0"/>
  </r>
  <r>
    <x v="0"/>
    <x v="5"/>
    <x v="2"/>
    <s v="LDES"/>
    <n v="0"/>
    <s v="MW"/>
    <n v="0"/>
    <n v="0"/>
    <n v="0"/>
    <n v="0"/>
  </r>
  <r>
    <x v="0"/>
    <x v="6"/>
    <x v="2"/>
    <s v="LDES"/>
    <n v="0"/>
    <s v="MW"/>
    <n v="0"/>
    <n v="0"/>
    <n v="0"/>
    <n v="0"/>
  </r>
  <r>
    <x v="0"/>
    <x v="7"/>
    <x v="2"/>
    <s v="LDES"/>
    <n v="0"/>
    <s v="MW"/>
    <n v="0"/>
    <n v="0"/>
    <n v="0"/>
    <n v="0"/>
  </r>
  <r>
    <x v="0"/>
    <x v="8"/>
    <x v="2"/>
    <s v="LDES"/>
    <n v="0"/>
    <s v="MW"/>
    <n v="0"/>
    <n v="0"/>
    <n v="0"/>
    <n v="0"/>
  </r>
  <r>
    <x v="0"/>
    <x v="9"/>
    <x v="2"/>
    <s v="LDES"/>
    <n v="1000"/>
    <s v="MW"/>
    <n v="6.8954153824011474E-3"/>
    <n v="0.20307053768477021"/>
    <n v="0.16402363474571435"/>
    <n v="0.24211743870833891"/>
  </r>
  <r>
    <x v="0"/>
    <x v="10"/>
    <x v="2"/>
    <s v="LDES"/>
    <n v="1000"/>
    <s v="MW"/>
    <n v="6.9932771284677451E-3"/>
    <n v="0.19774687163003388"/>
    <n v="0.15633165242573785"/>
    <n v="0.23916208889165763"/>
  </r>
  <r>
    <x v="0"/>
    <x v="11"/>
    <x v="2"/>
    <s v="LDES"/>
    <n v="1000"/>
    <s v="MW"/>
    <n v="7.0911388745343437E-3"/>
    <n v="0.19219354947994394"/>
    <n v="0.14835924067371514"/>
    <n v="0.23602785631631532"/>
  </r>
  <r>
    <x v="0"/>
    <x v="12"/>
    <x v="2"/>
    <s v="LDES"/>
    <n v="1000"/>
    <s v="MW"/>
    <n v="7.1890006206009414E-3"/>
    <n v="0.18641057123450028"/>
    <n v="0.14010639948964615"/>
    <n v="0.2327147409823119"/>
  </r>
  <r>
    <x v="0"/>
    <x v="13"/>
    <x v="2"/>
    <s v="LDES"/>
    <n v="1000"/>
    <s v="MW"/>
    <n v="7.2868623666675399E-3"/>
    <n v="0.18039793689370298"/>
    <n v="0.13157312887353095"/>
    <n v="0.22922274288964739"/>
  </r>
  <r>
    <x v="0"/>
    <x v="14"/>
    <x v="2"/>
    <s v="LDES"/>
    <n v="1000"/>
    <s v="MW"/>
    <n v="7.3847241127341376E-3"/>
    <n v="0.17415564645755205"/>
    <n v="0.12275942882536947"/>
    <n v="0.22555186203832181"/>
  </r>
  <r>
    <x v="0"/>
    <x v="15"/>
    <x v="2"/>
    <s v="LDES"/>
    <n v="1000"/>
    <s v="MW"/>
    <n v="7.4825858588007353E-3"/>
    <n v="0.16768369992604745"/>
    <n v="0.11366529934516179"/>
    <n v="0.22170209842833521"/>
  </r>
  <r>
    <x v="0"/>
    <x v="16"/>
    <x v="2"/>
    <s v="LDES"/>
    <n v="1000"/>
    <s v="MW"/>
    <n v="7.580447604867333E-3"/>
    <n v="0.16098209729918919"/>
    <n v="0.10429074043290784"/>
    <n v="0.21767345205968747"/>
  </r>
  <r>
    <x v="0"/>
    <x v="17"/>
    <x v="2"/>
    <s v="LDES"/>
    <n v="1000"/>
    <s v="MW"/>
    <n v="7.6783093509339316E-3"/>
    <n v="0.15405083857697724"/>
    <n v="9.4635752088607653E-2"/>
    <n v="0.21346592293237868"/>
  </r>
  <r>
    <x v="0"/>
    <x v="18"/>
    <x v="2"/>
    <s v="LDES"/>
    <n v="1000"/>
    <s v="MW"/>
    <n v="7.7761710970005284E-3"/>
    <n v="0.14688992375941165"/>
    <n v="8.4700334312261219E-2"/>
    <n v="0.20907951104640876"/>
  </r>
  <r>
    <x v="0"/>
    <x v="19"/>
    <x v="2"/>
    <s v="LDES"/>
    <n v="1000"/>
    <s v="MW"/>
    <n v="7.8740328430671278E-3"/>
    <n v="0.13949935284649242"/>
    <n v="7.4484487103868569E-2"/>
    <n v="0.20451421640177786"/>
  </r>
  <r>
    <x v="0"/>
    <x v="20"/>
    <x v="2"/>
    <s v="LDES"/>
    <n v="1000"/>
    <s v="MW"/>
    <n v="7.9718945891337246E-3"/>
    <n v="0.13187912583821951"/>
    <n v="6.3988210463429646E-2"/>
    <n v="0.19977003899848575"/>
  </r>
  <r>
    <x v="0"/>
    <x v="0"/>
    <x v="3"/>
    <s v="AD - Animal Manure"/>
    <n v="0"/>
    <s v="mcf production/year"/>
    <n v="0"/>
    <n v="0"/>
    <n v="0"/>
    <n v="0"/>
  </r>
  <r>
    <x v="0"/>
    <x v="1"/>
    <x v="3"/>
    <s v="AD - Animal Manure"/>
    <n v="0"/>
    <s v="mcf production/year"/>
    <n v="0"/>
    <n v="0"/>
    <n v="0"/>
    <n v="0"/>
  </r>
  <r>
    <x v="0"/>
    <x v="2"/>
    <x v="3"/>
    <s v="AD - Animal Manure"/>
    <n v="0"/>
    <s v="mcf production/year"/>
    <n v="0"/>
    <n v="0"/>
    <n v="0"/>
    <n v="0"/>
  </r>
  <r>
    <x v="0"/>
    <x v="3"/>
    <x v="3"/>
    <s v="AD - Animal Manure"/>
    <n v="0"/>
    <s v="mcf production/year"/>
    <n v="0"/>
    <n v="0"/>
    <n v="0"/>
    <n v="0"/>
  </r>
  <r>
    <x v="0"/>
    <x v="4"/>
    <x v="3"/>
    <s v="AD - Animal Manure"/>
    <n v="0"/>
    <s v="mcf production/year"/>
    <n v="0"/>
    <n v="0"/>
    <n v="0"/>
    <n v="0"/>
  </r>
  <r>
    <x v="0"/>
    <x v="5"/>
    <x v="3"/>
    <s v="AD - Animal Manure"/>
    <n v="0"/>
    <s v="mcf production/year"/>
    <n v="0"/>
    <n v="0"/>
    <n v="0"/>
    <n v="0"/>
  </r>
  <r>
    <x v="0"/>
    <x v="6"/>
    <x v="3"/>
    <s v="AD - Animal Manure"/>
    <n v="0"/>
    <s v="mcf production/year"/>
    <n v="0"/>
    <n v="0"/>
    <n v="0"/>
    <n v="0"/>
  </r>
  <r>
    <x v="0"/>
    <x v="7"/>
    <x v="3"/>
    <s v="AD - Animal Manure"/>
    <n v="0"/>
    <s v="mcf production/year"/>
    <n v="0"/>
    <n v="0"/>
    <n v="0"/>
    <n v="0"/>
  </r>
  <r>
    <x v="0"/>
    <x v="8"/>
    <x v="3"/>
    <s v="AD - Animal Manure"/>
    <n v="0"/>
    <s v="mcf production/year"/>
    <n v="0"/>
    <n v="0"/>
    <n v="0"/>
    <n v="0"/>
  </r>
  <r>
    <x v="0"/>
    <x v="9"/>
    <x v="3"/>
    <s v="AD - Animal Manure"/>
    <n v="0"/>
    <s v="mcf production/year"/>
    <n v="0"/>
    <n v="0"/>
    <n v="0"/>
    <n v="0"/>
  </r>
  <r>
    <x v="0"/>
    <x v="10"/>
    <x v="3"/>
    <s v="AD - Animal Manure"/>
    <n v="0"/>
    <s v="mcf production/year"/>
    <n v="0"/>
    <n v="0"/>
    <n v="0"/>
    <n v="0"/>
  </r>
  <r>
    <x v="0"/>
    <x v="11"/>
    <x v="3"/>
    <s v="AD - Animal Manure"/>
    <n v="0"/>
    <s v="mcf production/year"/>
    <n v="0"/>
    <n v="0"/>
    <n v="0"/>
    <n v="0"/>
  </r>
  <r>
    <x v="0"/>
    <x v="12"/>
    <x v="3"/>
    <s v="AD - Animal Manure"/>
    <n v="0"/>
    <s v="mcf production/year"/>
    <n v="0"/>
    <n v="0"/>
    <n v="0"/>
    <n v="0"/>
  </r>
  <r>
    <x v="0"/>
    <x v="13"/>
    <x v="3"/>
    <s v="AD - Animal Manure"/>
    <n v="0"/>
    <s v="mcf production/year"/>
    <n v="0"/>
    <n v="0"/>
    <n v="0"/>
    <n v="0"/>
  </r>
  <r>
    <x v="0"/>
    <x v="14"/>
    <x v="3"/>
    <s v="AD - Animal Manure"/>
    <n v="0"/>
    <s v="mcf production/year"/>
    <n v="0"/>
    <n v="0"/>
    <n v="0"/>
    <n v="0"/>
  </r>
  <r>
    <x v="0"/>
    <x v="15"/>
    <x v="3"/>
    <s v="AD - Animal Manure"/>
    <n v="0"/>
    <s v="mcf production/year"/>
    <n v="0"/>
    <n v="0"/>
    <n v="0"/>
    <n v="0"/>
  </r>
  <r>
    <x v="0"/>
    <x v="16"/>
    <x v="3"/>
    <s v="AD - Animal Manure"/>
    <n v="0"/>
    <s v="mcf production/year"/>
    <n v="0"/>
    <n v="0"/>
    <n v="0"/>
    <n v="0"/>
  </r>
  <r>
    <x v="0"/>
    <x v="17"/>
    <x v="3"/>
    <s v="AD - Animal Manure"/>
    <n v="0"/>
    <s v="mcf production/year"/>
    <n v="0"/>
    <n v="0"/>
    <n v="0"/>
    <n v="0"/>
  </r>
  <r>
    <x v="0"/>
    <x v="18"/>
    <x v="3"/>
    <s v="AD - Animal Manure"/>
    <n v="0"/>
    <s v="mcf production/year"/>
    <n v="0"/>
    <n v="0"/>
    <n v="0"/>
    <n v="0"/>
  </r>
  <r>
    <x v="0"/>
    <x v="19"/>
    <x v="3"/>
    <s v="AD - Animal Manure"/>
    <n v="0"/>
    <s v="mcf production/year"/>
    <n v="0"/>
    <n v="0"/>
    <n v="0"/>
    <n v="0"/>
  </r>
  <r>
    <x v="0"/>
    <x v="20"/>
    <x v="3"/>
    <s v="AD - Animal Manure"/>
    <n v="0"/>
    <s v="mcf production/year"/>
    <n v="0"/>
    <n v="0"/>
    <n v="0"/>
    <n v="0"/>
  </r>
  <r>
    <x v="0"/>
    <x v="0"/>
    <x v="3"/>
    <s v="Food Waste"/>
    <n v="0"/>
    <s v="mcf production/year"/>
    <n v="0"/>
    <n v="0"/>
    <n v="0"/>
    <n v="0"/>
  </r>
  <r>
    <x v="0"/>
    <x v="1"/>
    <x v="3"/>
    <s v="Food Waste"/>
    <n v="0"/>
    <s v="mcf production/year"/>
    <n v="0"/>
    <n v="0"/>
    <n v="0"/>
    <n v="0"/>
  </r>
  <r>
    <x v="0"/>
    <x v="2"/>
    <x v="3"/>
    <s v="Food Waste"/>
    <n v="0"/>
    <s v="mcf production/year"/>
    <n v="0"/>
    <n v="0"/>
    <n v="0"/>
    <n v="0"/>
  </r>
  <r>
    <x v="0"/>
    <x v="3"/>
    <x v="3"/>
    <s v="Food Waste"/>
    <n v="0"/>
    <s v="mcf production/year"/>
    <n v="0"/>
    <n v="0"/>
    <n v="0"/>
    <n v="0"/>
  </r>
  <r>
    <x v="0"/>
    <x v="4"/>
    <x v="3"/>
    <s v="Food Waste"/>
    <n v="0"/>
    <s v="mcf production/year"/>
    <n v="0"/>
    <n v="0"/>
    <n v="0"/>
    <n v="0"/>
  </r>
  <r>
    <x v="0"/>
    <x v="5"/>
    <x v="3"/>
    <s v="Food Waste"/>
    <n v="0"/>
    <s v="mcf production/year"/>
    <n v="0"/>
    <n v="0"/>
    <n v="0"/>
    <n v="0"/>
  </r>
  <r>
    <x v="0"/>
    <x v="6"/>
    <x v="3"/>
    <s v="Food Waste"/>
    <n v="0"/>
    <s v="mcf production/year"/>
    <n v="0"/>
    <n v="0"/>
    <n v="0"/>
    <n v="0"/>
  </r>
  <r>
    <x v="0"/>
    <x v="7"/>
    <x v="3"/>
    <s v="Food Waste"/>
    <n v="0"/>
    <s v="mcf production/year"/>
    <n v="0"/>
    <n v="0"/>
    <n v="0"/>
    <n v="0"/>
  </r>
  <r>
    <x v="0"/>
    <x v="8"/>
    <x v="3"/>
    <s v="Food Waste"/>
    <n v="0"/>
    <s v="mcf production/year"/>
    <n v="0"/>
    <n v="0"/>
    <n v="0"/>
    <n v="0"/>
  </r>
  <r>
    <x v="0"/>
    <x v="9"/>
    <x v="3"/>
    <s v="Food Waste"/>
    <n v="0"/>
    <s v="mcf production/year"/>
    <n v="0"/>
    <n v="0"/>
    <n v="0"/>
    <n v="0"/>
  </r>
  <r>
    <x v="0"/>
    <x v="10"/>
    <x v="3"/>
    <s v="Food Waste"/>
    <n v="0"/>
    <s v="mcf production/year"/>
    <n v="0"/>
    <n v="0"/>
    <n v="0"/>
    <n v="0"/>
  </r>
  <r>
    <x v="0"/>
    <x v="11"/>
    <x v="3"/>
    <s v="Food Waste"/>
    <n v="0"/>
    <s v="mcf production/year"/>
    <n v="0"/>
    <n v="0"/>
    <n v="0"/>
    <n v="0"/>
  </r>
  <r>
    <x v="0"/>
    <x v="12"/>
    <x v="3"/>
    <s v="Food Waste"/>
    <n v="0"/>
    <s v="mcf production/year"/>
    <n v="0"/>
    <n v="0"/>
    <n v="0"/>
    <n v="0"/>
  </r>
  <r>
    <x v="0"/>
    <x v="13"/>
    <x v="3"/>
    <s v="Food Waste"/>
    <n v="0"/>
    <s v="mcf production/year"/>
    <n v="0"/>
    <n v="0"/>
    <n v="0"/>
    <n v="0"/>
  </r>
  <r>
    <x v="0"/>
    <x v="14"/>
    <x v="3"/>
    <s v="Food Waste"/>
    <n v="0"/>
    <s v="mcf production/year"/>
    <n v="0"/>
    <n v="0"/>
    <n v="0"/>
    <n v="0"/>
  </r>
  <r>
    <x v="0"/>
    <x v="15"/>
    <x v="3"/>
    <s v="Food Waste"/>
    <n v="0"/>
    <s v="mcf production/year"/>
    <n v="0"/>
    <n v="0"/>
    <n v="0"/>
    <n v="0"/>
  </r>
  <r>
    <x v="0"/>
    <x v="16"/>
    <x v="3"/>
    <s v="Food Waste"/>
    <n v="0"/>
    <s v="mcf production/year"/>
    <n v="0"/>
    <n v="0"/>
    <n v="0"/>
    <n v="0"/>
  </r>
  <r>
    <x v="0"/>
    <x v="17"/>
    <x v="3"/>
    <s v="Food Waste"/>
    <n v="0"/>
    <s v="mcf production/year"/>
    <n v="0"/>
    <n v="0"/>
    <n v="0"/>
    <n v="0"/>
  </r>
  <r>
    <x v="0"/>
    <x v="18"/>
    <x v="3"/>
    <s v="Food Waste"/>
    <n v="0"/>
    <s v="mcf production/year"/>
    <n v="0"/>
    <n v="0"/>
    <n v="0"/>
    <n v="0"/>
  </r>
  <r>
    <x v="0"/>
    <x v="19"/>
    <x v="3"/>
    <s v="Food Waste"/>
    <n v="0"/>
    <s v="mcf production/year"/>
    <n v="0"/>
    <n v="0"/>
    <n v="0"/>
    <n v="0"/>
  </r>
  <r>
    <x v="0"/>
    <x v="20"/>
    <x v="3"/>
    <s v="Food Waste"/>
    <n v="0"/>
    <s v="mcf production/year"/>
    <n v="0"/>
    <n v="0"/>
    <n v="0"/>
    <n v="0"/>
  </r>
  <r>
    <x v="0"/>
    <x v="0"/>
    <x v="4"/>
    <s v="Soybean Oil and Corn Oil"/>
    <n v="0"/>
    <s v="Millions of Gallons production/year"/>
    <n v="0"/>
    <n v="0"/>
    <n v="0"/>
    <n v="0"/>
  </r>
  <r>
    <x v="0"/>
    <x v="1"/>
    <x v="4"/>
    <s v="Soybean Oil and Corn Oil"/>
    <n v="0"/>
    <s v="Millions of Gallons production/year"/>
    <n v="0"/>
    <n v="0"/>
    <n v="0"/>
    <n v="0"/>
  </r>
  <r>
    <x v="0"/>
    <x v="2"/>
    <x v="4"/>
    <s v="Soybean Oil and Corn Oil"/>
    <n v="0"/>
    <s v="Millions of Gallons production/year"/>
    <n v="0"/>
    <n v="0"/>
    <n v="0"/>
    <n v="0"/>
  </r>
  <r>
    <x v="0"/>
    <x v="3"/>
    <x v="4"/>
    <s v="Soybean Oil and Corn Oil"/>
    <n v="0"/>
    <s v="Millions of Gallons production/year"/>
    <n v="0"/>
    <n v="0"/>
    <n v="0"/>
    <n v="0"/>
  </r>
  <r>
    <x v="0"/>
    <x v="4"/>
    <x v="4"/>
    <s v="Soybean Oil and Corn Oil"/>
    <n v="0"/>
    <s v="Millions of Gallons production/year"/>
    <n v="0"/>
    <n v="0"/>
    <n v="0"/>
    <n v="0"/>
  </r>
  <r>
    <x v="0"/>
    <x v="5"/>
    <x v="4"/>
    <s v="Soybean Oil and Corn Oil"/>
    <n v="0"/>
    <s v="Millions of Gallons production/year"/>
    <n v="0"/>
    <n v="0"/>
    <n v="0"/>
    <n v="0"/>
  </r>
  <r>
    <x v="0"/>
    <x v="6"/>
    <x v="4"/>
    <s v="Soybean Oil and Corn Oil"/>
    <n v="0"/>
    <s v="Millions of Gallons production/year"/>
    <n v="0"/>
    <n v="0"/>
    <n v="0"/>
    <n v="0"/>
  </r>
  <r>
    <x v="0"/>
    <x v="7"/>
    <x v="4"/>
    <s v="Soybean Oil and Corn Oil"/>
    <n v="0"/>
    <s v="Millions of Gallons production/year"/>
    <n v="0"/>
    <n v="0"/>
    <n v="0"/>
    <n v="0"/>
  </r>
  <r>
    <x v="0"/>
    <x v="8"/>
    <x v="4"/>
    <s v="Soybean Oil and Corn Oil"/>
    <n v="0"/>
    <s v="Millions of Gallons production/year"/>
    <n v="0"/>
    <n v="0"/>
    <n v="0"/>
    <n v="0"/>
  </r>
  <r>
    <x v="0"/>
    <x v="9"/>
    <x v="4"/>
    <s v="Soybean Oil and Corn Oil"/>
    <n v="0"/>
    <s v="Millions of Gallons production/year"/>
    <n v="0"/>
    <n v="0"/>
    <n v="0"/>
    <n v="0"/>
  </r>
  <r>
    <x v="0"/>
    <x v="10"/>
    <x v="4"/>
    <s v="Soybean Oil and Corn Oil"/>
    <n v="0"/>
    <s v="Millions of Gallons production/year"/>
    <n v="0"/>
    <n v="0"/>
    <n v="0"/>
    <n v="0"/>
  </r>
  <r>
    <x v="0"/>
    <x v="11"/>
    <x v="4"/>
    <s v="Soybean Oil and Corn Oil"/>
    <n v="0"/>
    <s v="Millions of Gallons production/year"/>
    <n v="0"/>
    <n v="0"/>
    <n v="0"/>
    <n v="0"/>
  </r>
  <r>
    <x v="0"/>
    <x v="12"/>
    <x v="4"/>
    <s v="Soybean Oil and Corn Oil"/>
    <n v="0"/>
    <s v="Millions of Gallons production/year"/>
    <n v="0"/>
    <n v="0"/>
    <n v="0"/>
    <n v="0"/>
  </r>
  <r>
    <x v="0"/>
    <x v="13"/>
    <x v="4"/>
    <s v="Soybean Oil and Corn Oil"/>
    <n v="0"/>
    <s v="Millions of Gallons production/year"/>
    <n v="0"/>
    <n v="0"/>
    <n v="0"/>
    <n v="0"/>
  </r>
  <r>
    <x v="0"/>
    <x v="14"/>
    <x v="4"/>
    <s v="Soybean Oil and Corn Oil"/>
    <n v="0"/>
    <s v="Millions of Gallons production/year"/>
    <n v="0"/>
    <n v="0"/>
    <n v="0"/>
    <n v="0"/>
  </r>
  <r>
    <x v="0"/>
    <x v="15"/>
    <x v="4"/>
    <s v="Soybean Oil and Corn Oil"/>
    <n v="0"/>
    <s v="Millions of Gallons production/year"/>
    <n v="0"/>
    <n v="0"/>
    <n v="0"/>
    <n v="0"/>
  </r>
  <r>
    <x v="0"/>
    <x v="16"/>
    <x v="4"/>
    <s v="Soybean Oil and Corn Oil"/>
    <n v="0"/>
    <s v="Millions of Gallons production/year"/>
    <n v="0"/>
    <n v="0"/>
    <n v="0"/>
    <n v="0"/>
  </r>
  <r>
    <x v="0"/>
    <x v="17"/>
    <x v="4"/>
    <s v="Soybean Oil and Corn Oil"/>
    <n v="0"/>
    <s v="Millions of Gallons production/year"/>
    <n v="0"/>
    <n v="0"/>
    <n v="0"/>
    <n v="0"/>
  </r>
  <r>
    <x v="0"/>
    <x v="18"/>
    <x v="4"/>
    <s v="Soybean Oil and Corn Oil"/>
    <n v="0"/>
    <s v="Millions of Gallons production/year"/>
    <n v="0"/>
    <n v="0"/>
    <n v="0"/>
    <n v="0"/>
  </r>
  <r>
    <x v="0"/>
    <x v="19"/>
    <x v="4"/>
    <s v="Soybean Oil and Corn Oil"/>
    <n v="0"/>
    <s v="Millions of Gallons production/year"/>
    <n v="0"/>
    <n v="0"/>
    <n v="0"/>
    <n v="0"/>
  </r>
  <r>
    <x v="0"/>
    <x v="20"/>
    <x v="4"/>
    <s v="Soybean Oil and Corn Oil"/>
    <n v="0"/>
    <s v="Millions of Gallons production/year"/>
    <n v="0"/>
    <n v="0"/>
    <n v="0"/>
    <n v="0"/>
  </r>
  <r>
    <x v="0"/>
    <x v="0"/>
    <x v="4"/>
    <s v="Animal Fat and Waste Oil"/>
    <n v="0"/>
    <s v="Millions of Gallons production/year"/>
    <n v="0"/>
    <n v="0"/>
    <n v="0"/>
    <n v="0"/>
  </r>
  <r>
    <x v="0"/>
    <x v="1"/>
    <x v="4"/>
    <s v="Animal Fat and Waste Oil"/>
    <n v="0"/>
    <s v="Millions of Gallons production/year"/>
    <n v="0"/>
    <n v="0"/>
    <n v="0"/>
    <n v="0"/>
  </r>
  <r>
    <x v="0"/>
    <x v="2"/>
    <x v="4"/>
    <s v="Animal Fat and Waste Oil"/>
    <n v="0"/>
    <s v="Millions of Gallons production/year"/>
    <n v="0"/>
    <n v="0"/>
    <n v="0"/>
    <n v="0"/>
  </r>
  <r>
    <x v="0"/>
    <x v="3"/>
    <x v="4"/>
    <s v="Animal Fat and Waste Oil"/>
    <n v="0"/>
    <s v="Millions of Gallons production/year"/>
    <n v="0"/>
    <n v="0"/>
    <n v="0"/>
    <n v="0"/>
  </r>
  <r>
    <x v="0"/>
    <x v="4"/>
    <x v="4"/>
    <s v="Animal Fat and Waste Oil"/>
    <n v="0"/>
    <s v="Millions of Gallons production/year"/>
    <n v="0"/>
    <n v="0"/>
    <n v="0"/>
    <n v="0"/>
  </r>
  <r>
    <x v="0"/>
    <x v="5"/>
    <x v="4"/>
    <s v="Animal Fat and Waste Oil"/>
    <n v="0"/>
    <s v="Millions of Gallons production/year"/>
    <n v="0"/>
    <n v="0"/>
    <n v="0"/>
    <n v="0"/>
  </r>
  <r>
    <x v="0"/>
    <x v="6"/>
    <x v="4"/>
    <s v="Animal Fat and Waste Oil"/>
    <n v="0"/>
    <s v="Millions of Gallons production/year"/>
    <n v="0"/>
    <n v="0"/>
    <n v="0"/>
    <n v="0"/>
  </r>
  <r>
    <x v="0"/>
    <x v="7"/>
    <x v="4"/>
    <s v="Animal Fat and Waste Oil"/>
    <n v="0"/>
    <s v="Millions of Gallons production/year"/>
    <n v="0"/>
    <n v="0"/>
    <n v="0"/>
    <n v="0"/>
  </r>
  <r>
    <x v="0"/>
    <x v="8"/>
    <x v="4"/>
    <s v="Animal Fat and Waste Oil"/>
    <n v="0"/>
    <s v="Millions of Gallons production/year"/>
    <n v="0"/>
    <n v="0"/>
    <n v="0"/>
    <n v="0"/>
  </r>
  <r>
    <x v="0"/>
    <x v="9"/>
    <x v="4"/>
    <s v="Animal Fat and Waste Oil"/>
    <n v="0"/>
    <s v="Millions of Gallons production/year"/>
    <n v="0"/>
    <n v="0"/>
    <n v="0"/>
    <n v="0"/>
  </r>
  <r>
    <x v="0"/>
    <x v="10"/>
    <x v="4"/>
    <s v="Animal Fat and Waste Oil"/>
    <n v="0"/>
    <s v="Millions of Gallons production/year"/>
    <n v="0"/>
    <n v="0"/>
    <n v="0"/>
    <n v="0"/>
  </r>
  <r>
    <x v="0"/>
    <x v="11"/>
    <x v="4"/>
    <s v="Animal Fat and Waste Oil"/>
    <n v="0"/>
    <s v="Millions of Gallons production/year"/>
    <n v="0"/>
    <n v="0"/>
    <n v="0"/>
    <n v="0"/>
  </r>
  <r>
    <x v="0"/>
    <x v="12"/>
    <x v="4"/>
    <s v="Animal Fat and Waste Oil"/>
    <n v="0"/>
    <s v="Millions of Gallons production/year"/>
    <n v="0"/>
    <n v="0"/>
    <n v="0"/>
    <n v="0"/>
  </r>
  <r>
    <x v="0"/>
    <x v="13"/>
    <x v="4"/>
    <s v="Animal Fat and Waste Oil"/>
    <n v="0"/>
    <s v="Millions of Gallons production/year"/>
    <n v="0"/>
    <n v="0"/>
    <n v="0"/>
    <n v="0"/>
  </r>
  <r>
    <x v="0"/>
    <x v="14"/>
    <x v="4"/>
    <s v="Animal Fat and Waste Oil"/>
    <n v="0"/>
    <s v="Millions of Gallons production/year"/>
    <n v="0"/>
    <n v="0"/>
    <n v="0"/>
    <n v="0"/>
  </r>
  <r>
    <x v="0"/>
    <x v="15"/>
    <x v="4"/>
    <s v="Animal Fat and Waste Oil"/>
    <n v="0"/>
    <s v="Millions of Gallons production/year"/>
    <n v="0"/>
    <n v="0"/>
    <n v="0"/>
    <n v="0"/>
  </r>
  <r>
    <x v="0"/>
    <x v="16"/>
    <x v="4"/>
    <s v="Animal Fat and Waste Oil"/>
    <n v="0"/>
    <s v="Millions of Gallons production/year"/>
    <n v="0"/>
    <n v="0"/>
    <n v="0"/>
    <n v="0"/>
  </r>
  <r>
    <x v="0"/>
    <x v="17"/>
    <x v="4"/>
    <s v="Animal Fat and Waste Oil"/>
    <n v="0"/>
    <s v="Millions of Gallons production/year"/>
    <n v="0"/>
    <n v="0"/>
    <n v="0"/>
    <n v="0"/>
  </r>
  <r>
    <x v="0"/>
    <x v="18"/>
    <x v="4"/>
    <s v="Animal Fat and Waste Oil"/>
    <n v="0"/>
    <s v="Millions of Gallons production/year"/>
    <n v="0"/>
    <n v="0"/>
    <n v="0"/>
    <n v="0"/>
  </r>
  <r>
    <x v="0"/>
    <x v="19"/>
    <x v="4"/>
    <s v="Animal Fat and Waste Oil"/>
    <n v="0"/>
    <s v="Millions of Gallons production/year"/>
    <n v="0"/>
    <n v="0"/>
    <n v="0"/>
    <n v="0"/>
  </r>
  <r>
    <x v="0"/>
    <x v="20"/>
    <x v="4"/>
    <s v="Animal Fat and Waste Oil"/>
    <n v="0"/>
    <s v="Millions of Gallons production/year"/>
    <n v="0"/>
    <n v="0"/>
    <n v="0"/>
    <n v="0"/>
  </r>
  <r>
    <x v="0"/>
    <x v="0"/>
    <x v="1"/>
    <s v="Solar (Off-Grid)"/>
    <n v="0"/>
    <s v="MW"/>
    <m/>
    <m/>
    <m/>
    <m/>
  </r>
  <r>
    <x v="0"/>
    <x v="1"/>
    <x v="1"/>
    <s v="Solar (Off-Grid)"/>
    <n v="0"/>
    <s v="MW"/>
    <m/>
    <m/>
    <m/>
    <m/>
  </r>
  <r>
    <x v="0"/>
    <x v="2"/>
    <x v="1"/>
    <s v="Solar (Off-Grid)"/>
    <n v="0"/>
    <s v="MW"/>
    <m/>
    <m/>
    <m/>
    <m/>
  </r>
  <r>
    <x v="0"/>
    <x v="3"/>
    <x v="1"/>
    <s v="Solar (Off-Grid)"/>
    <n v="0"/>
    <s v="MW"/>
    <m/>
    <m/>
    <m/>
    <m/>
  </r>
  <r>
    <x v="0"/>
    <x v="4"/>
    <x v="1"/>
    <s v="Solar (Off-Grid)"/>
    <n v="0"/>
    <s v="MW"/>
    <m/>
    <m/>
    <m/>
    <m/>
  </r>
  <r>
    <x v="0"/>
    <x v="5"/>
    <x v="1"/>
    <s v="Solar (Off-Grid)"/>
    <n v="1873.9726027397262"/>
    <s v="MW"/>
    <m/>
    <m/>
    <m/>
    <m/>
  </r>
  <r>
    <x v="0"/>
    <x v="6"/>
    <x v="1"/>
    <s v="Solar (Off-Grid)"/>
    <n v="1873.9726027397262"/>
    <s v="MW"/>
    <m/>
    <m/>
    <m/>
    <m/>
  </r>
  <r>
    <x v="0"/>
    <x v="7"/>
    <x v="1"/>
    <s v="Solar (Off-Grid)"/>
    <n v="1873.9726027397262"/>
    <s v="MW"/>
    <m/>
    <m/>
    <m/>
    <m/>
  </r>
  <r>
    <x v="0"/>
    <x v="8"/>
    <x v="1"/>
    <s v="Solar (Off-Grid)"/>
    <n v="1873.9726027397262"/>
    <s v="MW"/>
    <m/>
    <m/>
    <m/>
    <m/>
  </r>
  <r>
    <x v="0"/>
    <x v="9"/>
    <x v="1"/>
    <s v="Solar (Off-Grid)"/>
    <n v="1873.9726027397262"/>
    <s v="MW"/>
    <m/>
    <m/>
    <m/>
    <m/>
  </r>
  <r>
    <x v="0"/>
    <x v="10"/>
    <x v="1"/>
    <s v="Solar (Off-Grid)"/>
    <n v="1873.9726027397262"/>
    <s v="MW"/>
    <m/>
    <m/>
    <m/>
    <m/>
  </r>
  <r>
    <x v="0"/>
    <x v="11"/>
    <x v="1"/>
    <s v="Solar (Off-Grid)"/>
    <n v="1873.9726027397262"/>
    <s v="MW"/>
    <m/>
    <m/>
    <m/>
    <m/>
  </r>
  <r>
    <x v="0"/>
    <x v="12"/>
    <x v="1"/>
    <s v="Solar (Off-Grid)"/>
    <n v="1873.9726027397262"/>
    <s v="MW"/>
    <m/>
    <m/>
    <m/>
    <m/>
  </r>
  <r>
    <x v="0"/>
    <x v="13"/>
    <x v="1"/>
    <s v="Solar (Off-Grid)"/>
    <n v="1873.9726027397262"/>
    <s v="MW"/>
    <m/>
    <m/>
    <m/>
    <m/>
  </r>
  <r>
    <x v="0"/>
    <x v="14"/>
    <x v="1"/>
    <s v="Solar (Off-Grid)"/>
    <n v="1873.9726027397262"/>
    <s v="MW"/>
    <m/>
    <m/>
    <m/>
    <m/>
  </r>
  <r>
    <x v="0"/>
    <x v="15"/>
    <x v="1"/>
    <s v="Solar (Off-Grid)"/>
    <n v="1873.9726027397262"/>
    <s v="MW"/>
    <m/>
    <m/>
    <m/>
    <m/>
  </r>
  <r>
    <x v="0"/>
    <x v="16"/>
    <x v="1"/>
    <s v="Solar (Off-Grid)"/>
    <n v="1873.9726027397262"/>
    <s v="MW"/>
    <m/>
    <m/>
    <m/>
    <m/>
  </r>
  <r>
    <x v="0"/>
    <x v="17"/>
    <x v="1"/>
    <s v="Solar (Off-Grid)"/>
    <n v="1873.9726027397262"/>
    <s v="MW"/>
    <m/>
    <m/>
    <m/>
    <m/>
  </r>
  <r>
    <x v="0"/>
    <x v="18"/>
    <x v="1"/>
    <s v="Solar (Off-Grid)"/>
    <n v="1873.9726027397262"/>
    <s v="MW"/>
    <m/>
    <m/>
    <m/>
    <m/>
  </r>
  <r>
    <x v="0"/>
    <x v="19"/>
    <x v="1"/>
    <s v="Solar (Off-Grid)"/>
    <n v="1873.9726027397262"/>
    <s v="MW"/>
    <m/>
    <m/>
    <m/>
    <m/>
  </r>
  <r>
    <x v="0"/>
    <x v="20"/>
    <x v="1"/>
    <s v="Solar (Off-Grid)"/>
    <n v="1873.9726027397262"/>
    <s v="MW"/>
    <m/>
    <m/>
    <m/>
    <m/>
  </r>
  <r>
    <x v="1"/>
    <x v="0"/>
    <x v="0"/>
    <s v="SMR w/CC"/>
    <n v="0"/>
    <s v="metric ton production/year"/>
    <n v="0"/>
    <n v="0"/>
    <n v="0"/>
    <n v="0"/>
  </r>
  <r>
    <x v="1"/>
    <x v="1"/>
    <x v="0"/>
    <s v="SMR w/CC"/>
    <n v="10950"/>
    <s v="metric ton production/year"/>
    <n v="1.3139999999999998E-3"/>
    <n v="3.3642995397322573E-2"/>
    <n v="3.1738730097632332E-2"/>
    <n v="3.5547260697012813E-2"/>
  </r>
  <r>
    <x v="1"/>
    <x v="2"/>
    <x v="0"/>
    <s v="SMR w/CC"/>
    <n v="16373.684210526317"/>
    <s v="metric ton production/year"/>
    <n v="1.9648421052631576E-3"/>
    <n v="4.9445539892879774E-2"/>
    <n v="4.5736776479627914E-2"/>
    <n v="5.3154303306131627E-2"/>
  </r>
  <r>
    <x v="1"/>
    <x v="3"/>
    <x v="0"/>
    <s v="SMR w/CC"/>
    <n v="21797.368421052633"/>
    <s v="metric ton production/year"/>
    <n v="2.6156842105263156E-3"/>
    <n v="6.4585386164572683E-2"/>
    <n v="5.8409426413894905E-2"/>
    <n v="7.0761345915250448E-2"/>
  </r>
  <r>
    <x v="1"/>
    <x v="4"/>
    <x v="0"/>
    <s v="SMR w/CC"/>
    <n v="27221.05263157895"/>
    <s v="metric ton production/year"/>
    <n v="3.2665263157894736E-3"/>
    <n v="7.8878698001844896E-2"/>
    <n v="6.938900747932053E-2"/>
    <n v="8.8368388524369276E-2"/>
  </r>
  <r>
    <x v="1"/>
    <x v="5"/>
    <x v="0"/>
    <s v="SMR w/CC"/>
    <n v="32644.736842105267"/>
    <s v="metric ton production/year"/>
    <n v="3.9173684210526321E-3"/>
    <n v="9.2165196706340366E-2"/>
    <n v="7.8354962279192614E-2"/>
    <n v="0.1059754311334881"/>
  </r>
  <r>
    <x v="1"/>
    <x v="6"/>
    <x v="0"/>
    <s v="SMR w/CC"/>
    <n v="38068.42105263158"/>
    <s v="metric ton production/year"/>
    <n v="4.5682105263157892E-3"/>
    <n v="0.1042583834713405"/>
    <n v="8.4934293200074118E-2"/>
    <n v="0.1235824737426069"/>
  </r>
  <r>
    <x v="1"/>
    <x v="7"/>
    <x v="0"/>
    <s v="SMR w/CC"/>
    <n v="43492.105263157893"/>
    <s v="metric ton production/year"/>
    <n v="5.2190526315789463E-3"/>
    <n v="0.11499620259376901"/>
    <n v="8.8802888835812319E-2"/>
    <n v="0.14118951635172569"/>
  </r>
  <r>
    <x v="1"/>
    <x v="8"/>
    <x v="0"/>
    <s v="SMR w/CC"/>
    <n v="48915.789473684206"/>
    <s v="metric ton production/year"/>
    <n v="5.8698947368421043E-3"/>
    <n v="0.12402034383166394"/>
    <n v="8.9244128702483341E-2"/>
    <n v="0.15879655896084452"/>
  </r>
  <r>
    <x v="1"/>
    <x v="9"/>
    <x v="0"/>
    <s v="SMR w/CC"/>
    <n v="54339.473684210519"/>
    <s v="metric ton production/year"/>
    <n v="6.5207368421052615E-3"/>
    <n v="0.1311835847658345"/>
    <n v="8.5963567961705664E-2"/>
    <n v="0.17640360156996332"/>
  </r>
  <r>
    <x v="1"/>
    <x v="10"/>
    <x v="0"/>
    <s v="SMR w/CC"/>
    <n v="59763.157894736833"/>
    <s v="metric ton production/year"/>
    <n v="7.1715789473684195E-3"/>
    <n v="0.13600446756975254"/>
    <n v="7.799829096042292E-2"/>
    <n v="0.19401064417908215"/>
  </r>
  <r>
    <x v="1"/>
    <x v="11"/>
    <x v="0"/>
    <s v="SMR w/CC"/>
    <n v="65186.842105263146"/>
    <s v="metric ton production/year"/>
    <n v="7.8224210526315775E-3"/>
    <n v="0.13866870700992384"/>
    <n v="6.5719727231646735E-2"/>
    <n v="0.21161768678820098"/>
  </r>
  <r>
    <x v="1"/>
    <x v="12"/>
    <x v="0"/>
    <s v="SMR w/CC"/>
    <n v="70610.526315789466"/>
    <s v="metric ton production/year"/>
    <n v="8.4732631578947355E-3"/>
    <n v="0.13937326345183992"/>
    <n v="4.9521797506360071E-2"/>
    <n v="0.2292247293973198"/>
  </r>
  <r>
    <x v="1"/>
    <x v="13"/>
    <x v="0"/>
    <s v="SMR w/CC"/>
    <n v="76034.210526315786"/>
    <s v="metric ton production/year"/>
    <n v="9.1241052631578935E-3"/>
    <n v="0.1384788904984314"/>
    <n v="3.0126008990424169E-2"/>
    <n v="0.2468317720064386"/>
  </r>
  <r>
    <x v="1"/>
    <x v="14"/>
    <x v="0"/>
    <s v="SMR w/CC"/>
    <n v="81457.894736842107"/>
    <s v="metric ton production/year"/>
    <n v="9.7749473684210515E-3"/>
    <n v="0.13563901338605361"/>
    <n v="6.8392121565497652E-3"/>
    <n v="0.26443881461555746"/>
  </r>
  <r>
    <x v="1"/>
    <x v="15"/>
    <x v="0"/>
    <s v="SMR w/CC"/>
    <n v="86881.578947368427"/>
    <s v="metric ton production/year"/>
    <n v="1.0425789473684211E-2"/>
    <n v="0.14102292861233814"/>
    <n v="0"/>
    <n v="0.28204585722467629"/>
  </r>
  <r>
    <x v="1"/>
    <x v="16"/>
    <x v="0"/>
    <s v="SMR w/CC"/>
    <n v="92305.263157894748"/>
    <s v="metric ton production/year"/>
    <n v="1.1076631578947369E-2"/>
    <n v="0.14982644991689756"/>
    <n v="0"/>
    <n v="0.29965289983379512"/>
  </r>
  <r>
    <x v="1"/>
    <x v="17"/>
    <x v="0"/>
    <s v="SMR w/CC"/>
    <n v="97728.947368421068"/>
    <s v="metric ton production/year"/>
    <n v="1.1727473684210527E-2"/>
    <n v="0.15862997122145697"/>
    <n v="0"/>
    <n v="0.31725994244291394"/>
  </r>
  <r>
    <x v="1"/>
    <x v="18"/>
    <x v="0"/>
    <s v="SMR w/CC"/>
    <n v="103152.63157894739"/>
    <s v="metric ton production/year"/>
    <n v="1.2378315789473685E-2"/>
    <n v="0.16743349252601639"/>
    <n v="0"/>
    <n v="0.33486698505203277"/>
  </r>
  <r>
    <x v="1"/>
    <x v="19"/>
    <x v="0"/>
    <s v="SMR w/CC"/>
    <n v="108576.31578947371"/>
    <s v="metric ton production/year"/>
    <n v="1.3029157894736843E-2"/>
    <n v="0.1762370138305758"/>
    <n v="0"/>
    <n v="0.3524740276611516"/>
  </r>
  <r>
    <x v="1"/>
    <x v="20"/>
    <x v="0"/>
    <s v="SMR w/CC"/>
    <n v="114000.00000000003"/>
    <s v="metric ton production/year"/>
    <n v="1.3680000000000003E-2"/>
    <n v="0.18504053513513524"/>
    <n v="0"/>
    <n v="0.37008107027027048"/>
  </r>
  <r>
    <x v="1"/>
    <x v="0"/>
    <x v="1"/>
    <s v="Off-Grid Electrolysis"/>
    <n v="0"/>
    <s v="metric ton production/year"/>
    <n v="0"/>
    <n v="0"/>
    <n v="0"/>
    <n v="0"/>
  </r>
  <r>
    <x v="1"/>
    <x v="1"/>
    <x v="1"/>
    <s v="Off-Grid Electrolysis"/>
    <n v="0"/>
    <s v="metric ton production/year"/>
    <n v="0"/>
    <n v="0"/>
    <n v="0"/>
    <n v="0"/>
  </r>
  <r>
    <x v="1"/>
    <x v="2"/>
    <x v="1"/>
    <s v="Off-Grid Electrolysis"/>
    <n v="0"/>
    <s v="metric ton production/year"/>
    <n v="0"/>
    <n v="0"/>
    <n v="0"/>
    <n v="0"/>
  </r>
  <r>
    <x v="1"/>
    <x v="3"/>
    <x v="1"/>
    <s v="Off-Grid Electrolysis"/>
    <n v="0"/>
    <s v="metric ton production/year"/>
    <n v="0"/>
    <n v="0"/>
    <n v="0"/>
    <n v="0"/>
  </r>
  <r>
    <x v="1"/>
    <x v="4"/>
    <x v="1"/>
    <s v="Off-Grid Electrolysis"/>
    <n v="0"/>
    <s v="metric ton production/year"/>
    <n v="0"/>
    <n v="0"/>
    <n v="0"/>
    <n v="0"/>
  </r>
  <r>
    <x v="1"/>
    <x v="5"/>
    <x v="1"/>
    <s v="Off-Grid Electrolysis"/>
    <n v="117306"/>
    <s v="metric ton production/year"/>
    <n v="1.4076719999999999E-2"/>
    <n v="1.2164343300776963"/>
    <n v="1.1668084633553926"/>
    <n v="1.2660601967999998"/>
  </r>
  <r>
    <x v="1"/>
    <x v="6"/>
    <x v="1"/>
    <s v="Off-Grid Electrolysis"/>
    <n v="132285.6"/>
    <s v="metric ton production/year"/>
    <n v="1.5874271999999998E-2"/>
    <n v="1.3605819080381027"/>
    <n v="1.2934317923962058"/>
    <n v="1.4277320236799997"/>
  </r>
  <r>
    <x v="1"/>
    <x v="7"/>
    <x v="1"/>
    <s v="Off-Grid Electrolysis"/>
    <n v="147265.20000000001"/>
    <s v="metric ton production/year"/>
    <n v="1.7671823999999999E-2"/>
    <n v="1.5007127291279958"/>
    <n v="1.4120216076959915"/>
    <n v="1.5894038505599999"/>
  </r>
  <r>
    <x v="1"/>
    <x v="8"/>
    <x v="1"/>
    <s v="Off-Grid Electrolysis"/>
    <n v="162244.80000000002"/>
    <s v="metric ton production/year"/>
    <n v="1.9469376E-2"/>
    <n v="1.6357292805178707"/>
    <n v="1.5203828835957418"/>
    <n v="1.75107567744"/>
  </r>
  <r>
    <x v="1"/>
    <x v="9"/>
    <x v="1"/>
    <s v="Off-Grid Electrolysis"/>
    <n v="177224.40000000002"/>
    <s v="metric ton production/year"/>
    <n v="2.1266928000000001E-2"/>
    <n v="1.7652655763080563"/>
    <n v="1.6177836482961123"/>
    <n v="1.91274750432"/>
  </r>
  <r>
    <x v="1"/>
    <x v="10"/>
    <x v="1"/>
    <s v="Off-Grid Electrolysis"/>
    <n v="192204.00000000003"/>
    <s v="metric ton production/year"/>
    <n v="2.3064480000000002E-2"/>
    <n v="1.8878659501243753"/>
    <n v="1.7013125690487501"/>
    <n v="2.0744193312000001"/>
  </r>
  <r>
    <x v="1"/>
    <x v="11"/>
    <x v="1"/>
    <s v="Off-Grid Electrolysis"/>
    <n v="207183.60000000003"/>
    <s v="metric ton production/year"/>
    <n v="2.4862032000000003E-2"/>
    <n v="2.0042371249856377"/>
    <n v="1.7723830918912753"/>
    <n v="2.2360911580800003"/>
  </r>
  <r>
    <x v="1"/>
    <x v="12"/>
    <x v="1"/>
    <s v="Off-Grid Electrolysis"/>
    <n v="222163.20000000004"/>
    <s v="metric ton production/year"/>
    <n v="2.6659584000000004E-2"/>
    <n v="2.1150616620741638"/>
    <n v="1.8323603391883279"/>
    <n v="2.3977629849600004"/>
  </r>
  <r>
    <x v="1"/>
    <x v="13"/>
    <x v="1"/>
    <s v="Off-Grid Electrolysis"/>
    <n v="237142.80000000005"/>
    <s v="metric ton production/year"/>
    <n v="2.8457136000000004E-2"/>
    <n v="2.2214934360959346"/>
    <n v="1.8835520603518694"/>
    <n v="2.5594348118400005"/>
  </r>
  <r>
    <x v="1"/>
    <x v="14"/>
    <x v="1"/>
    <s v="Off-Grid Electrolysis"/>
    <n v="252122.40000000005"/>
    <s v="metric ton production/year"/>
    <n v="3.0254688000000005E-2"/>
    <n v="2.3224551008866969"/>
    <n v="1.9238035630533936"/>
    <n v="2.7211066387200002"/>
  </r>
  <r>
    <x v="1"/>
    <x v="15"/>
    <x v="1"/>
    <s v="Off-Grid Electrolysis"/>
    <n v="267102.00000000006"/>
    <s v="metric ton production/year"/>
    <n v="3.2052240000000003E-2"/>
    <n v="2.4180618748919831"/>
    <n v="1.9533452841839665"/>
    <n v="2.8827784656"/>
  </r>
  <r>
    <x v="1"/>
    <x v="16"/>
    <x v="1"/>
    <s v="Off-Grid Electrolysis"/>
    <n v="282081.60000000003"/>
    <s v="metric ton production/year"/>
    <n v="3.3849792000000004E-2"/>
    <n v="2.509191844703059"/>
    <n v="1.9739333969261179"/>
    <n v="3.0444502924800001"/>
  </r>
  <r>
    <x v="1"/>
    <x v="17"/>
    <x v="1"/>
    <s v="Off-Grid Electrolysis"/>
    <n v="297061.2"/>
    <s v="metric ton production/year"/>
    <n v="3.5647343999999997E-2"/>
    <n v="2.5970625206175106"/>
    <n v="1.9880029218750213"/>
    <n v="3.2061221193599998"/>
  </r>
  <r>
    <x v="1"/>
    <x v="18"/>
    <x v="1"/>
    <s v="Off-Grid Electrolysis"/>
    <n v="312040.8"/>
    <s v="metric ton production/year"/>
    <n v="3.7444895999999998E-2"/>
    <n v="2.6822791612728616"/>
    <n v="1.9967643763057235"/>
    <n v="3.3677939462399999"/>
  </r>
  <r>
    <x v="1"/>
    <x v="19"/>
    <x v="1"/>
    <s v="Off-Grid Electrolysis"/>
    <n v="327020.39999999997"/>
    <s v="metric ton production/year"/>
    <n v="3.9242447999999992E-2"/>
    <n v="2.7658148456337917"/>
    <n v="2.0021639181475841"/>
    <n v="3.5294657731199992"/>
  </r>
  <r>
    <x v="1"/>
    <x v="20"/>
    <x v="1"/>
    <s v="Off-Grid Electrolysis"/>
    <n v="341999.99999999994"/>
    <s v="metric ton production/year"/>
    <n v="4.1039999999999986E-2"/>
    <n v="2.848608727982461"/>
    <n v="2.0060798559649236"/>
    <n v="3.6911375999999985"/>
  </r>
  <r>
    <x v="1"/>
    <x v="0"/>
    <x v="2"/>
    <s v="Solar"/>
    <n v="1171"/>
    <s v="MW"/>
    <n v="9.6702605611217567E-3"/>
    <n v="0.38691110363161241"/>
    <n v="0.35472836501890959"/>
    <n v="0.41909383955799928"/>
  </r>
  <r>
    <x v="1"/>
    <x v="1"/>
    <x v="2"/>
    <s v="Solar"/>
    <n v="2342"/>
    <s v="MW"/>
    <n v="1.8886309524751267E-2"/>
    <n v="0.73348838330280919"/>
    <n v="0.66573516186895565"/>
    <n v="0.80124159949020701"/>
  </r>
  <r>
    <x v="1"/>
    <x v="2"/>
    <x v="2"/>
    <s v="Solar"/>
    <n v="3513"/>
    <s v="MW"/>
    <n v="2.7648146890888538E-2"/>
    <n v="1.0413307139489523"/>
    <n v="0.93497275148942038"/>
    <n v="1.1476886687280652"/>
  </r>
  <r>
    <x v="1"/>
    <x v="3"/>
    <x v="2"/>
    <s v="Solar"/>
    <n v="4684"/>
    <s v="MW"/>
    <n v="3.5955772659533571E-2"/>
    <n v="1.3120369705054034"/>
    <n v="1.1643934948195851"/>
    <n v="1.4596804362030154"/>
  </r>
  <r>
    <x v="1"/>
    <x v="4"/>
    <x v="2"/>
    <s v="Solar"/>
    <n v="5854"/>
    <s v="MW"/>
    <n v="4.3801704475975728E-2"/>
    <n v="1.5469417741025873"/>
    <n v="1.3557181644549579"/>
    <n v="1.7381653715824776"/>
  </r>
  <r>
    <x v="1"/>
    <x v="5"/>
    <x v="2"/>
    <s v="Solar"/>
    <n v="7025"/>
    <s v="MW"/>
    <n v="5.120110099139439E-2"/>
    <n v="1.7481879087193295"/>
    <n v="1.511378743484509"/>
    <n v="1.9849970597309223"/>
  </r>
  <r>
    <x v="1"/>
    <x v="6"/>
    <x v="2"/>
    <s v="Solar"/>
    <n v="8196"/>
    <s v="MW"/>
    <n v="5.8146285909320798E-2"/>
    <n v="1.9170941389215412"/>
    <n v="1.6330790032884208"/>
    <n v="2.2011092584021217"/>
  </r>
  <r>
    <x v="1"/>
    <x v="7"/>
    <x v="2"/>
    <s v="Solar"/>
    <n v="9367"/>
    <s v="MW"/>
    <n v="6.4637259229754981E-2"/>
    <n v="2.0552593396445848"/>
    <n v="1.7227713048059754"/>
    <n v="2.3877473565275178"/>
  </r>
  <r>
    <x v="1"/>
    <x v="8"/>
    <x v="2"/>
    <s v="Solar"/>
    <n v="10538"/>
    <s v="MW"/>
    <n v="7.0674020952696898E-2"/>
    <n v="2.1642823858238214"/>
    <n v="1.7824080089764547"/>
    <n v="2.5461567430385519"/>
  </r>
  <r>
    <x v="1"/>
    <x v="9"/>
    <x v="2"/>
    <s v="Solar"/>
    <n v="11709"/>
    <s v="MW"/>
    <n v="7.6256571078146596E-2"/>
    <n v="2.245762152394613"/>
    <n v="1.8139414767391404"/>
    <n v="2.6775828068666656"/>
  </r>
  <r>
    <x v="1"/>
    <x v="10"/>
    <x v="2"/>
    <s v="Solar"/>
    <n v="12880"/>
    <s v="MW"/>
    <n v="8.1384909606104033E-2"/>
    <n v="2.3012975142923215"/>
    <n v="1.8193240690333143"/>
    <n v="2.7832709369433006"/>
  </r>
  <r>
    <x v="1"/>
    <x v="11"/>
    <x v="2"/>
    <s v="Solar"/>
    <n v="14051"/>
    <s v="MW"/>
    <n v="8.6059036536569253E-2"/>
    <n v="2.332487346452309"/>
    <n v="1.8005081467982589"/>
    <n v="2.8644665221998991"/>
  </r>
  <r>
    <x v="1"/>
    <x v="12"/>
    <x v="2"/>
    <s v="Solar"/>
    <n v="15221"/>
    <s v="MW"/>
    <n v="9.0273021048896465E-2"/>
    <n v="2.3407767378078468"/>
    <n v="1.7593304852374139"/>
    <n v="2.9222229653012111"/>
  </r>
  <r>
    <x v="1"/>
    <x v="13"/>
    <x v="2"/>
    <s v="Solar"/>
    <n v="16392"/>
    <s v="MW"/>
    <n v="9.4038918726135304E-2"/>
    <n v="2.3280838956846757"/>
    <n v="1.6979866161984032"/>
    <n v="2.9581811490477463"/>
  </r>
  <r>
    <x v="1"/>
    <x v="14"/>
    <x v="2"/>
    <s v="Solar"/>
    <n v="17563"/>
    <s v="MW"/>
    <n v="9.7350604805881882E-2"/>
    <n v="2.2958416934989447"/>
    <n v="1.6183007596948227"/>
    <n v="2.9733826002599066"/>
  </r>
  <r>
    <x v="1"/>
    <x v="15"/>
    <x v="2"/>
    <s v="Solar"/>
    <n v="18734"/>
    <s v="MW"/>
    <n v="0.10020807928813624"/>
    <n v="2.2456490061860159"/>
    <n v="1.522225276665955"/>
    <n v="2.9690727078691355"/>
  </r>
  <r>
    <x v="1"/>
    <x v="16"/>
    <x v="2"/>
    <s v="Solar"/>
    <n v="19905"/>
    <s v="MW"/>
    <n v="0.10261134217289836"/>
    <n v="2.1791047086812507"/>
    <n v="1.4117125280510818"/>
    <n v="2.9464968608068731"/>
  </r>
  <r>
    <x v="1"/>
    <x v="17"/>
    <x v="2"/>
    <s v="Solar"/>
    <n v="21076"/>
    <s v="MW"/>
    <n v="0.10456039346016822"/>
    <n v="2.0978076759200115"/>
    <n v="1.288714874789485"/>
    <n v="2.9069004480045617"/>
  </r>
  <r>
    <x v="1"/>
    <x v="18"/>
    <x v="2"/>
    <s v="Solar"/>
    <n v="22247"/>
    <s v="MW"/>
    <n v="0.10605523314994585"/>
    <n v="2.0033567828376597"/>
    <n v="1.1551846778204462"/>
    <n v="2.8515288583936429"/>
  </r>
  <r>
    <x v="1"/>
    <x v="19"/>
    <x v="2"/>
    <s v="Solar"/>
    <n v="23418"/>
    <s v="MW"/>
    <n v="0.10709586124223124"/>
    <n v="1.8973509043695567"/>
    <n v="1.0130742980832477"/>
    <n v="2.7816274809055588"/>
  </r>
  <r>
    <x v="1"/>
    <x v="20"/>
    <x v="2"/>
    <s v="Solar"/>
    <n v="24589"/>
    <s v="MW"/>
    <n v="0.10768227773702438"/>
    <n v="1.7813889154510654"/>
    <n v="0.86433609651717103"/>
    <n v="2.698441704471751"/>
  </r>
  <r>
    <x v="1"/>
    <x v="0"/>
    <x v="2"/>
    <s v="Wind"/>
    <n v="99"/>
    <s v="MW"/>
    <n v="8.9195705339215775E-4"/>
    <n v="3.568756867911406E-2"/>
    <n v="3.2719125324186867E-2"/>
    <n v="3.8656011786263191E-2"/>
  </r>
  <r>
    <x v="1"/>
    <x v="1"/>
    <x v="2"/>
    <s v="Wind"/>
    <n v="212"/>
    <s v="MW"/>
    <n v="1.8947544793857763E-3"/>
    <n v="7.3586657997904037E-2"/>
    <n v="6.6789368160184881E-2"/>
    <n v="8.038394730927656E-2"/>
  </r>
  <r>
    <x v="1"/>
    <x v="2"/>
    <x v="2"/>
    <s v="Wind"/>
    <n v="325"/>
    <s v="MW"/>
    <n v="2.8812468920218714E-3"/>
    <n v="0.10851833560393502"/>
    <n v="9.7434643449532649E-2"/>
    <n v="0.11960202695795161"/>
  </r>
  <r>
    <x v="1"/>
    <x v="3"/>
    <x v="2"/>
    <s v="Wind"/>
    <n v="438"/>
    <s v="MW"/>
    <n v="3.8514342913004433E-3"/>
    <n v="0.14053999694312261"/>
    <n v="0.12472503586503352"/>
    <n v="0.15635495695131618"/>
  </r>
  <r>
    <x v="1"/>
    <x v="4"/>
    <x v="2"/>
    <s v="Wind"/>
    <n v="551"/>
    <s v="MW"/>
    <n v="4.8053166772214911E-3"/>
    <n v="0.16970903746138233"/>
    <n v="0.14873063007949069"/>
    <n v="0.19068744350839809"/>
  </r>
  <r>
    <x v="1"/>
    <x v="5"/>
    <x v="2"/>
    <s v="Wind"/>
    <n v="664"/>
    <s v="MW"/>
    <n v="5.7428940497850156E-3"/>
    <n v="0.19608285260462974"/>
    <n v="0.16952151076570751"/>
    <n v="0.2226441928482252"/>
  </r>
  <r>
    <x v="1"/>
    <x v="6"/>
    <x v="2"/>
    <s v="Wind"/>
    <n v="777"/>
    <s v="MW"/>
    <n v="6.6641664089910164E-3"/>
    <n v="0.2197188378187804"/>
    <n v="0.18716776259648721"/>
    <n v="0.25226991118982528"/>
  </r>
  <r>
    <x v="1"/>
    <x v="7"/>
    <x v="2"/>
    <s v="Wind"/>
    <n v="890"/>
    <s v="MW"/>
    <n v="7.5691337548394943E-3"/>
    <n v="0.24067438854974987"/>
    <n v="0.20173947024463307"/>
    <n v="0.27960930475222628"/>
  </r>
  <r>
    <x v="1"/>
    <x v="8"/>
    <x v="2"/>
    <s v="Wind"/>
    <n v="1003"/>
    <s v="MW"/>
    <n v="8.4577960873304502E-3"/>
    <n v="0.25900690024345374"/>
    <n v="0.21330671838294843"/>
    <n v="0.30470707975445593"/>
  </r>
  <r>
    <x v="1"/>
    <x v="9"/>
    <x v="2"/>
    <s v="Wind"/>
    <n v="1116"/>
    <s v="MW"/>
    <n v="9.3301534064638789E-3"/>
    <n v="0.27477376834580741"/>
    <n v="0.22193959168423644"/>
    <n v="0.32760794241554198"/>
  </r>
  <r>
    <x v="1"/>
    <x v="10"/>
    <x v="2"/>
    <s v="Wind"/>
    <n v="1229"/>
    <s v="MW"/>
    <n v="1.0186205712239787E-2"/>
    <n v="0.28803238830272665"/>
    <n v="0.22770817482130051"/>
    <n v="0.34835659895451243"/>
  </r>
  <r>
    <x v="1"/>
    <x v="11"/>
    <x v="2"/>
    <s v="Wind"/>
    <n v="1342"/>
    <s v="MW"/>
    <n v="1.1025953004658169E-2"/>
    <n v="0.29884015556012689"/>
    <n v="0.23068255246694386"/>
    <n v="0.36699775559039499"/>
  </r>
  <r>
    <x v="1"/>
    <x v="12"/>
    <x v="2"/>
    <s v="Wind"/>
    <n v="1455"/>
    <s v="MW"/>
    <n v="1.1849395283719031E-2"/>
    <n v="0.30725446556392372"/>
    <n v="0.23093280929396978"/>
    <n v="0.38357611854221757"/>
  </r>
  <r>
    <x v="1"/>
    <x v="13"/>
    <x v="2"/>
    <s v="Wind"/>
    <n v="1568"/>
    <s v="MW"/>
    <n v="1.2656532549422367E-2"/>
    <n v="0.31333271376003269"/>
    <n v="0.22852902997518157"/>
    <n v="0.39813639402900797"/>
  </r>
  <r>
    <x v="1"/>
    <x v="14"/>
    <x v="2"/>
    <s v="Wind"/>
    <n v="1681"/>
    <s v="MW"/>
    <n v="1.3447364801768181E-2"/>
    <n v="0.31713229559436934"/>
    <n v="0.22354129918338242"/>
    <n v="0.41072328826979404"/>
  </r>
  <r>
    <x v="1"/>
    <x v="15"/>
    <x v="2"/>
    <s v="Wind"/>
    <n v="1794"/>
    <s v="MW"/>
    <n v="1.4221892040756471E-2"/>
    <n v="0.31871060651284916"/>
    <n v="0.21603970159137564"/>
    <n v="0.42138150748360353"/>
  </r>
  <r>
    <x v="1"/>
    <x v="16"/>
    <x v="2"/>
    <s v="Wind"/>
    <n v="1907"/>
    <s v="MW"/>
    <n v="1.4980114266387238E-2"/>
    <n v="0.31812504196138786"/>
    <n v="0.20609432187196458"/>
    <n v="0.43015575788946442"/>
  </r>
  <r>
    <x v="1"/>
    <x v="17"/>
    <x v="2"/>
    <s v="Wind"/>
    <n v="2020"/>
    <s v="MW"/>
    <n v="1.5722031478660484E-2"/>
    <n v="0.31543299738590086"/>
    <n v="0.19377524469795243"/>
    <n v="0.43709074570640438"/>
  </r>
  <r>
    <x v="1"/>
    <x v="18"/>
    <x v="2"/>
    <s v="Wind"/>
    <n v="2132"/>
    <s v="MW"/>
    <n v="1.6439932639752675E-2"/>
    <n v="0.31054620865976162"/>
    <n v="0.17906856385853157"/>
    <n v="0.44202384889412005"/>
  </r>
  <r>
    <x v="1"/>
    <x v="19"/>
    <x v="2"/>
    <s v="Wind"/>
    <n v="2245"/>
    <s v="MW"/>
    <n v="1.7149311971387676E-2"/>
    <n v="0.30382371644252881"/>
    <n v="0.16222407650962781"/>
    <n v="0.44542335161149871"/>
  </r>
  <r>
    <x v="1"/>
    <x v="20"/>
    <x v="2"/>
    <s v="Wind"/>
    <n v="2358"/>
    <s v="MW"/>
    <n v="1.7842386289665155E-2"/>
    <n v="0.29516676123091701"/>
    <n v="0.14321593898508508"/>
    <n v="0.44711757852028783"/>
  </r>
  <r>
    <x v="1"/>
    <x v="0"/>
    <x v="2"/>
    <s v="Biomass"/>
    <n v="0"/>
    <s v="MW"/>
    <n v="0"/>
    <n v="0"/>
    <n v="0"/>
    <n v="0"/>
  </r>
  <r>
    <x v="1"/>
    <x v="1"/>
    <x v="2"/>
    <s v="Biomass"/>
    <n v="5"/>
    <s v="MW"/>
    <n v="1.0784054976135365E-4"/>
    <n v="4.1882078865263742E-3"/>
    <n v="3.8013379880978866E-3"/>
    <n v="4.5750777549976767E-3"/>
  </r>
  <r>
    <x v="1"/>
    <x v="2"/>
    <x v="2"/>
    <s v="Biomass"/>
    <n v="5"/>
    <s v="MW"/>
    <n v="1.0705490865668688E-4"/>
    <n v="4.0320808806157552E-3"/>
    <n v="3.6202579110347871E-3"/>
    <n v="4.4439038204577841E-3"/>
  </r>
  <r>
    <x v="1"/>
    <x v="3"/>
    <x v="2"/>
    <s v="Biomass"/>
    <n v="5"/>
    <s v="MW"/>
    <n v="1.0626926755202014E-4"/>
    <n v="3.8777975702828189E-3"/>
    <n v="3.4414291415318862E-3"/>
    <n v="4.3141659695130567E-3"/>
  </r>
  <r>
    <x v="1"/>
    <x v="4"/>
    <x v="2"/>
    <s v="Biomass"/>
    <n v="5"/>
    <s v="MW"/>
    <n v="1.0548362644735336E-4"/>
    <n v="3.7253579555275619E-3"/>
    <n v="3.2648516795891823E-3"/>
    <n v="4.1858642021634926E-3"/>
  </r>
  <r>
    <x v="1"/>
    <x v="5"/>
    <x v="2"/>
    <s v="Biomass"/>
    <n v="10"/>
    <s v="MW"/>
    <n v="2.0939597068537322E-4"/>
    <n v="7.1495240726999736E-3"/>
    <n v="6.181051050413354E-3"/>
    <n v="8.1179970368181857E-3"/>
  </r>
  <r>
    <x v="1"/>
    <x v="6"/>
    <x v="2"/>
    <s v="Biomass"/>
    <n v="10"/>
    <s v="MW"/>
    <n v="2.078246884760397E-4"/>
    <n v="6.8520196255001829E-3"/>
    <n v="5.8369013567687372E-3"/>
    <n v="7.8671378364997113E-3"/>
  </r>
  <r>
    <x v="1"/>
    <x v="7"/>
    <x v="2"/>
    <s v="Biomass"/>
    <n v="15"/>
    <s v="MW"/>
    <n v="3.0938010940005932E-4"/>
    <n v="9.8373038541836339E-3"/>
    <n v="8.2458814173667749E-3"/>
    <n v="1.1428726205057351E-2"/>
  </r>
  <r>
    <x v="1"/>
    <x v="8"/>
    <x v="2"/>
    <s v="Biomass"/>
    <n v="15"/>
    <s v="MW"/>
    <n v="3.0702318608605896E-4"/>
    <n v="9.4021093568500327E-3"/>
    <n v="7.7431647222610351E-3"/>
    <n v="1.1061053906150625E-2"/>
  </r>
  <r>
    <x v="1"/>
    <x v="9"/>
    <x v="2"/>
    <s v="Biomass"/>
    <n v="15"/>
    <s v="MW"/>
    <n v="3.0466626277205871E-4"/>
    <n v="8.9724459462494754E-3"/>
    <n v="7.2472019498358905E-3"/>
    <n v="1.0697689858029389E-2"/>
  </r>
  <r>
    <x v="1"/>
    <x v="10"/>
    <x v="2"/>
    <s v="Biomass"/>
    <n v="15"/>
    <s v="MW"/>
    <n v="3.0230933945805846E-4"/>
    <n v="8.5483136223819586E-3"/>
    <n v="6.7579931000913383E-3"/>
    <n v="1.0338634060693644E-2"/>
  </r>
  <r>
    <x v="1"/>
    <x v="11"/>
    <x v="2"/>
    <s v="Biomass"/>
    <n v="15"/>
    <s v="MW"/>
    <n v="2.9995241614405821E-4"/>
    <n v="8.1297123852474857E-3"/>
    <n v="6.2755381730273795E-3"/>
    <n v="9.9838865141433919E-3"/>
  </r>
  <r>
    <x v="1"/>
    <x v="12"/>
    <x v="2"/>
    <s v="Biomass"/>
    <n v="15"/>
    <s v="MW"/>
    <n v="2.9759549283005785E-4"/>
    <n v="7.7166422348460542E-3"/>
    <n v="5.7998371686440132E-3"/>
    <n v="9.6334472183786275E-3"/>
  </r>
  <r>
    <x v="1"/>
    <x v="13"/>
    <x v="2"/>
    <s v="Biomass"/>
    <n v="15"/>
    <s v="MW"/>
    <n v="2.952385695160576E-4"/>
    <n v="7.3091031711776666E-3"/>
    <n v="5.3308900869412411E-3"/>
    <n v="9.2873161733993594E-3"/>
  </r>
  <r>
    <x v="1"/>
    <x v="14"/>
    <x v="2"/>
    <s v="Biomass"/>
    <n v="15"/>
    <s v="MW"/>
    <n v="2.9288164620205735E-4"/>
    <n v="6.9070951942423204E-3"/>
    <n v="4.8686969279190606E-3"/>
    <n v="8.9454933792055807E-3"/>
  </r>
  <r>
    <x v="1"/>
    <x v="15"/>
    <x v="2"/>
    <s v="Biomass"/>
    <n v="15"/>
    <s v="MW"/>
    <n v="2.905247228880571E-4"/>
    <n v="6.5106183040400164E-3"/>
    <n v="4.4132576915774735E-3"/>
    <n v="8.607978835797293E-3"/>
  </r>
  <r>
    <x v="1"/>
    <x v="16"/>
    <x v="2"/>
    <s v="Biomass"/>
    <n v="15"/>
    <s v="MW"/>
    <n v="2.8816779957405674E-4"/>
    <n v="6.1196725005707537E-3"/>
    <n v="3.9645723779164789E-3"/>
    <n v="8.2747725431744946E-3"/>
  </r>
  <r>
    <x v="1"/>
    <x v="17"/>
    <x v="2"/>
    <s v="Biomass"/>
    <n v="15"/>
    <s v="MW"/>
    <n v="2.8581087626005649E-4"/>
    <n v="5.7342577838345342E-3"/>
    <n v="3.5226409869360785E-3"/>
    <n v="7.9458745013371909E-3"/>
  </r>
  <r>
    <x v="1"/>
    <x v="18"/>
    <x v="2"/>
    <s v="Biomass"/>
    <n v="15"/>
    <s v="MW"/>
    <n v="2.8345395294605624E-4"/>
    <n v="5.3543741538313568E-3"/>
    <n v="3.087463518636271E-3"/>
    <n v="7.6212847102853764E-3"/>
  </r>
  <r>
    <x v="1"/>
    <x v="19"/>
    <x v="2"/>
    <s v="Biomass"/>
    <n v="15"/>
    <s v="MW"/>
    <n v="2.8109702963205599E-4"/>
    <n v="4.9800216105612216E-3"/>
    <n v="2.6590399730170564E-3"/>
    <n v="7.3010031700190547E-3"/>
  </r>
  <r>
    <x v="1"/>
    <x v="20"/>
    <x v="2"/>
    <s v="Biomass"/>
    <n v="15"/>
    <s v="MW"/>
    <n v="2.7874010631805568E-4"/>
    <n v="4.6112001540241296E-3"/>
    <n v="2.2373703500784348E-3"/>
    <n v="6.9850298805382242E-3"/>
  </r>
  <r>
    <x v="1"/>
    <x v="0"/>
    <x v="2"/>
    <s v="Li_Battery"/>
    <n v="588"/>
    <s v="MW"/>
    <n v="2.4788587405349559E-3"/>
    <n v="9.9180158071768915E-2"/>
    <n v="9.0930487610438954E-2"/>
    <n v="0.10742982784449304"/>
  </r>
  <r>
    <x v="1"/>
    <x v="1"/>
    <x v="2"/>
    <s v="Li_Battery"/>
    <n v="1176"/>
    <s v="MW"/>
    <n v="4.9577174810699117E-3"/>
    <n v="0.19254307864097853"/>
    <n v="0.17475763835359978"/>
    <n v="0.21032851755114568"/>
  </r>
  <r>
    <x v="1"/>
    <x v="2"/>
    <x v="2"/>
    <s v="Li_Battery"/>
    <n v="1764"/>
    <s v="MW"/>
    <n v="7.4365762216048693E-3"/>
    <n v="0.28008876170762886"/>
    <n v="0.25148145222948248"/>
    <n v="0.30869606911995784"/>
  </r>
  <r>
    <x v="1"/>
    <x v="3"/>
    <x v="2"/>
    <s v="Li_Battery"/>
    <n v="2353"/>
    <s v="MW"/>
    <n v="9.9196507082971973E-3"/>
    <n v="0.36197104111834899"/>
    <n v="0.32123845216718488"/>
    <n v="0.40270362731391895"/>
  </r>
  <r>
    <x v="1"/>
    <x v="4"/>
    <x v="2"/>
    <s v="Li_Battery"/>
    <n v="2941"/>
    <s v="MW"/>
    <n v="1.2398509448832152E-2"/>
    <n v="0.43787730254935137"/>
    <n v="0.38374955205607314"/>
    <n v="0.49200504959842972"/>
  </r>
  <r>
    <x v="1"/>
    <x v="5"/>
    <x v="2"/>
    <s v="Li_Battery"/>
    <n v="3529"/>
    <s v="MW"/>
    <n v="1.4877368189367109E-2"/>
    <n v="0.50796632647779438"/>
    <n v="0.4391573150776833"/>
    <n v="0.57677533374510004"/>
  </r>
  <r>
    <x v="1"/>
    <x v="6"/>
    <x v="2"/>
    <s v="Li_Battery"/>
    <n v="4117"/>
    <s v="MW"/>
    <n v="1.7356226929902067E-2"/>
    <n v="0.57223811290367821"/>
    <n v="0.48746174123201536"/>
    <n v="0.65701447975393001"/>
  </r>
  <r>
    <x v="1"/>
    <x v="7"/>
    <x v="2"/>
    <s v="Li_Battery"/>
    <n v="4705"/>
    <s v="MW"/>
    <n v="1.9835085670437021E-2"/>
    <n v="0.63069266182700257"/>
    <n v="0.52866283051906915"/>
    <n v="0.73272248762491943"/>
  </r>
  <r>
    <x v="1"/>
    <x v="8"/>
    <x v="2"/>
    <s v="Li_Battery"/>
    <n v="5293"/>
    <s v="MW"/>
    <n v="2.2313944410971977E-2"/>
    <n v="0.68332997324776779"/>
    <n v="0.56276058293884501"/>
    <n v="0.8038993573580685"/>
  </r>
  <r>
    <x v="1"/>
    <x v="9"/>
    <x v="2"/>
    <s v="Li_Battery"/>
    <n v="5881"/>
    <s v="MW"/>
    <n v="2.4792803151506934E-2"/>
    <n v="0.73015004716597365"/>
    <n v="0.5897549984913425"/>
    <n v="0.87054508895337712"/>
  </r>
  <r>
    <x v="1"/>
    <x v="10"/>
    <x v="2"/>
    <s v="Li_Battery"/>
    <n v="6470"/>
    <s v="MW"/>
    <n v="2.7275877638199265E-2"/>
    <n v="0.77127209101454364"/>
    <n v="0.60974031833859277"/>
    <n v="0.93280385611349026"/>
  </r>
  <r>
    <x v="1"/>
    <x v="11"/>
    <x v="2"/>
    <s v="Li_Battery"/>
    <n v="7058"/>
    <s v="MW"/>
    <n v="2.9754736378734218E-2"/>
    <n v="0.80645274329710148"/>
    <n v="0.62252201990409595"/>
    <n v="0.99038345842449726"/>
  </r>
  <r>
    <x v="1"/>
    <x v="12"/>
    <x v="2"/>
    <s v="Li_Battery"/>
    <n v="7646"/>
    <s v="MW"/>
    <n v="3.2233595119269175E-2"/>
    <n v="0.83581615807710019"/>
    <n v="0.62820038460232097"/>
    <n v="1.0434319225976638"/>
  </r>
  <r>
    <x v="1"/>
    <x v="13"/>
    <x v="2"/>
    <s v="Li_Battery"/>
    <n v="8234"/>
    <s v="MW"/>
    <n v="3.4712453859804135E-2"/>
    <n v="0.85936233535453954"/>
    <n v="0.62677541243326795"/>
    <n v="1.09194924863299"/>
  </r>
  <r>
    <x v="1"/>
    <x v="14"/>
    <x v="2"/>
    <s v="Li_Battery"/>
    <n v="8822"/>
    <s v="MW"/>
    <n v="3.7191312600339088E-2"/>
    <n v="0.87709127512941953"/>
    <n v="0.61824710339693678"/>
    <n v="1.1359354365304759"/>
  </r>
  <r>
    <x v="1"/>
    <x v="15"/>
    <x v="2"/>
    <s v="Li_Battery"/>
    <n v="9410"/>
    <s v="MW"/>
    <n v="3.9670171340874041E-2"/>
    <n v="0.88900297740174017"/>
    <n v="0.60261545749332723"/>
    <n v="1.175390486290121"/>
  </r>
  <r>
    <x v="1"/>
    <x v="16"/>
    <x v="2"/>
    <s v="Li_Battery"/>
    <n v="9998"/>
    <s v="MW"/>
    <n v="4.2149030081409002E-2"/>
    <n v="0.89509744217150156"/>
    <n v="0.57988047472243975"/>
    <n v="1.210314397911926"/>
  </r>
  <r>
    <x v="1"/>
    <x v="17"/>
    <x v="2"/>
    <s v="Li_Battery"/>
    <n v="10586"/>
    <s v="MW"/>
    <n v="4.4627888821943955E-2"/>
    <n v="0.8953746694387037"/>
    <n v="0.55004215508427401"/>
    <n v="1.2407071713958904"/>
  </r>
  <r>
    <x v="1"/>
    <x v="18"/>
    <x v="2"/>
    <s v="Li_Battery"/>
    <n v="11175"/>
    <s v="MW"/>
    <n v="4.7110963308636282E-2"/>
    <n v="0.88991429359203478"/>
    <n v="0.51314641772135561"/>
    <n v="1.2666821563756943"/>
  </r>
  <r>
    <x v="1"/>
    <x v="19"/>
    <x v="2"/>
    <s v="Li_Battery"/>
    <n v="11763"/>
    <s v="MW"/>
    <n v="4.9589822049171242E-2"/>
    <n v="0.8785520992235889"/>
    <n v="0.46909538409619544"/>
    <n v="1.2880088005753572"/>
  </r>
  <r>
    <x v="1"/>
    <x v="20"/>
    <x v="2"/>
    <s v="Li_Battery"/>
    <n v="12351"/>
    <s v="MW"/>
    <n v="5.2068680789706202E-2"/>
    <n v="0.86137266735258389"/>
    <n v="0.41794101360375718"/>
    <n v="1.3048043066371797"/>
  </r>
  <r>
    <x v="1"/>
    <x v="0"/>
    <x v="2"/>
    <s v="LDES"/>
    <n v="0"/>
    <s v="MW"/>
    <n v="0"/>
    <n v="0"/>
    <n v="0"/>
    <n v="0"/>
  </r>
  <r>
    <x v="1"/>
    <x v="1"/>
    <x v="2"/>
    <s v="LDES"/>
    <n v="0"/>
    <s v="MW"/>
    <n v="0"/>
    <n v="0"/>
    <n v="0"/>
    <n v="0"/>
  </r>
  <r>
    <x v="1"/>
    <x v="2"/>
    <x v="2"/>
    <s v="LDES"/>
    <n v="0"/>
    <s v="MW"/>
    <n v="0"/>
    <n v="0"/>
    <n v="0"/>
    <n v="0"/>
  </r>
  <r>
    <x v="1"/>
    <x v="3"/>
    <x v="2"/>
    <s v="LDES"/>
    <n v="0"/>
    <s v="MW"/>
    <n v="0"/>
    <n v="0"/>
    <n v="0"/>
    <n v="0"/>
  </r>
  <r>
    <x v="1"/>
    <x v="4"/>
    <x v="2"/>
    <s v="LDES"/>
    <n v="0"/>
    <s v="MW"/>
    <n v="0"/>
    <n v="0"/>
    <n v="0"/>
    <n v="0"/>
  </r>
  <r>
    <x v="1"/>
    <x v="5"/>
    <x v="2"/>
    <s v="LDES"/>
    <n v="0"/>
    <s v="MW"/>
    <n v="0"/>
    <n v="0"/>
    <n v="0"/>
    <n v="0"/>
  </r>
  <r>
    <x v="1"/>
    <x v="6"/>
    <x v="2"/>
    <s v="LDES"/>
    <n v="0"/>
    <s v="MW"/>
    <n v="0"/>
    <n v="0"/>
    <n v="0"/>
    <n v="0"/>
  </r>
  <r>
    <x v="1"/>
    <x v="7"/>
    <x v="2"/>
    <s v="LDES"/>
    <n v="0"/>
    <s v="MW"/>
    <n v="0"/>
    <n v="0"/>
    <n v="0"/>
    <n v="0"/>
  </r>
  <r>
    <x v="1"/>
    <x v="8"/>
    <x v="2"/>
    <s v="LDES"/>
    <n v="0"/>
    <s v="MW"/>
    <n v="0"/>
    <n v="0"/>
    <n v="0"/>
    <n v="0"/>
  </r>
  <r>
    <x v="1"/>
    <x v="9"/>
    <x v="2"/>
    <s v="LDES"/>
    <n v="1000"/>
    <s v="MW"/>
    <n v="6.8954153824011474E-3"/>
    <n v="0.20307053768477021"/>
    <n v="0.16402363474571435"/>
    <n v="0.24211743870833891"/>
  </r>
  <r>
    <x v="1"/>
    <x v="10"/>
    <x v="2"/>
    <s v="LDES"/>
    <n v="1000"/>
    <s v="MW"/>
    <n v="6.9932771284677451E-3"/>
    <n v="0.19774687163003388"/>
    <n v="0.15633165242573785"/>
    <n v="0.23916208889165763"/>
  </r>
  <r>
    <x v="1"/>
    <x v="11"/>
    <x v="2"/>
    <s v="LDES"/>
    <n v="1000"/>
    <s v="MW"/>
    <n v="7.0911388745343437E-3"/>
    <n v="0.19219354947994394"/>
    <n v="0.14835924067371514"/>
    <n v="0.23602785631631532"/>
  </r>
  <r>
    <x v="1"/>
    <x v="12"/>
    <x v="2"/>
    <s v="LDES"/>
    <n v="1000"/>
    <s v="MW"/>
    <n v="7.1890006206009414E-3"/>
    <n v="0.18641057123450028"/>
    <n v="0.14010639948964615"/>
    <n v="0.2327147409823119"/>
  </r>
  <r>
    <x v="1"/>
    <x v="13"/>
    <x v="2"/>
    <s v="LDES"/>
    <n v="1000"/>
    <s v="MW"/>
    <n v="7.2868623666675399E-3"/>
    <n v="0.18039793689370298"/>
    <n v="0.13157312887353095"/>
    <n v="0.22922274288964739"/>
  </r>
  <r>
    <x v="1"/>
    <x v="14"/>
    <x v="2"/>
    <s v="LDES"/>
    <n v="1000"/>
    <s v="MW"/>
    <n v="7.3847241127341376E-3"/>
    <n v="0.17415564645755205"/>
    <n v="0.12275942882536947"/>
    <n v="0.22555186203832181"/>
  </r>
  <r>
    <x v="1"/>
    <x v="15"/>
    <x v="2"/>
    <s v="LDES"/>
    <n v="1000"/>
    <s v="MW"/>
    <n v="7.4825858588007353E-3"/>
    <n v="0.16768369992604745"/>
    <n v="0.11366529934516179"/>
    <n v="0.22170209842833521"/>
  </r>
  <r>
    <x v="1"/>
    <x v="16"/>
    <x v="2"/>
    <s v="LDES"/>
    <n v="1000"/>
    <s v="MW"/>
    <n v="7.580447604867333E-3"/>
    <n v="0.16098209729918919"/>
    <n v="0.10429074043290784"/>
    <n v="0.21767345205968747"/>
  </r>
  <r>
    <x v="1"/>
    <x v="17"/>
    <x v="2"/>
    <s v="LDES"/>
    <n v="1000"/>
    <s v="MW"/>
    <n v="7.6783093509339316E-3"/>
    <n v="0.15405083857697724"/>
    <n v="9.4635752088607653E-2"/>
    <n v="0.21346592293237868"/>
  </r>
  <r>
    <x v="1"/>
    <x v="18"/>
    <x v="2"/>
    <s v="LDES"/>
    <n v="1000"/>
    <s v="MW"/>
    <n v="7.7761710970005284E-3"/>
    <n v="0.14688992375941165"/>
    <n v="8.4700334312261219E-2"/>
    <n v="0.20907951104640876"/>
  </r>
  <r>
    <x v="1"/>
    <x v="19"/>
    <x v="2"/>
    <s v="LDES"/>
    <n v="2000"/>
    <s v="MW"/>
    <n v="1.5748065686134256E-2"/>
    <n v="0.27899870569298485"/>
    <n v="0.14896897420773714"/>
    <n v="0.40902843280355572"/>
  </r>
  <r>
    <x v="1"/>
    <x v="20"/>
    <x v="2"/>
    <s v="LDES"/>
    <n v="2000"/>
    <s v="MW"/>
    <n v="1.5943789178267449E-2"/>
    <n v="0.26375825167643902"/>
    <n v="0.12797642092685929"/>
    <n v="0.3995400779969715"/>
  </r>
  <r>
    <x v="1"/>
    <x v="0"/>
    <x v="3"/>
    <s v="AD - Animal Manure"/>
    <n v="3736"/>
    <s v="mcf production/year"/>
    <n v="4.0834479999999999E-3"/>
    <n v="0.93596711607999994"/>
    <n v="0.86454761055999985"/>
    <n v="1.6661569341519322"/>
  </r>
  <r>
    <x v="1"/>
    <x v="1"/>
    <x v="3"/>
    <s v="AD - Animal Manure"/>
    <n v="4299"/>
    <s v="mcf production/year"/>
    <n v="4.6988070000000002E-3"/>
    <n v="1.07701355247"/>
    <n v="0.99483141803999986"/>
    <n v="1.91724000533168"/>
  </r>
  <r>
    <x v="1"/>
    <x v="2"/>
    <x v="3"/>
    <s v="AD - Animal Manure"/>
    <n v="4862"/>
    <s v="mcf production/year"/>
    <n v="5.3141659999999995E-3"/>
    <n v="1.2180599888599999"/>
    <n v="1.1251152255199997"/>
    <n v="2.1683230765114274"/>
  </r>
  <r>
    <x v="1"/>
    <x v="3"/>
    <x v="3"/>
    <s v="AD - Animal Manure"/>
    <n v="5425"/>
    <s v="mcf production/year"/>
    <n v="5.9295249999999997E-3"/>
    <n v="1.3591064252499998"/>
    <n v="1.2553990329999998"/>
    <n v="2.4194061476911752"/>
  </r>
  <r>
    <x v="1"/>
    <x v="4"/>
    <x v="3"/>
    <s v="AD - Animal Manure"/>
    <n v="5989"/>
    <s v="mcf production/year"/>
    <n v="6.5459769999999997E-3"/>
    <n v="1.5004033881699999"/>
    <n v="1.3859142504399997"/>
    <n v="2.6709351923543685"/>
  </r>
  <r>
    <x v="1"/>
    <x v="5"/>
    <x v="3"/>
    <s v="AD - Animal Manure"/>
    <n v="6552"/>
    <s v="mcf production/year"/>
    <n v="7.1613359999999999E-3"/>
    <n v="1.6414498245599998"/>
    <n v="1.5161980579199998"/>
    <n v="2.9220182635341163"/>
  </r>
  <r>
    <x v="1"/>
    <x v="6"/>
    <x v="3"/>
    <s v="AD - Animal Manure"/>
    <n v="7115"/>
    <s v="mcf production/year"/>
    <n v="7.7766949999999993E-3"/>
    <n v="1.7824962609499997"/>
    <n v="1.6464818653999995"/>
    <n v="3.1731013347138641"/>
  </r>
  <r>
    <x v="1"/>
    <x v="7"/>
    <x v="3"/>
    <s v="AD - Animal Manure"/>
    <n v="7678"/>
    <s v="mcf production/year"/>
    <n v="8.3920539999999995E-3"/>
    <n v="1.9235426973399996"/>
    <n v="1.7767656728799996"/>
    <n v="3.4241844058936119"/>
  </r>
  <r>
    <x v="1"/>
    <x v="8"/>
    <x v="3"/>
    <s v="AD - Animal Manure"/>
    <n v="8241"/>
    <s v="mcf production/year"/>
    <n v="9.0074129999999988E-3"/>
    <n v="2.0645891337299997"/>
    <n v="1.9070494803599995"/>
    <n v="3.6752674770733593"/>
  </r>
  <r>
    <x v="1"/>
    <x v="9"/>
    <x v="3"/>
    <s v="AD - Animal Manure"/>
    <n v="8804"/>
    <s v="mcf production/year"/>
    <n v="9.6227720000000017E-3"/>
    <n v="2.2056355701200001"/>
    <n v="2.0373332878400001"/>
    <n v="3.9263505482531085"/>
  </r>
  <r>
    <x v="1"/>
    <x v="10"/>
    <x v="3"/>
    <s v="AD - Animal Manure"/>
    <n v="9367"/>
    <s v="mcf production/year"/>
    <n v="1.0238131000000001E-2"/>
    <n v="2.34668200651"/>
    <n v="2.1676170953199998"/>
    <n v="4.1774336194328558"/>
  </r>
  <r>
    <x v="1"/>
    <x v="11"/>
    <x v="3"/>
    <s v="AD - Animal Manure"/>
    <n v="9931"/>
    <s v="mcf production/year"/>
    <n v="1.0854583000000001E-2"/>
    <n v="2.4879789694299999"/>
    <n v="2.29813231276"/>
    <n v="4.4289626640960496"/>
  </r>
  <r>
    <x v="1"/>
    <x v="12"/>
    <x v="3"/>
    <s v="AD - Animal Manure"/>
    <n v="10494"/>
    <s v="mcf production/year"/>
    <n v="1.1469942000000002E-2"/>
    <n v="2.6290254058200002"/>
    <n v="2.4284161202400001"/>
    <n v="4.6800457352757974"/>
  </r>
  <r>
    <x v="1"/>
    <x v="13"/>
    <x v="3"/>
    <s v="AD - Animal Manure"/>
    <n v="11057"/>
    <s v="mcf production/year"/>
    <n v="1.2085301000000001E-2"/>
    <n v="2.7700718422100001"/>
    <n v="2.5586999277199998"/>
    <n v="4.9311288064555452"/>
  </r>
  <r>
    <x v="1"/>
    <x v="14"/>
    <x v="3"/>
    <s v="AD - Animal Manure"/>
    <n v="11620"/>
    <s v="mcf production/year"/>
    <n v="1.2700660000000003E-2"/>
    <n v="2.9111182786000005"/>
    <n v="2.6889837352000003"/>
    <n v="5.182211877635293"/>
  </r>
  <r>
    <x v="1"/>
    <x v="15"/>
    <x v="3"/>
    <s v="AD - Animal Manure"/>
    <n v="12183"/>
    <s v="mcf production/year"/>
    <n v="1.3316019000000002E-2"/>
    <n v="3.05216471499"/>
    <n v="2.81926754268"/>
    <n v="5.4332949488150408"/>
  </r>
  <r>
    <x v="1"/>
    <x v="16"/>
    <x v="3"/>
    <s v="AD - Animal Manure"/>
    <n v="12746"/>
    <s v="mcf production/year"/>
    <n v="1.3931378000000003E-2"/>
    <n v="3.1932111513800003"/>
    <n v="2.9495513501600001"/>
    <n v="5.6843780199947886"/>
  </r>
  <r>
    <x v="1"/>
    <x v="17"/>
    <x v="3"/>
    <s v="AD - Animal Manure"/>
    <n v="13309"/>
    <s v="mcf production/year"/>
    <n v="1.4546737000000002E-2"/>
    <n v="3.3342575877700003"/>
    <n v="3.0798351576400003"/>
    <n v="5.9354610911745365"/>
  </r>
  <r>
    <x v="1"/>
    <x v="18"/>
    <x v="3"/>
    <s v="AD - Animal Manure"/>
    <n v="13873"/>
    <s v="mcf production/year"/>
    <n v="1.5163189000000002E-2"/>
    <n v="3.4755545506900001"/>
    <n v="3.21035037508"/>
    <n v="6.1869901358377293"/>
  </r>
  <r>
    <x v="1"/>
    <x v="19"/>
    <x v="3"/>
    <s v="AD - Animal Manure"/>
    <n v="14436"/>
    <s v="mcf production/year"/>
    <n v="1.5778548000000003E-2"/>
    <n v="3.6166009870800004"/>
    <n v="3.3406341825600001"/>
    <n v="6.438073207017478"/>
  </r>
  <r>
    <x v="1"/>
    <x v="20"/>
    <x v="3"/>
    <s v="AD - Animal Manure"/>
    <n v="14999"/>
    <s v="mcf production/year"/>
    <n v="1.6393907000000003E-2"/>
    <n v="3.7576474234700004"/>
    <n v="3.4709179900400002"/>
    <n v="6.6891562781972258"/>
  </r>
  <r>
    <x v="1"/>
    <x v="0"/>
    <x v="3"/>
    <s v="Food Waste"/>
    <n v="659"/>
    <s v="mcf production/year"/>
    <n v="7.2028700000000001E-4"/>
    <n v="2.4641018269999995E-2"/>
    <n v="2.4641018269999995E-2"/>
    <n v="9.5989047054999985E-2"/>
  </r>
  <r>
    <x v="1"/>
    <x v="1"/>
    <x v="3"/>
    <s v="Food Waste"/>
    <n v="758"/>
    <s v="mcf production/year"/>
    <n v="8.2849399999999993E-4"/>
    <n v="2.8342779739999994E-2"/>
    <n v="2.8342779739999994E-2"/>
    <n v="0.11040925290999998"/>
  </r>
  <r>
    <x v="1"/>
    <x v="2"/>
    <x v="3"/>
    <s v="Food Waste"/>
    <n v="858"/>
    <s v="mcf production/year"/>
    <n v="9.3779399999999993E-4"/>
    <n v="3.2081932739999992E-2"/>
    <n v="3.2081932739999992E-2"/>
    <n v="0.12497511740999998"/>
  </r>
  <r>
    <x v="1"/>
    <x v="3"/>
    <x v="3"/>
    <s v="Food Waste"/>
    <n v="957"/>
    <s v="mcf production/year"/>
    <n v="1.046001E-3"/>
    <n v="3.5783694209999994E-2"/>
    <n v="3.5783694209999994E-2"/>
    <n v="0.13939532326499998"/>
  </r>
  <r>
    <x v="1"/>
    <x v="4"/>
    <x v="3"/>
    <s v="Food Waste"/>
    <n v="1057"/>
    <s v="mcf production/year"/>
    <n v="1.1553009999999999E-3"/>
    <n v="3.9522847209999989E-2"/>
    <n v="3.9522847209999989E-2"/>
    <n v="0.15396118776499995"/>
  </r>
  <r>
    <x v="1"/>
    <x v="5"/>
    <x v="3"/>
    <s v="Food Waste"/>
    <n v="1156"/>
    <s v="mcf production/year"/>
    <n v="1.263508E-3"/>
    <n v="4.3224608679999992E-2"/>
    <n v="4.3224608679999992E-2"/>
    <n v="0.16838139361999999"/>
  </r>
  <r>
    <x v="1"/>
    <x v="6"/>
    <x v="3"/>
    <s v="Food Waste"/>
    <n v="1255"/>
    <s v="mcf production/year"/>
    <n v="1.3717149999999999E-3"/>
    <n v="4.6926370149999987E-2"/>
    <n v="4.6926370149999987E-2"/>
    <n v="0.18280159947499997"/>
  </r>
  <r>
    <x v="1"/>
    <x v="7"/>
    <x v="3"/>
    <s v="Food Waste"/>
    <n v="1355"/>
    <s v="mcf production/year"/>
    <n v="1.481015E-3"/>
    <n v="5.0665523149999989E-2"/>
    <n v="5.0665523149999989E-2"/>
    <n v="0.19736746397499999"/>
  </r>
  <r>
    <x v="1"/>
    <x v="8"/>
    <x v="3"/>
    <s v="Food Waste"/>
    <n v="1454"/>
    <s v="mcf production/year"/>
    <n v="1.5892219999999999E-3"/>
    <n v="5.4367284619999991E-2"/>
    <n v="5.4367284619999991E-2"/>
    <n v="0.21178766982999997"/>
  </r>
  <r>
    <x v="1"/>
    <x v="9"/>
    <x v="3"/>
    <s v="Food Waste"/>
    <n v="1553"/>
    <s v="mcf production/year"/>
    <n v="1.6974290000000003E-3"/>
    <n v="5.806904609E-2"/>
    <n v="5.806904609E-2"/>
    <n v="0.226207875685"/>
  </r>
  <r>
    <x v="1"/>
    <x v="10"/>
    <x v="3"/>
    <s v="Food Waste"/>
    <n v="1653"/>
    <s v="mcf production/year"/>
    <n v="1.8067290000000002E-3"/>
    <n v="6.1808199089999995E-2"/>
    <n v="6.1808199089999995E-2"/>
    <n v="0.240773740185"/>
  </r>
  <r>
    <x v="1"/>
    <x v="11"/>
    <x v="3"/>
    <s v="Food Waste"/>
    <n v="1752"/>
    <s v="mcf production/year"/>
    <n v="1.9149360000000003E-3"/>
    <n v="6.5509960559999997E-2"/>
    <n v="6.5509960559999997E-2"/>
    <n v="0.25519394604000001"/>
  </r>
  <r>
    <x v="1"/>
    <x v="12"/>
    <x v="3"/>
    <s v="Food Waste"/>
    <n v="1852"/>
    <s v="mcf production/year"/>
    <n v="2.0242360000000004E-3"/>
    <n v="6.9249113560000006E-2"/>
    <n v="6.9249113560000006E-2"/>
    <n v="0.26975981054000003"/>
  </r>
  <r>
    <x v="1"/>
    <x v="13"/>
    <x v="3"/>
    <s v="Food Waste"/>
    <n v="1951"/>
    <s v="mcf production/year"/>
    <n v="2.1324430000000004E-3"/>
    <n v="7.2950875030000001E-2"/>
    <n v="7.2950875030000001E-2"/>
    <n v="0.28418001639500001"/>
  </r>
  <r>
    <x v="1"/>
    <x v="14"/>
    <x v="3"/>
    <s v="Food Waste"/>
    <n v="2050"/>
    <s v="mcf production/year"/>
    <n v="2.2406500000000003E-3"/>
    <n v="7.6652636499999996E-2"/>
    <n v="7.6652636499999996E-2"/>
    <n v="0.29860022224999999"/>
  </r>
  <r>
    <x v="1"/>
    <x v="15"/>
    <x v="3"/>
    <s v="Food Waste"/>
    <n v="2150"/>
    <s v="mcf production/year"/>
    <n v="2.3499500000000004E-3"/>
    <n v="8.0391789500000005E-2"/>
    <n v="8.0391789500000005E-2"/>
    <n v="0.31316608675000002"/>
  </r>
  <r>
    <x v="1"/>
    <x v="16"/>
    <x v="3"/>
    <s v="Food Waste"/>
    <n v="2249"/>
    <s v="mcf production/year"/>
    <n v="2.4581570000000003E-3"/>
    <n v="8.409355097E-2"/>
    <n v="8.409355097E-2"/>
    <n v="0.327586292605"/>
  </r>
  <r>
    <x v="1"/>
    <x v="17"/>
    <x v="3"/>
    <s v="Food Waste"/>
    <n v="2348"/>
    <s v="mcf production/year"/>
    <n v="2.5663640000000002E-3"/>
    <n v="8.7795312439999995E-2"/>
    <n v="8.7795312439999995E-2"/>
    <n v="0.34200649845999997"/>
  </r>
  <r>
    <x v="1"/>
    <x v="18"/>
    <x v="3"/>
    <s v="Food Waste"/>
    <n v="2448"/>
    <s v="mcf production/year"/>
    <n v="2.6756640000000003E-3"/>
    <n v="9.153446543999999E-2"/>
    <n v="9.153446543999999E-2"/>
    <n v="0.35657236296"/>
  </r>
  <r>
    <x v="1"/>
    <x v="19"/>
    <x v="3"/>
    <s v="Food Waste"/>
    <n v="2547"/>
    <s v="mcf production/year"/>
    <n v="2.7838710000000003E-3"/>
    <n v="9.5236226909999985E-2"/>
    <n v="9.5236226909999985E-2"/>
    <n v="0.37099256881499998"/>
  </r>
  <r>
    <x v="1"/>
    <x v="20"/>
    <x v="3"/>
    <s v="Food Waste"/>
    <n v="2647"/>
    <s v="mcf production/year"/>
    <n v="2.8931710000000004E-3"/>
    <n v="9.8975379909999994E-2"/>
    <n v="9.8975379909999994E-2"/>
    <n v="0.385558433315"/>
  </r>
  <r>
    <x v="1"/>
    <x v="0"/>
    <x v="4"/>
    <s v="Soybean Oil and Corn Oil"/>
    <n v="0"/>
    <s v="Millions of Gallons production/year"/>
    <n v="0"/>
    <n v="0"/>
    <n v="0"/>
    <n v="0"/>
  </r>
  <r>
    <x v="1"/>
    <x v="1"/>
    <x v="4"/>
    <s v="Soybean Oil and Corn Oil"/>
    <n v="0"/>
    <s v="Millions of Gallons production/year"/>
    <n v="0"/>
    <n v="0"/>
    <n v="0"/>
    <n v="0"/>
  </r>
  <r>
    <x v="1"/>
    <x v="2"/>
    <x v="4"/>
    <s v="Soybean Oil and Corn Oil"/>
    <n v="0"/>
    <s v="Millions of Gallons production/year"/>
    <n v="0"/>
    <n v="0"/>
    <n v="0"/>
    <n v="0"/>
  </r>
  <r>
    <x v="1"/>
    <x v="3"/>
    <x v="4"/>
    <s v="Soybean Oil and Corn Oil"/>
    <n v="0"/>
    <s v="Millions of Gallons production/year"/>
    <n v="0"/>
    <n v="0"/>
    <n v="0"/>
    <n v="0"/>
  </r>
  <r>
    <x v="1"/>
    <x v="4"/>
    <x v="4"/>
    <s v="Soybean Oil and Corn Oil"/>
    <n v="0"/>
    <s v="Millions of Gallons production/year"/>
    <n v="0"/>
    <n v="0"/>
    <n v="0"/>
    <n v="0"/>
  </r>
  <r>
    <x v="1"/>
    <x v="5"/>
    <x v="4"/>
    <s v="Soybean Oil and Corn Oil"/>
    <n v="0"/>
    <s v="Millions of Gallons production/year"/>
    <n v="0"/>
    <n v="0"/>
    <n v="0"/>
    <n v="0"/>
  </r>
  <r>
    <x v="1"/>
    <x v="6"/>
    <x v="4"/>
    <s v="Soybean Oil and Corn Oil"/>
    <n v="0.7"/>
    <s v="Millions of Gallons production/year"/>
    <n v="9.9702777825000008E-5"/>
    <n v="1.032920778267E-3"/>
    <n v="1.032920778267E-3"/>
    <n v="3.2762332793295004E-3"/>
  </r>
  <r>
    <x v="1"/>
    <x v="7"/>
    <x v="4"/>
    <s v="Soybean Oil and Corn Oil"/>
    <n v="0.68571428571428572"/>
    <s v="Millions of Gallons production/year"/>
    <n v="9.7668027257142873E-5"/>
    <n v="1.0118407623840001E-3"/>
    <n v="1.0118407623840001E-3"/>
    <n v="3.2093713756697149E-3"/>
  </r>
  <r>
    <x v="1"/>
    <x v="8"/>
    <x v="4"/>
    <s v="Soybean Oil and Corn Oil"/>
    <n v="0.67142857142857149"/>
    <s v="Millions of Gallons production/year"/>
    <n v="9.5633276689285738E-5"/>
    <n v="9.9076074650100016E-4"/>
    <n v="9.9076074650100016E-4"/>
    <n v="3.1425094720099293E-3"/>
  </r>
  <r>
    <x v="1"/>
    <x v="9"/>
    <x v="4"/>
    <s v="Soybean Oil and Corn Oil"/>
    <n v="0.65714285714285725"/>
    <s v="Millions of Gallons production/year"/>
    <n v="9.3598526121428603E-5"/>
    <n v="9.6968073061800024E-4"/>
    <n v="9.6968073061800024E-4"/>
    <n v="3.0756475683501438E-3"/>
  </r>
  <r>
    <x v="1"/>
    <x v="10"/>
    <x v="4"/>
    <s v="Soybean Oil and Corn Oil"/>
    <n v="0.64285714285714302"/>
    <s v="Millions of Gallons production/year"/>
    <n v="9.1563775553571468E-5"/>
    <n v="9.4860071473500032E-4"/>
    <n v="9.4860071473500032E-4"/>
    <n v="3.0087856646903582E-3"/>
  </r>
  <r>
    <x v="1"/>
    <x v="11"/>
    <x v="4"/>
    <s v="Soybean Oil and Corn Oil"/>
    <n v="0.62857142857142878"/>
    <s v="Millions of Gallons production/year"/>
    <n v="8.9529024985714333E-5"/>
    <n v="9.2752069885200039E-4"/>
    <n v="9.2752069885200039E-4"/>
    <n v="2.9419237610305731E-3"/>
  </r>
  <r>
    <x v="1"/>
    <x v="12"/>
    <x v="4"/>
    <s v="Soybean Oil and Corn Oil"/>
    <n v="0.61428571428571455"/>
    <s v="Millions of Gallons production/year"/>
    <n v="8.7494274417857198E-5"/>
    <n v="9.0644068296900047E-4"/>
    <n v="9.0644068296900047E-4"/>
    <n v="2.8750618573707876E-3"/>
  </r>
  <r>
    <x v="1"/>
    <x v="13"/>
    <x v="4"/>
    <s v="Soybean Oil and Corn Oil"/>
    <n v="0.60000000000000031"/>
    <s v="Millions of Gallons production/year"/>
    <n v="8.545952385000005E-5"/>
    <n v="8.8536066708600045E-4"/>
    <n v="8.8536066708600045E-4"/>
    <n v="2.8081999537110016E-3"/>
  </r>
  <r>
    <x v="1"/>
    <x v="14"/>
    <x v="4"/>
    <s v="Soybean Oil and Corn Oil"/>
    <n v="0.58571428571428608"/>
    <s v="Millions of Gallons production/year"/>
    <n v="8.3424773282142915E-5"/>
    <n v="8.6428065120300053E-4"/>
    <n v="8.6428065120300053E-4"/>
    <n v="2.7413380500512161E-3"/>
  </r>
  <r>
    <x v="1"/>
    <x v="15"/>
    <x v="4"/>
    <s v="Soybean Oil and Corn Oil"/>
    <n v="0.57142857142857184"/>
    <s v="Millions of Gallons production/year"/>
    <n v="8.139002271428578E-5"/>
    <n v="8.4320063532000061E-4"/>
    <n v="8.4320063532000061E-4"/>
    <n v="2.6744761463914305E-3"/>
  </r>
  <r>
    <x v="1"/>
    <x v="16"/>
    <x v="4"/>
    <s v="Soybean Oil and Corn Oil"/>
    <n v="0.55714285714285761"/>
    <s v="Millions of Gallons production/year"/>
    <n v="7.9355272146428645E-5"/>
    <n v="8.2212061943700069E-4"/>
    <n v="8.2212061943700069E-4"/>
    <n v="2.6076142427316454E-3"/>
  </r>
  <r>
    <x v="1"/>
    <x v="17"/>
    <x v="4"/>
    <s v="Soybean Oil and Corn Oil"/>
    <n v="0.54285714285714337"/>
    <s v="Millions of Gallons production/year"/>
    <n v="7.732052157857151E-5"/>
    <n v="8.0104060355400076E-4"/>
    <n v="8.0104060355400076E-4"/>
    <n v="2.5407523390718599E-3"/>
  </r>
  <r>
    <x v="1"/>
    <x v="18"/>
    <x v="4"/>
    <s v="Soybean Oil and Corn Oil"/>
    <n v="0.52857142857142914"/>
    <s v="Millions of Gallons production/year"/>
    <n v="7.5285771010714375E-5"/>
    <n v="7.7996058767100084E-4"/>
    <n v="7.7996058767100084E-4"/>
    <n v="2.4738904354120743E-3"/>
  </r>
  <r>
    <x v="1"/>
    <x v="19"/>
    <x v="4"/>
    <s v="Soybean Oil and Corn Oil"/>
    <n v="0.5142857142857149"/>
    <s v="Millions of Gallons production/year"/>
    <n v="7.325102044285724E-5"/>
    <n v="7.5888057178800092E-4"/>
    <n v="7.5888057178800092E-4"/>
    <n v="2.4070285317522888E-3"/>
  </r>
  <r>
    <x v="1"/>
    <x v="20"/>
    <x v="4"/>
    <s v="Soybean Oil and Corn Oil"/>
    <n v="0.50000000000000067"/>
    <s v="Millions of Gallons production/year"/>
    <n v="7.1216269875000105E-5"/>
    <n v="7.37800555905001E-4"/>
    <n v="7.37800555905001E-4"/>
    <n v="2.3401666280925032E-3"/>
  </r>
  <r>
    <x v="1"/>
    <x v="0"/>
    <x v="4"/>
    <s v="Animal Fat and Waste Oil"/>
    <n v="0"/>
    <s v="Millions of Gallons production/year"/>
    <n v="0"/>
    <n v="0"/>
    <n v="0"/>
    <n v="0"/>
  </r>
  <r>
    <x v="1"/>
    <x v="1"/>
    <x v="4"/>
    <s v="Animal Fat and Waste Oil"/>
    <n v="0"/>
    <s v="Millions of Gallons production/year"/>
    <n v="0"/>
    <n v="0"/>
    <n v="0"/>
    <n v="0"/>
  </r>
  <r>
    <x v="1"/>
    <x v="2"/>
    <x v="4"/>
    <s v="Animal Fat and Waste Oil"/>
    <n v="0"/>
    <s v="Millions of Gallons production/year"/>
    <n v="0"/>
    <n v="0"/>
    <n v="0"/>
    <n v="0"/>
  </r>
  <r>
    <x v="1"/>
    <x v="3"/>
    <x v="4"/>
    <s v="Animal Fat and Waste Oil"/>
    <n v="0"/>
    <s v="Millions of Gallons production/year"/>
    <n v="0"/>
    <n v="0"/>
    <n v="0"/>
    <n v="0"/>
  </r>
  <r>
    <x v="1"/>
    <x v="4"/>
    <x v="4"/>
    <s v="Animal Fat and Waste Oil"/>
    <n v="0"/>
    <s v="Millions of Gallons production/year"/>
    <n v="0"/>
    <n v="0"/>
    <n v="0"/>
    <n v="0"/>
  </r>
  <r>
    <x v="1"/>
    <x v="5"/>
    <x v="4"/>
    <s v="Animal Fat and Waste Oil"/>
    <n v="0"/>
    <s v="Millions of Gallons production/year"/>
    <n v="0"/>
    <n v="0"/>
    <n v="0"/>
    <n v="0"/>
  </r>
  <r>
    <x v="1"/>
    <x v="6"/>
    <x v="4"/>
    <s v="Animal Fat and Waste Oil"/>
    <n v="6.4"/>
    <s v="Millions of Gallons production/year"/>
    <n v="9.1156825440000017E-4"/>
    <n v="2.7675212203584005E-2"/>
    <n v="2.7675212203584005E-2"/>
    <n v="4.3354186179264009E-2"/>
  </r>
  <r>
    <x v="1"/>
    <x v="7"/>
    <x v="4"/>
    <s v="Animal Fat and Waste Oil"/>
    <n v="6.6571428571428575"/>
    <s v="Millions of Gallons production/year"/>
    <n v="9.4819376462142873E-4"/>
    <n v="2.8787162693906576E-2"/>
    <n v="2.8787162693906576E-2"/>
    <n v="4.5096095445395154E-2"/>
  </r>
  <r>
    <x v="1"/>
    <x v="8"/>
    <x v="4"/>
    <s v="Animal Fat and Waste Oil"/>
    <n v="6.9142857142857146"/>
    <s v="Millions of Gallons production/year"/>
    <n v="9.848192748428573E-4"/>
    <n v="2.9899113184229147E-2"/>
    <n v="2.9899113184229147E-2"/>
    <n v="4.6838004711526299E-2"/>
  </r>
  <r>
    <x v="1"/>
    <x v="9"/>
    <x v="4"/>
    <s v="Animal Fat and Waste Oil"/>
    <n v="7.1714285714285717"/>
    <s v="Millions of Gallons production/year"/>
    <n v="1.021444785064286E-3"/>
    <n v="3.1011063674551722E-2"/>
    <n v="3.1011063674551722E-2"/>
    <n v="4.8579913977657443E-2"/>
  </r>
  <r>
    <x v="1"/>
    <x v="10"/>
    <x v="4"/>
    <s v="Animal Fat and Waste Oil"/>
    <n v="7.4285714285714288"/>
    <s v="Millions of Gallons production/year"/>
    <n v="1.0580702952857144E-3"/>
    <n v="3.2123014164874286E-2"/>
    <n v="3.2123014164874286E-2"/>
    <n v="5.0321823243788581E-2"/>
  </r>
  <r>
    <x v="1"/>
    <x v="11"/>
    <x v="4"/>
    <s v="Animal Fat and Waste Oil"/>
    <n v="7.6857142857142859"/>
    <s v="Millions of Gallons production/year"/>
    <n v="1.0946958055071431E-3"/>
    <n v="3.3234964655196861E-2"/>
    <n v="3.3234964655196861E-2"/>
    <n v="5.2063732509919726E-2"/>
  </r>
  <r>
    <x v="1"/>
    <x v="12"/>
    <x v="4"/>
    <s v="Animal Fat and Waste Oil"/>
    <n v="7.9428571428571431"/>
    <s v="Millions of Gallons production/year"/>
    <n v="1.1313213157285716E-3"/>
    <n v="3.4346915145519429E-2"/>
    <n v="3.4346915145519429E-2"/>
    <n v="5.3805641776050864E-2"/>
  </r>
  <r>
    <x v="1"/>
    <x v="13"/>
    <x v="4"/>
    <s v="Animal Fat and Waste Oil"/>
    <n v="8.1999999999999993"/>
    <s v="Millions of Gallons production/year"/>
    <n v="1.16794682595E-3"/>
    <n v="3.5458865635842003E-2"/>
    <n v="3.5458865635842003E-2"/>
    <n v="5.5547551042182002E-2"/>
  </r>
  <r>
    <x v="1"/>
    <x v="14"/>
    <x v="4"/>
    <s v="Animal Fat and Waste Oil"/>
    <n v="8.4571428571428555"/>
    <s v="Millions of Gallons production/year"/>
    <n v="1.2045723361714285E-3"/>
    <n v="3.6570816126164571E-2"/>
    <n v="3.6570816126164571E-2"/>
    <n v="5.7289460308313139E-2"/>
  </r>
  <r>
    <x v="1"/>
    <x v="15"/>
    <x v="4"/>
    <s v="Animal Fat and Waste Oil"/>
    <n v="8.7142857142857117"/>
    <s v="Millions of Gallons production/year"/>
    <n v="1.2411978463928569E-3"/>
    <n v="3.7682766616487139E-2"/>
    <n v="3.7682766616487139E-2"/>
    <n v="5.9031369574444277E-2"/>
  </r>
  <r>
    <x v="1"/>
    <x v="16"/>
    <x v="4"/>
    <s v="Animal Fat and Waste Oil"/>
    <n v="8.971428571428568"/>
    <s v="Millions of Gallons production/year"/>
    <n v="1.2778233566142854E-3"/>
    <n v="3.8794717106809706E-2"/>
    <n v="3.8794717106809706E-2"/>
    <n v="6.0773278840575415E-2"/>
  </r>
  <r>
    <x v="1"/>
    <x v="17"/>
    <x v="4"/>
    <s v="Animal Fat and Waste Oil"/>
    <n v="9.2285714285714242"/>
    <s v="Millions of Gallons production/year"/>
    <n v="1.3144488668357138E-3"/>
    <n v="3.9906667597132274E-2"/>
    <n v="3.9906667597132274E-2"/>
    <n v="6.251518810670656E-2"/>
  </r>
  <r>
    <x v="1"/>
    <x v="18"/>
    <x v="4"/>
    <s v="Animal Fat and Waste Oil"/>
    <n v="9.4857142857142804"/>
    <s v="Millions of Gallons production/year"/>
    <n v="1.3510743770571423E-3"/>
    <n v="4.1018618087454842E-2"/>
    <n v="4.1018618087454842E-2"/>
    <n v="6.425709737283769E-2"/>
  </r>
  <r>
    <x v="1"/>
    <x v="19"/>
    <x v="4"/>
    <s v="Animal Fat and Waste Oil"/>
    <n v="9.7428571428571367"/>
    <s v="Millions of Gallons production/year"/>
    <n v="1.3876998872785708E-3"/>
    <n v="4.2130568577777409E-2"/>
    <n v="4.2130568577777409E-2"/>
    <n v="6.5999006638968835E-2"/>
  </r>
  <r>
    <x v="1"/>
    <x v="20"/>
    <x v="4"/>
    <s v="Animal Fat and Waste Oil"/>
    <n v="9.9999999999999929"/>
    <s v="Millions of Gallons production/year"/>
    <n v="1.4243253974999992E-3"/>
    <n v="4.3242519068099977E-2"/>
    <n v="4.3242519068099977E-2"/>
    <n v="6.7740915905099966E-2"/>
  </r>
  <r>
    <x v="1"/>
    <x v="0"/>
    <x v="1"/>
    <s v="Solar (Off-Grid)"/>
    <n v="0"/>
    <s v="MW"/>
    <m/>
    <m/>
    <m/>
    <m/>
  </r>
  <r>
    <x v="1"/>
    <x v="1"/>
    <x v="1"/>
    <s v="Solar (Off-Grid)"/>
    <n v="0"/>
    <s v="MW"/>
    <m/>
    <m/>
    <m/>
    <m/>
  </r>
  <r>
    <x v="1"/>
    <x v="2"/>
    <x v="1"/>
    <s v="Solar (Off-Grid)"/>
    <n v="0"/>
    <s v="MW"/>
    <m/>
    <m/>
    <m/>
    <m/>
  </r>
  <r>
    <x v="1"/>
    <x v="3"/>
    <x v="1"/>
    <s v="Solar (Off-Grid)"/>
    <n v="0"/>
    <s v="MW"/>
    <m/>
    <m/>
    <m/>
    <m/>
  </r>
  <r>
    <x v="1"/>
    <x v="4"/>
    <x v="1"/>
    <s v="Solar (Off-Grid)"/>
    <n v="0"/>
    <s v="MW"/>
    <m/>
    <m/>
    <m/>
    <m/>
  </r>
  <r>
    <x v="1"/>
    <x v="5"/>
    <x v="1"/>
    <s v="Solar (Off-Grid)"/>
    <n v="2289.8773972602744"/>
    <s v="MW"/>
    <m/>
    <m/>
    <m/>
    <m/>
  </r>
  <r>
    <x v="1"/>
    <x v="6"/>
    <x v="1"/>
    <s v="Solar (Off-Grid)"/>
    <n v="2582.2873972602742"/>
    <s v="MW"/>
    <m/>
    <m/>
    <m/>
    <m/>
  </r>
  <r>
    <x v="1"/>
    <x v="7"/>
    <x v="1"/>
    <s v="Solar (Off-Grid)"/>
    <n v="2874.6973972602741"/>
    <s v="MW"/>
    <m/>
    <m/>
    <m/>
    <m/>
  </r>
  <r>
    <x v="1"/>
    <x v="8"/>
    <x v="1"/>
    <s v="Solar (Off-Grid)"/>
    <n v="3167.1073972602744"/>
    <s v="MW"/>
    <m/>
    <m/>
    <m/>
    <m/>
  </r>
  <r>
    <x v="1"/>
    <x v="9"/>
    <x v="1"/>
    <s v="Solar (Off-Grid)"/>
    <n v="3459.5173972602752"/>
    <s v="MW"/>
    <m/>
    <m/>
    <m/>
    <m/>
  </r>
  <r>
    <x v="1"/>
    <x v="10"/>
    <x v="1"/>
    <s v="Solar (Off-Grid)"/>
    <n v="3751.9273972602741"/>
    <s v="MW"/>
    <m/>
    <m/>
    <m/>
    <m/>
  </r>
  <r>
    <x v="1"/>
    <x v="11"/>
    <x v="1"/>
    <s v="Solar (Off-Grid)"/>
    <n v="4044.337397260274"/>
    <s v="MW"/>
    <m/>
    <m/>
    <m/>
    <m/>
  </r>
  <r>
    <x v="1"/>
    <x v="12"/>
    <x v="1"/>
    <s v="Solar (Off-Grid)"/>
    <n v="4336.7473972602738"/>
    <s v="MW"/>
    <m/>
    <m/>
    <m/>
    <m/>
  </r>
  <r>
    <x v="1"/>
    <x v="13"/>
    <x v="1"/>
    <s v="Solar (Off-Grid)"/>
    <n v="4629.1573972602755"/>
    <s v="MW"/>
    <m/>
    <m/>
    <m/>
    <m/>
  </r>
  <r>
    <x v="1"/>
    <x v="14"/>
    <x v="1"/>
    <s v="Solar (Off-Grid)"/>
    <n v="4921.5673972602744"/>
    <s v="MW"/>
    <m/>
    <m/>
    <m/>
    <m/>
  </r>
  <r>
    <x v="1"/>
    <x v="15"/>
    <x v="1"/>
    <s v="Solar (Off-Grid)"/>
    <n v="5213.9773972602752"/>
    <s v="MW"/>
    <m/>
    <m/>
    <m/>
    <m/>
  </r>
  <r>
    <x v="1"/>
    <x v="16"/>
    <x v="1"/>
    <s v="Solar (Off-Grid)"/>
    <n v="5506.3873972602751"/>
    <s v="MW"/>
    <m/>
    <m/>
    <m/>
    <m/>
  </r>
  <r>
    <x v="1"/>
    <x v="17"/>
    <x v="1"/>
    <s v="Solar (Off-Grid)"/>
    <n v="5798.797397260274"/>
    <s v="MW"/>
    <m/>
    <m/>
    <m/>
    <m/>
  </r>
  <r>
    <x v="1"/>
    <x v="18"/>
    <x v="1"/>
    <s v="Solar (Off-Grid)"/>
    <n v="6091.2073972602739"/>
    <s v="MW"/>
    <m/>
    <m/>
    <m/>
    <m/>
  </r>
  <r>
    <x v="1"/>
    <x v="19"/>
    <x v="1"/>
    <s v="Solar (Off-Grid)"/>
    <n v="6383.6173972602719"/>
    <s v="MW"/>
    <m/>
    <m/>
    <m/>
    <m/>
  </r>
  <r>
    <x v="1"/>
    <x v="20"/>
    <x v="1"/>
    <s v="Solar (Off-Grid)"/>
    <n v="6676.0273972602727"/>
    <s v="MW"/>
    <m/>
    <m/>
    <m/>
    <m/>
  </r>
  <r>
    <x v="2"/>
    <x v="0"/>
    <x v="0"/>
    <s v="SMR w/CC"/>
    <n v="0"/>
    <s v="metric ton production/year"/>
    <n v="0"/>
    <n v="0"/>
    <n v="0"/>
    <n v="0"/>
  </r>
  <r>
    <x v="2"/>
    <x v="1"/>
    <x v="0"/>
    <s v="SMR w/CC"/>
    <n v="4380"/>
    <s v="metric ton production/year"/>
    <n v="5.2559999999999998E-4"/>
    <n v="1.345719815892903E-2"/>
    <n v="1.2695492039052935E-2"/>
    <n v="1.4218904278805126E-2"/>
  </r>
  <r>
    <x v="2"/>
    <x v="2"/>
    <x v="0"/>
    <s v="SMR w/CC"/>
    <n v="8760"/>
    <s v="metric ton production/year"/>
    <n v="1.0512E-3"/>
    <n v="2.6453602249343972E-2"/>
    <n v="2.4469395941077696E-2"/>
    <n v="2.8437808557610252E-2"/>
  </r>
  <r>
    <x v="2"/>
    <x v="3"/>
    <x v="0"/>
    <s v="SMR w/CC"/>
    <n v="13140"/>
    <s v="metric ton production/year"/>
    <n v="1.5767999999999999E-3"/>
    <n v="3.8933689508263224E-2"/>
    <n v="3.521066618011108E-2"/>
    <n v="4.2656712836415374E-2"/>
  </r>
  <r>
    <x v="2"/>
    <x v="4"/>
    <x v="0"/>
    <s v="SMR w/CC"/>
    <n v="17520"/>
    <s v="metric ton production/year"/>
    <n v="2.1023999999999999E-3"/>
    <n v="5.0767867345038922E-2"/>
    <n v="4.4660117574857341E-2"/>
    <n v="5.6875617115220503E-2"/>
  </r>
  <r>
    <x v="2"/>
    <x v="5"/>
    <x v="0"/>
    <s v="SMR w/CC"/>
    <n v="21900"/>
    <s v="metric ton production/year"/>
    <n v="2.6279999999999997E-3"/>
    <n v="6.1829807899247427E-2"/>
    <n v="5.2565094404469236E-2"/>
    <n v="7.1094521394025625E-2"/>
  </r>
  <r>
    <x v="2"/>
    <x v="6"/>
    <x v="0"/>
    <s v="SMR w/CC"/>
    <n v="26280"/>
    <s v="metric ton production/year"/>
    <n v="3.1535999999999999E-3"/>
    <n v="7.1973311260762812E-2"/>
    <n v="5.8633196848694877E-2"/>
    <n v="8.5313425672830748E-2"/>
  </r>
  <r>
    <x v="2"/>
    <x v="7"/>
    <x v="0"/>
    <s v="SMR w/CC"/>
    <n v="30660"/>
    <s v="metric ton production/year"/>
    <n v="3.6791999999999997E-3"/>
    <n v="8.106720863916525E-2"/>
    <n v="6.260208732669463E-2"/>
    <n v="9.953232995163587E-2"/>
  </r>
  <r>
    <x v="2"/>
    <x v="8"/>
    <x v="0"/>
    <s v="SMR w/CC"/>
    <n v="35040"/>
    <s v="metric ton production/year"/>
    <n v="4.2047999999999999E-3"/>
    <n v="8.8839879609822023E-2"/>
    <n v="6.3928524989203053E-2"/>
    <n v="0.11375123423044101"/>
  </r>
  <r>
    <x v="2"/>
    <x v="9"/>
    <x v="0"/>
    <s v="SMR w/CC"/>
    <n v="39420"/>
    <s v="metric ton production/year"/>
    <n v="4.7303999999999992E-3"/>
    <n v="9.5165752644597534E-2"/>
    <n v="6.2361366779948968E-2"/>
    <n v="0.1279701385092461"/>
  </r>
  <r>
    <x v="2"/>
    <x v="10"/>
    <x v="0"/>
    <s v="SMR w/CC"/>
    <n v="43800"/>
    <s v="metric ton production/year"/>
    <n v="5.2559999999999994E-3"/>
    <n v="9.9676722070936211E-2"/>
    <n v="5.7164401353821191E-2"/>
    <n v="0.14218904278805125"/>
  </r>
  <r>
    <x v="2"/>
    <x v="11"/>
    <x v="0"/>
    <s v="SMR w/CC"/>
    <n v="48180"/>
    <s v="metric ton production/year"/>
    <n v="5.7815999999999996E-3"/>
    <n v="0.10249090288726698"/>
    <n v="4.8573858707677574E-2"/>
    <n v="0.15640794706685637"/>
  </r>
  <r>
    <x v="2"/>
    <x v="12"/>
    <x v="0"/>
    <s v="SMR w/CC"/>
    <n v="52560"/>
    <s v="metric ton production/year"/>
    <n v="6.3071999999999998E-3"/>
    <n v="0.103744570522917"/>
    <n v="3.6862289700172503E-2"/>
    <n v="0.1706268513456615"/>
  </r>
  <r>
    <x v="2"/>
    <x v="13"/>
    <x v="0"/>
    <s v="SMR w/CC"/>
    <n v="56940"/>
    <s v="metric ton production/year"/>
    <n v="6.8327999999999991E-3"/>
    <n v="0.10370316164789602"/>
    <n v="2.2560567671325436E-2"/>
    <n v="0.18484575562446662"/>
  </r>
  <r>
    <x v="2"/>
    <x v="14"/>
    <x v="0"/>
    <s v="SMR w/CC"/>
    <n v="61320"/>
    <s v="metric ton production/year"/>
    <n v="7.3583999999999993E-3"/>
    <n v="0.10210654630472529"/>
    <n v="5.1484327061788468E-3"/>
    <n v="0.19906465990327174"/>
  </r>
  <r>
    <x v="2"/>
    <x v="15"/>
    <x v="0"/>
    <s v="SMR w/CC"/>
    <n v="65700"/>
    <s v="metric ton production/year"/>
    <n v="7.8839999999999986E-3"/>
    <n v="0.10664178209103842"/>
    <n v="0"/>
    <n v="0.21328356418207683"/>
  </r>
  <r>
    <x v="2"/>
    <x v="16"/>
    <x v="0"/>
    <s v="SMR w/CC"/>
    <n v="70080"/>
    <s v="metric ton production/year"/>
    <n v="8.4095999999999997E-3"/>
    <n v="0.11375123423044101"/>
    <n v="0"/>
    <n v="0.22750246846088201"/>
  </r>
  <r>
    <x v="2"/>
    <x v="17"/>
    <x v="0"/>
    <s v="SMR w/CC"/>
    <n v="74460"/>
    <s v="metric ton production/year"/>
    <n v="8.935199999999999E-3"/>
    <n v="0.12086068636984355"/>
    <n v="0"/>
    <n v="0.24172137273968711"/>
  </r>
  <r>
    <x v="2"/>
    <x v="18"/>
    <x v="0"/>
    <s v="SMR w/CC"/>
    <n v="78840"/>
    <s v="metric ton production/year"/>
    <n v="9.4607999999999984E-3"/>
    <n v="0.1279701385092461"/>
    <n v="0"/>
    <n v="0.2559402770184922"/>
  </r>
  <r>
    <x v="2"/>
    <x v="19"/>
    <x v="0"/>
    <s v="SMR w/CC"/>
    <n v="83220"/>
    <s v="metric ton production/year"/>
    <n v="9.9863999999999994E-3"/>
    <n v="0.13507959064864869"/>
    <n v="0"/>
    <n v="0.27015918129729738"/>
  </r>
  <r>
    <x v="2"/>
    <x v="20"/>
    <x v="0"/>
    <s v="SMR w/CC"/>
    <n v="87600"/>
    <s v="metric ton production/year"/>
    <n v="1.0511999999999999E-2"/>
    <n v="0.14218904278805125"/>
    <n v="0"/>
    <n v="0.2843780855761025"/>
  </r>
  <r>
    <x v="2"/>
    <x v="0"/>
    <x v="1"/>
    <s v="Off-Grid Electrolysis"/>
    <n v="0"/>
    <s v="metric ton production/year"/>
    <n v="0"/>
    <n v="0"/>
    <n v="0"/>
    <n v="0"/>
  </r>
  <r>
    <x v="2"/>
    <x v="1"/>
    <x v="1"/>
    <s v="Off-Grid Electrolysis"/>
    <n v="0"/>
    <s v="metric ton production/year"/>
    <n v="0"/>
    <n v="0"/>
    <n v="0"/>
    <n v="0"/>
  </r>
  <r>
    <x v="2"/>
    <x v="2"/>
    <x v="1"/>
    <s v="Off-Grid Electrolysis"/>
    <n v="0"/>
    <s v="metric ton production/year"/>
    <n v="0"/>
    <n v="0"/>
    <n v="0"/>
    <n v="0"/>
  </r>
  <r>
    <x v="2"/>
    <x v="3"/>
    <x v="1"/>
    <s v="Off-Grid Electrolysis"/>
    <n v="0"/>
    <s v="metric ton production/year"/>
    <n v="0"/>
    <n v="0"/>
    <n v="0"/>
    <n v="0"/>
  </r>
  <r>
    <x v="2"/>
    <x v="4"/>
    <x v="1"/>
    <s v="Off-Grid Electrolysis"/>
    <n v="0"/>
    <s v="metric ton production/year"/>
    <n v="0"/>
    <n v="0"/>
    <n v="0"/>
    <n v="0"/>
  </r>
  <r>
    <x v="2"/>
    <x v="5"/>
    <x v="1"/>
    <s v="Off-Grid Electrolysis"/>
    <n v="16425"/>
    <s v="metric ton production/year"/>
    <n v="1.9709999999999997E-3"/>
    <n v="0.17032320487891631"/>
    <n v="0.16337466975783269"/>
    <n v="0.17727173999999996"/>
  </r>
  <r>
    <x v="2"/>
    <x v="6"/>
    <x v="1"/>
    <s v="Off-Grid Electrolysis"/>
    <n v="32850"/>
    <s v="metric ton production/year"/>
    <n v="3.9419999999999993E-3"/>
    <n v="0.33786833698491497"/>
    <n v="0.32119319396983009"/>
    <n v="0.35454347999999991"/>
  </r>
  <r>
    <x v="2"/>
    <x v="7"/>
    <x v="1"/>
    <s v="Off-Grid Electrolysis"/>
    <n v="49275"/>
    <s v="metric ton production/year"/>
    <n v="5.9129999999999999E-3"/>
    <n v="0.5021391321763865"/>
    <n v="0.47246304435277298"/>
    <n v="0.53181521999999992"/>
  </r>
  <r>
    <x v="2"/>
    <x v="8"/>
    <x v="1"/>
    <s v="Off-Grid Electrolysis"/>
    <n v="65700"/>
    <s v="metric ton production/year"/>
    <n v="7.8839999999999986E-3"/>
    <n v="0.66237817008633926"/>
    <n v="0.61566938017267869"/>
    <n v="0.70908695999999982"/>
  </r>
  <r>
    <x v="2"/>
    <x v="9"/>
    <x v="1"/>
    <s v="Off-Grid Electrolysis"/>
    <n v="82125"/>
    <s v="metric ton production/year"/>
    <n v="9.8549999999999992E-3"/>
    <n v="0.81801622944864871"/>
    <n v="0.74967375889729748"/>
    <n v="0.88635869999999994"/>
  </r>
  <r>
    <x v="2"/>
    <x v="10"/>
    <x v="1"/>
    <s v="Off-Grid Electrolysis"/>
    <n v="98550"/>
    <s v="metric ton production/year"/>
    <n v="1.1826E-2"/>
    <n v="0.96797771838649127"/>
    <n v="0.87232499677298236"/>
    <n v="1.0636304399999998"/>
  </r>
  <r>
    <x v="2"/>
    <x v="11"/>
    <x v="1"/>
    <s v="Off-Grid Electrolysis"/>
    <n v="114975"/>
    <s v="metric ton production/year"/>
    <n v="1.3796999999999999E-2"/>
    <n v="1.112236506389616"/>
    <n v="0.9835708327792323"/>
    <n v="1.2409021799999997"/>
  </r>
  <r>
    <x v="2"/>
    <x v="12"/>
    <x v="1"/>
    <s v="Off-Grid Electrolysis"/>
    <n v="131400"/>
    <s v="metric ton production/year"/>
    <n v="1.5767999999999997E-2"/>
    <n v="1.2509682179431383"/>
    <n v="1.0837625158862774"/>
    <n v="1.4181739199999996"/>
  </r>
  <r>
    <x v="2"/>
    <x v="13"/>
    <x v="1"/>
    <s v="Off-Grid Electrolysis"/>
    <n v="147825"/>
    <s v="metric ton production/year"/>
    <n v="1.7738999999999998E-2"/>
    <n v="1.3847870025608262"/>
    <n v="1.1741283451216524"/>
    <n v="1.5954456599999998"/>
  </r>
  <r>
    <x v="2"/>
    <x v="14"/>
    <x v="1"/>
    <s v="Off-Grid Electrolysis"/>
    <n v="164250"/>
    <s v="metric ton production/year"/>
    <n v="1.9709999999999998E-2"/>
    <n v="1.5130081671467503"/>
    <n v="1.253298934293501"/>
    <n v="1.7727173999999999"/>
  </r>
  <r>
    <x v="2"/>
    <x v="15"/>
    <x v="1"/>
    <s v="Off-Grid Electrolysis"/>
    <n v="180675"/>
    <s v="metric ton production/year"/>
    <n v="2.1680999999999999E-2"/>
    <n v="1.6356422986204109"/>
    <n v="1.3212954572408222"/>
    <n v="1.9499891399999998"/>
  </r>
  <r>
    <x v="2"/>
    <x v="16"/>
    <x v="1"/>
    <s v="Off-Grid Electrolysis"/>
    <n v="197100"/>
    <s v="metric ton production/year"/>
    <n v="2.3651999999999999E-2"/>
    <n v="1.753257612658794"/>
    <n v="1.3792543453175883"/>
    <n v="2.1272608799999997"/>
  </r>
  <r>
    <x v="2"/>
    <x v="17"/>
    <x v="1"/>
    <s v="Off-Grid Electrolysis"/>
    <n v="213525"/>
    <s v="metric ton production/year"/>
    <n v="2.5622999999999996E-2"/>
    <n v="1.8667458918056412"/>
    <n v="1.4289591636112824"/>
    <n v="2.3045326199999998"/>
  </r>
  <r>
    <x v="2"/>
    <x v="18"/>
    <x v="1"/>
    <s v="Off-Grid Electrolysis"/>
    <n v="229950"/>
    <s v="metric ton production/year"/>
    <n v="2.7593999999999997E-2"/>
    <n v="1.9766328413934795"/>
    <n v="1.4714613227869595"/>
    <n v="2.4818043599999995"/>
  </r>
  <r>
    <x v="2"/>
    <x v="19"/>
    <x v="1"/>
    <s v="Off-Grid Electrolysis"/>
    <n v="246375"/>
    <s v="metric ton production/year"/>
    <n v="2.9564999999999998E-2"/>
    <n v="2.0837465570741931"/>
    <n v="1.5084170141483868"/>
    <n v="2.6590760999999996"/>
  </r>
  <r>
    <x v="2"/>
    <x v="20"/>
    <x v="1"/>
    <s v="Off-Grid Electrolysis"/>
    <n v="262800"/>
    <s v="metric ton production/year"/>
    <n v="3.1535999999999995E-2"/>
    <n v="2.1889309172917861"/>
    <n v="1.5415139945835732"/>
    <n v="2.8363478399999993"/>
  </r>
  <r>
    <x v="2"/>
    <x v="0"/>
    <x v="2"/>
    <s v="Solar"/>
    <n v="1171"/>
    <s v="MW"/>
    <n v="9.6702605611217567E-3"/>
    <n v="0.38691110363161241"/>
    <n v="0.35472836501890959"/>
    <n v="0.41909383955799928"/>
  </r>
  <r>
    <x v="2"/>
    <x v="1"/>
    <x v="2"/>
    <s v="Solar"/>
    <n v="2342"/>
    <s v="MW"/>
    <n v="1.8886309524751267E-2"/>
    <n v="0.73348838330280919"/>
    <n v="0.66573516186895565"/>
    <n v="0.80124159949020701"/>
  </r>
  <r>
    <x v="2"/>
    <x v="2"/>
    <x v="2"/>
    <s v="Solar"/>
    <n v="3513"/>
    <s v="MW"/>
    <n v="2.7648146890888538E-2"/>
    <n v="1.0413307139489523"/>
    <n v="0.93497275148942038"/>
    <n v="1.1476886687280652"/>
  </r>
  <r>
    <x v="2"/>
    <x v="3"/>
    <x v="2"/>
    <s v="Solar"/>
    <n v="4684"/>
    <s v="MW"/>
    <n v="3.5955772659533571E-2"/>
    <n v="1.3120369705054034"/>
    <n v="1.1643934948195851"/>
    <n v="1.4596804362030154"/>
  </r>
  <r>
    <x v="2"/>
    <x v="4"/>
    <x v="2"/>
    <s v="Solar"/>
    <n v="5854"/>
    <s v="MW"/>
    <n v="4.3801704475975728E-2"/>
    <n v="1.5469417741025873"/>
    <n v="1.3557181644549579"/>
    <n v="1.7381653715824776"/>
  </r>
  <r>
    <x v="2"/>
    <x v="5"/>
    <x v="2"/>
    <s v="Solar"/>
    <n v="7025"/>
    <s v="MW"/>
    <n v="5.120110099139439E-2"/>
    <n v="1.7481879087193295"/>
    <n v="1.511378743484509"/>
    <n v="1.9849970597309223"/>
  </r>
  <r>
    <x v="2"/>
    <x v="6"/>
    <x v="2"/>
    <s v="Solar"/>
    <n v="8196"/>
    <s v="MW"/>
    <n v="5.8146285909320798E-2"/>
    <n v="1.9170941389215412"/>
    <n v="1.6330790032884208"/>
    <n v="2.2011092584021217"/>
  </r>
  <r>
    <x v="2"/>
    <x v="7"/>
    <x v="2"/>
    <s v="Solar"/>
    <n v="9367"/>
    <s v="MW"/>
    <n v="6.4637259229754981E-2"/>
    <n v="2.0552593396445848"/>
    <n v="1.7227713048059754"/>
    <n v="2.3877473565275178"/>
  </r>
  <r>
    <x v="2"/>
    <x v="8"/>
    <x v="2"/>
    <s v="Solar"/>
    <n v="10538"/>
    <s v="MW"/>
    <n v="7.0674020952696898E-2"/>
    <n v="2.1642823858238214"/>
    <n v="1.7824080089764547"/>
    <n v="2.5461567430385519"/>
  </r>
  <r>
    <x v="2"/>
    <x v="9"/>
    <x v="2"/>
    <s v="Solar"/>
    <n v="11709"/>
    <s v="MW"/>
    <n v="7.6256571078146596E-2"/>
    <n v="2.245762152394613"/>
    <n v="1.8139414767391404"/>
    <n v="2.6775828068666656"/>
  </r>
  <r>
    <x v="2"/>
    <x v="10"/>
    <x v="2"/>
    <s v="Solar"/>
    <n v="12880"/>
    <s v="MW"/>
    <n v="8.1384909606104033E-2"/>
    <n v="2.3012975142923215"/>
    <n v="1.8193240690333143"/>
    <n v="2.7832709369433006"/>
  </r>
  <r>
    <x v="2"/>
    <x v="11"/>
    <x v="2"/>
    <s v="Solar"/>
    <n v="14051"/>
    <s v="MW"/>
    <n v="8.6059036536569253E-2"/>
    <n v="2.332487346452309"/>
    <n v="1.8005081467982589"/>
    <n v="2.8644665221998991"/>
  </r>
  <r>
    <x v="2"/>
    <x v="12"/>
    <x v="2"/>
    <s v="Solar"/>
    <n v="15221"/>
    <s v="MW"/>
    <n v="9.0273021048896465E-2"/>
    <n v="2.3407767378078468"/>
    <n v="1.7593304852374139"/>
    <n v="2.9222229653012111"/>
  </r>
  <r>
    <x v="2"/>
    <x v="13"/>
    <x v="2"/>
    <s v="Solar"/>
    <n v="16392"/>
    <s v="MW"/>
    <n v="9.4038918726135304E-2"/>
    <n v="2.3280838956846757"/>
    <n v="1.6979866161984032"/>
    <n v="2.9581811490477463"/>
  </r>
  <r>
    <x v="2"/>
    <x v="14"/>
    <x v="2"/>
    <s v="Solar"/>
    <n v="17563"/>
    <s v="MW"/>
    <n v="9.7350604805881882E-2"/>
    <n v="2.2958416934989447"/>
    <n v="1.6183007596948227"/>
    <n v="2.9733826002599066"/>
  </r>
  <r>
    <x v="2"/>
    <x v="15"/>
    <x v="2"/>
    <s v="Solar"/>
    <n v="18734"/>
    <s v="MW"/>
    <n v="0.10020807928813624"/>
    <n v="2.2456490061860159"/>
    <n v="1.522225276665955"/>
    <n v="2.9690727078691355"/>
  </r>
  <r>
    <x v="2"/>
    <x v="16"/>
    <x v="2"/>
    <s v="Solar"/>
    <n v="19905"/>
    <s v="MW"/>
    <n v="0.10261134217289836"/>
    <n v="2.1791047086812507"/>
    <n v="1.4117125280510818"/>
    <n v="2.9464968608068731"/>
  </r>
  <r>
    <x v="2"/>
    <x v="17"/>
    <x v="2"/>
    <s v="Solar"/>
    <n v="21076"/>
    <s v="MW"/>
    <n v="0.10456039346016822"/>
    <n v="2.0978076759200115"/>
    <n v="1.288714874789485"/>
    <n v="2.9069004480045617"/>
  </r>
  <r>
    <x v="2"/>
    <x v="18"/>
    <x v="2"/>
    <s v="Solar"/>
    <n v="22247"/>
    <s v="MW"/>
    <n v="0.10605523314994585"/>
    <n v="2.0033567828376597"/>
    <n v="1.1551846778204462"/>
    <n v="2.8515288583936429"/>
  </r>
  <r>
    <x v="2"/>
    <x v="19"/>
    <x v="2"/>
    <s v="Solar"/>
    <n v="23418"/>
    <s v="MW"/>
    <n v="0.10709586124223124"/>
    <n v="1.8973509043695567"/>
    <n v="1.0130742980832477"/>
    <n v="2.7816274809055588"/>
  </r>
  <r>
    <x v="2"/>
    <x v="20"/>
    <x v="2"/>
    <s v="Solar"/>
    <n v="24589"/>
    <s v="MW"/>
    <n v="0.10768227773702438"/>
    <n v="1.7813889154510654"/>
    <n v="0.86433609651717103"/>
    <n v="2.698441704471751"/>
  </r>
  <r>
    <x v="2"/>
    <x v="0"/>
    <x v="2"/>
    <s v="Wind"/>
    <n v="99"/>
    <s v="MW"/>
    <n v="8.9195705339215775E-4"/>
    <n v="3.568756867911406E-2"/>
    <n v="3.2719125324186867E-2"/>
    <n v="3.8656011786263191E-2"/>
  </r>
  <r>
    <x v="2"/>
    <x v="1"/>
    <x v="2"/>
    <s v="Wind"/>
    <n v="212"/>
    <s v="MW"/>
    <n v="1.8947544793857763E-3"/>
    <n v="7.3586657997904037E-2"/>
    <n v="6.6789368160184881E-2"/>
    <n v="8.038394730927656E-2"/>
  </r>
  <r>
    <x v="2"/>
    <x v="2"/>
    <x v="2"/>
    <s v="Wind"/>
    <n v="325"/>
    <s v="MW"/>
    <n v="2.8812468920218714E-3"/>
    <n v="0.10851833560393502"/>
    <n v="9.7434643449532649E-2"/>
    <n v="0.11960202695795161"/>
  </r>
  <r>
    <x v="2"/>
    <x v="3"/>
    <x v="2"/>
    <s v="Wind"/>
    <n v="438"/>
    <s v="MW"/>
    <n v="3.8514342913004433E-3"/>
    <n v="0.14053999694312261"/>
    <n v="0.12472503586503352"/>
    <n v="0.15635495695131618"/>
  </r>
  <r>
    <x v="2"/>
    <x v="4"/>
    <x v="2"/>
    <s v="Wind"/>
    <n v="551"/>
    <s v="MW"/>
    <n v="4.8053166772214911E-3"/>
    <n v="0.16970903746138233"/>
    <n v="0.14873063007949069"/>
    <n v="0.19068744350839809"/>
  </r>
  <r>
    <x v="2"/>
    <x v="5"/>
    <x v="2"/>
    <s v="Wind"/>
    <n v="664"/>
    <s v="MW"/>
    <n v="5.7428940497850156E-3"/>
    <n v="0.19608285260462974"/>
    <n v="0.16952151076570751"/>
    <n v="0.2226441928482252"/>
  </r>
  <r>
    <x v="2"/>
    <x v="6"/>
    <x v="2"/>
    <s v="Wind"/>
    <n v="777"/>
    <s v="MW"/>
    <n v="6.6641664089910164E-3"/>
    <n v="0.2197188378187804"/>
    <n v="0.18716776259648721"/>
    <n v="0.25226991118982528"/>
  </r>
  <r>
    <x v="2"/>
    <x v="7"/>
    <x v="2"/>
    <s v="Wind"/>
    <n v="890"/>
    <s v="MW"/>
    <n v="7.5691337548394943E-3"/>
    <n v="0.24067438854974987"/>
    <n v="0.20173947024463307"/>
    <n v="0.27960930475222628"/>
  </r>
  <r>
    <x v="2"/>
    <x v="8"/>
    <x v="2"/>
    <s v="Wind"/>
    <n v="1003"/>
    <s v="MW"/>
    <n v="8.4577960873304502E-3"/>
    <n v="0.25900690024345374"/>
    <n v="0.21330671838294843"/>
    <n v="0.30470707975445593"/>
  </r>
  <r>
    <x v="2"/>
    <x v="9"/>
    <x v="2"/>
    <s v="Wind"/>
    <n v="1116"/>
    <s v="MW"/>
    <n v="9.3301534064638789E-3"/>
    <n v="0.27477376834580741"/>
    <n v="0.22193959168423644"/>
    <n v="0.32760794241554198"/>
  </r>
  <r>
    <x v="2"/>
    <x v="10"/>
    <x v="2"/>
    <s v="Wind"/>
    <n v="1229"/>
    <s v="MW"/>
    <n v="1.0186205712239787E-2"/>
    <n v="0.28803238830272665"/>
    <n v="0.22770817482130051"/>
    <n v="0.34835659895451243"/>
  </r>
  <r>
    <x v="2"/>
    <x v="11"/>
    <x v="2"/>
    <s v="Wind"/>
    <n v="1342"/>
    <s v="MW"/>
    <n v="1.1025953004658169E-2"/>
    <n v="0.29884015556012689"/>
    <n v="0.23068255246694386"/>
    <n v="0.36699775559039499"/>
  </r>
  <r>
    <x v="2"/>
    <x v="12"/>
    <x v="2"/>
    <s v="Wind"/>
    <n v="1455"/>
    <s v="MW"/>
    <n v="1.1849395283719031E-2"/>
    <n v="0.30725446556392372"/>
    <n v="0.23093280929396978"/>
    <n v="0.38357611854221757"/>
  </r>
  <r>
    <x v="2"/>
    <x v="13"/>
    <x v="2"/>
    <s v="Wind"/>
    <n v="1568"/>
    <s v="MW"/>
    <n v="1.2656532549422367E-2"/>
    <n v="0.31333271376003269"/>
    <n v="0.22852902997518157"/>
    <n v="0.39813639402900797"/>
  </r>
  <r>
    <x v="2"/>
    <x v="14"/>
    <x v="2"/>
    <s v="Wind"/>
    <n v="1681"/>
    <s v="MW"/>
    <n v="1.3447364801768181E-2"/>
    <n v="0.31713229559436934"/>
    <n v="0.22354129918338242"/>
    <n v="0.41072328826979404"/>
  </r>
  <r>
    <x v="2"/>
    <x v="15"/>
    <x v="2"/>
    <s v="Wind"/>
    <n v="1794"/>
    <s v="MW"/>
    <n v="1.4221892040756471E-2"/>
    <n v="0.31871060651284916"/>
    <n v="0.21603970159137564"/>
    <n v="0.42138150748360353"/>
  </r>
  <r>
    <x v="2"/>
    <x v="16"/>
    <x v="2"/>
    <s v="Wind"/>
    <n v="1907"/>
    <s v="MW"/>
    <n v="1.4980114266387238E-2"/>
    <n v="0.31812504196138786"/>
    <n v="0.20609432187196458"/>
    <n v="0.43015575788946442"/>
  </r>
  <r>
    <x v="2"/>
    <x v="17"/>
    <x v="2"/>
    <s v="Wind"/>
    <n v="2020"/>
    <s v="MW"/>
    <n v="1.5722031478660484E-2"/>
    <n v="0.31543299738590086"/>
    <n v="0.19377524469795243"/>
    <n v="0.43709074570640438"/>
  </r>
  <r>
    <x v="2"/>
    <x v="18"/>
    <x v="2"/>
    <s v="Wind"/>
    <n v="2132"/>
    <s v="MW"/>
    <n v="1.6439932639752675E-2"/>
    <n v="0.31054620865976162"/>
    <n v="0.17906856385853157"/>
    <n v="0.44202384889412005"/>
  </r>
  <r>
    <x v="2"/>
    <x v="19"/>
    <x v="2"/>
    <s v="Wind"/>
    <n v="2245"/>
    <s v="MW"/>
    <n v="1.7149311971387676E-2"/>
    <n v="0.30382371644252881"/>
    <n v="0.16222407650962781"/>
    <n v="0.44542335161149871"/>
  </r>
  <r>
    <x v="2"/>
    <x v="20"/>
    <x v="2"/>
    <s v="Wind"/>
    <n v="2358"/>
    <s v="MW"/>
    <n v="1.7842386289665155E-2"/>
    <n v="0.29516676123091701"/>
    <n v="0.14321593898508508"/>
    <n v="0.44711757852028783"/>
  </r>
  <r>
    <x v="2"/>
    <x v="0"/>
    <x v="2"/>
    <s v="Biomass"/>
    <n v="0"/>
    <s v="MW"/>
    <n v="0"/>
    <n v="0"/>
    <n v="0"/>
    <n v="0"/>
  </r>
  <r>
    <x v="2"/>
    <x v="1"/>
    <x v="2"/>
    <s v="Biomass"/>
    <n v="5"/>
    <s v="MW"/>
    <n v="1.0784054976135365E-4"/>
    <n v="4.1882078865263742E-3"/>
    <n v="3.8013379880978866E-3"/>
    <n v="4.5750777549976767E-3"/>
  </r>
  <r>
    <x v="2"/>
    <x v="2"/>
    <x v="2"/>
    <s v="Biomass"/>
    <n v="5"/>
    <s v="MW"/>
    <n v="1.0705490865668688E-4"/>
    <n v="4.0320808806157552E-3"/>
    <n v="3.6202579110347871E-3"/>
    <n v="4.4439038204577841E-3"/>
  </r>
  <r>
    <x v="2"/>
    <x v="3"/>
    <x v="2"/>
    <s v="Biomass"/>
    <n v="5"/>
    <s v="MW"/>
    <n v="1.0626926755202014E-4"/>
    <n v="3.8777975702828189E-3"/>
    <n v="3.4414291415318862E-3"/>
    <n v="4.3141659695130567E-3"/>
  </r>
  <r>
    <x v="2"/>
    <x v="4"/>
    <x v="2"/>
    <s v="Biomass"/>
    <n v="5"/>
    <s v="MW"/>
    <n v="1.0548362644735336E-4"/>
    <n v="3.7253579555275619E-3"/>
    <n v="3.2648516795891823E-3"/>
    <n v="4.1858642021634926E-3"/>
  </r>
  <r>
    <x v="2"/>
    <x v="5"/>
    <x v="2"/>
    <s v="Biomass"/>
    <n v="10"/>
    <s v="MW"/>
    <n v="2.0939597068537322E-4"/>
    <n v="7.1495240726999736E-3"/>
    <n v="6.181051050413354E-3"/>
    <n v="8.1179970368181857E-3"/>
  </r>
  <r>
    <x v="2"/>
    <x v="6"/>
    <x v="2"/>
    <s v="Biomass"/>
    <n v="10"/>
    <s v="MW"/>
    <n v="2.078246884760397E-4"/>
    <n v="6.8520196255001829E-3"/>
    <n v="5.8369013567687372E-3"/>
    <n v="7.8671378364997113E-3"/>
  </r>
  <r>
    <x v="2"/>
    <x v="7"/>
    <x v="2"/>
    <s v="Biomass"/>
    <n v="15"/>
    <s v="MW"/>
    <n v="3.0938010940005932E-4"/>
    <n v="9.8373038541836339E-3"/>
    <n v="8.2458814173667749E-3"/>
    <n v="1.1428726205057351E-2"/>
  </r>
  <r>
    <x v="2"/>
    <x v="8"/>
    <x v="2"/>
    <s v="Biomass"/>
    <n v="15"/>
    <s v="MW"/>
    <n v="3.0702318608605896E-4"/>
    <n v="9.4021093568500327E-3"/>
    <n v="7.7431647222610351E-3"/>
    <n v="1.1061053906150625E-2"/>
  </r>
  <r>
    <x v="2"/>
    <x v="9"/>
    <x v="2"/>
    <s v="Biomass"/>
    <n v="15"/>
    <s v="MW"/>
    <n v="3.0466626277205871E-4"/>
    <n v="8.9724459462494754E-3"/>
    <n v="7.2472019498358905E-3"/>
    <n v="1.0697689858029389E-2"/>
  </r>
  <r>
    <x v="2"/>
    <x v="10"/>
    <x v="2"/>
    <s v="Biomass"/>
    <n v="15"/>
    <s v="MW"/>
    <n v="3.0230933945805846E-4"/>
    <n v="8.5483136223819586E-3"/>
    <n v="6.7579931000913383E-3"/>
    <n v="1.0338634060693644E-2"/>
  </r>
  <r>
    <x v="2"/>
    <x v="11"/>
    <x v="2"/>
    <s v="Biomass"/>
    <n v="15"/>
    <s v="MW"/>
    <n v="2.9995241614405821E-4"/>
    <n v="8.1297123852474857E-3"/>
    <n v="6.2755381730273795E-3"/>
    <n v="9.9838865141433919E-3"/>
  </r>
  <r>
    <x v="2"/>
    <x v="12"/>
    <x v="2"/>
    <s v="Biomass"/>
    <n v="15"/>
    <s v="MW"/>
    <n v="2.9759549283005785E-4"/>
    <n v="7.7166422348460542E-3"/>
    <n v="5.7998371686440132E-3"/>
    <n v="9.6334472183786275E-3"/>
  </r>
  <r>
    <x v="2"/>
    <x v="13"/>
    <x v="2"/>
    <s v="Biomass"/>
    <n v="15"/>
    <s v="MW"/>
    <n v="2.952385695160576E-4"/>
    <n v="7.3091031711776666E-3"/>
    <n v="5.3308900869412411E-3"/>
    <n v="9.2873161733993594E-3"/>
  </r>
  <r>
    <x v="2"/>
    <x v="14"/>
    <x v="2"/>
    <s v="Biomass"/>
    <n v="15"/>
    <s v="MW"/>
    <n v="2.9288164620205735E-4"/>
    <n v="6.9070951942423204E-3"/>
    <n v="4.8686969279190606E-3"/>
    <n v="8.9454933792055807E-3"/>
  </r>
  <r>
    <x v="2"/>
    <x v="15"/>
    <x v="2"/>
    <s v="Biomass"/>
    <n v="15"/>
    <s v="MW"/>
    <n v="2.905247228880571E-4"/>
    <n v="6.5106183040400164E-3"/>
    <n v="4.4132576915774735E-3"/>
    <n v="8.607978835797293E-3"/>
  </r>
  <r>
    <x v="2"/>
    <x v="16"/>
    <x v="2"/>
    <s v="Biomass"/>
    <n v="15"/>
    <s v="MW"/>
    <n v="2.8816779957405674E-4"/>
    <n v="6.1196725005707537E-3"/>
    <n v="3.9645723779164789E-3"/>
    <n v="8.2747725431744946E-3"/>
  </r>
  <r>
    <x v="2"/>
    <x v="17"/>
    <x v="2"/>
    <s v="Biomass"/>
    <n v="15"/>
    <s v="MW"/>
    <n v="2.8581087626005649E-4"/>
    <n v="5.7342577838345342E-3"/>
    <n v="3.5226409869360785E-3"/>
    <n v="7.9458745013371909E-3"/>
  </r>
  <r>
    <x v="2"/>
    <x v="18"/>
    <x v="2"/>
    <s v="Biomass"/>
    <n v="15"/>
    <s v="MW"/>
    <n v="2.8345395294605624E-4"/>
    <n v="5.3543741538313568E-3"/>
    <n v="3.087463518636271E-3"/>
    <n v="7.6212847102853764E-3"/>
  </r>
  <r>
    <x v="2"/>
    <x v="19"/>
    <x v="2"/>
    <s v="Biomass"/>
    <n v="15"/>
    <s v="MW"/>
    <n v="2.8109702963205599E-4"/>
    <n v="4.9800216105612216E-3"/>
    <n v="2.6590399730170564E-3"/>
    <n v="7.3010031700190547E-3"/>
  </r>
  <r>
    <x v="2"/>
    <x v="20"/>
    <x v="2"/>
    <s v="Biomass"/>
    <n v="15"/>
    <s v="MW"/>
    <n v="2.7874010631805568E-4"/>
    <n v="4.6112001540241296E-3"/>
    <n v="2.2373703500784348E-3"/>
    <n v="6.9850298805382242E-3"/>
  </r>
  <r>
    <x v="2"/>
    <x v="0"/>
    <x v="2"/>
    <s v="Li_Battery"/>
    <n v="588"/>
    <s v="MW"/>
    <n v="2.4788587405349559E-3"/>
    <n v="9.9180158071768915E-2"/>
    <n v="9.0930487610438954E-2"/>
    <n v="0.10742982784449304"/>
  </r>
  <r>
    <x v="2"/>
    <x v="1"/>
    <x v="2"/>
    <s v="Li_Battery"/>
    <n v="1176"/>
    <s v="MW"/>
    <n v="4.9577174810699117E-3"/>
    <n v="0.19254307864097853"/>
    <n v="0.17475763835359978"/>
    <n v="0.21032851755114568"/>
  </r>
  <r>
    <x v="2"/>
    <x v="2"/>
    <x v="2"/>
    <s v="Li_Battery"/>
    <n v="1764"/>
    <s v="MW"/>
    <n v="7.4365762216048693E-3"/>
    <n v="0.28008876170762886"/>
    <n v="0.25148145222948248"/>
    <n v="0.30869606911995784"/>
  </r>
  <r>
    <x v="2"/>
    <x v="3"/>
    <x v="2"/>
    <s v="Li_Battery"/>
    <n v="2353"/>
    <s v="MW"/>
    <n v="9.9196507082971973E-3"/>
    <n v="0.36197104111834899"/>
    <n v="0.32123845216718488"/>
    <n v="0.40270362731391895"/>
  </r>
  <r>
    <x v="2"/>
    <x v="4"/>
    <x v="2"/>
    <s v="Li_Battery"/>
    <n v="2941"/>
    <s v="MW"/>
    <n v="1.2398509448832152E-2"/>
    <n v="0.43787730254935137"/>
    <n v="0.38374955205607314"/>
    <n v="0.49200504959842972"/>
  </r>
  <r>
    <x v="2"/>
    <x v="5"/>
    <x v="2"/>
    <s v="Li_Battery"/>
    <n v="3529"/>
    <s v="MW"/>
    <n v="1.4877368189367109E-2"/>
    <n v="0.50796632647779438"/>
    <n v="0.4391573150776833"/>
    <n v="0.57677533374510004"/>
  </r>
  <r>
    <x v="2"/>
    <x v="6"/>
    <x v="2"/>
    <s v="Li_Battery"/>
    <n v="4117"/>
    <s v="MW"/>
    <n v="1.7356226929902067E-2"/>
    <n v="0.57223811290367821"/>
    <n v="0.48746174123201536"/>
    <n v="0.65701447975393001"/>
  </r>
  <r>
    <x v="2"/>
    <x v="7"/>
    <x v="2"/>
    <s v="Li_Battery"/>
    <n v="4705"/>
    <s v="MW"/>
    <n v="1.9835085670437021E-2"/>
    <n v="0.63069266182700257"/>
    <n v="0.52866283051906915"/>
    <n v="0.73272248762491943"/>
  </r>
  <r>
    <x v="2"/>
    <x v="8"/>
    <x v="2"/>
    <s v="Li_Battery"/>
    <n v="5293"/>
    <s v="MW"/>
    <n v="2.2313944410971977E-2"/>
    <n v="0.68332997324776779"/>
    <n v="0.56276058293884501"/>
    <n v="0.8038993573580685"/>
  </r>
  <r>
    <x v="2"/>
    <x v="9"/>
    <x v="2"/>
    <s v="Li_Battery"/>
    <n v="5881"/>
    <s v="MW"/>
    <n v="2.4792803151506934E-2"/>
    <n v="0.73015004716597365"/>
    <n v="0.5897549984913425"/>
    <n v="0.87054508895337712"/>
  </r>
  <r>
    <x v="2"/>
    <x v="10"/>
    <x v="2"/>
    <s v="Li_Battery"/>
    <n v="6470"/>
    <s v="MW"/>
    <n v="2.7275877638199265E-2"/>
    <n v="0.77127209101454364"/>
    <n v="0.60974031833859277"/>
    <n v="0.93280385611349026"/>
  </r>
  <r>
    <x v="2"/>
    <x v="11"/>
    <x v="2"/>
    <s v="Li_Battery"/>
    <n v="7058"/>
    <s v="MW"/>
    <n v="2.9754736378734218E-2"/>
    <n v="0.80645274329710148"/>
    <n v="0.62252201990409595"/>
    <n v="0.99038345842449726"/>
  </r>
  <r>
    <x v="2"/>
    <x v="12"/>
    <x v="2"/>
    <s v="Li_Battery"/>
    <n v="7646"/>
    <s v="MW"/>
    <n v="3.2233595119269175E-2"/>
    <n v="0.83581615807710019"/>
    <n v="0.62820038460232097"/>
    <n v="1.0434319225976638"/>
  </r>
  <r>
    <x v="2"/>
    <x v="13"/>
    <x v="2"/>
    <s v="Li_Battery"/>
    <n v="8234"/>
    <s v="MW"/>
    <n v="3.4712453859804135E-2"/>
    <n v="0.85936233535453954"/>
    <n v="0.62677541243326795"/>
    <n v="1.09194924863299"/>
  </r>
  <r>
    <x v="2"/>
    <x v="14"/>
    <x v="2"/>
    <s v="Li_Battery"/>
    <n v="8822"/>
    <s v="MW"/>
    <n v="3.7191312600339088E-2"/>
    <n v="0.87709127512941953"/>
    <n v="0.61824710339693678"/>
    <n v="1.1359354365304759"/>
  </r>
  <r>
    <x v="2"/>
    <x v="15"/>
    <x v="2"/>
    <s v="Li_Battery"/>
    <n v="9410"/>
    <s v="MW"/>
    <n v="3.9670171340874041E-2"/>
    <n v="0.88900297740174017"/>
    <n v="0.60261545749332723"/>
    <n v="1.175390486290121"/>
  </r>
  <r>
    <x v="2"/>
    <x v="16"/>
    <x v="2"/>
    <s v="Li_Battery"/>
    <n v="9998"/>
    <s v="MW"/>
    <n v="4.2149030081409002E-2"/>
    <n v="0.89509744217150156"/>
    <n v="0.57988047472243975"/>
    <n v="1.210314397911926"/>
  </r>
  <r>
    <x v="2"/>
    <x v="17"/>
    <x v="2"/>
    <s v="Li_Battery"/>
    <n v="10586"/>
    <s v="MW"/>
    <n v="4.4627888821943955E-2"/>
    <n v="0.8953746694387037"/>
    <n v="0.55004215508427401"/>
    <n v="1.2407071713958904"/>
  </r>
  <r>
    <x v="2"/>
    <x v="18"/>
    <x v="2"/>
    <s v="Li_Battery"/>
    <n v="11175"/>
    <s v="MW"/>
    <n v="4.7110963308636282E-2"/>
    <n v="0.88991429359203478"/>
    <n v="0.51314641772135561"/>
    <n v="1.2666821563756943"/>
  </r>
  <r>
    <x v="2"/>
    <x v="19"/>
    <x v="2"/>
    <s v="Li_Battery"/>
    <n v="11763"/>
    <s v="MW"/>
    <n v="4.9589822049171242E-2"/>
    <n v="0.8785520992235889"/>
    <n v="0.46909538409619544"/>
    <n v="1.2880088005753572"/>
  </r>
  <r>
    <x v="2"/>
    <x v="20"/>
    <x v="2"/>
    <s v="Li_Battery"/>
    <n v="12351"/>
    <s v="MW"/>
    <n v="5.2068680789706202E-2"/>
    <n v="0.86137266735258389"/>
    <n v="0.41794101360375718"/>
    <n v="1.3048043066371797"/>
  </r>
  <r>
    <x v="2"/>
    <x v="0"/>
    <x v="2"/>
    <s v="LDES"/>
    <n v="0"/>
    <s v="MW"/>
    <n v="0"/>
    <n v="0"/>
    <n v="0"/>
    <n v="0"/>
  </r>
  <r>
    <x v="2"/>
    <x v="1"/>
    <x v="2"/>
    <s v="LDES"/>
    <n v="0"/>
    <s v="MW"/>
    <n v="0"/>
    <n v="0"/>
    <n v="0"/>
    <n v="0"/>
  </r>
  <r>
    <x v="2"/>
    <x v="2"/>
    <x v="2"/>
    <s v="LDES"/>
    <n v="0"/>
    <s v="MW"/>
    <n v="0"/>
    <n v="0"/>
    <n v="0"/>
    <n v="0"/>
  </r>
  <r>
    <x v="2"/>
    <x v="3"/>
    <x v="2"/>
    <s v="LDES"/>
    <n v="0"/>
    <s v="MW"/>
    <n v="0"/>
    <n v="0"/>
    <n v="0"/>
    <n v="0"/>
  </r>
  <r>
    <x v="2"/>
    <x v="4"/>
    <x v="2"/>
    <s v="LDES"/>
    <n v="0"/>
    <s v="MW"/>
    <n v="0"/>
    <n v="0"/>
    <n v="0"/>
    <n v="0"/>
  </r>
  <r>
    <x v="2"/>
    <x v="5"/>
    <x v="2"/>
    <s v="LDES"/>
    <n v="0"/>
    <s v="MW"/>
    <n v="0"/>
    <n v="0"/>
    <n v="0"/>
    <n v="0"/>
  </r>
  <r>
    <x v="2"/>
    <x v="6"/>
    <x v="2"/>
    <s v="LDES"/>
    <n v="0"/>
    <s v="MW"/>
    <n v="0"/>
    <n v="0"/>
    <n v="0"/>
    <n v="0"/>
  </r>
  <r>
    <x v="2"/>
    <x v="7"/>
    <x v="2"/>
    <s v="LDES"/>
    <n v="0"/>
    <s v="MW"/>
    <n v="0"/>
    <n v="0"/>
    <n v="0"/>
    <n v="0"/>
  </r>
  <r>
    <x v="2"/>
    <x v="8"/>
    <x v="2"/>
    <s v="LDES"/>
    <n v="0"/>
    <s v="MW"/>
    <n v="0"/>
    <n v="0"/>
    <n v="0"/>
    <n v="0"/>
  </r>
  <r>
    <x v="2"/>
    <x v="9"/>
    <x v="2"/>
    <s v="LDES"/>
    <n v="1000"/>
    <s v="MW"/>
    <n v="6.8954153824011474E-3"/>
    <n v="0.20307053768477021"/>
    <n v="0.16402363474571435"/>
    <n v="0.24211743870833891"/>
  </r>
  <r>
    <x v="2"/>
    <x v="10"/>
    <x v="2"/>
    <s v="LDES"/>
    <n v="1000"/>
    <s v="MW"/>
    <n v="6.9932771284677451E-3"/>
    <n v="0.19774687163003388"/>
    <n v="0.15633165242573785"/>
    <n v="0.23916208889165763"/>
  </r>
  <r>
    <x v="2"/>
    <x v="11"/>
    <x v="2"/>
    <s v="LDES"/>
    <n v="1000"/>
    <s v="MW"/>
    <n v="7.0911388745343437E-3"/>
    <n v="0.19219354947994394"/>
    <n v="0.14835924067371514"/>
    <n v="0.23602785631631532"/>
  </r>
  <r>
    <x v="2"/>
    <x v="12"/>
    <x v="2"/>
    <s v="LDES"/>
    <n v="1000"/>
    <s v="MW"/>
    <n v="7.1890006206009414E-3"/>
    <n v="0.18641057123450028"/>
    <n v="0.14010639948964615"/>
    <n v="0.2327147409823119"/>
  </r>
  <r>
    <x v="2"/>
    <x v="13"/>
    <x v="2"/>
    <s v="LDES"/>
    <n v="1000"/>
    <s v="MW"/>
    <n v="7.2868623666675399E-3"/>
    <n v="0.18039793689370298"/>
    <n v="0.13157312887353095"/>
    <n v="0.22922274288964739"/>
  </r>
  <r>
    <x v="2"/>
    <x v="14"/>
    <x v="2"/>
    <s v="LDES"/>
    <n v="1000"/>
    <s v="MW"/>
    <n v="7.3847241127341376E-3"/>
    <n v="0.17415564645755205"/>
    <n v="0.12275942882536947"/>
    <n v="0.22555186203832181"/>
  </r>
  <r>
    <x v="2"/>
    <x v="15"/>
    <x v="2"/>
    <s v="LDES"/>
    <n v="1000"/>
    <s v="MW"/>
    <n v="7.4825858588007353E-3"/>
    <n v="0.16768369992604745"/>
    <n v="0.11366529934516179"/>
    <n v="0.22170209842833521"/>
  </r>
  <r>
    <x v="2"/>
    <x v="16"/>
    <x v="2"/>
    <s v="LDES"/>
    <n v="1000"/>
    <s v="MW"/>
    <n v="7.580447604867333E-3"/>
    <n v="0.16098209729918919"/>
    <n v="0.10429074043290784"/>
    <n v="0.21767345205968747"/>
  </r>
  <r>
    <x v="2"/>
    <x v="17"/>
    <x v="2"/>
    <s v="LDES"/>
    <n v="1000"/>
    <s v="MW"/>
    <n v="7.6783093509339316E-3"/>
    <n v="0.15405083857697724"/>
    <n v="9.4635752088607653E-2"/>
    <n v="0.21346592293237868"/>
  </r>
  <r>
    <x v="2"/>
    <x v="18"/>
    <x v="2"/>
    <s v="LDES"/>
    <n v="1000"/>
    <s v="MW"/>
    <n v="7.7761710970005284E-3"/>
    <n v="0.14688992375941165"/>
    <n v="8.4700334312261219E-2"/>
    <n v="0.20907951104640876"/>
  </r>
  <r>
    <x v="2"/>
    <x v="19"/>
    <x v="2"/>
    <s v="LDES"/>
    <n v="2000"/>
    <s v="MW"/>
    <n v="1.5748065686134256E-2"/>
    <n v="0.27899870569298485"/>
    <n v="0.14896897420773714"/>
    <n v="0.40902843280355572"/>
  </r>
  <r>
    <x v="2"/>
    <x v="20"/>
    <x v="2"/>
    <s v="LDES"/>
    <n v="2000"/>
    <s v="MW"/>
    <n v="1.5943789178267449E-2"/>
    <n v="0.26375825167643902"/>
    <n v="0.12797642092685929"/>
    <n v="0.3995400779969715"/>
  </r>
  <r>
    <x v="2"/>
    <x v="0"/>
    <x v="3"/>
    <s v="AD - Animal Manure"/>
    <n v="6857"/>
    <s v="mcf production/year"/>
    <n v="7.4947009999999994E-3"/>
    <n v="1.7178604162099997"/>
    <n v="1.5867780957199997"/>
    <n v="3.0580401759849565"/>
  </r>
  <r>
    <x v="2"/>
    <x v="1"/>
    <x v="3"/>
    <s v="AD - Animal Manure"/>
    <n v="7942.15"/>
    <s v="mcf production/year"/>
    <n v="8.6807699499999984E-3"/>
    <n v="1.9897192802394994"/>
    <n v="1.8378926138139995"/>
    <n v="3.5419883015457083"/>
  </r>
  <r>
    <x v="2"/>
    <x v="2"/>
    <x v="3"/>
    <s v="AD - Animal Manure"/>
    <n v="9027.2999999999993"/>
    <s v="mcf production/year"/>
    <n v="9.8668388999999992E-3"/>
    <n v="2.2615781442689995"/>
    <n v="2.0890071319079997"/>
    <n v="4.0259364271064602"/>
  </r>
  <r>
    <x v="2"/>
    <x v="3"/>
    <x v="3"/>
    <s v="AD - Animal Manure"/>
    <n v="10112.449999999999"/>
    <s v="mcf production/year"/>
    <n v="1.1052907849999998E-2"/>
    <n v="2.5334370082984994"/>
    <n v="2.3401216500019992"/>
    <n v="4.509884552667212"/>
  </r>
  <r>
    <x v="2"/>
    <x v="4"/>
    <x v="3"/>
    <s v="AD - Animal Manure"/>
    <n v="11197.599999999999"/>
    <s v="mcf production/year"/>
    <n v="1.2238976799999997E-2"/>
    <n v="2.8052958723279993"/>
    <n v="2.5912361680959992"/>
    <n v="4.993832678227963"/>
  </r>
  <r>
    <x v="2"/>
    <x v="5"/>
    <x v="3"/>
    <s v="AD - Animal Manure"/>
    <n v="12282.749999999998"/>
    <s v="mcf production/year"/>
    <n v="1.3425045749999998E-2"/>
    <n v="3.0771547363574991"/>
    <n v="2.8423506861899992"/>
    <n v="5.4777808037887157"/>
  </r>
  <r>
    <x v="2"/>
    <x v="6"/>
    <x v="3"/>
    <s v="AD - Animal Manure"/>
    <n v="13367.899999999998"/>
    <s v="mcf production/year"/>
    <n v="1.4611114699999997E-2"/>
    <n v="3.349013600386999"/>
    <n v="3.0934652042839987"/>
    <n v="5.9617289293494666"/>
  </r>
  <r>
    <x v="2"/>
    <x v="7"/>
    <x v="3"/>
    <s v="AD - Animal Manure"/>
    <n v="14453.049999999997"/>
    <s v="mcf production/year"/>
    <n v="1.5797183649999998E-2"/>
    <n v="3.6208724644164993"/>
    <n v="3.3445797223779992"/>
    <n v="6.4456770549102194"/>
  </r>
  <r>
    <x v="2"/>
    <x v="8"/>
    <x v="3"/>
    <s v="AD - Animal Manure"/>
    <n v="15538.199999999997"/>
    <s v="mcf production/year"/>
    <n v="1.6983252599999995E-2"/>
    <n v="3.8927313284459983"/>
    <n v="3.5956942404719983"/>
    <n v="6.9296251804709703"/>
  </r>
  <r>
    <x v="2"/>
    <x v="9"/>
    <x v="3"/>
    <s v="AD - Animal Manure"/>
    <n v="16623.349999999999"/>
    <s v="mcf production/year"/>
    <n v="1.8169321550000003E-2"/>
    <n v="4.1645901924755"/>
    <n v="3.846808758566"/>
    <n v="7.4135733060317248"/>
  </r>
  <r>
    <x v="2"/>
    <x v="10"/>
    <x v="3"/>
    <s v="AD - Animal Manure"/>
    <n v="17708.5"/>
    <s v="mcf production/year"/>
    <n v="1.9355390500000003E-2"/>
    <n v="4.4364490565050003"/>
    <n v="4.0979232766600004"/>
    <n v="7.8975214315924775"/>
  </r>
  <r>
    <x v="2"/>
    <x v="11"/>
    <x v="3"/>
    <s v="AD - Animal Manure"/>
    <n v="18793.650000000001"/>
    <s v="mcf production/year"/>
    <n v="2.0541459450000004E-2"/>
    <n v="4.7083079205345006"/>
    <n v="4.3490377947540004"/>
    <n v="8.3814695571532294"/>
  </r>
  <r>
    <x v="2"/>
    <x v="12"/>
    <x v="3"/>
    <s v="AD - Animal Manure"/>
    <n v="19878.800000000003"/>
    <s v="mcf production/year"/>
    <n v="2.1727528400000005E-2"/>
    <n v="4.980166784564001"/>
    <n v="4.6001523128480004"/>
    <n v="8.8654176827139821"/>
  </r>
  <r>
    <x v="2"/>
    <x v="13"/>
    <x v="3"/>
    <s v="AD - Animal Manure"/>
    <n v="20963.950000000004"/>
    <s v="mcf production/year"/>
    <n v="2.2913597350000009E-2"/>
    <n v="5.2520256485935013"/>
    <n v="4.8512668309420013"/>
    <n v="9.3493658082747348"/>
  </r>
  <r>
    <x v="2"/>
    <x v="14"/>
    <x v="3"/>
    <s v="AD - Animal Manure"/>
    <n v="22049.100000000006"/>
    <s v="mcf production/year"/>
    <n v="2.409966630000001E-2"/>
    <n v="5.5238845126230016"/>
    <n v="5.1023813490360013"/>
    <n v="9.8333139338354876"/>
  </r>
  <r>
    <x v="2"/>
    <x v="15"/>
    <x v="3"/>
    <s v="AD - Animal Manure"/>
    <n v="23134.250000000007"/>
    <s v="mcf production/year"/>
    <n v="2.528573525000001E-2"/>
    <n v="5.7957433766525019"/>
    <n v="5.3534958671300013"/>
    <n v="10.31726205939624"/>
  </r>
  <r>
    <x v="2"/>
    <x v="16"/>
    <x v="3"/>
    <s v="AD - Animal Manure"/>
    <n v="24219.400000000009"/>
    <s v="mcf production/year"/>
    <n v="2.6471804200000015E-2"/>
    <n v="6.0676022406820032"/>
    <n v="5.6046103852240021"/>
    <n v="10.801210184956993"/>
  </r>
  <r>
    <x v="2"/>
    <x v="17"/>
    <x v="3"/>
    <s v="AD - Animal Manure"/>
    <n v="25304.55000000001"/>
    <s v="mcf production/year"/>
    <n v="2.7657873150000015E-2"/>
    <n v="6.3394611047115026"/>
    <n v="5.8557249033180021"/>
    <n v="11.285158310517746"/>
  </r>
  <r>
    <x v="2"/>
    <x v="18"/>
    <x v="3"/>
    <s v="AD - Animal Manure"/>
    <n v="26389.700000000012"/>
    <s v="mcf production/year"/>
    <n v="2.8843942100000016E-2"/>
    <n v="6.6113199687410029"/>
    <n v="6.106839421412003"/>
    <n v="11.769106436078498"/>
  </r>
  <r>
    <x v="2"/>
    <x v="19"/>
    <x v="3"/>
    <s v="AD - Animal Manure"/>
    <n v="27474.850000000013"/>
    <s v="mcf production/year"/>
    <n v="3.003001105000002E-2"/>
    <n v="6.8831788327705041"/>
    <n v="6.3579539395060038"/>
    <n v="12.253054561639251"/>
  </r>
  <r>
    <x v="2"/>
    <x v="20"/>
    <x v="3"/>
    <s v="AD - Animal Manure"/>
    <n v="28560.000000000015"/>
    <s v="mcf production/year"/>
    <n v="3.1216080000000021E-2"/>
    <n v="7.1550376968000045"/>
    <n v="6.6090684576000038"/>
    <n v="12.737002687200004"/>
  </r>
  <r>
    <x v="2"/>
    <x v="0"/>
    <x v="3"/>
    <s v="Food Waste"/>
    <n v="444"/>
    <s v="mcf production/year"/>
    <n v="4.8529199999999996E-4"/>
    <n v="1.6601839319999995E-2"/>
    <n v="1.6601839319999995E-2"/>
    <n v="6.4672438379999989E-2"/>
  </r>
  <r>
    <x v="2"/>
    <x v="1"/>
    <x v="3"/>
    <s v="Food Waste"/>
    <n v="514.20000000000005"/>
    <s v="mcf production/year"/>
    <n v="5.6202059999999998E-4"/>
    <n v="1.9226724725999997E-2"/>
    <n v="1.9226724725999997E-2"/>
    <n v="7.4897675258999985E-2"/>
  </r>
  <r>
    <x v="2"/>
    <x v="2"/>
    <x v="3"/>
    <s v="Food Waste"/>
    <n v="584.40000000000009"/>
    <s v="mcf production/year"/>
    <n v="6.3874920000000005E-4"/>
    <n v="2.1851610131999998E-2"/>
    <n v="2.1851610131999998E-2"/>
    <n v="8.5122912137999995E-2"/>
  </r>
  <r>
    <x v="2"/>
    <x v="3"/>
    <x v="3"/>
    <s v="Food Waste"/>
    <n v="654.60000000000014"/>
    <s v="mcf production/year"/>
    <n v="7.1547780000000012E-4"/>
    <n v="2.4476495538E-2"/>
    <n v="2.4476495538E-2"/>
    <n v="9.5348149017000006E-2"/>
  </r>
  <r>
    <x v="2"/>
    <x v="4"/>
    <x v="3"/>
    <s v="Food Waste"/>
    <n v="724.80000000000018"/>
    <s v="mcf production/year"/>
    <n v="7.9220640000000019E-4"/>
    <n v="2.7101380944000001E-2"/>
    <n v="2.7101380944000001E-2"/>
    <n v="0.10557338589600002"/>
  </r>
  <r>
    <x v="2"/>
    <x v="5"/>
    <x v="3"/>
    <s v="Food Waste"/>
    <n v="795.00000000000023"/>
    <s v="mcf production/year"/>
    <n v="8.6893500000000026E-4"/>
    <n v="2.9726266350000002E-2"/>
    <n v="2.9726266350000002E-2"/>
    <n v="0.11579862277500003"/>
  </r>
  <r>
    <x v="2"/>
    <x v="6"/>
    <x v="3"/>
    <s v="Food Waste"/>
    <n v="865.20000000000027"/>
    <s v="mcf production/year"/>
    <n v="9.4566360000000022E-4"/>
    <n v="3.2351151756E-2"/>
    <n v="3.2351151756E-2"/>
    <n v="0.12602385965400001"/>
  </r>
  <r>
    <x v="2"/>
    <x v="7"/>
    <x v="3"/>
    <s v="Food Waste"/>
    <n v="935.40000000000032"/>
    <s v="mcf production/year"/>
    <n v="1.0223922000000003E-3"/>
    <n v="3.4976037162000005E-2"/>
    <n v="3.4976037162000005E-2"/>
    <n v="0.13624909653300002"/>
  </r>
  <r>
    <x v="2"/>
    <x v="8"/>
    <x v="3"/>
    <s v="Food Waste"/>
    <n v="1005.6000000000004"/>
    <s v="mcf production/year"/>
    <n v="1.0991208000000004E-3"/>
    <n v="3.7600922568000003E-2"/>
    <n v="3.7600922568000003E-2"/>
    <n v="0.14647433341200003"/>
  </r>
  <r>
    <x v="2"/>
    <x v="9"/>
    <x v="3"/>
    <s v="Food Waste"/>
    <n v="1075.8000000000004"/>
    <s v="mcf production/year"/>
    <n v="1.1758494000000006E-3"/>
    <n v="4.0225807974000015E-2"/>
    <n v="4.0225807974000015E-2"/>
    <n v="0.15669957029100007"/>
  </r>
  <r>
    <x v="2"/>
    <x v="10"/>
    <x v="3"/>
    <s v="Food Waste"/>
    <n v="1146.0000000000005"/>
    <s v="mcf production/year"/>
    <n v="1.2525780000000007E-3"/>
    <n v="4.285069338000002E-2"/>
    <n v="4.285069338000002E-2"/>
    <n v="0.16692480717000008"/>
  </r>
  <r>
    <x v="2"/>
    <x v="11"/>
    <x v="3"/>
    <s v="Food Waste"/>
    <n v="1216.2000000000005"/>
    <s v="mcf production/year"/>
    <n v="1.3293066000000008E-3"/>
    <n v="4.5475578786000018E-2"/>
    <n v="4.5475578786000018E-2"/>
    <n v="0.17715004404900009"/>
  </r>
  <r>
    <x v="2"/>
    <x v="12"/>
    <x v="3"/>
    <s v="Food Waste"/>
    <n v="1286.4000000000005"/>
    <s v="mcf production/year"/>
    <n v="1.4060352000000009E-3"/>
    <n v="4.8100464192000023E-2"/>
    <n v="4.8100464192000023E-2"/>
    <n v="0.1873752809280001"/>
  </r>
  <r>
    <x v="2"/>
    <x v="13"/>
    <x v="3"/>
    <s v="Food Waste"/>
    <n v="1356.6000000000006"/>
    <s v="mcf production/year"/>
    <n v="1.4827638000000009E-3"/>
    <n v="5.072534959800002E-2"/>
    <n v="5.072534959800002E-2"/>
    <n v="0.19760051780700011"/>
  </r>
  <r>
    <x v="2"/>
    <x v="14"/>
    <x v="3"/>
    <s v="Food Waste"/>
    <n v="1426.8000000000006"/>
    <s v="mcf production/year"/>
    <n v="1.559492400000001E-3"/>
    <n v="5.3350235004000025E-2"/>
    <n v="5.3350235004000025E-2"/>
    <n v="0.20782575468600012"/>
  </r>
  <r>
    <x v="2"/>
    <x v="15"/>
    <x v="3"/>
    <s v="Food Waste"/>
    <n v="1497.0000000000007"/>
    <s v="mcf production/year"/>
    <n v="1.6362210000000011E-3"/>
    <n v="5.5975120410000023E-2"/>
    <n v="5.5975120410000023E-2"/>
    <n v="0.21805099156500013"/>
  </r>
  <r>
    <x v="2"/>
    <x v="16"/>
    <x v="3"/>
    <s v="Food Waste"/>
    <n v="1567.2000000000007"/>
    <s v="mcf production/year"/>
    <n v="1.7129496000000011E-3"/>
    <n v="5.8600005816000028E-2"/>
    <n v="5.8600005816000028E-2"/>
    <n v="0.22827622844400014"/>
  </r>
  <r>
    <x v="2"/>
    <x v="17"/>
    <x v="3"/>
    <s v="Food Waste"/>
    <n v="1637.4000000000008"/>
    <s v="mcf production/year"/>
    <n v="1.7896782000000012E-3"/>
    <n v="6.1224891222000033E-2"/>
    <n v="6.1224891222000033E-2"/>
    <n v="0.23850146532300015"/>
  </r>
  <r>
    <x v="2"/>
    <x v="18"/>
    <x v="3"/>
    <s v="Food Waste"/>
    <n v="1707.6000000000008"/>
    <s v="mcf production/year"/>
    <n v="1.8664068000000013E-3"/>
    <n v="6.3849776628000038E-2"/>
    <n v="6.3849776628000038E-2"/>
    <n v="0.24872670220200013"/>
  </r>
  <r>
    <x v="2"/>
    <x v="19"/>
    <x v="3"/>
    <s v="Food Waste"/>
    <n v="1777.8000000000009"/>
    <s v="mcf production/year"/>
    <n v="1.9431354000000011E-3"/>
    <n v="6.6474662034000029E-2"/>
    <n v="6.6474662034000029E-2"/>
    <n v="0.25895193908100012"/>
  </r>
  <r>
    <x v="2"/>
    <x v="20"/>
    <x v="3"/>
    <s v="Food Waste"/>
    <n v="1848.0000000000009"/>
    <s v="mcf production/year"/>
    <n v="2.0198640000000014E-3"/>
    <n v="6.9099547440000034E-2"/>
    <n v="6.9099547440000034E-2"/>
    <n v="0.26917717596000018"/>
  </r>
  <r>
    <x v="2"/>
    <x v="0"/>
    <x v="4"/>
    <s v="Soybean Oil and Corn Oil"/>
    <n v="0"/>
    <s v="Millions of Gallons production/year"/>
    <n v="0"/>
    <n v="0"/>
    <n v="0"/>
    <n v="0"/>
  </r>
  <r>
    <x v="2"/>
    <x v="1"/>
    <x v="4"/>
    <s v="Soybean Oil and Corn Oil"/>
    <n v="0"/>
    <s v="Millions of Gallons production/year"/>
    <n v="0"/>
    <n v="0"/>
    <n v="0"/>
    <n v="0"/>
  </r>
  <r>
    <x v="2"/>
    <x v="2"/>
    <x v="4"/>
    <s v="Soybean Oil and Corn Oil"/>
    <n v="0"/>
    <s v="Millions of Gallons production/year"/>
    <n v="0"/>
    <n v="0"/>
    <n v="0"/>
    <n v="0"/>
  </r>
  <r>
    <x v="2"/>
    <x v="3"/>
    <x v="4"/>
    <s v="Soybean Oil and Corn Oil"/>
    <n v="0"/>
    <s v="Millions of Gallons production/year"/>
    <n v="0"/>
    <n v="0"/>
    <n v="0"/>
    <n v="0"/>
  </r>
  <r>
    <x v="2"/>
    <x v="4"/>
    <x v="4"/>
    <s v="Soybean Oil and Corn Oil"/>
    <n v="0"/>
    <s v="Millions of Gallons production/year"/>
    <n v="0"/>
    <n v="0"/>
    <n v="0"/>
    <n v="0"/>
  </r>
  <r>
    <x v="2"/>
    <x v="5"/>
    <x v="4"/>
    <s v="Soybean Oil and Corn Oil"/>
    <n v="50"/>
    <s v="Millions of Gallons production/year"/>
    <n v="7.1216269875000009E-3"/>
    <n v="7.3780055590500007E-2"/>
    <n v="7.3780055590500007E-2"/>
    <n v="0.23401666280925001"/>
  </r>
  <r>
    <x v="2"/>
    <x v="6"/>
    <x v="4"/>
    <s v="Soybean Oil and Corn Oil"/>
    <n v="60"/>
    <s v="Millions of Gallons production/year"/>
    <n v="8.5459523850000014E-3"/>
    <n v="8.8536066708600009E-2"/>
    <n v="8.8536066708600009E-2"/>
    <n v="0.28081999537110003"/>
  </r>
  <r>
    <x v="2"/>
    <x v="7"/>
    <x v="4"/>
    <s v="Soybean Oil and Corn Oil"/>
    <n v="70"/>
    <s v="Millions of Gallons production/year"/>
    <n v="9.9702777825000019E-3"/>
    <n v="0.10329207782670001"/>
    <n v="0.10329207782670001"/>
    <n v="0.32762332793295007"/>
  </r>
  <r>
    <x v="2"/>
    <x v="8"/>
    <x v="4"/>
    <s v="Soybean Oil and Corn Oil"/>
    <n v="80"/>
    <s v="Millions of Gallons production/year"/>
    <n v="1.1394603180000001E-2"/>
    <n v="0.1180480889448"/>
    <n v="0.1180480889448"/>
    <n v="0.3744266604948"/>
  </r>
  <r>
    <x v="2"/>
    <x v="9"/>
    <x v="4"/>
    <s v="Soybean Oil and Corn Oil"/>
    <n v="90"/>
    <s v="Millions of Gallons production/year"/>
    <n v="1.2818928577500001E-2"/>
    <n v="0.1328041000629"/>
    <n v="0.1328041000629"/>
    <n v="0.42122999305665004"/>
  </r>
  <r>
    <x v="2"/>
    <x v="10"/>
    <x v="4"/>
    <s v="Soybean Oil and Corn Oil"/>
    <n v="100"/>
    <s v="Millions of Gallons production/year"/>
    <n v="1.4243253975000002E-2"/>
    <n v="0.14756011118100001"/>
    <n v="0.14756011118100001"/>
    <n v="0.46803332561850003"/>
  </r>
  <r>
    <x v="2"/>
    <x v="11"/>
    <x v="4"/>
    <s v="Soybean Oil and Corn Oil"/>
    <n v="90"/>
    <s v="Millions of Gallons production/year"/>
    <n v="1.2818928577500001E-2"/>
    <n v="0.1328041000629"/>
    <n v="0.1328041000629"/>
    <n v="0.42122999305665004"/>
  </r>
  <r>
    <x v="2"/>
    <x v="12"/>
    <x v="4"/>
    <s v="Soybean Oil and Corn Oil"/>
    <n v="80"/>
    <s v="Millions of Gallons production/year"/>
    <n v="1.1394603180000001E-2"/>
    <n v="0.1180480889448"/>
    <n v="0.1180480889448"/>
    <n v="0.3744266604948"/>
  </r>
  <r>
    <x v="2"/>
    <x v="13"/>
    <x v="4"/>
    <s v="Soybean Oil and Corn Oil"/>
    <n v="70"/>
    <s v="Millions of Gallons production/year"/>
    <n v="9.9702777825000019E-3"/>
    <n v="0.10329207782670001"/>
    <n v="0.10329207782670001"/>
    <n v="0.32762332793295007"/>
  </r>
  <r>
    <x v="2"/>
    <x v="14"/>
    <x v="4"/>
    <s v="Soybean Oil and Corn Oil"/>
    <n v="60"/>
    <s v="Millions of Gallons production/year"/>
    <n v="8.5459523850000014E-3"/>
    <n v="8.8536066708600009E-2"/>
    <n v="8.8536066708600009E-2"/>
    <n v="0.28081999537110003"/>
  </r>
  <r>
    <x v="2"/>
    <x v="15"/>
    <x v="4"/>
    <s v="Soybean Oil and Corn Oil"/>
    <n v="50"/>
    <s v="Millions of Gallons production/year"/>
    <n v="7.1216269875000009E-3"/>
    <n v="7.3780055590500007E-2"/>
    <n v="7.3780055590500007E-2"/>
    <n v="0.23401666280925001"/>
  </r>
  <r>
    <x v="2"/>
    <x v="16"/>
    <x v="4"/>
    <s v="Soybean Oil and Corn Oil"/>
    <n v="40"/>
    <s v="Millions of Gallons production/year"/>
    <n v="5.6973015900000003E-3"/>
    <n v="5.9024044472399999E-2"/>
    <n v="5.9024044472399999E-2"/>
    <n v="0.1872133302474"/>
  </r>
  <r>
    <x v="2"/>
    <x v="17"/>
    <x v="4"/>
    <s v="Soybean Oil and Corn Oil"/>
    <n v="30"/>
    <s v="Millions of Gallons production/year"/>
    <n v="4.2729761925000007E-3"/>
    <n v="4.4268033354300004E-2"/>
    <n v="4.4268033354300004E-2"/>
    <n v="0.14040999768555001"/>
  </r>
  <r>
    <x v="2"/>
    <x v="18"/>
    <x v="4"/>
    <s v="Soybean Oil and Corn Oil"/>
    <n v="20"/>
    <s v="Millions of Gallons production/year"/>
    <n v="2.8486507950000002E-3"/>
    <n v="2.9512022236199999E-2"/>
    <n v="2.9512022236199999E-2"/>
    <n v="9.36066651237E-2"/>
  </r>
  <r>
    <x v="2"/>
    <x v="19"/>
    <x v="4"/>
    <s v="Soybean Oil and Corn Oil"/>
    <n v="10"/>
    <s v="Millions of Gallons production/year"/>
    <n v="1.4243253975000001E-3"/>
    <n v="1.47560111181E-2"/>
    <n v="1.47560111181E-2"/>
    <n v="4.680333256185E-2"/>
  </r>
  <r>
    <x v="2"/>
    <x v="20"/>
    <x v="4"/>
    <s v="Soybean Oil and Corn Oil"/>
    <n v="0"/>
    <s v="Millions of Gallons production/year"/>
    <n v="0"/>
    <n v="0"/>
    <n v="0"/>
    <n v="0"/>
  </r>
  <r>
    <x v="2"/>
    <x v="0"/>
    <x v="4"/>
    <s v="Animal Fat and Waste Oil"/>
    <n v="0"/>
    <s v="Millions of Gallons production/year"/>
    <n v="0"/>
    <n v="0"/>
    <n v="0"/>
    <n v="0"/>
  </r>
  <r>
    <x v="2"/>
    <x v="1"/>
    <x v="4"/>
    <s v="Animal Fat and Waste Oil"/>
    <n v="0"/>
    <s v="Millions of Gallons production/year"/>
    <n v="0"/>
    <n v="0"/>
    <n v="0"/>
    <n v="0"/>
  </r>
  <r>
    <x v="2"/>
    <x v="2"/>
    <x v="4"/>
    <s v="Animal Fat and Waste Oil"/>
    <n v="0"/>
    <s v="Millions of Gallons production/year"/>
    <n v="0"/>
    <n v="0"/>
    <n v="0"/>
    <n v="0"/>
  </r>
  <r>
    <x v="2"/>
    <x v="3"/>
    <x v="4"/>
    <s v="Animal Fat and Waste Oil"/>
    <n v="0"/>
    <s v="Millions of Gallons production/year"/>
    <n v="0"/>
    <n v="0"/>
    <n v="0"/>
    <n v="0"/>
  </r>
  <r>
    <x v="2"/>
    <x v="4"/>
    <x v="4"/>
    <s v="Animal Fat and Waste Oil"/>
    <n v="0"/>
    <s v="Millions of Gallons production/year"/>
    <n v="0"/>
    <n v="0"/>
    <n v="0"/>
    <n v="0"/>
  </r>
  <r>
    <x v="2"/>
    <x v="5"/>
    <x v="4"/>
    <s v="Animal Fat and Waste Oil"/>
    <n v="10"/>
    <s v="Millions of Gallons production/year"/>
    <n v="1.4243253975000001E-3"/>
    <n v="4.5037169068950007E-2"/>
    <n v="4.5037169068950007E-2"/>
    <n v="6.9535565905950017E-2"/>
  </r>
  <r>
    <x v="2"/>
    <x v="6"/>
    <x v="4"/>
    <s v="Animal Fat and Waste Oil"/>
    <n v="16"/>
    <s v="Millions of Gallons production/year"/>
    <n v="2.2789206360000003E-3"/>
    <n v="6.9188030508960011E-2"/>
    <n v="6.9188030508960011E-2"/>
    <n v="0.10838546544816002"/>
  </r>
  <r>
    <x v="2"/>
    <x v="7"/>
    <x v="4"/>
    <s v="Animal Fat and Waste Oil"/>
    <n v="22"/>
    <s v="Millions of Gallons production/year"/>
    <n v="3.1335158745000005E-3"/>
    <n v="9.5133541949820016E-2"/>
    <n v="9.5133541949820016E-2"/>
    <n v="0.14903001499122004"/>
  </r>
  <r>
    <x v="2"/>
    <x v="8"/>
    <x v="4"/>
    <s v="Animal Fat and Waste Oil"/>
    <n v="28"/>
    <s v="Millions of Gallons production/year"/>
    <n v="3.9881111130000008E-3"/>
    <n v="0.12107905339068002"/>
    <n v="0.12107905339068002"/>
    <n v="0.18967456453428005"/>
  </r>
  <r>
    <x v="2"/>
    <x v="9"/>
    <x v="4"/>
    <s v="Animal Fat and Waste Oil"/>
    <n v="34"/>
    <s v="Millions of Gallons production/year"/>
    <n v="4.8427063515000006E-3"/>
    <n v="0.14702456483154003"/>
    <n v="0.14702456483154003"/>
    <n v="0.23031911407734004"/>
  </r>
  <r>
    <x v="2"/>
    <x v="10"/>
    <x v="4"/>
    <s v="Animal Fat and Waste Oil"/>
    <n v="40"/>
    <s v="Millions of Gallons production/year"/>
    <n v="5.6973015900000003E-3"/>
    <n v="0.17297007627240002"/>
    <n v="0.17297007627240002"/>
    <n v="0.27096366362040003"/>
  </r>
  <r>
    <x v="2"/>
    <x v="11"/>
    <x v="4"/>
    <s v="Animal Fat and Waste Oil"/>
    <n v="46"/>
    <s v="Millions of Gallons production/year"/>
    <n v="6.551896828500001E-3"/>
    <n v="0.19891558771326004"/>
    <n v="0.19891558771326004"/>
    <n v="0.31160821316346005"/>
  </r>
  <r>
    <x v="2"/>
    <x v="12"/>
    <x v="4"/>
    <s v="Animal Fat and Waste Oil"/>
    <n v="52"/>
    <s v="Millions of Gallons production/year"/>
    <n v="7.4064920670000008E-3"/>
    <n v="0.22486109915412003"/>
    <n v="0.22486109915412003"/>
    <n v="0.35225276270652006"/>
  </r>
  <r>
    <x v="2"/>
    <x v="13"/>
    <x v="4"/>
    <s v="Animal Fat and Waste Oil"/>
    <n v="58"/>
    <s v="Millions of Gallons production/year"/>
    <n v="8.2610873055000006E-3"/>
    <n v="0.25080661059498"/>
    <n v="0.25080661059498"/>
    <n v="0.39289731224958002"/>
  </r>
  <r>
    <x v="2"/>
    <x v="14"/>
    <x v="4"/>
    <s v="Animal Fat and Waste Oil"/>
    <n v="64"/>
    <s v="Millions of Gallons production/year"/>
    <n v="9.1156825440000012E-3"/>
    <n v="0.27675212203584004"/>
    <n v="0.27675212203584004"/>
    <n v="0.43354186179264009"/>
  </r>
  <r>
    <x v="2"/>
    <x v="15"/>
    <x v="4"/>
    <s v="Animal Fat and Waste Oil"/>
    <n v="70"/>
    <s v="Millions of Gallons production/year"/>
    <n v="9.9702777825000019E-3"/>
    <n v="0.30269763347670003"/>
    <n v="0.30269763347670003"/>
    <n v="0.47418641133570011"/>
  </r>
  <r>
    <x v="2"/>
    <x v="16"/>
    <x v="4"/>
    <s v="Animal Fat and Waste Oil"/>
    <n v="76"/>
    <s v="Millions of Gallons production/year"/>
    <n v="1.0824873021000001E-2"/>
    <n v="0.32864314491756003"/>
    <n v="0.32864314491756003"/>
    <n v="0.51483096087876001"/>
  </r>
  <r>
    <x v="2"/>
    <x v="17"/>
    <x v="4"/>
    <s v="Animal Fat and Waste Oil"/>
    <n v="82"/>
    <s v="Millions of Gallons production/year"/>
    <n v="1.1679468259500001E-2"/>
    <n v="0.35458865635842002"/>
    <n v="0.35458865635842002"/>
    <n v="0.55547551042182008"/>
  </r>
  <r>
    <x v="2"/>
    <x v="18"/>
    <x v="4"/>
    <s v="Animal Fat and Waste Oil"/>
    <n v="88"/>
    <s v="Millions of Gallons production/year"/>
    <n v="1.2534063498000002E-2"/>
    <n v="0.38053416779928007"/>
    <n v="0.38053416779928007"/>
    <n v="0.59612005996488016"/>
  </r>
  <r>
    <x v="2"/>
    <x v="19"/>
    <x v="4"/>
    <s v="Animal Fat and Waste Oil"/>
    <n v="94"/>
    <s v="Millions of Gallons production/year"/>
    <n v="1.3388658736500001E-2"/>
    <n v="0.40647967924014"/>
    <n v="0.40647967924014"/>
    <n v="0.63676460950794012"/>
  </r>
  <r>
    <x v="2"/>
    <x v="20"/>
    <x v="4"/>
    <s v="Animal Fat and Waste Oil"/>
    <n v="100"/>
    <s v="Millions of Gallons production/year"/>
    <n v="1.4243253975000002E-2"/>
    <n v="0.43242519068100005"/>
    <n v="0.43242519068100005"/>
    <n v="0.67740915905100008"/>
  </r>
  <r>
    <x v="2"/>
    <x v="0"/>
    <x v="1"/>
    <s v="Solar (Off-Grid)"/>
    <n v="0"/>
    <s v="MW"/>
    <m/>
    <m/>
    <m/>
    <m/>
  </r>
  <r>
    <x v="2"/>
    <x v="1"/>
    <x v="1"/>
    <s v="Solar (Off-Grid)"/>
    <n v="0"/>
    <s v="MW"/>
    <m/>
    <m/>
    <m/>
    <m/>
  </r>
  <r>
    <x v="2"/>
    <x v="2"/>
    <x v="1"/>
    <s v="Solar (Off-Grid)"/>
    <n v="0"/>
    <s v="MW"/>
    <m/>
    <m/>
    <m/>
    <m/>
  </r>
  <r>
    <x v="2"/>
    <x v="3"/>
    <x v="1"/>
    <s v="Solar (Off-Grid)"/>
    <n v="0"/>
    <s v="MW"/>
    <m/>
    <m/>
    <m/>
    <m/>
  </r>
  <r>
    <x v="2"/>
    <x v="4"/>
    <x v="1"/>
    <s v="Solar (Off-Grid)"/>
    <n v="0"/>
    <s v="MW"/>
    <m/>
    <m/>
    <m/>
    <m/>
  </r>
  <r>
    <x v="2"/>
    <x v="5"/>
    <x v="1"/>
    <s v="Solar (Off-Grid)"/>
    <n v="320.625"/>
    <s v="MW"/>
    <m/>
    <m/>
    <m/>
    <m/>
  </r>
  <r>
    <x v="2"/>
    <x v="6"/>
    <x v="1"/>
    <s v="Solar (Off-Grid)"/>
    <n v="641.25"/>
    <s v="MW"/>
    <m/>
    <m/>
    <m/>
    <m/>
  </r>
  <r>
    <x v="2"/>
    <x v="7"/>
    <x v="1"/>
    <s v="Solar (Off-Grid)"/>
    <n v="961.875"/>
    <s v="MW"/>
    <m/>
    <m/>
    <m/>
    <m/>
  </r>
  <r>
    <x v="2"/>
    <x v="8"/>
    <x v="1"/>
    <s v="Solar (Off-Grid)"/>
    <n v="1282.5"/>
    <s v="MW"/>
    <m/>
    <m/>
    <m/>
    <m/>
  </r>
  <r>
    <x v="2"/>
    <x v="9"/>
    <x v="1"/>
    <s v="Solar (Off-Grid)"/>
    <n v="1603.125"/>
    <s v="MW"/>
    <m/>
    <m/>
    <m/>
    <m/>
  </r>
  <r>
    <x v="2"/>
    <x v="10"/>
    <x v="1"/>
    <s v="Solar (Off-Grid)"/>
    <n v="1923.75"/>
    <s v="MW"/>
    <m/>
    <m/>
    <m/>
    <m/>
  </r>
  <r>
    <x v="2"/>
    <x v="11"/>
    <x v="1"/>
    <s v="Solar (Off-Grid)"/>
    <n v="2244.375"/>
    <s v="MW"/>
    <m/>
    <m/>
    <m/>
    <m/>
  </r>
  <r>
    <x v="2"/>
    <x v="12"/>
    <x v="1"/>
    <s v="Solar (Off-Grid)"/>
    <n v="2565"/>
    <s v="MW"/>
    <m/>
    <m/>
    <m/>
    <m/>
  </r>
  <r>
    <x v="2"/>
    <x v="13"/>
    <x v="1"/>
    <s v="Solar (Off-Grid)"/>
    <n v="2885.625"/>
    <s v="MW"/>
    <m/>
    <m/>
    <m/>
    <m/>
  </r>
  <r>
    <x v="2"/>
    <x v="14"/>
    <x v="1"/>
    <s v="Solar (Off-Grid)"/>
    <n v="3206.25"/>
    <s v="MW"/>
    <m/>
    <m/>
    <m/>
    <m/>
  </r>
  <r>
    <x v="2"/>
    <x v="15"/>
    <x v="1"/>
    <s v="Solar (Off-Grid)"/>
    <n v="3526.875"/>
    <s v="MW"/>
    <m/>
    <m/>
    <m/>
    <m/>
  </r>
  <r>
    <x v="2"/>
    <x v="16"/>
    <x v="1"/>
    <s v="Solar (Off-Grid)"/>
    <n v="3847.5"/>
    <s v="MW"/>
    <m/>
    <m/>
    <m/>
    <m/>
  </r>
  <r>
    <x v="2"/>
    <x v="17"/>
    <x v="1"/>
    <s v="Solar (Off-Grid)"/>
    <n v="4168.125"/>
    <s v="MW"/>
    <m/>
    <m/>
    <m/>
    <m/>
  </r>
  <r>
    <x v="2"/>
    <x v="18"/>
    <x v="1"/>
    <s v="Solar (Off-Grid)"/>
    <n v="4488.75"/>
    <s v="MW"/>
    <m/>
    <m/>
    <m/>
    <m/>
  </r>
  <r>
    <x v="2"/>
    <x v="19"/>
    <x v="1"/>
    <s v="Solar (Off-Grid)"/>
    <n v="4809.375"/>
    <s v="MW"/>
    <m/>
    <m/>
    <m/>
    <m/>
  </r>
  <r>
    <x v="2"/>
    <x v="20"/>
    <x v="1"/>
    <s v="Solar (Off-Grid)"/>
    <n v="5130"/>
    <s v="MW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">
  <r>
    <x v="0"/>
    <x v="0"/>
    <s v="Blue H2"/>
    <x v="0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Blue H2"/>
    <x v="0"/>
    <n v="10950"/>
    <s v="metric ton production/year"/>
    <n v="1.3139999999999998E-3"/>
    <n v="3.3642995397322573E-2"/>
    <n v="3.1738730097632332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2"/>
    <s v="Blue H2"/>
    <x v="0"/>
    <n v="10950"/>
    <s v="metric ton production/year"/>
    <n v="1.3139999999999998E-3"/>
    <n v="3.3067002811679964E-2"/>
    <n v="3.0586744926347116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3"/>
    <s v="Blue H2"/>
    <x v="0"/>
    <n v="10950"/>
    <s v="metric ton production/year"/>
    <n v="1.3139999999999998E-3"/>
    <n v="3.2444741256886019E-2"/>
    <n v="2.9342221816759228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4"/>
    <s v="Blue H2"/>
    <x v="0"/>
    <n v="10950"/>
    <s v="metric ton production/year"/>
    <n v="1.3139999999999998E-3"/>
    <n v="3.1729917090649325E-2"/>
    <n v="2.7912573484285837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5"/>
    <s v="Blue H2"/>
    <x v="0"/>
    <n v="10950"/>
    <s v="metric ton production/year"/>
    <n v="1.3139999999999998E-3"/>
    <n v="3.0914903949623714E-2"/>
    <n v="2.6282547202234618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6"/>
    <s v="Blue H2"/>
    <x v="0"/>
    <n v="10950"/>
    <s v="metric ton production/year"/>
    <n v="1.3139999999999998E-3"/>
    <n v="2.9988879691984504E-2"/>
    <n v="2.4430498686956199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7"/>
    <s v="Blue H2"/>
    <x v="0"/>
    <n v="10950"/>
    <s v="metric ton production/year"/>
    <n v="1.3139999999999998E-3"/>
    <n v="2.895257451398759E-2"/>
    <n v="2.2357888330962368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8"/>
    <s v="Blue H2"/>
    <x v="0"/>
    <n v="10950"/>
    <s v="metric ton production/year"/>
    <n v="1.3139999999999998E-3"/>
    <n v="2.776246237806938E-2"/>
    <n v="1.997766405912595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9"/>
    <s v="Blue H2"/>
    <x v="0"/>
    <n v="10950"/>
    <s v="metric ton production/year"/>
    <n v="1.3139999999999998E-3"/>
    <n v="2.6434931290165983E-2"/>
    <n v="1.7322601883319161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0"/>
    <s v="Blue H2"/>
    <x v="0"/>
    <n v="10950"/>
    <s v="metric ton production/year"/>
    <n v="1.3139999999999998E-3"/>
    <n v="2.4919180517734053E-2"/>
    <n v="1.4291100338455298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1"/>
    <s v="Blue H2"/>
    <x v="0"/>
    <n v="10950"/>
    <s v="metric ton production/year"/>
    <n v="1.3139999999999998E-3"/>
    <n v="2.3293387019833401E-2"/>
    <n v="1.1039513342653993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2"/>
    <s v="Blue H2"/>
    <x v="0"/>
    <n v="10950"/>
    <s v="metric ton production/year"/>
    <n v="1.3139999999999998E-3"/>
    <n v="2.1613452192274375E-2"/>
    <n v="7.6796436875359378E-3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3"/>
    <s v="Blue H2"/>
    <x v="0"/>
    <n v="10950"/>
    <s v="metric ton production/year"/>
    <n v="1.3139999999999998E-3"/>
    <n v="1.9942915701518467E-2"/>
    <n v="4.3385707060241228E-3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4"/>
    <s v="Blue H2"/>
    <x v="0"/>
    <n v="10950"/>
    <s v="metric ton production/year"/>
    <n v="1.3139999999999998E-3"/>
    <n v="1.8233311840129517E-2"/>
    <n v="9.1936298324622257E-4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5"/>
    <s v="Blue H2"/>
    <x v="0"/>
    <n v="10950"/>
    <s v="metric ton production/year"/>
    <n v="1.3139999999999998E-3"/>
    <n v="1.7773630348506406E-2"/>
    <n v="0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6"/>
    <s v="Blue H2"/>
    <x v="0"/>
    <n v="10950"/>
    <s v="metric ton production/year"/>
    <n v="1.3139999999999998E-3"/>
    <n v="1.7773630348506406E-2"/>
    <n v="0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7"/>
    <s v="Blue H2"/>
    <x v="0"/>
    <n v="10950"/>
    <s v="metric ton production/year"/>
    <n v="1.3139999999999998E-3"/>
    <n v="1.7773630348506406E-2"/>
    <n v="0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8"/>
    <s v="Blue H2"/>
    <x v="0"/>
    <n v="10950"/>
    <s v="metric ton production/year"/>
    <n v="1.3139999999999998E-3"/>
    <n v="1.7773630348506406E-2"/>
    <n v="0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19"/>
    <s v="Blue H2"/>
    <x v="0"/>
    <n v="10950"/>
    <s v="metric ton production/year"/>
    <n v="1.3139999999999998E-3"/>
    <n v="1.7773630348506406E-2"/>
    <n v="0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20"/>
    <s v="Blue H2"/>
    <x v="0"/>
    <n v="10950"/>
    <s v="metric ton production/year"/>
    <n v="1.3139999999999998E-3"/>
    <n v="1.7773630348506406E-2"/>
    <n v="0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0"/>
    <x v="0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s v="Green H2"/>
    <x v="1"/>
    <n v="96000"/>
    <s v="metric ton production/year"/>
    <n v="1.1519999999999999E-2"/>
    <n v="0.99549635728316399"/>
    <n v="0.95488391456632804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6"/>
    <s v="Green H2"/>
    <x v="1"/>
    <n v="96000"/>
    <s v="metric ton production/year"/>
    <n v="1.1519999999999999E-2"/>
    <n v="0.98737778844906665"/>
    <n v="0.93864677689813369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7"/>
    <s v="Green H2"/>
    <x v="1"/>
    <n v="96000"/>
    <s v="metric ton production/year"/>
    <n v="1.1519999999999999E-2"/>
    <n v="0.9782923731899158"/>
    <n v="0.92047594637983166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8"/>
    <s v="Green H2"/>
    <x v="1"/>
    <n v="96000"/>
    <s v="metric ton production/year"/>
    <n v="1.1519999999999999E-2"/>
    <n v="0.96785851336816697"/>
    <n v="0.89960822673633423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9"/>
    <s v="Green H2"/>
    <x v="1"/>
    <n v="96000"/>
    <s v="metric ton production/year"/>
    <n v="1.1519999999999999E-2"/>
    <n v="0.95621988465230168"/>
    <n v="0.87633096930460352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0"/>
    <s v="Green H2"/>
    <x v="1"/>
    <n v="96000"/>
    <s v="metric ton production/year"/>
    <n v="1.1519999999999999E-2"/>
    <n v="0.94293111075700808"/>
    <n v="0.84975342151401623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1"/>
    <s v="Green H2"/>
    <x v="1"/>
    <n v="96000"/>
    <s v="metric ton production/year"/>
    <n v="1.1519999999999999E-2"/>
    <n v="0.92867757872061873"/>
    <n v="0.82124635744123764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2"/>
    <s v="Green H2"/>
    <x v="1"/>
    <n v="96000"/>
    <s v="metric ton production/year"/>
    <n v="1.1519999999999999E-2"/>
    <n v="0.913949382972156"/>
    <n v="0.79178996594431228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3"/>
    <s v="Green H2"/>
    <x v="1"/>
    <n v="96000"/>
    <s v="metric ton production/year"/>
    <n v="1.1519999999999999E-2"/>
    <n v="0.89930358360114537"/>
    <n v="0.76249836720229081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4"/>
    <s v="Green H2"/>
    <x v="1"/>
    <n v="96000"/>
    <s v="metric ton production/year"/>
    <n v="1.1519999999999999E-2"/>
    <n v="0.88431527577526958"/>
    <n v="0.73252175155053945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5"/>
    <s v="Green H2"/>
    <x v="1"/>
    <n v="96000"/>
    <s v="metric ton production/year"/>
    <n v="1.1519999999999999E-2"/>
    <n v="0.869083496153643"/>
    <n v="0.70205819230728617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6"/>
    <s v="Green H2"/>
    <x v="1"/>
    <n v="96000"/>
    <s v="metric ton production/year"/>
    <n v="1.1519999999999999E-2"/>
    <n v="0.85394586917932125"/>
    <n v="0.67178293835864267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7"/>
    <s v="Green H2"/>
    <x v="1"/>
    <n v="96000"/>
    <s v="metric ton production/year"/>
    <n v="1.1519999999999999E-2"/>
    <n v="0.83928160924173545"/>
    <n v="0.64245441848347085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8"/>
    <s v="Green H2"/>
    <x v="1"/>
    <n v="96000"/>
    <s v="metric ton production/year"/>
    <n v="1.1519999999999999E-2"/>
    <n v="0.82520875309316832"/>
    <n v="0.61430870618633671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19"/>
    <s v="Green H2"/>
    <x v="1"/>
    <n v="96000"/>
    <s v="metric ton production/year"/>
    <n v="1.1519999999999999E-2"/>
    <n v="0.8119316873835517"/>
    <n v="0.58775457476710347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20"/>
    <s v="Green H2"/>
    <x v="1"/>
    <n v="96000"/>
    <s v="metric ton production/year"/>
    <n v="1.1519999999999999E-2"/>
    <n v="0.79960946750384898"/>
    <n v="0.56311013500769802"/>
    <n v="1.0361087999999998"/>
    <n v="0"/>
    <n v="0"/>
    <n v="0"/>
    <n v="393.59999999999997"/>
    <n v="0"/>
    <n v="0"/>
    <n v="0"/>
    <n v="0"/>
    <n v="0"/>
    <n v="0"/>
    <n v="0"/>
    <n v="0"/>
    <n v="0"/>
    <n v="0"/>
  </r>
  <r>
    <x v="0"/>
    <x v="0"/>
    <s v="Electricity"/>
    <x v="2"/>
    <n v="1210.909090909091"/>
    <s v="MW"/>
    <n v="9.9998346925038277E-3"/>
    <n v="0.40009750022304769"/>
    <n v="0.36681793510223398"/>
    <n v="0.43337706256599257"/>
    <n v="4238.181818181818"/>
    <n v="3390.5454545454545"/>
    <n v="5085.818181818182"/>
    <n v="0"/>
    <n v="59334.545454545456"/>
    <n v="5933.454545454545"/>
    <n v="1059545.4545454546"/>
    <n v="1313.8363636363636"/>
    <n v="41.897454545454544"/>
    <n v="34.147636363636366"/>
    <n v="40.44436363636364"/>
    <n v="6.8053090909090912"/>
    <n v="123.29476363636364"/>
    <n v="7397.6858181818179"/>
  </r>
  <r>
    <x v="0"/>
    <x v="1"/>
    <s v="Electricity"/>
    <x v="2"/>
    <n v="2421.818181818182"/>
    <s v="MW"/>
    <n v="1.9529977709004498E-2"/>
    <n v="0.75848655116787667"/>
    <n v="0.68842421831336775"/>
    <n v="0.82854887859712434"/>
    <n v="8476.363636363636"/>
    <n v="6781.090909090909"/>
    <n v="10171.636363636364"/>
    <n v="0"/>
    <n v="118669.09090909091"/>
    <n v="11866.90909090909"/>
    <n v="2119090.9090909092"/>
    <n v="2627.6727272727271"/>
    <n v="41.897454545454544"/>
    <n v="34.147636363636366"/>
    <n v="40.44436363636364"/>
    <n v="6.8053090909090912"/>
    <n v="123.29476363636364"/>
    <n v="7397.6858181818179"/>
  </r>
  <r>
    <x v="0"/>
    <x v="2"/>
    <s v="Electricity"/>
    <x v="2"/>
    <n v="3632.727272727273"/>
    <s v="MW"/>
    <n v="2.8590429049502007E-2"/>
    <n v="1.076820519354091"/>
    <n v="0.96683774938584566"/>
    <n v="1.186803281380159"/>
    <n v="12714.545454545456"/>
    <n v="10171.636363636364"/>
    <n v="15257.454545454548"/>
    <n v="0"/>
    <n v="178003.63636363638"/>
    <n v="17800.363636363636"/>
    <n v="3178636.3636363638"/>
    <n v="3941.5090909090914"/>
    <n v="41.897454545454544"/>
    <n v="34.147636363636366"/>
    <n v="40.44436363636364"/>
    <n v="6.8053090909090912"/>
    <n v="123.29476363636364"/>
    <n v="7397.6858181818179"/>
  </r>
  <r>
    <x v="0"/>
    <x v="3"/>
    <s v="Electricity"/>
    <x v="2"/>
    <n v="4843.636363636364"/>
    <s v="MW"/>
    <n v="3.7181188713996359E-2"/>
    <n v="1.3567527713012943"/>
    <n v="1.204077428072112"/>
    <n v="1.5094281042018605"/>
    <n v="16952.727272727272"/>
    <n v="13562.181818181818"/>
    <n v="20343.272727272728"/>
    <n v="0"/>
    <n v="237338.18181818182"/>
    <n v="23733.81818181818"/>
    <n v="4238181.8181818184"/>
    <n v="5255.3454545454542"/>
    <n v="41.897454545454544"/>
    <n v="34.147636363636366"/>
    <n v="40.44436363636364"/>
    <n v="6.8053090909090912"/>
    <n v="123.29476363636364"/>
    <n v="7397.6858181818179"/>
  </r>
  <r>
    <x v="0"/>
    <x v="4"/>
    <s v="Electricity"/>
    <x v="2"/>
    <n v="6054.545454545455"/>
    <s v="MW"/>
    <n v="4.5302256702487553E-2"/>
    <n v="1.5999366735290914"/>
    <n v="1.4021621541246112"/>
    <n v="1.7977111803489925"/>
    <n v="21190.909090909092"/>
    <n v="16952.727272727272"/>
    <n v="25429.090909090912"/>
    <n v="0"/>
    <n v="296672.72727272729"/>
    <n v="29667.272727272728"/>
    <n v="5297727.2727272734"/>
    <n v="6569.181818181818"/>
    <n v="41.897454545454544"/>
    <n v="34.147636363636366"/>
    <n v="40.44436363636364"/>
    <n v="6.8053090909090912"/>
    <n v="123.29476363636364"/>
    <n v="7397.6858181818179"/>
  </r>
  <r>
    <x v="0"/>
    <x v="5"/>
    <s v="Electricity"/>
    <x v="2"/>
    <n v="7265.454545454546"/>
    <s v="MW"/>
    <n v="5.2953633014975597E-2"/>
    <n v="1.8080255925570858"/>
    <n v="1.5631108272957872"/>
    <n v="2.0529403431083186"/>
    <n v="25429.090909090912"/>
    <n v="20343.272727272728"/>
    <n v="30514.909090909096"/>
    <n v="0"/>
    <n v="356007.27272727276"/>
    <n v="35600.727272727272"/>
    <n v="6357272.7272727275"/>
    <n v="7883.0181818181827"/>
    <n v="41.897454545454544"/>
    <n v="34.147636363636366"/>
    <n v="40.44436363636364"/>
    <n v="6.8053090909090912"/>
    <n v="123.29476363636364"/>
    <n v="7397.6858181818179"/>
  </r>
  <r>
    <x v="0"/>
    <x v="6"/>
    <s v="Electricity"/>
    <x v="2"/>
    <n v="8476.363636363636"/>
    <s v="MW"/>
    <n v="6.0135317651460483E-2"/>
    <n v="1.9826728949048815"/>
    <n v="1.6889423473380845"/>
    <n v="2.2764034257666026"/>
    <n v="29667.272727272728"/>
    <n v="23733.81818181818"/>
    <n v="35600.727272727272"/>
    <n v="0"/>
    <n v="415341.81818181818"/>
    <n v="41534.181818181816"/>
    <n v="7416818.1818181816"/>
    <n v="9196.8545454545456"/>
    <n v="41.897454545454515"/>
    <n v="34.147636363636337"/>
    <n v="40.444363636363605"/>
    <n v="6.8053090909090859"/>
    <n v="123.29476363636354"/>
    <n v="7397.6858181818125"/>
  </r>
  <r>
    <x v="0"/>
    <x v="7"/>
    <s v="Electricity"/>
    <x v="2"/>
    <n v="9687.2727272727279"/>
    <s v="MW"/>
    <n v="6.6847310611942212E-2"/>
    <n v="2.1255319470920826"/>
    <n v="1.7816756140039474"/>
    <n v="2.4693882616106086"/>
    <n v="33905.454545454544"/>
    <n v="27124.363636363636"/>
    <n v="40686.545454545456"/>
    <n v="0"/>
    <n v="474676.36363636365"/>
    <n v="47467.63636363636"/>
    <n v="8476363.6363636367"/>
    <n v="10510.690909090908"/>
    <n v="41.897454545454579"/>
    <n v="34.147636363636394"/>
    <n v="40.444363636363668"/>
    <n v="6.8053090909090965"/>
    <n v="123.29476363636373"/>
    <n v="7397.6858181818234"/>
  </r>
  <r>
    <x v="0"/>
    <x v="8"/>
    <s v="Electricity"/>
    <x v="2"/>
    <n v="10898.18181818182"/>
    <s v="MW"/>
    <n v="7.3089611896420797E-2"/>
    <n v="2.2382561156382934"/>
    <n v="1.8433295270458203"/>
    <n v="2.6331826839271"/>
    <n v="38143.636363636368"/>
    <n v="30514.909090909092"/>
    <n v="45772.363636363647"/>
    <n v="0"/>
    <n v="534010.90909090918"/>
    <n v="53401.090909090912"/>
    <n v="9535909.0909090918"/>
    <n v="11824.527272727273"/>
    <n v="41.897454545454579"/>
    <n v="34.147636363636394"/>
    <n v="40.444363636363668"/>
    <n v="6.8053090909090965"/>
    <n v="123.29476363636373"/>
    <n v="7397.6858181818234"/>
  </r>
  <r>
    <x v="0"/>
    <x v="9"/>
    <s v="Electricity"/>
    <x v="2"/>
    <n v="12109.090909090912"/>
    <s v="MW"/>
    <n v="7.8862221504896218E-2"/>
    <n v="2.3224987670631179"/>
    <n v="1.8759229862161473"/>
    <n v="2.7690745260028411"/>
    <n v="42381.818181818191"/>
    <n v="33905.454545454551"/>
    <n v="50858.181818181831"/>
    <n v="0"/>
    <n v="593345.4545454547"/>
    <n v="59334.545454545463"/>
    <n v="10595454.545454549"/>
    <n v="13138.36363636364"/>
    <n v="41.897454545454579"/>
    <n v="34.147636363636394"/>
    <n v="40.444363636363668"/>
    <n v="6.8053090909090965"/>
    <n v="123.29476363636373"/>
    <n v="7397.6858181818234"/>
  </r>
  <r>
    <x v="0"/>
    <x v="10"/>
    <s v="Electricity"/>
    <x v="2"/>
    <n v="13320.000000000004"/>
    <s v="MW"/>
    <n v="8.4165139437368489E-2"/>
    <n v="2.3799132678861596"/>
    <n v="1.8814748912673722"/>
    <n v="2.8783516211245943"/>
    <n v="46620.000000000015"/>
    <n v="37296.000000000007"/>
    <n v="55944.000000000015"/>
    <n v="0"/>
    <n v="652680.00000000023"/>
    <n v="65268.000000000015"/>
    <n v="11655000.000000004"/>
    <n v="14452.200000000004"/>
    <n v="41.897454545454579"/>
    <n v="34.147636363636394"/>
    <n v="40.444363636363668"/>
    <n v="6.8053090909090965"/>
    <n v="123.29476363636373"/>
    <n v="7397.6858181818234"/>
  </r>
  <r>
    <x v="0"/>
    <x v="11"/>
    <s v="Electricity"/>
    <x v="2"/>
    <n v="13320"/>
    <s v="MW"/>
    <n v="8.1581835219351098E-2"/>
    <n v="2.2111402359081032"/>
    <n v="1.7068371301226108"/>
    <n v="2.7154433190308627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2"/>
    <s v="Electricity"/>
    <x v="2"/>
    <n v="13320"/>
    <s v="MW"/>
    <n v="7.8998531001333736E-2"/>
    <n v="2.0484295478352617"/>
    <n v="1.539602001403479"/>
    <n v="2.5572570723219323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3"/>
    <s v="Electricity"/>
    <x v="2"/>
    <n v="13320"/>
    <s v="MW"/>
    <n v="7.6415226783316387E-2"/>
    <n v="1.8917812036676354"/>
    <n v="1.3797695051099761"/>
    <n v="2.4037928809978024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4"/>
    <s v="Electricity"/>
    <x v="2"/>
    <n v="13320"/>
    <s v="MW"/>
    <n v="7.3831922565299038E-2"/>
    <n v="1.741195203405224"/>
    <n v="1.2273396412421023"/>
    <n v="2.2550507450584734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5"/>
    <s v="Electricity"/>
    <x v="2"/>
    <n v="13320"/>
    <s v="MW"/>
    <n v="7.1248618347281675E-2"/>
    <n v="1.5966715470480268"/>
    <n v="1.0823124097998571"/>
    <n v="2.1110306645039438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6"/>
    <s v="Electricity"/>
    <x v="2"/>
    <n v="13320"/>
    <s v="MW"/>
    <n v="6.8665314129264313E-2"/>
    <n v="1.4582102345960444"/>
    <n v="0.94468781078324104"/>
    <n v="1.9717326393342152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7"/>
    <s v="Electricity"/>
    <x v="2"/>
    <n v="13320"/>
    <s v="MW"/>
    <n v="6.608200991124695E-2"/>
    <n v="1.3258112660492765"/>
    <n v="0.81446584419225365"/>
    <n v="1.8371566695492862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8"/>
    <s v="Electricity"/>
    <x v="2"/>
    <n v="13320"/>
    <s v="MW"/>
    <n v="6.3498705693229587E-2"/>
    <n v="1.1994746414077233"/>
    <n v="0.69164651002689537"/>
    <n v="1.7073027551491582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19"/>
    <s v="Electricity"/>
    <x v="2"/>
    <n v="13320"/>
    <s v="MW"/>
    <n v="6.0915401475212225E-2"/>
    <n v="1.0792003606713849"/>
    <n v="0.57622980828716619"/>
    <n v="1.5821708961338303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20"/>
    <s v="Electricity"/>
    <x v="2"/>
    <n v="13320"/>
    <s v="MW"/>
    <n v="5.8332097257194869E-2"/>
    <n v="0.96498842384026162"/>
    <n v="0.46821573897306595"/>
    <n v="1.4617610925033033"/>
    <n v="46620"/>
    <n v="37296"/>
    <n v="55944"/>
    <n v="0"/>
    <n v="652680"/>
    <n v="65267.999999999993"/>
    <n v="11655000"/>
    <n v="14452.2"/>
    <n v="0"/>
    <n v="0"/>
    <n v="0"/>
    <n v="0"/>
    <n v="0"/>
    <n v="0"/>
  </r>
  <r>
    <x v="0"/>
    <x v="0"/>
    <s v="Electricity"/>
    <x v="3"/>
    <n v="24.90909090909091"/>
    <s v="MW"/>
    <n v="2.2442261949444557E-4"/>
    <n v="8.9792413389139149E-3"/>
    <n v="8.2323602744051438E-3"/>
    <n v="9.7261223410799943E-3"/>
    <n v="62.272727272727273"/>
    <n v="19.927272727272729"/>
    <n v="104.61818181818182"/>
    <n v="0"/>
    <n v="871.81818181818187"/>
    <n v="87.181818181818173"/>
    <n v="15568.181818181818"/>
    <n v="19.304545454545455"/>
    <n v="0.58785454545454552"/>
    <n v="1.0187818181818182"/>
    <n v="0.49818181818181823"/>
    <n v="2.8147272727272726E-2"/>
    <n v="2.1329654545454551"/>
    <n v="17.06372363636364"/>
  </r>
  <r>
    <x v="0"/>
    <x v="1"/>
    <s v="Electricity"/>
    <x v="3"/>
    <n v="49.81818181818182"/>
    <s v="MW"/>
    <n v="4.4525105261724077E-4"/>
    <n v="1.7292233526094086E-2"/>
    <n v="1.5694928710026292E-2"/>
    <n v="1.8889538218474937E-2"/>
    <n v="124.54545454545455"/>
    <n v="39.854545454545459"/>
    <n v="209.23636363636365"/>
    <n v="0"/>
    <n v="1743.6363636363637"/>
    <n v="174.36363636363635"/>
    <n v="31136.363636363636"/>
    <n v="38.609090909090909"/>
    <n v="0.58785454545454552"/>
    <n v="1.0187818181818182"/>
    <n v="0.49818181818181823"/>
    <n v="2.8147272727272726E-2"/>
    <n v="2.1329654545454551"/>
    <n v="17.06372363636364"/>
  </r>
  <r>
    <x v="0"/>
    <x v="2"/>
    <s v="Electricity"/>
    <x v="3"/>
    <n v="74.727272727272734"/>
    <s v="MW"/>
    <n v="6.6248529936838553E-4"/>
    <n v="2.4951628494107578E-2"/>
    <n v="2.2403154381962474E-2"/>
    <n v="2.7500102422219921E-2"/>
    <n v="186.81818181818184"/>
    <n v="59.781818181818188"/>
    <n v="313.85454545454547"/>
    <n v="0"/>
    <n v="2615.454545454546"/>
    <n v="261.54545454545456"/>
    <n v="46704.545454545463"/>
    <n v="57.913636363636371"/>
    <n v="0.58785454545454552"/>
    <n v="1.0187818181818182"/>
    <n v="0.49818181818181828"/>
    <n v="2.8147272727272729E-2"/>
    <n v="2.1329654545454551"/>
    <n v="17.06372363636364"/>
  </r>
  <r>
    <x v="0"/>
    <x v="3"/>
    <s v="Electricity"/>
    <x v="3"/>
    <n v="99.63636363636364"/>
    <s v="MW"/>
    <n v="8.7612535974787998E-4"/>
    <n v="3.1970078175521457E-2"/>
    <n v="2.8372486365312727E-2"/>
    <n v="3.5567669742350046E-2"/>
    <n v="249.09090909090909"/>
    <n v="79.709090909090918"/>
    <n v="418.4727272727273"/>
    <n v="0"/>
    <n v="3487.2727272727275"/>
    <n v="348.72727272727269"/>
    <n v="62272.727272727272"/>
    <n v="77.218181818181819"/>
    <n v="0.58785454545454541"/>
    <n v="1.018781818181818"/>
    <n v="0.49818181818181811"/>
    <n v="2.8147272727272722E-2"/>
    <n v="2.1329654545454546"/>
    <n v="17.063723636363637"/>
  </r>
  <r>
    <x v="0"/>
    <x v="4"/>
    <s v="Electricity"/>
    <x v="3"/>
    <n v="124.54545454545455"/>
    <s v="MW"/>
    <n v="1.0861712337557239E-3"/>
    <n v="3.8360234502902789E-2"/>
    <n v="3.3618373735176087E-2"/>
    <n v="4.3102094968900412E-2"/>
    <n v="311.36363636363637"/>
    <n v="99.63636363636364"/>
    <n v="523.09090909090912"/>
    <n v="0"/>
    <n v="4359.090909090909"/>
    <n v="435.90909090909088"/>
    <n v="77840.909090909088"/>
    <n v="96.52272727272728"/>
    <n v="0.58785454545454541"/>
    <n v="1.018781818181818"/>
    <n v="0.49818181818181811"/>
    <n v="2.8147272727272722E-2"/>
    <n v="2.1329654545454546"/>
    <n v="17.063723636363637"/>
  </r>
  <r>
    <x v="0"/>
    <x v="5"/>
    <s v="Electricity"/>
    <x v="3"/>
    <n v="149.45454545454547"/>
    <s v="MW"/>
    <n v="1.2926229213919176E-3"/>
    <n v="4.413474940881864E-2"/>
    <n v="3.8156265566651582E-2"/>
    <n v="5.0113232891906112E-2"/>
    <n v="373.63636363636368"/>
    <n v="119.56363636363638"/>
    <n v="627.70909090909095"/>
    <n v="0"/>
    <n v="5230.9090909090919"/>
    <n v="523.09090909090912"/>
    <n v="93409.090909090926"/>
    <n v="115.82727272727274"/>
    <n v="0.58785454545454574"/>
    <n v="1.0187818181818187"/>
    <n v="0.49818181818181845"/>
    <n v="2.814727272727274E-2"/>
    <n v="2.1329654545454559"/>
    <n v="17.063723636363648"/>
  </r>
  <r>
    <x v="0"/>
    <x v="6"/>
    <s v="Electricity"/>
    <x v="3"/>
    <n v="174.36363636363637"/>
    <s v="MW"/>
    <n v="1.495480422656461E-3"/>
    <n v="4.9306274825836063E-2"/>
    <n v="4.2001610934838243E-2"/>
    <n v="5.6610938301402243E-2"/>
    <n v="435.90909090909093"/>
    <n v="139.4909090909091"/>
    <n v="732.32727272727277"/>
    <n v="0"/>
    <n v="6102.727272727273"/>
    <n v="610.27272727272725"/>
    <n v="108977.27272727274"/>
    <n v="135.13181818181818"/>
    <n v="0.58785454545454541"/>
    <n v="1.018781818181818"/>
    <n v="0.49818181818181811"/>
    <n v="2.8147272727272722E-2"/>
    <n v="2.1329654545454546"/>
    <n v="17.063723636363637"/>
  </r>
  <r>
    <x v="0"/>
    <x v="7"/>
    <s v="Electricity"/>
    <x v="3"/>
    <n v="199.27272727272728"/>
    <s v="MW"/>
    <n v="1.6947437375493537E-3"/>
    <n v="5.3887462686522142E-2"/>
    <n v="4.5169858914835111E-2"/>
    <n v="6.2605065987423894E-2"/>
    <n v="498.18181818181819"/>
    <n v="159.41818181818184"/>
    <n v="836.9454545454546"/>
    <n v="0"/>
    <n v="6974.545454545455"/>
    <n v="697.45454545454538"/>
    <n v="124545.45454545454"/>
    <n v="154.43636363636364"/>
    <n v="0.58785454545454541"/>
    <n v="1.018781818181818"/>
    <n v="0.49818181818181811"/>
    <n v="2.8147272727272722E-2"/>
    <n v="2.1329654545454546"/>
    <n v="17.063723636363637"/>
  </r>
  <r>
    <x v="0"/>
    <x v="8"/>
    <s v="Electricity"/>
    <x v="3"/>
    <n v="224.18181818181819"/>
    <s v="MW"/>
    <n v="1.8904128660705963E-3"/>
    <n v="5.7890964923443936E-2"/>
    <n v="4.7676458581741216E-2"/>
    <n v="6.8105470740006183E-2"/>
    <n v="560.4545454545455"/>
    <n v="179.34545454545457"/>
    <n v="941.56363636363642"/>
    <n v="0"/>
    <n v="7846.3636363636369"/>
    <n v="784.63636363636363"/>
    <n v="140113.63636363638"/>
    <n v="173.7409090909091"/>
    <n v="0.58785454545454541"/>
    <n v="1.018781818181818"/>
    <n v="0.49818181818181811"/>
    <n v="2.8147272727272722E-2"/>
    <n v="2.1329654545454546"/>
    <n v="17.063723636363637"/>
  </r>
  <r>
    <x v="0"/>
    <x v="9"/>
    <s v="Electricity"/>
    <x v="3"/>
    <n v="249.09090909090909"/>
    <s v="MW"/>
    <n v="2.0824878082201883E-3"/>
    <n v="6.1329433469168498E-2"/>
    <n v="4.9536859010655583E-2"/>
    <n v="7.3122007349184184E-2"/>
    <n v="622.72727272727275"/>
    <n v="199.27272727272728"/>
    <n v="1046.1818181818182"/>
    <n v="0"/>
    <n v="8718.181818181818"/>
    <n v="871.81818181818176"/>
    <n v="155681.81818181818"/>
    <n v="193.04545454545456"/>
    <n v="0.58785454545454541"/>
    <n v="1.018781818181818"/>
    <n v="0.49818181818181811"/>
    <n v="2.8147272727272722E-2"/>
    <n v="2.1329654545454546"/>
    <n v="17.063723636363637"/>
  </r>
  <r>
    <x v="0"/>
    <x v="10"/>
    <s v="Electricity"/>
    <x v="3"/>
    <n v="274"/>
    <s v="MW"/>
    <n v="2.2709685639981303E-3"/>
    <n v="6.4215520256262912E-2"/>
    <n v="5.0766509276677259E-2"/>
    <n v="7.7664530604993023E-2"/>
    <n v="685"/>
    <n v="219.20000000000002"/>
    <n v="1150.8"/>
    <n v="0"/>
    <n v="9590"/>
    <n v="958.99999999999989"/>
    <n v="171250"/>
    <n v="212.35"/>
    <n v="0.58785454545454541"/>
    <n v="1.018781818181818"/>
    <n v="0.49818181818181811"/>
    <n v="2.8147272727272722E-2"/>
    <n v="2.1329654545454546"/>
    <n v="17.063723636363637"/>
  </r>
  <r>
    <x v="0"/>
    <x v="11"/>
    <s v="Electricity"/>
    <x v="3"/>
    <n v="274"/>
    <s v="MW"/>
    <n v="2.2512005389540529E-3"/>
    <n v="6.1015054115853035E-2"/>
    <n v="4.7099120250329821E-2"/>
    <n v="7.4930987356012099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2"/>
    <s v="Electricity"/>
    <x v="3"/>
    <n v="274"/>
    <s v="MW"/>
    <n v="2.2314325139099755E-3"/>
    <n v="5.7860978394855739E-2"/>
    <n v="4.3488377832678844E-2"/>
    <n v="7.2233578337159876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3"/>
    <s v="Electricity"/>
    <x v="3"/>
    <n v="274"/>
    <s v="MW"/>
    <n v="2.2116644888658982E-3"/>
    <n v="5.475329309327101E-2"/>
    <n v="3.9934282023724323E-2"/>
    <n v="6.957230354843634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4"/>
    <s v="Electricity"/>
    <x v="3"/>
    <n v="274"/>
    <s v="MW"/>
    <n v="2.1918964638218213E-3"/>
    <n v="5.169199821109887E-2"/>
    <n v="3.6436832823466263E-2"/>
    <n v="6.6947162989841505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5"/>
    <s v="Electricity"/>
    <x v="3"/>
    <n v="274"/>
    <s v="MW"/>
    <n v="2.1721284387777443E-3"/>
    <n v="4.8677093748339277E-2"/>
    <n v="3.2996030231904637E-2"/>
    <n v="6.4358156661375343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6"/>
    <s v="Electricity"/>
    <x v="3"/>
    <n v="274"/>
    <s v="MW"/>
    <n v="2.152360413733667E-3"/>
    <n v="4.5708579704992272E-2"/>
    <n v="2.961187424903948E-2"/>
    <n v="6.1805284563037875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7"/>
    <s v="Electricity"/>
    <x v="3"/>
    <n v="274"/>
    <s v="MW"/>
    <n v="2.1325923886895901E-3"/>
    <n v="4.2786456081057841E-2"/>
    <n v="2.6284364874870778E-2"/>
    <n v="5.9288546694829108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8"/>
    <s v="Electricity"/>
    <x v="3"/>
    <n v="274"/>
    <s v="MW"/>
    <n v="2.1128243636455127E-3"/>
    <n v="3.9910722876535978E-2"/>
    <n v="2.3013502109398527E-2"/>
    <n v="5.6807943056749022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19"/>
    <s v="Electricity"/>
    <x v="3"/>
    <n v="274"/>
    <s v="MW"/>
    <n v="2.0930563386014358E-3"/>
    <n v="3.7081380091426676E-2"/>
    <n v="1.9799285952622727E-2"/>
    <n v="5.4363473648797615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20"/>
    <s v="Electricity"/>
    <x v="3"/>
    <n v="274"/>
    <s v="MW"/>
    <n v="2.0732883135573589E-3"/>
    <n v="3.4298427725729969E-2"/>
    <n v="1.6641716404543389E-2"/>
    <n v="5.1955138470974917E-2"/>
    <n v="685"/>
    <n v="219.20000000000002"/>
    <n v="1150.8"/>
    <n v="0"/>
    <n v="9590"/>
    <n v="958.99999999999989"/>
    <n v="171250"/>
    <n v="212.35"/>
    <n v="0"/>
    <n v="0"/>
    <n v="0"/>
    <n v="0"/>
    <n v="0"/>
    <n v="0"/>
  </r>
  <r>
    <x v="0"/>
    <x v="0"/>
    <s v="Electricity"/>
    <x v="4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Electricity"/>
    <x v="4"/>
    <n v="5"/>
    <s v="MW"/>
    <n v="1.0784054976135365E-4"/>
    <n v="4.1882078865263742E-3"/>
    <n v="3.8013379880978866E-3"/>
    <n v="4.5750777549976767E-3"/>
    <n v="0"/>
    <n v="0"/>
    <n v="0"/>
    <n v="2.0500000000000001E-2"/>
    <n v="0"/>
    <n v="0"/>
    <n v="0"/>
    <n v="0"/>
    <n v="0"/>
    <n v="0"/>
    <n v="0"/>
    <n v="0"/>
    <n v="0"/>
    <n v="0"/>
  </r>
  <r>
    <x v="0"/>
    <x v="2"/>
    <s v="Electricity"/>
    <x v="4"/>
    <n v="5"/>
    <s v="MW"/>
    <n v="1.0705490865668688E-4"/>
    <n v="4.0320808806157552E-3"/>
    <n v="3.6202579110347871E-3"/>
    <n v="4.4439038204577841E-3"/>
    <n v="0"/>
    <n v="0"/>
    <n v="0"/>
    <n v="2.0500000000000001E-2"/>
    <n v="0"/>
    <n v="0"/>
    <n v="0"/>
    <n v="0"/>
    <n v="0"/>
    <n v="0"/>
    <n v="0"/>
    <n v="0"/>
    <n v="0"/>
    <n v="0"/>
  </r>
  <r>
    <x v="0"/>
    <x v="3"/>
    <s v="Electricity"/>
    <x v="4"/>
    <n v="5"/>
    <s v="MW"/>
    <n v="1.0626926755202014E-4"/>
    <n v="3.8777975702828189E-3"/>
    <n v="3.4414291415318862E-3"/>
    <n v="4.3141659695130567E-3"/>
    <n v="0"/>
    <n v="0"/>
    <n v="0"/>
    <n v="2.0500000000000001E-2"/>
    <n v="0"/>
    <n v="0"/>
    <n v="0"/>
    <n v="0"/>
    <n v="0"/>
    <n v="0"/>
    <n v="0"/>
    <n v="0"/>
    <n v="0"/>
    <n v="0"/>
  </r>
  <r>
    <x v="0"/>
    <x v="4"/>
    <s v="Electricity"/>
    <x v="4"/>
    <n v="5"/>
    <s v="MW"/>
    <n v="1.0548362644735336E-4"/>
    <n v="3.7253579555275619E-3"/>
    <n v="3.2648516795891823E-3"/>
    <n v="4.1858642021634926E-3"/>
    <n v="0"/>
    <n v="0"/>
    <n v="0"/>
    <n v="2.0500000000000001E-2"/>
    <n v="0"/>
    <n v="0"/>
    <n v="0"/>
    <n v="0"/>
    <n v="0"/>
    <n v="0"/>
    <n v="0"/>
    <n v="0"/>
    <n v="0"/>
    <n v="0"/>
  </r>
  <r>
    <x v="0"/>
    <x v="5"/>
    <s v="Electricity"/>
    <x v="4"/>
    <n v="10"/>
    <s v="MW"/>
    <n v="2.0939597068537322E-4"/>
    <n v="7.1495240726999736E-3"/>
    <n v="6.181051050413354E-3"/>
    <n v="8.1179970368181857E-3"/>
    <n v="0"/>
    <n v="0"/>
    <n v="0"/>
    <n v="4.1000000000000002E-2"/>
    <n v="0"/>
    <n v="0"/>
    <n v="0"/>
    <n v="0"/>
    <n v="0"/>
    <n v="0"/>
    <n v="0"/>
    <n v="0"/>
    <n v="0"/>
    <n v="0"/>
  </r>
  <r>
    <x v="0"/>
    <x v="6"/>
    <s v="Electricity"/>
    <x v="4"/>
    <n v="10"/>
    <s v="MW"/>
    <n v="2.078246884760397E-4"/>
    <n v="6.8520196255001829E-3"/>
    <n v="5.8369013567687372E-3"/>
    <n v="7.8671378364997113E-3"/>
    <n v="0"/>
    <n v="0"/>
    <n v="0"/>
    <n v="4.1000000000000002E-2"/>
    <n v="0"/>
    <n v="0"/>
    <n v="0"/>
    <n v="0"/>
    <n v="0"/>
    <n v="0"/>
    <n v="0"/>
    <n v="0"/>
    <n v="0"/>
    <n v="0"/>
  </r>
  <r>
    <x v="0"/>
    <x v="7"/>
    <s v="Electricity"/>
    <x v="4"/>
    <n v="15"/>
    <s v="MW"/>
    <n v="3.0938010940005932E-4"/>
    <n v="9.8373038541836339E-3"/>
    <n v="8.2458814173667749E-3"/>
    <n v="1.1428726205057351E-2"/>
    <n v="0"/>
    <n v="0"/>
    <n v="0"/>
    <n v="6.1499999999999992E-2"/>
    <n v="0"/>
    <n v="0"/>
    <n v="0"/>
    <n v="0"/>
    <n v="0"/>
    <n v="0"/>
    <n v="0"/>
    <n v="0"/>
    <n v="0"/>
    <n v="0"/>
  </r>
  <r>
    <x v="0"/>
    <x v="8"/>
    <s v="Electricity"/>
    <x v="4"/>
    <n v="15"/>
    <s v="MW"/>
    <n v="3.0702318608605896E-4"/>
    <n v="9.4021093568500327E-3"/>
    <n v="7.7431647222610351E-3"/>
    <n v="1.1061053906150625E-2"/>
    <n v="0"/>
    <n v="0"/>
    <n v="0"/>
    <n v="6.1499999999999992E-2"/>
    <n v="0"/>
    <n v="0"/>
    <n v="0"/>
    <n v="0"/>
    <n v="0"/>
    <n v="0"/>
    <n v="0"/>
    <n v="0"/>
    <n v="0"/>
    <n v="0"/>
  </r>
  <r>
    <x v="0"/>
    <x v="9"/>
    <s v="Electricity"/>
    <x v="4"/>
    <n v="15"/>
    <s v="MW"/>
    <n v="3.0466626277205871E-4"/>
    <n v="8.9724459462494754E-3"/>
    <n v="7.2472019498358905E-3"/>
    <n v="1.0697689858029389E-2"/>
    <n v="0"/>
    <n v="0"/>
    <n v="0"/>
    <n v="6.1499999999999992E-2"/>
    <n v="0"/>
    <n v="0"/>
    <n v="0"/>
    <n v="0"/>
    <n v="0"/>
    <n v="0"/>
    <n v="0"/>
    <n v="0"/>
    <n v="0"/>
    <n v="0"/>
  </r>
  <r>
    <x v="0"/>
    <x v="10"/>
    <s v="Electricity"/>
    <x v="4"/>
    <n v="19"/>
    <s v="MW"/>
    <n v="3.8292516331354069E-4"/>
    <n v="1.0827863921683814E-2"/>
    <n v="8.5601245934490283E-3"/>
    <n v="1.3095603143545282E-2"/>
    <n v="0"/>
    <n v="0"/>
    <n v="0"/>
    <n v="7.7899999999999983E-2"/>
    <n v="0"/>
    <n v="0"/>
    <n v="0"/>
    <n v="0"/>
    <n v="0"/>
    <n v="0"/>
    <n v="0"/>
    <n v="0"/>
    <n v="0"/>
    <n v="0"/>
  </r>
  <r>
    <x v="0"/>
    <x v="11"/>
    <s v="Electricity"/>
    <x v="4"/>
    <n v="19"/>
    <s v="MW"/>
    <n v="3.79939727115807E-4"/>
    <n v="1.0297635687980148E-2"/>
    <n v="7.9490150191680129E-3"/>
    <n v="1.2646256251248295E-2"/>
    <n v="0"/>
    <n v="0"/>
    <n v="0"/>
    <n v="7.7899999999999983E-2"/>
    <n v="0"/>
    <n v="0"/>
    <n v="0"/>
    <n v="0"/>
    <n v="0"/>
    <n v="0"/>
    <n v="0"/>
    <n v="0"/>
    <n v="0"/>
    <n v="0"/>
  </r>
  <r>
    <x v="0"/>
    <x v="12"/>
    <s v="Electricity"/>
    <x v="4"/>
    <n v="19"/>
    <s v="MW"/>
    <n v="3.7695429091807336E-4"/>
    <n v="9.7744134974716707E-3"/>
    <n v="7.346460413615751E-3"/>
    <n v="1.2202366476612931E-2"/>
    <n v="0"/>
    <n v="0"/>
    <n v="0"/>
    <n v="7.7899999999999983E-2"/>
    <n v="0"/>
    <n v="0"/>
    <n v="0"/>
    <n v="0"/>
    <n v="0"/>
    <n v="0"/>
    <n v="0"/>
    <n v="0"/>
    <n v="0"/>
    <n v="0"/>
  </r>
  <r>
    <x v="0"/>
    <x v="13"/>
    <s v="Electricity"/>
    <x v="4"/>
    <n v="19"/>
    <s v="MW"/>
    <n v="3.7396885472033967E-4"/>
    <n v="9.2581973501583772E-3"/>
    <n v="6.7524607767922382E-3"/>
    <n v="1.1763933819639189E-2"/>
    <n v="0"/>
    <n v="0"/>
    <n v="0"/>
    <n v="7.7899999999999983E-2"/>
    <n v="0"/>
    <n v="0"/>
    <n v="0"/>
    <n v="0"/>
    <n v="0"/>
    <n v="0"/>
    <n v="0"/>
    <n v="0"/>
    <n v="0"/>
    <n v="0"/>
  </r>
  <r>
    <x v="0"/>
    <x v="14"/>
    <s v="Electricity"/>
    <x v="4"/>
    <n v="19"/>
    <s v="MW"/>
    <n v="3.7098341852260592E-4"/>
    <n v="8.7489872460402712E-3"/>
    <n v="6.1670161086974772E-3"/>
    <n v="1.1330958280327067E-2"/>
    <n v="0"/>
    <n v="0"/>
    <n v="0"/>
    <n v="7.7899999999999983E-2"/>
    <n v="0"/>
    <n v="0"/>
    <n v="0"/>
    <n v="0"/>
    <n v="0"/>
    <n v="0"/>
    <n v="0"/>
    <n v="0"/>
    <n v="0"/>
    <n v="0"/>
  </r>
  <r>
    <x v="0"/>
    <x v="15"/>
    <s v="Electricity"/>
    <x v="4"/>
    <n v="19"/>
    <s v="MW"/>
    <n v="3.6799798232487228E-4"/>
    <n v="8.2467831851173526E-3"/>
    <n v="5.5901264093314662E-3"/>
    <n v="1.090343985867657E-2"/>
    <n v="0"/>
    <n v="0"/>
    <n v="0"/>
    <n v="7.7899999999999983E-2"/>
    <n v="0"/>
    <n v="0"/>
    <n v="0"/>
    <n v="0"/>
    <n v="0"/>
    <n v="0"/>
    <n v="0"/>
    <n v="0"/>
    <n v="0"/>
    <n v="0"/>
  </r>
  <r>
    <x v="0"/>
    <x v="16"/>
    <s v="Electricity"/>
    <x v="4"/>
    <n v="19"/>
    <s v="MW"/>
    <n v="3.6501254612713858E-4"/>
    <n v="7.7515851673896213E-3"/>
    <n v="5.021791678694207E-3"/>
    <n v="1.0481378554687695E-2"/>
    <n v="0"/>
    <n v="0"/>
    <n v="0"/>
    <n v="7.7899999999999983E-2"/>
    <n v="0"/>
    <n v="0"/>
    <n v="0"/>
    <n v="0"/>
    <n v="0"/>
    <n v="0"/>
    <n v="0"/>
    <n v="0"/>
    <n v="0"/>
    <n v="0"/>
  </r>
  <r>
    <x v="0"/>
    <x v="17"/>
    <s v="Electricity"/>
    <x v="4"/>
    <n v="19"/>
    <s v="MW"/>
    <n v="3.6202710992940494E-4"/>
    <n v="7.2633931928570775E-3"/>
    <n v="4.4620119167857004E-3"/>
    <n v="1.0064774368360443E-2"/>
    <n v="0"/>
    <n v="0"/>
    <n v="0"/>
    <n v="7.7899999999999983E-2"/>
    <n v="0"/>
    <n v="0"/>
    <n v="0"/>
    <n v="0"/>
    <n v="0"/>
    <n v="0"/>
    <n v="0"/>
    <n v="0"/>
    <n v="0"/>
    <n v="0"/>
  </r>
  <r>
    <x v="0"/>
    <x v="18"/>
    <s v="Electricity"/>
    <x v="4"/>
    <n v="19"/>
    <s v="MW"/>
    <n v="3.5904167373167119E-4"/>
    <n v="6.7822072615197184E-3"/>
    <n v="3.910787123605943E-3"/>
    <n v="9.6536272996948103E-3"/>
    <n v="0"/>
    <n v="0"/>
    <n v="0"/>
    <n v="7.7899999999999983E-2"/>
    <n v="0"/>
    <n v="0"/>
    <n v="0"/>
    <n v="0"/>
    <n v="0"/>
    <n v="0"/>
    <n v="0"/>
    <n v="0"/>
    <n v="0"/>
    <n v="0"/>
  </r>
  <r>
    <x v="0"/>
    <x v="19"/>
    <s v="Electricity"/>
    <x v="4"/>
    <n v="19"/>
    <s v="MW"/>
    <n v="3.5605623753393755E-4"/>
    <n v="6.3080273733775467E-3"/>
    <n v="3.3681172991549377E-3"/>
    <n v="9.2479373486908014E-3"/>
    <n v="0"/>
    <n v="0"/>
    <n v="0"/>
    <n v="7.7899999999999983E-2"/>
    <n v="0"/>
    <n v="0"/>
    <n v="0"/>
    <n v="0"/>
    <n v="0"/>
    <n v="0"/>
    <n v="0"/>
    <n v="0"/>
    <n v="0"/>
    <n v="0"/>
  </r>
  <r>
    <x v="0"/>
    <x v="20"/>
    <s v="Electricity"/>
    <x v="4"/>
    <n v="19"/>
    <s v="MW"/>
    <n v="3.5307080133620386E-4"/>
    <n v="5.8408535284305641E-3"/>
    <n v="2.8340024434326842E-3"/>
    <n v="8.8477045153484181E-3"/>
    <n v="0"/>
    <n v="0"/>
    <n v="0"/>
    <n v="7.7899999999999983E-2"/>
    <n v="0"/>
    <n v="0"/>
    <n v="0"/>
    <n v="0"/>
    <n v="0"/>
    <n v="0"/>
    <n v="0"/>
    <n v="0"/>
    <n v="0"/>
    <n v="0"/>
  </r>
  <r>
    <x v="0"/>
    <x v="0"/>
    <s v="Electricity"/>
    <x v="5"/>
    <n v="670.90909090909088"/>
    <s v="MW"/>
    <n v="2.8283824219461932E-3"/>
    <n v="0.11316474436760275"/>
    <n v="0.10375185506571422"/>
    <n v="0.12257763288379077"/>
    <n v="0"/>
    <n v="0"/>
    <n v="0"/>
    <n v="0"/>
    <n v="0"/>
    <n v="0"/>
    <n v="0"/>
    <n v="0"/>
    <n v="0"/>
    <n v="0"/>
    <n v="0"/>
    <n v="0"/>
    <n v="0"/>
    <n v="0"/>
  </r>
  <r>
    <x v="0"/>
    <x v="1"/>
    <s v="Electricity"/>
    <x v="5"/>
    <n v="1341.8181818181818"/>
    <s v="MW"/>
    <n v="5.6567648438923864E-3"/>
    <n v="0.21969200995213692"/>
    <n v="0.1993987895871315"/>
    <n v="0.23998522874574135"/>
    <n v="0"/>
    <n v="0"/>
    <n v="0"/>
    <n v="0"/>
    <n v="0"/>
    <n v="0"/>
    <n v="0"/>
    <n v="0"/>
    <n v="0"/>
    <n v="0"/>
    <n v="0"/>
    <n v="0"/>
    <n v="0"/>
    <n v="0"/>
  </r>
  <r>
    <x v="0"/>
    <x v="2"/>
    <s v="Electricity"/>
    <x v="5"/>
    <n v="2012.7272727272725"/>
    <s v="MW"/>
    <n v="8.4851472658385788E-3"/>
    <n v="0.31958179675360249"/>
    <n v="0.28694080356425178"/>
    <n v="0.35222278758585168"/>
    <n v="0"/>
    <n v="0"/>
    <n v="0"/>
    <n v="0"/>
    <n v="0"/>
    <n v="0"/>
    <n v="0"/>
    <n v="0"/>
    <n v="0"/>
    <n v="0"/>
    <n v="0"/>
    <n v="0"/>
    <n v="0"/>
    <n v="0"/>
  </r>
  <r>
    <x v="0"/>
    <x v="3"/>
    <s v="Electricity"/>
    <x v="5"/>
    <n v="2683.6363636363635"/>
    <s v="MW"/>
    <n v="1.1313529687784773E-2"/>
    <n v="0.4128341047719995"/>
    <n v="0.36637789699707524"/>
    <n v="0.45929030940412197"/>
    <n v="0"/>
    <n v="0"/>
    <n v="0"/>
    <n v="0"/>
    <n v="0"/>
    <n v="0"/>
    <n v="0"/>
    <n v="0"/>
    <n v="0"/>
    <n v="0"/>
    <n v="0"/>
    <n v="0"/>
    <n v="0"/>
    <n v="0"/>
  </r>
  <r>
    <x v="0"/>
    <x v="4"/>
    <s v="Electricity"/>
    <x v="5"/>
    <n v="3354.5454545454545"/>
    <s v="MW"/>
    <n v="1.4141912109730965E-2"/>
    <n v="0.49944893400732787"/>
    <n v="0.43771006988560163"/>
    <n v="0.56118779420055198"/>
    <n v="0"/>
    <n v="0"/>
    <n v="0"/>
    <n v="0"/>
    <n v="0"/>
    <n v="0"/>
    <n v="0"/>
    <n v="0"/>
    <n v="0"/>
    <n v="0"/>
    <n v="0"/>
    <n v="0"/>
    <n v="0"/>
    <n v="0"/>
  </r>
  <r>
    <x v="0"/>
    <x v="5"/>
    <s v="Electricity"/>
    <x v="5"/>
    <n v="4025.4545454545455"/>
    <s v="MW"/>
    <n v="1.6970294531677161E-2"/>
    <n v="0.57942628445958777"/>
    <n v="0.50093732222983123"/>
    <n v="0.65791524197514184"/>
    <n v="0"/>
    <n v="0"/>
    <n v="0"/>
    <n v="0"/>
    <n v="0"/>
    <n v="0"/>
    <n v="0"/>
    <n v="0"/>
    <n v="0"/>
    <n v="0"/>
    <n v="0"/>
    <n v="0"/>
    <n v="0"/>
    <n v="0"/>
  </r>
  <r>
    <x v="0"/>
    <x v="6"/>
    <s v="Electricity"/>
    <x v="5"/>
    <n v="4696.363636363636"/>
    <s v="MW"/>
    <n v="1.9798676953623348E-2"/>
    <n v="0.65276615612877886"/>
    <n v="0.55605965402976365"/>
    <n v="0.74947265272789132"/>
    <n v="0"/>
    <n v="0"/>
    <n v="0"/>
    <n v="0"/>
    <n v="0"/>
    <n v="0"/>
    <n v="0"/>
    <n v="0"/>
    <n v="0"/>
    <n v="0"/>
    <n v="0"/>
    <n v="0"/>
    <n v="0"/>
    <n v="0"/>
  </r>
  <r>
    <x v="0"/>
    <x v="7"/>
    <s v="Electricity"/>
    <x v="5"/>
    <n v="5367.272727272727"/>
    <s v="MW"/>
    <n v="2.2627059375569546E-2"/>
    <n v="0.71946854901490165"/>
    <n v="0.60307706528539939"/>
    <n v="0.83586002645880098"/>
    <n v="0"/>
    <n v="0"/>
    <n v="0"/>
    <n v="0"/>
    <n v="0"/>
    <n v="0"/>
    <n v="0"/>
    <n v="0"/>
    <n v="0"/>
    <n v="0"/>
    <n v="0"/>
    <n v="0"/>
    <n v="0"/>
    <n v="0"/>
  </r>
  <r>
    <x v="0"/>
    <x v="8"/>
    <s v="Electricity"/>
    <x v="5"/>
    <n v="6038.181818181818"/>
    <s v="MW"/>
    <n v="2.5455441797515736E-2"/>
    <n v="0.77953346311795568"/>
    <n v="0.64198955599673801"/>
    <n v="0.91707736316787014"/>
    <n v="0"/>
    <n v="0"/>
    <n v="0"/>
    <n v="0"/>
    <n v="0"/>
    <n v="0"/>
    <n v="0"/>
    <n v="0"/>
    <n v="0"/>
    <n v="0"/>
    <n v="0"/>
    <n v="0"/>
    <n v="0"/>
    <n v="0"/>
  </r>
  <r>
    <x v="0"/>
    <x v="9"/>
    <s v="Electricity"/>
    <x v="5"/>
    <n v="6709.090909090909"/>
    <s v="MW"/>
    <n v="2.828382421946193E-2"/>
    <n v="0.83296089843794119"/>
    <n v="0.67279712616377974"/>
    <n v="0.99312466285509926"/>
    <n v="0"/>
    <n v="0"/>
    <n v="0"/>
    <n v="0"/>
    <n v="0"/>
    <n v="0"/>
    <n v="0"/>
    <n v="0"/>
    <n v="0"/>
    <n v="0"/>
    <n v="0"/>
    <n v="0"/>
    <n v="0"/>
    <n v="0"/>
  </r>
  <r>
    <x v="0"/>
    <x v="10"/>
    <s v="Electricity"/>
    <x v="5"/>
    <n v="7380"/>
    <s v="MW"/>
    <n v="3.1112206641408124E-2"/>
    <n v="0.87975085497485817"/>
    <n v="0.69549977578652467"/>
    <n v="1.064001925520488"/>
    <n v="0"/>
    <n v="0"/>
    <n v="0"/>
    <n v="0"/>
    <n v="0"/>
    <n v="0"/>
    <n v="0"/>
    <n v="0"/>
    <n v="0"/>
    <n v="0"/>
    <n v="0"/>
    <n v="0"/>
    <n v="0"/>
    <n v="0"/>
  </r>
  <r>
    <x v="0"/>
    <x v="11"/>
    <s v="Electricity"/>
    <x v="5"/>
    <n v="7380"/>
    <s v="MW"/>
    <n v="3.1112206641408124E-2"/>
    <n v="0.84324472166798092"/>
    <n v="0.65092271279289149"/>
    <n v="1.035566721900367"/>
    <n v="0"/>
    <n v="0"/>
    <n v="0"/>
    <n v="0"/>
    <n v="0"/>
    <n v="0"/>
    <n v="0"/>
    <n v="0"/>
    <n v="0"/>
    <n v="0"/>
    <n v="0"/>
    <n v="0"/>
    <n v="0"/>
    <n v="0"/>
  </r>
  <r>
    <x v="0"/>
    <x v="12"/>
    <s v="Electricity"/>
    <x v="5"/>
    <n v="7380"/>
    <s v="MW"/>
    <n v="3.1112206641408124E-2"/>
    <n v="0.80673858836110368"/>
    <n v="0.60634564979925831"/>
    <n v="1.0071315182802458"/>
    <n v="0"/>
    <n v="0"/>
    <n v="0"/>
    <n v="0"/>
    <n v="0"/>
    <n v="0"/>
    <n v="0"/>
    <n v="0"/>
    <n v="0"/>
    <n v="0"/>
    <n v="0"/>
    <n v="0"/>
    <n v="0"/>
    <n v="0"/>
  </r>
  <r>
    <x v="0"/>
    <x v="13"/>
    <s v="Electricity"/>
    <x v="5"/>
    <n v="7380"/>
    <s v="MW"/>
    <n v="3.1112206641408124E-2"/>
    <n v="0.77023245505422655"/>
    <n v="0.56176858680562514"/>
    <n v="0.97869631466012463"/>
    <n v="0"/>
    <n v="0"/>
    <n v="0"/>
    <n v="0"/>
    <n v="0"/>
    <n v="0"/>
    <n v="0"/>
    <n v="0"/>
    <n v="0"/>
    <n v="0"/>
    <n v="0"/>
    <n v="0"/>
    <n v="0"/>
    <n v="0"/>
  </r>
  <r>
    <x v="0"/>
    <x v="14"/>
    <s v="Electricity"/>
    <x v="5"/>
    <n v="7380"/>
    <s v="MW"/>
    <n v="3.1112206641408124E-2"/>
    <n v="0.73372632174734931"/>
    <n v="0.51719152381199196"/>
    <n v="0.95026111104000355"/>
    <n v="0"/>
    <n v="0"/>
    <n v="0"/>
    <n v="0"/>
    <n v="0"/>
    <n v="0"/>
    <n v="0"/>
    <n v="0"/>
    <n v="0"/>
    <n v="0"/>
    <n v="0"/>
    <n v="0"/>
    <n v="0"/>
    <n v="0"/>
  </r>
  <r>
    <x v="0"/>
    <x v="15"/>
    <s v="Electricity"/>
    <x v="5"/>
    <n v="7380"/>
    <s v="MW"/>
    <n v="3.1112206641408124E-2"/>
    <n v="0.69722018844047207"/>
    <n v="0.47261446081835867"/>
    <n v="0.92182590741988235"/>
    <n v="0"/>
    <n v="0"/>
    <n v="0"/>
    <n v="0"/>
    <n v="0"/>
    <n v="0"/>
    <n v="0"/>
    <n v="0"/>
    <n v="0"/>
    <n v="0"/>
    <n v="0"/>
    <n v="0"/>
    <n v="0"/>
    <n v="0"/>
  </r>
  <r>
    <x v="0"/>
    <x v="16"/>
    <s v="Electricity"/>
    <x v="5"/>
    <n v="7380"/>
    <s v="MW"/>
    <n v="3.1112206641408124E-2"/>
    <n v="0.66071405513359482"/>
    <n v="0.42803739782472544"/>
    <n v="0.89339070379976127"/>
    <n v="0"/>
    <n v="0"/>
    <n v="0"/>
    <n v="0"/>
    <n v="0"/>
    <n v="0"/>
    <n v="0"/>
    <n v="0"/>
    <n v="0"/>
    <n v="0"/>
    <n v="0"/>
    <n v="0"/>
    <n v="0"/>
    <n v="0"/>
  </r>
  <r>
    <x v="0"/>
    <x v="17"/>
    <s v="Electricity"/>
    <x v="5"/>
    <n v="7380"/>
    <s v="MW"/>
    <n v="3.1112206641408124E-2"/>
    <n v="0.62420792182671769"/>
    <n v="0.38346033483109221"/>
    <n v="0.86495550017964007"/>
    <n v="0"/>
    <n v="0"/>
    <n v="0"/>
    <n v="0"/>
    <n v="0"/>
    <n v="0"/>
    <n v="0"/>
    <n v="0"/>
    <n v="0"/>
    <n v="0"/>
    <n v="0"/>
    <n v="0"/>
    <n v="0"/>
    <n v="0"/>
  </r>
  <r>
    <x v="0"/>
    <x v="18"/>
    <s v="Electricity"/>
    <x v="5"/>
    <n v="7380"/>
    <s v="MW"/>
    <n v="3.1112206641408124E-2"/>
    <n v="0.58770178851984045"/>
    <n v="0.33888327183745898"/>
    <n v="0.83652029655951898"/>
    <n v="0"/>
    <n v="0"/>
    <n v="0"/>
    <n v="0"/>
    <n v="0"/>
    <n v="0"/>
    <n v="0"/>
    <n v="0"/>
    <n v="0"/>
    <n v="0"/>
    <n v="0"/>
    <n v="0"/>
    <n v="0"/>
    <n v="0"/>
  </r>
  <r>
    <x v="0"/>
    <x v="19"/>
    <s v="Electricity"/>
    <x v="5"/>
    <n v="7380"/>
    <s v="MW"/>
    <n v="3.1112206641408124E-2"/>
    <n v="0.55119565521296321"/>
    <n v="0.29430620884382575"/>
    <n v="0.80808509293939779"/>
    <n v="0"/>
    <n v="0"/>
    <n v="0"/>
    <n v="0"/>
    <n v="0"/>
    <n v="0"/>
    <n v="0"/>
    <n v="0"/>
    <n v="0"/>
    <n v="0"/>
    <n v="0"/>
    <n v="0"/>
    <n v="0"/>
    <n v="0"/>
  </r>
  <r>
    <x v="0"/>
    <x v="20"/>
    <s v="Electricity"/>
    <x v="5"/>
    <n v="7380"/>
    <s v="MW"/>
    <n v="3.1112206641408124E-2"/>
    <n v="0.51468952190608608"/>
    <n v="0.24972914585019254"/>
    <n v="0.7796498893192767"/>
    <n v="0"/>
    <n v="0"/>
    <n v="0"/>
    <n v="0"/>
    <n v="0"/>
    <n v="0"/>
    <n v="0"/>
    <n v="0"/>
    <n v="0"/>
    <n v="0"/>
    <n v="0"/>
    <n v="0"/>
    <n v="0"/>
    <n v="0"/>
  </r>
  <r>
    <x v="0"/>
    <x v="0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s v="Electricity"/>
    <x v="6"/>
    <n v="1000"/>
    <s v="MW"/>
    <n v="6.8954153824011474E-3"/>
    <n v="0.20307053768477021"/>
    <n v="0.16402363474571435"/>
    <n v="0.24211743870833891"/>
    <n v="0"/>
    <n v="0"/>
    <n v="0"/>
    <n v="0"/>
    <n v="0"/>
    <n v="0"/>
    <n v="0"/>
    <n v="0"/>
    <n v="0"/>
    <n v="0"/>
    <n v="0"/>
    <n v="0"/>
    <n v="0"/>
    <n v="0"/>
  </r>
  <r>
    <x v="0"/>
    <x v="10"/>
    <s v="Electricity"/>
    <x v="6"/>
    <n v="1000"/>
    <s v="MW"/>
    <n v="6.9932771284677451E-3"/>
    <n v="0.19774687163003388"/>
    <n v="0.15633165242573785"/>
    <n v="0.23916208889165763"/>
    <n v="0"/>
    <n v="0"/>
    <n v="0"/>
    <n v="0"/>
    <n v="0"/>
    <n v="0"/>
    <n v="0"/>
    <n v="0"/>
    <n v="0"/>
    <n v="0"/>
    <n v="0"/>
    <n v="0"/>
    <n v="0"/>
    <n v="0"/>
  </r>
  <r>
    <x v="0"/>
    <x v="11"/>
    <s v="Electricity"/>
    <x v="6"/>
    <n v="1000"/>
    <s v="MW"/>
    <n v="7.0911388745343437E-3"/>
    <n v="0.19219354947994394"/>
    <n v="0.14835924067371514"/>
    <n v="0.23602785631631532"/>
    <n v="0"/>
    <n v="0"/>
    <n v="0"/>
    <n v="0"/>
    <n v="0"/>
    <n v="0"/>
    <n v="0"/>
    <n v="0"/>
    <n v="0"/>
    <n v="0"/>
    <n v="0"/>
    <n v="0"/>
    <n v="0"/>
    <n v="0"/>
  </r>
  <r>
    <x v="0"/>
    <x v="12"/>
    <s v="Electricity"/>
    <x v="6"/>
    <n v="1000"/>
    <s v="MW"/>
    <n v="7.1890006206009414E-3"/>
    <n v="0.18641057123450028"/>
    <n v="0.14010639948964615"/>
    <n v="0.2327147409823119"/>
    <n v="0"/>
    <n v="0"/>
    <n v="0"/>
    <n v="0"/>
    <n v="0"/>
    <n v="0"/>
    <n v="0"/>
    <n v="0"/>
    <n v="0"/>
    <n v="0"/>
    <n v="0"/>
    <n v="0"/>
    <n v="0"/>
    <n v="0"/>
  </r>
  <r>
    <x v="0"/>
    <x v="13"/>
    <s v="Electricity"/>
    <x v="6"/>
    <n v="1000"/>
    <s v="MW"/>
    <n v="7.2868623666675399E-3"/>
    <n v="0.18039793689370298"/>
    <n v="0.13157312887353095"/>
    <n v="0.22922274288964739"/>
    <n v="0"/>
    <n v="0"/>
    <n v="0"/>
    <n v="0"/>
    <n v="0"/>
    <n v="0"/>
    <n v="0"/>
    <n v="0"/>
    <n v="0"/>
    <n v="0"/>
    <n v="0"/>
    <n v="0"/>
    <n v="0"/>
    <n v="0"/>
  </r>
  <r>
    <x v="0"/>
    <x v="14"/>
    <s v="Electricity"/>
    <x v="6"/>
    <n v="1000"/>
    <s v="MW"/>
    <n v="7.3847241127341376E-3"/>
    <n v="0.17415564645755205"/>
    <n v="0.12275942882536947"/>
    <n v="0.22555186203832181"/>
    <n v="0"/>
    <n v="0"/>
    <n v="0"/>
    <n v="0"/>
    <n v="0"/>
    <n v="0"/>
    <n v="0"/>
    <n v="0"/>
    <n v="0"/>
    <n v="0"/>
    <n v="0"/>
    <n v="0"/>
    <n v="0"/>
    <n v="0"/>
  </r>
  <r>
    <x v="0"/>
    <x v="15"/>
    <s v="Electricity"/>
    <x v="6"/>
    <n v="1000"/>
    <s v="MW"/>
    <n v="7.4825858588007353E-3"/>
    <n v="0.16768369992604745"/>
    <n v="0.11366529934516179"/>
    <n v="0.22170209842833521"/>
    <n v="0"/>
    <n v="0"/>
    <n v="0"/>
    <n v="0"/>
    <n v="0"/>
    <n v="0"/>
    <n v="0"/>
    <n v="0"/>
    <n v="0"/>
    <n v="0"/>
    <n v="0"/>
    <n v="0"/>
    <n v="0"/>
    <n v="0"/>
  </r>
  <r>
    <x v="0"/>
    <x v="16"/>
    <s v="Electricity"/>
    <x v="6"/>
    <n v="1000"/>
    <s v="MW"/>
    <n v="7.580447604867333E-3"/>
    <n v="0.16098209729918919"/>
    <n v="0.10429074043290784"/>
    <n v="0.21767345205968747"/>
    <n v="0"/>
    <n v="0"/>
    <n v="0"/>
    <n v="0"/>
    <n v="0"/>
    <n v="0"/>
    <n v="0"/>
    <n v="0"/>
    <n v="0"/>
    <n v="0"/>
    <n v="0"/>
    <n v="0"/>
    <n v="0"/>
    <n v="0"/>
  </r>
  <r>
    <x v="0"/>
    <x v="17"/>
    <s v="Electricity"/>
    <x v="6"/>
    <n v="1000"/>
    <s v="MW"/>
    <n v="7.6783093509339316E-3"/>
    <n v="0.15405083857697724"/>
    <n v="9.4635752088607653E-2"/>
    <n v="0.21346592293237868"/>
    <n v="0"/>
    <n v="0"/>
    <n v="0"/>
    <n v="0"/>
    <n v="0"/>
    <n v="0"/>
    <n v="0"/>
    <n v="0"/>
    <n v="0"/>
    <n v="0"/>
    <n v="0"/>
    <n v="0"/>
    <n v="0"/>
    <n v="0"/>
  </r>
  <r>
    <x v="0"/>
    <x v="18"/>
    <s v="Electricity"/>
    <x v="6"/>
    <n v="1000"/>
    <s v="MW"/>
    <n v="7.7761710970005284E-3"/>
    <n v="0.14688992375941165"/>
    <n v="8.4700334312261219E-2"/>
    <n v="0.20907951104640876"/>
    <n v="0"/>
    <n v="0"/>
    <n v="0"/>
    <n v="0"/>
    <n v="0"/>
    <n v="0"/>
    <n v="0"/>
    <n v="0"/>
    <n v="0"/>
    <n v="0"/>
    <n v="0"/>
    <n v="0"/>
    <n v="0"/>
    <n v="0"/>
  </r>
  <r>
    <x v="0"/>
    <x v="19"/>
    <s v="Electricity"/>
    <x v="6"/>
    <n v="1000"/>
    <s v="MW"/>
    <n v="7.8740328430671278E-3"/>
    <n v="0.13949935284649242"/>
    <n v="7.4484487103868569E-2"/>
    <n v="0.20451421640177786"/>
    <n v="0"/>
    <n v="0"/>
    <n v="0"/>
    <n v="0"/>
    <n v="0"/>
    <n v="0"/>
    <n v="0"/>
    <n v="0"/>
    <n v="0"/>
    <n v="0"/>
    <n v="0"/>
    <n v="0"/>
    <n v="0"/>
    <n v="0"/>
  </r>
  <r>
    <x v="0"/>
    <x v="20"/>
    <s v="Electricity"/>
    <x v="6"/>
    <n v="1000"/>
    <s v="MW"/>
    <n v="7.9718945891337246E-3"/>
    <n v="0.13187912583821951"/>
    <n v="6.3988210463429646E-2"/>
    <n v="0.19977003899848575"/>
    <n v="0"/>
    <n v="0"/>
    <n v="0"/>
    <n v="0"/>
    <n v="0"/>
    <n v="0"/>
    <n v="0"/>
    <n v="0"/>
    <n v="0"/>
    <n v="0"/>
    <n v="0"/>
    <n v="0"/>
    <n v="0"/>
    <n v="0"/>
  </r>
  <r>
    <x v="0"/>
    <x v="0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1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2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7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8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9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0"/>
    <s v="Biogas"/>
    <x v="7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1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2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7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8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9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0"/>
    <s v="Biogas"/>
    <x v="8"/>
    <n v="0"/>
    <s v="mcf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1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2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7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8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9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0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1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2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7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8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9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0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0"/>
    <x v="1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0"/>
    <x v="2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0"/>
    <x v="3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0"/>
    <x v="4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0"/>
    <x v="5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64.839452054794521"/>
    <n v="52.846027397260279"/>
    <n v="62.59068493150685"/>
    <n v="10.53172602739726"/>
    <n v="190.80789041095892"/>
    <n v="11448.473424657534"/>
  </r>
  <r>
    <x v="0"/>
    <x v="6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7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8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9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0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1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2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3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4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5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6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7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8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19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0"/>
    <x v="20"/>
    <s v="Green H2"/>
    <x v="11"/>
    <n v="1873.9726027397262"/>
    <s v="MW"/>
    <m/>
    <m/>
    <m/>
    <m/>
    <n v="6558.9041095890416"/>
    <n v="5247.1232876712329"/>
    <n v="7870.6849315068503"/>
    <n v="0"/>
    <n v="91824.65753424658"/>
    <n v="9182.465753424658"/>
    <n v="1639726.0273972603"/>
    <n v="2033.2602739726028"/>
    <n v="0"/>
    <n v="0"/>
    <n v="0"/>
    <n v="0"/>
    <n v="0"/>
    <n v="0"/>
  </r>
  <r>
    <x v="1"/>
    <x v="0"/>
    <s v="Blue H2"/>
    <x v="0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s v="Blue H2"/>
    <x v="0"/>
    <n v="10950"/>
    <s v="metric ton production/year"/>
    <n v="1.3139999999999998E-3"/>
    <n v="3.3642995397322573E-2"/>
    <n v="3.1738730097632332E-2"/>
    <n v="3.5547260697012813E-2"/>
    <n v="0"/>
    <n v="0"/>
    <n v="0"/>
    <n v="30.659999999999997"/>
    <n v="0"/>
    <n v="0"/>
    <n v="0"/>
    <n v="0"/>
    <n v="0"/>
    <n v="0"/>
    <n v="0"/>
    <n v="0"/>
    <n v="0"/>
    <n v="0"/>
  </r>
  <r>
    <x v="1"/>
    <x v="2"/>
    <s v="Blue H2"/>
    <x v="0"/>
    <n v="16373.684210526317"/>
    <s v="metric ton production/year"/>
    <n v="1.9648421052631576E-3"/>
    <n v="4.9445539892879774E-2"/>
    <n v="4.5736776479627914E-2"/>
    <n v="5.3154303306131627E-2"/>
    <n v="0"/>
    <n v="0"/>
    <n v="0"/>
    <n v="45.846315789473692"/>
    <n v="0"/>
    <n v="0"/>
    <n v="0"/>
    <n v="0"/>
    <n v="0"/>
    <n v="0"/>
    <n v="0"/>
    <n v="0"/>
    <n v="0"/>
    <n v="0"/>
  </r>
  <r>
    <x v="1"/>
    <x v="3"/>
    <s v="Blue H2"/>
    <x v="0"/>
    <n v="21797.368421052633"/>
    <s v="metric ton production/year"/>
    <n v="2.6156842105263156E-3"/>
    <n v="6.4585386164572683E-2"/>
    <n v="5.8409426413894905E-2"/>
    <n v="7.0761345915250448E-2"/>
    <n v="0"/>
    <n v="0"/>
    <n v="0"/>
    <n v="61.032631578947367"/>
    <n v="0"/>
    <n v="0"/>
    <n v="0"/>
    <n v="0"/>
    <n v="0"/>
    <n v="0"/>
    <n v="0"/>
    <n v="0"/>
    <n v="0"/>
    <n v="0"/>
  </r>
  <r>
    <x v="1"/>
    <x v="4"/>
    <s v="Blue H2"/>
    <x v="0"/>
    <n v="27221.05263157895"/>
    <s v="metric ton production/year"/>
    <n v="3.2665263157894736E-3"/>
    <n v="7.8878698001844896E-2"/>
    <n v="6.938900747932053E-2"/>
    <n v="8.8368388524369276E-2"/>
    <n v="0"/>
    <n v="0"/>
    <n v="0"/>
    <n v="76.218947368421041"/>
    <n v="0"/>
    <n v="0"/>
    <n v="0"/>
    <n v="0"/>
    <n v="0"/>
    <n v="0"/>
    <n v="0"/>
    <n v="0"/>
    <n v="0"/>
    <n v="0"/>
  </r>
  <r>
    <x v="1"/>
    <x v="5"/>
    <s v="Blue H2"/>
    <x v="0"/>
    <n v="32644.736842105267"/>
    <s v="metric ton production/year"/>
    <n v="3.9173684210526321E-3"/>
    <n v="9.2165196706340366E-2"/>
    <n v="7.8354962279192614E-2"/>
    <n v="0.1059754311334881"/>
    <n v="0"/>
    <n v="0"/>
    <n v="0"/>
    <n v="91.405263157894751"/>
    <n v="0"/>
    <n v="0"/>
    <n v="0"/>
    <n v="0"/>
    <n v="0"/>
    <n v="0"/>
    <n v="0"/>
    <n v="0"/>
    <n v="0"/>
    <n v="0"/>
  </r>
  <r>
    <x v="1"/>
    <x v="6"/>
    <s v="Blue H2"/>
    <x v="0"/>
    <n v="38068.42105263158"/>
    <s v="metric ton production/year"/>
    <n v="4.5682105263157892E-3"/>
    <n v="0.1042583834713405"/>
    <n v="8.4934293200074118E-2"/>
    <n v="0.1235824737426069"/>
    <n v="0"/>
    <n v="0"/>
    <n v="0"/>
    <n v="106.59157894736842"/>
    <n v="0"/>
    <n v="0"/>
    <n v="0"/>
    <n v="0"/>
    <n v="0"/>
    <n v="0"/>
    <n v="0"/>
    <n v="0"/>
    <n v="0"/>
    <n v="0"/>
  </r>
  <r>
    <x v="1"/>
    <x v="7"/>
    <s v="Blue H2"/>
    <x v="0"/>
    <n v="43492.105263157893"/>
    <s v="metric ton production/year"/>
    <n v="5.2190526315789463E-3"/>
    <n v="0.11499620259376901"/>
    <n v="8.8802888835812319E-2"/>
    <n v="0.14118951635172569"/>
    <n v="0"/>
    <n v="0"/>
    <n v="0"/>
    <n v="121.7778947368421"/>
    <n v="0"/>
    <n v="0"/>
    <n v="0"/>
    <n v="0"/>
    <n v="0"/>
    <n v="0"/>
    <n v="0"/>
    <n v="0"/>
    <n v="0"/>
    <n v="0"/>
  </r>
  <r>
    <x v="1"/>
    <x v="8"/>
    <s v="Blue H2"/>
    <x v="0"/>
    <n v="48915.789473684206"/>
    <s v="metric ton production/year"/>
    <n v="5.8698947368421043E-3"/>
    <n v="0.12402034383166394"/>
    <n v="8.9244128702483341E-2"/>
    <n v="0.15879655896084452"/>
    <n v="0"/>
    <n v="0"/>
    <n v="0"/>
    <n v="136.96421052631575"/>
    <n v="0"/>
    <n v="0"/>
    <n v="0"/>
    <n v="0"/>
    <n v="0"/>
    <n v="0"/>
    <n v="0"/>
    <n v="0"/>
    <n v="0"/>
    <n v="0"/>
  </r>
  <r>
    <x v="1"/>
    <x v="9"/>
    <s v="Blue H2"/>
    <x v="0"/>
    <n v="54339.473684210519"/>
    <s v="metric ton production/year"/>
    <n v="6.5207368421052615E-3"/>
    <n v="0.1311835847658345"/>
    <n v="8.5963567961705664E-2"/>
    <n v="0.17640360156996332"/>
    <n v="0"/>
    <n v="0"/>
    <n v="0"/>
    <n v="152.15052631578942"/>
    <n v="0"/>
    <n v="0"/>
    <n v="0"/>
    <n v="0"/>
    <n v="0"/>
    <n v="0"/>
    <n v="0"/>
    <n v="0"/>
    <n v="0"/>
    <n v="0"/>
  </r>
  <r>
    <x v="1"/>
    <x v="10"/>
    <s v="Blue H2"/>
    <x v="0"/>
    <n v="59763.157894736833"/>
    <s v="metric ton production/year"/>
    <n v="7.1715789473684195E-3"/>
    <n v="0.13600446756975254"/>
    <n v="7.799829096042292E-2"/>
    <n v="0.19401064417908215"/>
    <n v="0"/>
    <n v="0"/>
    <n v="0"/>
    <n v="167.33684210526312"/>
    <n v="0"/>
    <n v="0"/>
    <n v="0"/>
    <n v="0"/>
    <n v="0"/>
    <n v="0"/>
    <n v="0"/>
    <n v="0"/>
    <n v="0"/>
    <n v="0"/>
  </r>
  <r>
    <x v="1"/>
    <x v="11"/>
    <s v="Blue H2"/>
    <x v="0"/>
    <n v="65186.842105263146"/>
    <s v="metric ton production/year"/>
    <n v="7.8224210526315775E-3"/>
    <n v="0.13866870700992384"/>
    <n v="6.5719727231646735E-2"/>
    <n v="0.21161768678820098"/>
    <n v="0"/>
    <n v="0"/>
    <n v="0"/>
    <n v="182.52315789473678"/>
    <n v="0"/>
    <n v="0"/>
    <n v="0"/>
    <n v="0"/>
    <n v="0"/>
    <n v="0"/>
    <n v="0"/>
    <n v="0"/>
    <n v="0"/>
    <n v="0"/>
  </r>
  <r>
    <x v="1"/>
    <x v="12"/>
    <s v="Blue H2"/>
    <x v="0"/>
    <n v="70610.526315789466"/>
    <s v="metric ton production/year"/>
    <n v="8.4732631578947355E-3"/>
    <n v="0.13937326345183992"/>
    <n v="4.9521797506360071E-2"/>
    <n v="0.2292247293973198"/>
    <n v="0"/>
    <n v="0"/>
    <n v="0"/>
    <n v="197.70947368421051"/>
    <n v="0"/>
    <n v="0"/>
    <n v="0"/>
    <n v="0"/>
    <n v="0"/>
    <n v="0"/>
    <n v="0"/>
    <n v="0"/>
    <n v="0"/>
    <n v="0"/>
  </r>
  <r>
    <x v="1"/>
    <x v="13"/>
    <s v="Blue H2"/>
    <x v="0"/>
    <n v="76034.210526315786"/>
    <s v="metric ton production/year"/>
    <n v="9.1241052631578935E-3"/>
    <n v="0.1384788904984314"/>
    <n v="3.0126008990424169E-2"/>
    <n v="0.2468317720064386"/>
    <n v="0"/>
    <n v="0"/>
    <n v="0"/>
    <n v="212.8957894736842"/>
    <n v="0"/>
    <n v="0"/>
    <n v="0"/>
    <n v="0"/>
    <n v="0"/>
    <n v="0"/>
    <n v="0"/>
    <n v="0"/>
    <n v="0"/>
    <n v="0"/>
  </r>
  <r>
    <x v="1"/>
    <x v="14"/>
    <s v="Blue H2"/>
    <x v="0"/>
    <n v="81457.894736842107"/>
    <s v="metric ton production/year"/>
    <n v="9.7749473684210515E-3"/>
    <n v="0.13563901338605361"/>
    <n v="6.8392121565497652E-3"/>
    <n v="0.26443881461555746"/>
    <n v="0"/>
    <n v="0"/>
    <n v="0"/>
    <n v="228.0821052631579"/>
    <n v="0"/>
    <n v="0"/>
    <n v="0"/>
    <n v="0"/>
    <n v="0"/>
    <n v="0"/>
    <n v="0"/>
    <n v="0"/>
    <n v="0"/>
    <n v="0"/>
  </r>
  <r>
    <x v="1"/>
    <x v="15"/>
    <s v="Blue H2"/>
    <x v="0"/>
    <n v="86881.578947368427"/>
    <s v="metric ton production/year"/>
    <n v="1.0425789473684211E-2"/>
    <n v="0.14102292861233814"/>
    <n v="0"/>
    <n v="0.28204585722467629"/>
    <n v="0"/>
    <n v="0"/>
    <n v="0"/>
    <n v="243.2684210526316"/>
    <n v="0"/>
    <n v="0"/>
    <n v="0"/>
    <n v="0"/>
    <n v="0"/>
    <n v="0"/>
    <n v="0"/>
    <n v="0"/>
    <n v="0"/>
    <n v="0"/>
  </r>
  <r>
    <x v="1"/>
    <x v="16"/>
    <s v="Blue H2"/>
    <x v="0"/>
    <n v="92305.263157894748"/>
    <s v="metric ton production/year"/>
    <n v="1.1076631578947369E-2"/>
    <n v="0.14982644991689756"/>
    <n v="0"/>
    <n v="0.29965289983379512"/>
    <n v="0"/>
    <n v="0"/>
    <n v="0"/>
    <n v="258.45473684210526"/>
    <n v="0"/>
    <n v="0"/>
    <n v="0"/>
    <n v="0"/>
    <n v="0"/>
    <n v="0"/>
    <n v="0"/>
    <n v="0"/>
    <n v="0"/>
    <n v="0"/>
  </r>
  <r>
    <x v="1"/>
    <x v="17"/>
    <s v="Blue H2"/>
    <x v="0"/>
    <n v="97728.947368421068"/>
    <s v="metric ton production/year"/>
    <n v="1.1727473684210527E-2"/>
    <n v="0.15862997122145697"/>
    <n v="0"/>
    <n v="0.31725994244291394"/>
    <n v="0"/>
    <n v="0"/>
    <n v="0"/>
    <n v="273.64105263157899"/>
    <n v="0"/>
    <n v="0"/>
    <n v="0"/>
    <n v="0"/>
    <n v="0"/>
    <n v="0"/>
    <n v="0"/>
    <n v="0"/>
    <n v="0"/>
    <n v="0"/>
  </r>
  <r>
    <x v="1"/>
    <x v="18"/>
    <s v="Blue H2"/>
    <x v="0"/>
    <n v="103152.63157894739"/>
    <s v="metric ton production/year"/>
    <n v="1.2378315789473685E-2"/>
    <n v="0.16743349252601639"/>
    <n v="0"/>
    <n v="0.33486698505203277"/>
    <n v="0"/>
    <n v="0"/>
    <n v="0"/>
    <n v="288.82736842105265"/>
    <n v="0"/>
    <n v="0"/>
    <n v="0"/>
    <n v="0"/>
    <n v="0"/>
    <n v="0"/>
    <n v="0"/>
    <n v="0"/>
    <n v="0"/>
    <n v="0"/>
  </r>
  <r>
    <x v="1"/>
    <x v="19"/>
    <s v="Blue H2"/>
    <x v="0"/>
    <n v="108576.31578947371"/>
    <s v="metric ton production/year"/>
    <n v="1.3029157894736843E-2"/>
    <n v="0.1762370138305758"/>
    <n v="0"/>
    <n v="0.3524740276611516"/>
    <n v="0"/>
    <n v="0"/>
    <n v="0"/>
    <n v="304.01368421052632"/>
    <n v="0"/>
    <n v="0"/>
    <n v="0"/>
    <n v="0"/>
    <n v="0"/>
    <n v="0"/>
    <n v="0"/>
    <n v="0"/>
    <n v="0"/>
    <n v="0"/>
  </r>
  <r>
    <x v="1"/>
    <x v="20"/>
    <s v="Blue H2"/>
    <x v="0"/>
    <n v="114000.00000000003"/>
    <s v="metric ton production/year"/>
    <n v="1.3680000000000003E-2"/>
    <n v="0.18504053513513524"/>
    <n v="0"/>
    <n v="0.37008107027027048"/>
    <n v="0"/>
    <n v="0"/>
    <n v="0"/>
    <n v="319.20000000000005"/>
    <n v="0"/>
    <n v="0"/>
    <n v="0"/>
    <n v="0"/>
    <n v="0"/>
    <n v="0"/>
    <n v="0"/>
    <n v="0"/>
    <n v="0"/>
    <n v="0"/>
  </r>
  <r>
    <x v="1"/>
    <x v="0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s v="Green H2"/>
    <x v="1"/>
    <n v="117306"/>
    <s v="metric ton production/year"/>
    <n v="1.4076719999999999E-2"/>
    <n v="1.2164343300776963"/>
    <n v="1.1668084633553926"/>
    <n v="1.2660601967999998"/>
    <n v="0"/>
    <n v="0"/>
    <n v="0"/>
    <n v="480.95460000000003"/>
    <n v="0"/>
    <n v="0"/>
    <n v="0"/>
    <n v="0"/>
    <n v="0"/>
    <n v="0"/>
    <n v="0"/>
    <n v="0"/>
    <n v="0"/>
    <n v="0"/>
  </r>
  <r>
    <x v="1"/>
    <x v="6"/>
    <s v="Green H2"/>
    <x v="1"/>
    <n v="132285.6"/>
    <s v="metric ton production/year"/>
    <n v="1.5874271999999998E-2"/>
    <n v="1.3605819080381027"/>
    <n v="1.2934317923962058"/>
    <n v="1.4277320236799997"/>
    <n v="0"/>
    <n v="0"/>
    <n v="0"/>
    <n v="542.37095999999997"/>
    <n v="0"/>
    <n v="0"/>
    <n v="0"/>
    <n v="0"/>
    <n v="0"/>
    <n v="0"/>
    <n v="0"/>
    <n v="0"/>
    <n v="0"/>
    <n v="0"/>
  </r>
  <r>
    <x v="1"/>
    <x v="7"/>
    <s v="Green H2"/>
    <x v="1"/>
    <n v="147265.20000000001"/>
    <s v="metric ton production/year"/>
    <n v="1.7671823999999999E-2"/>
    <n v="1.5007127291279958"/>
    <n v="1.4120216076959915"/>
    <n v="1.5894038505599999"/>
    <n v="0"/>
    <n v="0"/>
    <n v="0"/>
    <n v="603.78732000000002"/>
    <n v="0"/>
    <n v="0"/>
    <n v="0"/>
    <n v="0"/>
    <n v="0"/>
    <n v="0"/>
    <n v="0"/>
    <n v="0"/>
    <n v="0"/>
    <n v="0"/>
  </r>
  <r>
    <x v="1"/>
    <x v="8"/>
    <s v="Green H2"/>
    <x v="1"/>
    <n v="162244.80000000002"/>
    <s v="metric ton production/year"/>
    <n v="1.9469376E-2"/>
    <n v="1.6357292805178707"/>
    <n v="1.5203828835957418"/>
    <n v="1.75107567744"/>
    <n v="0"/>
    <n v="0"/>
    <n v="0"/>
    <n v="665.20367999999996"/>
    <n v="0"/>
    <n v="0"/>
    <n v="0"/>
    <n v="0"/>
    <n v="0"/>
    <n v="0"/>
    <n v="0"/>
    <n v="0"/>
    <n v="0"/>
    <n v="0"/>
  </r>
  <r>
    <x v="1"/>
    <x v="9"/>
    <s v="Green H2"/>
    <x v="1"/>
    <n v="177224.40000000002"/>
    <s v="metric ton production/year"/>
    <n v="2.1266928000000001E-2"/>
    <n v="1.7652655763080563"/>
    <n v="1.6177836482961123"/>
    <n v="1.91274750432"/>
    <n v="0"/>
    <n v="0"/>
    <n v="0"/>
    <n v="726.62004000000002"/>
    <n v="0"/>
    <n v="0"/>
    <n v="0"/>
    <n v="0"/>
    <n v="0"/>
    <n v="0"/>
    <n v="0"/>
    <n v="0"/>
    <n v="0"/>
    <n v="0"/>
  </r>
  <r>
    <x v="1"/>
    <x v="10"/>
    <s v="Green H2"/>
    <x v="1"/>
    <n v="192204.00000000003"/>
    <s v="metric ton production/year"/>
    <n v="2.3064480000000002E-2"/>
    <n v="1.8878659501243753"/>
    <n v="1.7013125690487501"/>
    <n v="2.0744193312000001"/>
    <n v="0"/>
    <n v="0"/>
    <n v="0"/>
    <n v="788.03639999999996"/>
    <n v="0"/>
    <n v="0"/>
    <n v="0"/>
    <n v="0"/>
    <n v="0"/>
    <n v="0"/>
    <n v="0"/>
    <n v="0"/>
    <n v="0"/>
    <n v="0"/>
  </r>
  <r>
    <x v="1"/>
    <x v="11"/>
    <s v="Green H2"/>
    <x v="1"/>
    <n v="207183.60000000003"/>
    <s v="metric ton production/year"/>
    <n v="2.4862032000000003E-2"/>
    <n v="2.0042371249856377"/>
    <n v="1.7723830918912753"/>
    <n v="2.2360911580800003"/>
    <n v="0"/>
    <n v="0"/>
    <n v="0"/>
    <n v="849.45276000000013"/>
    <n v="0"/>
    <n v="0"/>
    <n v="0"/>
    <n v="0"/>
    <n v="0"/>
    <n v="0"/>
    <n v="0"/>
    <n v="0"/>
    <n v="0"/>
    <n v="0"/>
  </r>
  <r>
    <x v="1"/>
    <x v="12"/>
    <s v="Green H2"/>
    <x v="1"/>
    <n v="222163.20000000004"/>
    <s v="metric ton production/year"/>
    <n v="2.6659584000000004E-2"/>
    <n v="2.1150616620741638"/>
    <n v="1.8323603391883279"/>
    <n v="2.3977629849600004"/>
    <n v="0"/>
    <n v="0"/>
    <n v="0"/>
    <n v="910.86912000000007"/>
    <n v="0"/>
    <n v="0"/>
    <n v="0"/>
    <n v="0"/>
    <n v="0"/>
    <n v="0"/>
    <n v="0"/>
    <n v="0"/>
    <n v="0"/>
    <n v="0"/>
  </r>
  <r>
    <x v="1"/>
    <x v="13"/>
    <s v="Green H2"/>
    <x v="1"/>
    <n v="237142.80000000005"/>
    <s v="metric ton production/year"/>
    <n v="2.8457136000000004E-2"/>
    <n v="2.2214934360959346"/>
    <n v="1.8835520603518694"/>
    <n v="2.5594348118400005"/>
    <n v="0"/>
    <n v="0"/>
    <n v="0"/>
    <n v="972.28548000000012"/>
    <n v="0"/>
    <n v="0"/>
    <n v="0"/>
    <n v="0"/>
    <n v="0"/>
    <n v="0"/>
    <n v="0"/>
    <n v="0"/>
    <n v="0"/>
    <n v="0"/>
  </r>
  <r>
    <x v="1"/>
    <x v="14"/>
    <s v="Green H2"/>
    <x v="1"/>
    <n v="252122.40000000005"/>
    <s v="metric ton production/year"/>
    <n v="3.0254688000000005E-2"/>
    <n v="2.3224551008866969"/>
    <n v="1.9238035630533936"/>
    <n v="2.7211066387200002"/>
    <n v="0"/>
    <n v="0"/>
    <n v="0"/>
    <n v="1033.7018400000002"/>
    <n v="0"/>
    <n v="0"/>
    <n v="0"/>
    <n v="0"/>
    <n v="0"/>
    <n v="0"/>
    <n v="0"/>
    <n v="0"/>
    <n v="0"/>
    <n v="0"/>
  </r>
  <r>
    <x v="1"/>
    <x v="15"/>
    <s v="Green H2"/>
    <x v="1"/>
    <n v="267102.00000000006"/>
    <s v="metric ton production/year"/>
    <n v="3.2052240000000003E-2"/>
    <n v="2.4180618748919831"/>
    <n v="1.9533452841839665"/>
    <n v="2.8827784656"/>
    <n v="0"/>
    <n v="0"/>
    <n v="0"/>
    <n v="1095.1182000000003"/>
    <n v="0"/>
    <n v="0"/>
    <n v="0"/>
    <n v="0"/>
    <n v="0"/>
    <n v="0"/>
    <n v="0"/>
    <n v="0"/>
    <n v="0"/>
    <n v="0"/>
  </r>
  <r>
    <x v="1"/>
    <x v="16"/>
    <s v="Green H2"/>
    <x v="1"/>
    <n v="282081.60000000003"/>
    <s v="metric ton production/year"/>
    <n v="3.3849792000000004E-2"/>
    <n v="2.509191844703059"/>
    <n v="1.9739333969261179"/>
    <n v="3.0444502924800001"/>
    <n v="0"/>
    <n v="0"/>
    <n v="0"/>
    <n v="1156.5345600000001"/>
    <n v="0"/>
    <n v="0"/>
    <n v="0"/>
    <n v="0"/>
    <n v="0"/>
    <n v="0"/>
    <n v="0"/>
    <n v="0"/>
    <n v="0"/>
    <n v="0"/>
  </r>
  <r>
    <x v="1"/>
    <x v="17"/>
    <s v="Green H2"/>
    <x v="1"/>
    <n v="297061.2"/>
    <s v="metric ton production/year"/>
    <n v="3.5647343999999997E-2"/>
    <n v="2.5970625206175106"/>
    <n v="1.9880029218750213"/>
    <n v="3.2061221193599998"/>
    <n v="0"/>
    <n v="0"/>
    <n v="0"/>
    <n v="1217.95092"/>
    <n v="0"/>
    <n v="0"/>
    <n v="0"/>
    <n v="0"/>
    <n v="0"/>
    <n v="0"/>
    <n v="0"/>
    <n v="0"/>
    <n v="0"/>
    <n v="0"/>
  </r>
  <r>
    <x v="1"/>
    <x v="18"/>
    <s v="Green H2"/>
    <x v="1"/>
    <n v="312040.8"/>
    <s v="metric ton production/year"/>
    <n v="3.7444895999999998E-2"/>
    <n v="2.6822791612728616"/>
    <n v="1.9967643763057235"/>
    <n v="3.3677939462399999"/>
    <n v="0"/>
    <n v="0"/>
    <n v="0"/>
    <n v="1279.3672799999997"/>
    <n v="0"/>
    <n v="0"/>
    <n v="0"/>
    <n v="0"/>
    <n v="0"/>
    <n v="0"/>
    <n v="0"/>
    <n v="0"/>
    <n v="0"/>
    <n v="0"/>
  </r>
  <r>
    <x v="1"/>
    <x v="19"/>
    <s v="Green H2"/>
    <x v="1"/>
    <n v="327020.39999999997"/>
    <s v="metric ton production/year"/>
    <n v="3.9242447999999992E-2"/>
    <n v="2.7658148456337917"/>
    <n v="2.0021639181475841"/>
    <n v="3.5294657731199992"/>
    <n v="0"/>
    <n v="0"/>
    <n v="0"/>
    <n v="1340.7836399999997"/>
    <n v="0"/>
    <n v="0"/>
    <n v="0"/>
    <n v="0"/>
    <n v="0"/>
    <n v="0"/>
    <n v="0"/>
    <n v="0"/>
    <n v="0"/>
    <n v="0"/>
  </r>
  <r>
    <x v="1"/>
    <x v="20"/>
    <s v="Green H2"/>
    <x v="1"/>
    <n v="341999.99999999994"/>
    <s v="metric ton production/year"/>
    <n v="4.1039999999999986E-2"/>
    <n v="2.848608727982461"/>
    <n v="2.0060798559649236"/>
    <n v="3.6911375999999985"/>
    <n v="0"/>
    <n v="0"/>
    <n v="0"/>
    <n v="1402.1999999999996"/>
    <n v="0"/>
    <n v="0"/>
    <n v="0"/>
    <n v="0"/>
    <n v="0"/>
    <n v="0"/>
    <n v="0"/>
    <n v="0"/>
    <n v="0"/>
    <n v="0"/>
  </r>
  <r>
    <x v="1"/>
    <x v="0"/>
    <s v="Electricity"/>
    <x v="2"/>
    <n v="1171"/>
    <s v="MW"/>
    <n v="9.6702605611217567E-3"/>
    <n v="0.38691110363161241"/>
    <n v="0.35472836501890959"/>
    <n v="0.41909383955799928"/>
    <n v="4098.5"/>
    <n v="3278.7999999999997"/>
    <n v="4918.2"/>
    <n v="0"/>
    <n v="57379"/>
    <n v="5737.9"/>
    <n v="1024625"/>
    <n v="1270.5350000000001"/>
    <n v="40.516599999999997"/>
    <n v="33.022199999999998"/>
    <n v="39.111399999999996"/>
    <n v="6.5810199999999996"/>
    <n v="119.23121999999999"/>
    <n v="7153.8731999999991"/>
  </r>
  <r>
    <x v="1"/>
    <x v="1"/>
    <s v="Electricity"/>
    <x v="2"/>
    <n v="2342"/>
    <s v="MW"/>
    <n v="1.8886309524751267E-2"/>
    <n v="0.73348838330280919"/>
    <n v="0.66573516186895565"/>
    <n v="0.80124159949020701"/>
    <n v="8197"/>
    <n v="6557.5999999999995"/>
    <n v="9836.4"/>
    <n v="0"/>
    <n v="114758"/>
    <n v="11475.8"/>
    <n v="2049250"/>
    <n v="2541.0700000000002"/>
    <n v="40.516599999999997"/>
    <n v="33.022199999999998"/>
    <n v="39.111399999999996"/>
    <n v="6.5810199999999996"/>
    <n v="119.23121999999999"/>
    <n v="7153.8731999999991"/>
  </r>
  <r>
    <x v="1"/>
    <x v="2"/>
    <s v="Electricity"/>
    <x v="2"/>
    <n v="3513"/>
    <s v="MW"/>
    <n v="2.7648146890888538E-2"/>
    <n v="1.0413307139489523"/>
    <n v="0.93497275148942038"/>
    <n v="1.1476886687280652"/>
    <n v="12295.5"/>
    <n v="9836.4"/>
    <n v="14754.6"/>
    <n v="0"/>
    <n v="172137"/>
    <n v="17213.699999999997"/>
    <n v="3073875"/>
    <n v="3811.605"/>
    <n v="40.516599999999997"/>
    <n v="33.022199999999998"/>
    <n v="39.111399999999996"/>
    <n v="6.5810199999999996"/>
    <n v="119.23121999999999"/>
    <n v="7153.8731999999991"/>
  </r>
  <r>
    <x v="1"/>
    <x v="3"/>
    <s v="Electricity"/>
    <x v="2"/>
    <n v="4684"/>
    <s v="MW"/>
    <n v="3.5955772659533571E-2"/>
    <n v="1.3120369705054034"/>
    <n v="1.1643934948195851"/>
    <n v="1.4596804362030154"/>
    <n v="16394"/>
    <n v="13115.199999999999"/>
    <n v="19672.8"/>
    <n v="0"/>
    <n v="229516"/>
    <n v="22951.599999999999"/>
    <n v="4098500"/>
    <n v="5082.1400000000003"/>
    <n v="40.516599999999997"/>
    <n v="33.022199999999998"/>
    <n v="39.111399999999996"/>
    <n v="6.5810199999999996"/>
    <n v="119.23121999999999"/>
    <n v="7153.8731999999991"/>
  </r>
  <r>
    <x v="1"/>
    <x v="4"/>
    <s v="Electricity"/>
    <x v="2"/>
    <n v="5854"/>
    <s v="MW"/>
    <n v="4.3801704475975728E-2"/>
    <n v="1.5469417741025873"/>
    <n v="1.3557181644549579"/>
    <n v="1.7381653715824776"/>
    <n v="20489"/>
    <n v="16391.2"/>
    <n v="24586.799999999999"/>
    <n v="0"/>
    <n v="286846"/>
    <n v="28684.6"/>
    <n v="5122250"/>
    <n v="6351.59"/>
    <n v="40.481999999999999"/>
    <n v="32.994"/>
    <n v="39.077999999999996"/>
    <n v="6.5754000000000001"/>
    <n v="119.12939999999999"/>
    <n v="7147.7639999999992"/>
  </r>
  <r>
    <x v="1"/>
    <x v="5"/>
    <s v="Electricity"/>
    <x v="2"/>
    <n v="7025"/>
    <s v="MW"/>
    <n v="5.120110099139439E-2"/>
    <n v="1.7481879087193295"/>
    <n v="1.511378743484509"/>
    <n v="1.9849970597309223"/>
    <n v="24587.5"/>
    <n v="19670"/>
    <n v="29505"/>
    <n v="0"/>
    <n v="344225"/>
    <n v="34422.5"/>
    <n v="6146875"/>
    <n v="7622.125"/>
    <n v="40.516599999999997"/>
    <n v="33.022199999999998"/>
    <n v="39.111399999999996"/>
    <n v="6.5810199999999996"/>
    <n v="119.23121999999999"/>
    <n v="7153.8731999999991"/>
  </r>
  <r>
    <x v="1"/>
    <x v="6"/>
    <s v="Electricity"/>
    <x v="2"/>
    <n v="8196"/>
    <s v="MW"/>
    <n v="5.8146285909320798E-2"/>
    <n v="1.9170941389215412"/>
    <n v="1.6330790032884208"/>
    <n v="2.2011092584021217"/>
    <n v="28686"/>
    <n v="22948.799999999999"/>
    <n v="34423.200000000004"/>
    <n v="0"/>
    <n v="401604"/>
    <n v="40160.399999999994"/>
    <n v="7171500"/>
    <n v="8892.66"/>
    <n v="40.516599999999997"/>
    <n v="33.022199999999998"/>
    <n v="39.111399999999996"/>
    <n v="6.5810199999999996"/>
    <n v="119.23121999999999"/>
    <n v="7153.8731999999991"/>
  </r>
  <r>
    <x v="1"/>
    <x v="7"/>
    <s v="Electricity"/>
    <x v="2"/>
    <n v="9367"/>
    <s v="MW"/>
    <n v="6.4637259229754981E-2"/>
    <n v="2.0552593396445848"/>
    <n v="1.7227713048059754"/>
    <n v="2.3877473565275178"/>
    <n v="32784.5"/>
    <n v="26227.599999999999"/>
    <n v="39341.4"/>
    <n v="0"/>
    <n v="458983"/>
    <n v="45898.299999999996"/>
    <n v="8196125"/>
    <n v="10163.195"/>
    <n v="40.516599999999997"/>
    <n v="33.022199999999998"/>
    <n v="39.111399999999996"/>
    <n v="6.5810199999999996"/>
    <n v="119.23121999999999"/>
    <n v="7153.8731999999991"/>
  </r>
  <r>
    <x v="1"/>
    <x v="8"/>
    <s v="Electricity"/>
    <x v="2"/>
    <n v="10538"/>
    <s v="MW"/>
    <n v="7.0674020952696898E-2"/>
    <n v="2.1642823858238214"/>
    <n v="1.7824080089764547"/>
    <n v="2.5461567430385519"/>
    <n v="36883"/>
    <n v="29506.399999999998"/>
    <n v="44259.6"/>
    <n v="0"/>
    <n v="516362"/>
    <n v="51636.2"/>
    <n v="9220750"/>
    <n v="11433.73"/>
    <n v="40.516599999999997"/>
    <n v="33.022199999999998"/>
    <n v="39.111399999999996"/>
    <n v="6.5810199999999996"/>
    <n v="119.23121999999999"/>
    <n v="7153.8731999999991"/>
  </r>
  <r>
    <x v="1"/>
    <x v="9"/>
    <s v="Electricity"/>
    <x v="2"/>
    <n v="11709"/>
    <s v="MW"/>
    <n v="7.6256571078146596E-2"/>
    <n v="2.245762152394613"/>
    <n v="1.8139414767391404"/>
    <n v="2.6775828068666656"/>
    <n v="40981.5"/>
    <n v="32785.199999999997"/>
    <n v="49177.8"/>
    <n v="0"/>
    <n v="573741"/>
    <n v="57374.1"/>
    <n v="10245375"/>
    <n v="12704.264999999999"/>
    <n v="40.516599999999997"/>
    <n v="33.022199999999998"/>
    <n v="39.111399999999996"/>
    <n v="6.5810199999999996"/>
    <n v="119.23121999999999"/>
    <n v="7153.8731999999991"/>
  </r>
  <r>
    <x v="1"/>
    <x v="10"/>
    <s v="Electricity"/>
    <x v="2"/>
    <n v="12880"/>
    <s v="MW"/>
    <n v="8.1384909606104033E-2"/>
    <n v="2.3012975142923215"/>
    <n v="1.8193240690333143"/>
    <n v="2.7832709369433006"/>
    <n v="45080"/>
    <n v="36064"/>
    <n v="54096"/>
    <n v="0"/>
    <n v="631120"/>
    <n v="63111.999999999993"/>
    <n v="11270000"/>
    <n v="13974.8"/>
    <n v="40.516599999999997"/>
    <n v="33.022199999999998"/>
    <n v="39.111399999999996"/>
    <n v="6.5810199999999996"/>
    <n v="119.23121999999999"/>
    <n v="7153.8731999999991"/>
  </r>
  <r>
    <x v="1"/>
    <x v="11"/>
    <s v="Electricity"/>
    <x v="2"/>
    <n v="14051"/>
    <s v="MW"/>
    <n v="8.6059036536569253E-2"/>
    <n v="2.332487346452309"/>
    <n v="1.8005081467982589"/>
    <n v="2.8644665221998991"/>
    <n v="49178.5"/>
    <n v="39342.799999999996"/>
    <n v="59014.200000000004"/>
    <n v="0"/>
    <n v="688499"/>
    <n v="68849.899999999994"/>
    <n v="12294625"/>
    <n v="15245.334999999999"/>
    <n v="40.516599999999997"/>
    <n v="33.022199999999998"/>
    <n v="39.111399999999996"/>
    <n v="6.5810199999999996"/>
    <n v="119.23121999999999"/>
    <n v="7153.8731999999991"/>
  </r>
  <r>
    <x v="1"/>
    <x v="12"/>
    <s v="Electricity"/>
    <x v="2"/>
    <n v="15221"/>
    <s v="MW"/>
    <n v="9.0273021048896465E-2"/>
    <n v="2.3407767378078468"/>
    <n v="1.7593304852374139"/>
    <n v="2.9222229653012111"/>
    <n v="53273.5"/>
    <n v="42618.799999999996"/>
    <n v="63928.200000000004"/>
    <n v="0"/>
    <n v="745829"/>
    <n v="74582.899999999994"/>
    <n v="13318375"/>
    <n v="16514.785"/>
    <n v="40.481999999999999"/>
    <n v="32.994"/>
    <n v="39.077999999999996"/>
    <n v="6.5754000000000001"/>
    <n v="119.12939999999999"/>
    <n v="7147.7639999999992"/>
  </r>
  <r>
    <x v="1"/>
    <x v="13"/>
    <s v="Electricity"/>
    <x v="2"/>
    <n v="16392"/>
    <s v="MW"/>
    <n v="9.4038918726135304E-2"/>
    <n v="2.3280838956846757"/>
    <n v="1.6979866161984032"/>
    <n v="2.9581811490477463"/>
    <n v="57372"/>
    <n v="45897.599999999999"/>
    <n v="68846.400000000009"/>
    <n v="0"/>
    <n v="803208"/>
    <n v="80320.799999999988"/>
    <n v="14343000"/>
    <n v="17785.32"/>
    <n v="40.516599999999997"/>
    <n v="33.022199999999998"/>
    <n v="39.111399999999996"/>
    <n v="6.5810199999999996"/>
    <n v="119.23121999999999"/>
    <n v="7153.8731999999991"/>
  </r>
  <r>
    <x v="1"/>
    <x v="14"/>
    <s v="Electricity"/>
    <x v="2"/>
    <n v="17563"/>
    <s v="MW"/>
    <n v="9.7350604805881882E-2"/>
    <n v="2.2958416934989447"/>
    <n v="1.6183007596948227"/>
    <n v="2.9733826002599066"/>
    <n v="61470.5"/>
    <n v="49176.399999999994"/>
    <n v="73764.600000000006"/>
    <n v="0"/>
    <n v="860587"/>
    <n v="86058.7"/>
    <n v="15367625"/>
    <n v="19055.855"/>
    <n v="40.516599999999997"/>
    <n v="33.022199999999998"/>
    <n v="39.111399999999996"/>
    <n v="6.5810199999999996"/>
    <n v="119.23121999999999"/>
    <n v="7153.8731999999991"/>
  </r>
  <r>
    <x v="1"/>
    <x v="15"/>
    <s v="Electricity"/>
    <x v="2"/>
    <n v="18734"/>
    <s v="MW"/>
    <n v="0.10020807928813624"/>
    <n v="2.2456490061860159"/>
    <n v="1.522225276665955"/>
    <n v="2.9690727078691355"/>
    <n v="65569"/>
    <n v="52455.199999999997"/>
    <n v="78682.8"/>
    <n v="0"/>
    <n v="917966"/>
    <n v="91796.599999999991"/>
    <n v="16392250"/>
    <n v="20326.39"/>
    <n v="40.516599999999997"/>
    <n v="33.022199999999998"/>
    <n v="39.111399999999996"/>
    <n v="6.5810199999999996"/>
    <n v="119.23121999999999"/>
    <n v="7153.8731999999991"/>
  </r>
  <r>
    <x v="1"/>
    <x v="16"/>
    <s v="Electricity"/>
    <x v="2"/>
    <n v="19905"/>
    <s v="MW"/>
    <n v="0.10261134217289836"/>
    <n v="2.1791047086812507"/>
    <n v="1.4117125280510818"/>
    <n v="2.9464968608068731"/>
    <n v="69667.5"/>
    <n v="55734"/>
    <n v="83601"/>
    <n v="0"/>
    <n v="975345"/>
    <n v="97534.5"/>
    <n v="17416875"/>
    <n v="21596.924999999999"/>
    <n v="40.516599999999997"/>
    <n v="33.022199999999998"/>
    <n v="39.111399999999996"/>
    <n v="6.5810199999999996"/>
    <n v="119.23121999999999"/>
    <n v="7153.8731999999991"/>
  </r>
  <r>
    <x v="1"/>
    <x v="17"/>
    <s v="Electricity"/>
    <x v="2"/>
    <n v="21076"/>
    <s v="MW"/>
    <n v="0.10456039346016822"/>
    <n v="2.0978076759200115"/>
    <n v="1.288714874789485"/>
    <n v="2.9069004480045617"/>
    <n v="73766"/>
    <n v="59012.799999999996"/>
    <n v="88519.2"/>
    <n v="0"/>
    <n v="1032724"/>
    <n v="103272.4"/>
    <n v="18441500"/>
    <n v="22867.46"/>
    <n v="40.516599999999997"/>
    <n v="33.022199999999998"/>
    <n v="39.111399999999996"/>
    <n v="6.5810199999999996"/>
    <n v="119.23121999999999"/>
    <n v="7153.8731999999991"/>
  </r>
  <r>
    <x v="1"/>
    <x v="18"/>
    <s v="Electricity"/>
    <x v="2"/>
    <n v="22247"/>
    <s v="MW"/>
    <n v="0.10605523314994585"/>
    <n v="2.0033567828376597"/>
    <n v="1.1551846778204462"/>
    <n v="2.8515288583936429"/>
    <n v="77864.5"/>
    <n v="62291.6"/>
    <n v="93437.400000000009"/>
    <n v="0"/>
    <n v="1090103"/>
    <n v="109010.29999999999"/>
    <n v="19466125"/>
    <n v="24137.994999999999"/>
    <n v="40.516599999999997"/>
    <n v="33.022199999999998"/>
    <n v="39.111399999999996"/>
    <n v="6.5810199999999996"/>
    <n v="119.23121999999999"/>
    <n v="7153.8731999999991"/>
  </r>
  <r>
    <x v="1"/>
    <x v="19"/>
    <s v="Electricity"/>
    <x v="2"/>
    <n v="23418"/>
    <s v="MW"/>
    <n v="0.10709586124223124"/>
    <n v="1.8973509043695567"/>
    <n v="1.0130742980832477"/>
    <n v="2.7816274809055588"/>
    <n v="81963"/>
    <n v="65570.399999999994"/>
    <n v="98355.6"/>
    <n v="0"/>
    <n v="1147482"/>
    <n v="114748.2"/>
    <n v="20490750"/>
    <n v="25408.53"/>
    <n v="40.516599999999997"/>
    <n v="33.022199999999998"/>
    <n v="39.111399999999996"/>
    <n v="6.5810199999999996"/>
    <n v="119.23121999999999"/>
    <n v="7153.8731999999991"/>
  </r>
  <r>
    <x v="1"/>
    <x v="20"/>
    <s v="Electricity"/>
    <x v="2"/>
    <n v="24589"/>
    <s v="MW"/>
    <n v="0.10768227773702438"/>
    <n v="1.7813889154510654"/>
    <n v="0.86433609651717103"/>
    <n v="2.698441704471751"/>
    <n v="86061.5"/>
    <n v="68849.2"/>
    <n v="103273.8"/>
    <n v="0"/>
    <n v="1204861"/>
    <n v="120486.09999999999"/>
    <n v="21515375"/>
    <n v="26679.064999999999"/>
    <n v="40.516599999999997"/>
    <n v="33.022199999999998"/>
    <n v="39.111399999999996"/>
    <n v="6.5810199999999996"/>
    <n v="119.23121999999999"/>
    <n v="7153.8731999999991"/>
  </r>
  <r>
    <x v="1"/>
    <x v="0"/>
    <s v="Electricity"/>
    <x v="3"/>
    <n v="99"/>
    <s v="MW"/>
    <n v="8.9195705339215775E-4"/>
    <n v="3.568756867911406E-2"/>
    <n v="3.2719125324186867E-2"/>
    <n v="3.8656011786263191E-2"/>
    <n v="247.5"/>
    <n v="79.2"/>
    <n v="415.8"/>
    <n v="0"/>
    <n v="3465"/>
    <n v="346.5"/>
    <n v="61875"/>
    <n v="76.724999999999994"/>
    <n v="2.3363999999999998"/>
    <n v="4.0491000000000001"/>
    <n v="1.98"/>
    <n v="0.11187"/>
    <n v="8.4773700000000005"/>
    <n v="67.818960000000004"/>
  </r>
  <r>
    <x v="1"/>
    <x v="1"/>
    <s v="Electricity"/>
    <x v="3"/>
    <n v="212"/>
    <s v="MW"/>
    <n v="1.8947544793857763E-3"/>
    <n v="7.3586657997904037E-2"/>
    <n v="6.6789368160184881E-2"/>
    <n v="8.038394730927656E-2"/>
    <n v="530"/>
    <n v="169.60000000000002"/>
    <n v="890.40000000000009"/>
    <n v="0"/>
    <n v="7420"/>
    <n v="742"/>
    <n v="132500"/>
    <n v="164.3"/>
    <n v="2.6667999999999998"/>
    <n v="4.6216999999999997"/>
    <n v="2.2600000000000002"/>
    <n v="0.12769"/>
    <n v="9.6761900000000018"/>
    <n v="77.409520000000015"/>
  </r>
  <r>
    <x v="1"/>
    <x v="2"/>
    <s v="Electricity"/>
    <x v="3"/>
    <n v="325"/>
    <s v="MW"/>
    <n v="2.8812468920218714E-3"/>
    <n v="0.10851833560393502"/>
    <n v="9.7434643449532649E-2"/>
    <n v="0.11960202695795161"/>
    <n v="812.5"/>
    <n v="260"/>
    <n v="1365"/>
    <n v="0"/>
    <n v="11375"/>
    <n v="1137.5"/>
    <n v="203125"/>
    <n v="251.875"/>
    <n v="2.6667999999999998"/>
    <n v="4.6216999999999997"/>
    <n v="2.2600000000000002"/>
    <n v="0.12769"/>
    <n v="9.6761900000000018"/>
    <n v="77.409520000000015"/>
  </r>
  <r>
    <x v="1"/>
    <x v="3"/>
    <s v="Electricity"/>
    <x v="3"/>
    <n v="438"/>
    <s v="MW"/>
    <n v="3.8514342913004433E-3"/>
    <n v="0.14053999694312261"/>
    <n v="0.12472503586503352"/>
    <n v="0.15635495695131618"/>
    <n v="1095"/>
    <n v="350.40000000000003"/>
    <n v="1839.6000000000001"/>
    <n v="0"/>
    <n v="15330"/>
    <n v="1533"/>
    <n v="273750"/>
    <n v="339.45"/>
    <n v="2.6667999999999998"/>
    <n v="4.6216999999999997"/>
    <n v="2.2600000000000002"/>
    <n v="0.12769"/>
    <n v="9.6761900000000018"/>
    <n v="77.409520000000015"/>
  </r>
  <r>
    <x v="1"/>
    <x v="4"/>
    <s v="Electricity"/>
    <x v="3"/>
    <n v="551"/>
    <s v="MW"/>
    <n v="4.8053166772214911E-3"/>
    <n v="0.16970903746138233"/>
    <n v="0.14873063007949069"/>
    <n v="0.19068744350839809"/>
    <n v="1377.5"/>
    <n v="440.8"/>
    <n v="2314.2000000000003"/>
    <n v="0"/>
    <n v="19285"/>
    <n v="1928.4999999999998"/>
    <n v="344375"/>
    <n v="427.02499999999998"/>
    <n v="2.6667999999999998"/>
    <n v="4.6216999999999997"/>
    <n v="2.2600000000000002"/>
    <n v="0.12769"/>
    <n v="9.6761900000000018"/>
    <n v="77.409520000000015"/>
  </r>
  <r>
    <x v="1"/>
    <x v="5"/>
    <s v="Electricity"/>
    <x v="3"/>
    <n v="664"/>
    <s v="MW"/>
    <n v="5.7428940497850156E-3"/>
    <n v="0.19608285260462974"/>
    <n v="0.16952151076570751"/>
    <n v="0.2226441928482252"/>
    <n v="1660"/>
    <n v="531.20000000000005"/>
    <n v="2788.8"/>
    <n v="0"/>
    <n v="23240"/>
    <n v="2324"/>
    <n v="415000"/>
    <n v="514.6"/>
    <n v="2.6667999999999998"/>
    <n v="4.6216999999999997"/>
    <n v="2.2600000000000002"/>
    <n v="0.12769"/>
    <n v="9.6761900000000018"/>
    <n v="77.409520000000015"/>
  </r>
  <r>
    <x v="1"/>
    <x v="6"/>
    <s v="Electricity"/>
    <x v="3"/>
    <n v="777"/>
    <s v="MW"/>
    <n v="6.6641664089910164E-3"/>
    <n v="0.2197188378187804"/>
    <n v="0.18716776259648721"/>
    <n v="0.25226991118982528"/>
    <n v="1942.5"/>
    <n v="621.6"/>
    <n v="3263.4"/>
    <n v="0"/>
    <n v="27195"/>
    <n v="2719.5"/>
    <n v="485625"/>
    <n v="602.17499999999995"/>
    <n v="2.6667999999999998"/>
    <n v="4.6216999999999997"/>
    <n v="2.2600000000000002"/>
    <n v="0.12769"/>
    <n v="9.6761900000000018"/>
    <n v="77.409520000000015"/>
  </r>
  <r>
    <x v="1"/>
    <x v="7"/>
    <s v="Electricity"/>
    <x v="3"/>
    <n v="890"/>
    <s v="MW"/>
    <n v="7.5691337548394943E-3"/>
    <n v="0.24067438854974987"/>
    <n v="0.20173947024463307"/>
    <n v="0.27960930475222628"/>
    <n v="2225"/>
    <n v="712"/>
    <n v="3738"/>
    <n v="0"/>
    <n v="31150"/>
    <n v="3115"/>
    <n v="556250"/>
    <n v="689.75"/>
    <n v="2.6667999999999998"/>
    <n v="4.6216999999999997"/>
    <n v="2.2600000000000002"/>
    <n v="0.12769"/>
    <n v="9.6761900000000018"/>
    <n v="77.409520000000015"/>
  </r>
  <r>
    <x v="1"/>
    <x v="8"/>
    <s v="Electricity"/>
    <x v="3"/>
    <n v="1003"/>
    <s v="MW"/>
    <n v="8.4577960873304502E-3"/>
    <n v="0.25900690024345374"/>
    <n v="0.21330671838294843"/>
    <n v="0.30470707975445593"/>
    <n v="2507.5"/>
    <n v="802.40000000000009"/>
    <n v="4212.6000000000004"/>
    <n v="0"/>
    <n v="35105"/>
    <n v="3510.5"/>
    <n v="626875"/>
    <n v="777.32500000000005"/>
    <n v="2.6667999999999998"/>
    <n v="4.6216999999999997"/>
    <n v="2.2600000000000002"/>
    <n v="0.12769"/>
    <n v="9.6761900000000018"/>
    <n v="77.409520000000015"/>
  </r>
  <r>
    <x v="1"/>
    <x v="9"/>
    <s v="Electricity"/>
    <x v="3"/>
    <n v="1116"/>
    <s v="MW"/>
    <n v="9.3301534064638789E-3"/>
    <n v="0.27477376834580741"/>
    <n v="0.22193959168423644"/>
    <n v="0.32760794241554198"/>
    <n v="2790"/>
    <n v="892.80000000000007"/>
    <n v="4687.2"/>
    <n v="0"/>
    <n v="39060"/>
    <n v="3905.9999999999995"/>
    <n v="697500"/>
    <n v="864.9"/>
    <n v="2.6667999999999998"/>
    <n v="4.6216999999999997"/>
    <n v="2.2600000000000002"/>
    <n v="0.12769"/>
    <n v="9.6761900000000018"/>
    <n v="77.409520000000015"/>
  </r>
  <r>
    <x v="1"/>
    <x v="10"/>
    <s v="Electricity"/>
    <x v="3"/>
    <n v="1229"/>
    <s v="MW"/>
    <n v="1.0186205712239787E-2"/>
    <n v="0.28803238830272665"/>
    <n v="0.22770817482130051"/>
    <n v="0.34835659895451243"/>
    <n v="3072.5"/>
    <n v="983.2"/>
    <n v="5161.8"/>
    <n v="0"/>
    <n v="43015"/>
    <n v="4301.5"/>
    <n v="768125"/>
    <n v="952.47500000000002"/>
    <n v="2.6667999999999998"/>
    <n v="4.6216999999999997"/>
    <n v="2.2600000000000002"/>
    <n v="0.12769"/>
    <n v="9.6761900000000018"/>
    <n v="77.409520000000015"/>
  </r>
  <r>
    <x v="1"/>
    <x v="11"/>
    <s v="Electricity"/>
    <x v="3"/>
    <n v="1342"/>
    <s v="MW"/>
    <n v="1.1025953004658169E-2"/>
    <n v="0.29884015556012689"/>
    <n v="0.23068255246694386"/>
    <n v="0.36699775559039499"/>
    <n v="3355"/>
    <n v="1073.6000000000001"/>
    <n v="5636.4000000000005"/>
    <n v="0"/>
    <n v="46970"/>
    <n v="4697"/>
    <n v="838750"/>
    <n v="1040.05"/>
    <n v="2.6667999999999998"/>
    <n v="4.6216999999999997"/>
    <n v="2.2600000000000002"/>
    <n v="0.12769"/>
    <n v="9.6761900000000018"/>
    <n v="77.409520000000015"/>
  </r>
  <r>
    <x v="1"/>
    <x v="12"/>
    <s v="Electricity"/>
    <x v="3"/>
    <n v="1455"/>
    <s v="MW"/>
    <n v="1.1849395283719031E-2"/>
    <n v="0.30725446556392372"/>
    <n v="0.23093280929396978"/>
    <n v="0.38357611854221757"/>
    <n v="3637.5"/>
    <n v="1164"/>
    <n v="6111"/>
    <n v="0"/>
    <n v="50925"/>
    <n v="5092.5"/>
    <n v="909375"/>
    <n v="1127.625"/>
    <n v="2.6667999999999998"/>
    <n v="4.6216999999999997"/>
    <n v="2.2600000000000002"/>
    <n v="0.12769"/>
    <n v="9.6761900000000018"/>
    <n v="77.409520000000015"/>
  </r>
  <r>
    <x v="1"/>
    <x v="13"/>
    <s v="Electricity"/>
    <x v="3"/>
    <n v="1568"/>
    <s v="MW"/>
    <n v="1.2656532549422367E-2"/>
    <n v="0.31333271376003269"/>
    <n v="0.22852902997518157"/>
    <n v="0.39813639402900797"/>
    <n v="3920"/>
    <n v="1254.4000000000001"/>
    <n v="6585.6"/>
    <n v="0"/>
    <n v="54880"/>
    <n v="5488"/>
    <n v="980000"/>
    <n v="1215.2"/>
    <n v="2.6667999999999998"/>
    <n v="4.6216999999999997"/>
    <n v="2.2600000000000002"/>
    <n v="0.12769"/>
    <n v="9.6761900000000018"/>
    <n v="77.409520000000015"/>
  </r>
  <r>
    <x v="1"/>
    <x v="14"/>
    <s v="Electricity"/>
    <x v="3"/>
    <n v="1681"/>
    <s v="MW"/>
    <n v="1.3447364801768181E-2"/>
    <n v="0.31713229559436934"/>
    <n v="0.22354129918338242"/>
    <n v="0.41072328826979404"/>
    <n v="4202.5"/>
    <n v="1344.8000000000002"/>
    <n v="7060.2000000000007"/>
    <n v="0"/>
    <n v="58835"/>
    <n v="5883.5"/>
    <n v="1050625"/>
    <n v="1302.7750000000001"/>
    <n v="2.6667999999999998"/>
    <n v="4.6216999999999997"/>
    <n v="2.2600000000000002"/>
    <n v="0.12769"/>
    <n v="9.6761900000000018"/>
    <n v="77.409520000000015"/>
  </r>
  <r>
    <x v="1"/>
    <x v="15"/>
    <s v="Electricity"/>
    <x v="3"/>
    <n v="1794"/>
    <s v="MW"/>
    <n v="1.4221892040756471E-2"/>
    <n v="0.31871060651284916"/>
    <n v="0.21603970159137564"/>
    <n v="0.42138150748360353"/>
    <n v="4485"/>
    <n v="1435.2"/>
    <n v="7534.8"/>
    <n v="0"/>
    <n v="62790"/>
    <n v="6279"/>
    <n v="1121250"/>
    <n v="1390.35"/>
    <n v="2.6667999999999998"/>
    <n v="4.6216999999999997"/>
    <n v="2.2600000000000002"/>
    <n v="0.12769"/>
    <n v="9.6761900000000018"/>
    <n v="77.409520000000015"/>
  </r>
  <r>
    <x v="1"/>
    <x v="16"/>
    <s v="Electricity"/>
    <x v="3"/>
    <n v="1907"/>
    <s v="MW"/>
    <n v="1.4980114266387238E-2"/>
    <n v="0.31812504196138786"/>
    <n v="0.20609432187196458"/>
    <n v="0.43015575788946442"/>
    <n v="4767.5"/>
    <n v="1525.6000000000001"/>
    <n v="8009.4000000000005"/>
    <n v="0"/>
    <n v="66745"/>
    <n v="6674.5"/>
    <n v="1191875"/>
    <n v="1477.925"/>
    <n v="2.6667999999999998"/>
    <n v="4.6216999999999997"/>
    <n v="2.2600000000000002"/>
    <n v="0.12769"/>
    <n v="9.6761900000000018"/>
    <n v="77.409520000000015"/>
  </r>
  <r>
    <x v="1"/>
    <x v="17"/>
    <s v="Electricity"/>
    <x v="3"/>
    <n v="2020"/>
    <s v="MW"/>
    <n v="1.5722031478660484E-2"/>
    <n v="0.31543299738590086"/>
    <n v="0.19377524469795243"/>
    <n v="0.43709074570640438"/>
    <n v="5050"/>
    <n v="1616"/>
    <n v="8484"/>
    <n v="0"/>
    <n v="70700"/>
    <n v="7070"/>
    <n v="1262500"/>
    <n v="1565.5"/>
    <n v="2.6667999999999998"/>
    <n v="4.6216999999999997"/>
    <n v="2.2600000000000002"/>
    <n v="0.12769"/>
    <n v="9.6761900000000018"/>
    <n v="77.409520000000015"/>
  </r>
  <r>
    <x v="1"/>
    <x v="18"/>
    <s v="Electricity"/>
    <x v="3"/>
    <n v="2132"/>
    <s v="MW"/>
    <n v="1.6439932639752675E-2"/>
    <n v="0.31054620865976162"/>
    <n v="0.17906856385853157"/>
    <n v="0.44202384889412005"/>
    <n v="5330"/>
    <n v="1705.6000000000001"/>
    <n v="8954.4"/>
    <n v="0"/>
    <n v="74620"/>
    <n v="7461.9999999999991"/>
    <n v="1332500"/>
    <n v="1652.3"/>
    <n v="2.6431999999999998"/>
    <n v="4.5808"/>
    <n v="2.2400000000000002"/>
    <n v="0.12656000000000001"/>
    <n v="9.5905600000000018"/>
    <n v="76.724480000000014"/>
  </r>
  <r>
    <x v="1"/>
    <x v="19"/>
    <s v="Electricity"/>
    <x v="3"/>
    <n v="2245"/>
    <s v="MW"/>
    <n v="1.7149311971387676E-2"/>
    <n v="0.30382371644252881"/>
    <n v="0.16222407650962781"/>
    <n v="0.44542335161149871"/>
    <n v="5612.5"/>
    <n v="1796"/>
    <n v="9429"/>
    <n v="0"/>
    <n v="78575"/>
    <n v="7857.4999999999991"/>
    <n v="1403125"/>
    <n v="1739.875"/>
    <n v="2.6667999999999998"/>
    <n v="4.6216999999999997"/>
    <n v="2.2600000000000002"/>
    <n v="0.12769"/>
    <n v="9.6761900000000018"/>
    <n v="77.409520000000015"/>
  </r>
  <r>
    <x v="1"/>
    <x v="20"/>
    <s v="Electricity"/>
    <x v="3"/>
    <n v="2358"/>
    <s v="MW"/>
    <n v="1.7842386289665155E-2"/>
    <n v="0.29516676123091701"/>
    <n v="0.14321593898508508"/>
    <n v="0.44711757852028783"/>
    <n v="5895"/>
    <n v="1886.4"/>
    <n v="9903.6"/>
    <n v="0"/>
    <n v="82530"/>
    <n v="8253"/>
    <n v="1473750"/>
    <n v="1827.45"/>
    <n v="2.6667999999999998"/>
    <n v="4.6216999999999997"/>
    <n v="2.2600000000000002"/>
    <n v="0.12769"/>
    <n v="9.6761900000000018"/>
    <n v="77.409520000000015"/>
  </r>
  <r>
    <x v="1"/>
    <x v="0"/>
    <s v="Electricity"/>
    <x v="4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s v="Electricity"/>
    <x v="4"/>
    <n v="5"/>
    <s v="MW"/>
    <n v="1.0784054976135365E-4"/>
    <n v="4.1882078865263742E-3"/>
    <n v="3.8013379880978866E-3"/>
    <n v="4.5750777549976767E-3"/>
    <n v="0"/>
    <n v="0"/>
    <n v="0"/>
    <n v="2.0500000000000001E-2"/>
    <n v="0"/>
    <n v="0"/>
    <n v="0"/>
    <n v="0"/>
    <n v="0"/>
    <n v="0"/>
    <n v="0"/>
    <n v="0"/>
    <n v="0"/>
    <n v="0"/>
  </r>
  <r>
    <x v="1"/>
    <x v="2"/>
    <s v="Electricity"/>
    <x v="4"/>
    <n v="5"/>
    <s v="MW"/>
    <n v="1.0705490865668688E-4"/>
    <n v="4.0320808806157552E-3"/>
    <n v="3.6202579110347871E-3"/>
    <n v="4.4439038204577841E-3"/>
    <n v="0"/>
    <n v="0"/>
    <n v="0"/>
    <n v="2.0500000000000001E-2"/>
    <n v="0"/>
    <n v="0"/>
    <n v="0"/>
    <n v="0"/>
    <n v="0"/>
    <n v="0"/>
    <n v="0"/>
    <n v="0"/>
    <n v="0"/>
    <n v="0"/>
  </r>
  <r>
    <x v="1"/>
    <x v="3"/>
    <s v="Electricity"/>
    <x v="4"/>
    <n v="5"/>
    <s v="MW"/>
    <n v="1.0626926755202014E-4"/>
    <n v="3.8777975702828189E-3"/>
    <n v="3.4414291415318862E-3"/>
    <n v="4.3141659695130567E-3"/>
    <n v="0"/>
    <n v="0"/>
    <n v="0"/>
    <n v="2.0500000000000001E-2"/>
    <n v="0"/>
    <n v="0"/>
    <n v="0"/>
    <n v="0"/>
    <n v="0"/>
    <n v="0"/>
    <n v="0"/>
    <n v="0"/>
    <n v="0"/>
    <n v="0"/>
  </r>
  <r>
    <x v="1"/>
    <x v="4"/>
    <s v="Electricity"/>
    <x v="4"/>
    <n v="5"/>
    <s v="MW"/>
    <n v="1.0548362644735336E-4"/>
    <n v="3.7253579555275619E-3"/>
    <n v="3.2648516795891823E-3"/>
    <n v="4.1858642021634926E-3"/>
    <n v="0"/>
    <n v="0"/>
    <n v="0"/>
    <n v="2.0500000000000001E-2"/>
    <n v="0"/>
    <n v="0"/>
    <n v="0"/>
    <n v="0"/>
    <n v="0"/>
    <n v="0"/>
    <n v="0"/>
    <n v="0"/>
    <n v="0"/>
    <n v="0"/>
  </r>
  <r>
    <x v="1"/>
    <x v="5"/>
    <s v="Electricity"/>
    <x v="4"/>
    <n v="10"/>
    <s v="MW"/>
    <n v="2.0939597068537322E-4"/>
    <n v="7.1495240726999736E-3"/>
    <n v="6.181051050413354E-3"/>
    <n v="8.1179970368181857E-3"/>
    <n v="0"/>
    <n v="0"/>
    <n v="0"/>
    <n v="4.1000000000000002E-2"/>
    <n v="0"/>
    <n v="0"/>
    <n v="0"/>
    <n v="0"/>
    <n v="0"/>
    <n v="0"/>
    <n v="0"/>
    <n v="0"/>
    <n v="0"/>
    <n v="0"/>
  </r>
  <r>
    <x v="1"/>
    <x v="6"/>
    <s v="Electricity"/>
    <x v="4"/>
    <n v="10"/>
    <s v="MW"/>
    <n v="2.078246884760397E-4"/>
    <n v="6.8520196255001829E-3"/>
    <n v="5.8369013567687372E-3"/>
    <n v="7.8671378364997113E-3"/>
    <n v="0"/>
    <n v="0"/>
    <n v="0"/>
    <n v="4.1000000000000002E-2"/>
    <n v="0"/>
    <n v="0"/>
    <n v="0"/>
    <n v="0"/>
    <n v="0"/>
    <n v="0"/>
    <n v="0"/>
    <n v="0"/>
    <n v="0"/>
    <n v="0"/>
  </r>
  <r>
    <x v="1"/>
    <x v="7"/>
    <s v="Electricity"/>
    <x v="4"/>
    <n v="15"/>
    <s v="MW"/>
    <n v="3.0938010940005932E-4"/>
    <n v="9.8373038541836339E-3"/>
    <n v="8.2458814173667749E-3"/>
    <n v="1.1428726205057351E-2"/>
    <n v="0"/>
    <n v="0"/>
    <n v="0"/>
    <n v="6.1499999999999992E-2"/>
    <n v="0"/>
    <n v="0"/>
    <n v="0"/>
    <n v="0"/>
    <n v="0"/>
    <n v="0"/>
    <n v="0"/>
    <n v="0"/>
    <n v="0"/>
    <n v="0"/>
  </r>
  <r>
    <x v="1"/>
    <x v="8"/>
    <s v="Electricity"/>
    <x v="4"/>
    <n v="15"/>
    <s v="MW"/>
    <n v="3.0702318608605896E-4"/>
    <n v="9.4021093568500327E-3"/>
    <n v="7.7431647222610351E-3"/>
    <n v="1.1061053906150625E-2"/>
    <n v="0"/>
    <n v="0"/>
    <n v="0"/>
    <n v="6.1499999999999992E-2"/>
    <n v="0"/>
    <n v="0"/>
    <n v="0"/>
    <n v="0"/>
    <n v="0"/>
    <n v="0"/>
    <n v="0"/>
    <n v="0"/>
    <n v="0"/>
    <n v="0"/>
  </r>
  <r>
    <x v="1"/>
    <x v="9"/>
    <s v="Electricity"/>
    <x v="4"/>
    <n v="15"/>
    <s v="MW"/>
    <n v="3.0466626277205871E-4"/>
    <n v="8.9724459462494754E-3"/>
    <n v="7.2472019498358905E-3"/>
    <n v="1.0697689858029389E-2"/>
    <n v="0"/>
    <n v="0"/>
    <n v="0"/>
    <n v="6.1499999999999992E-2"/>
    <n v="0"/>
    <n v="0"/>
    <n v="0"/>
    <n v="0"/>
    <n v="0"/>
    <n v="0"/>
    <n v="0"/>
    <n v="0"/>
    <n v="0"/>
    <n v="0"/>
  </r>
  <r>
    <x v="1"/>
    <x v="10"/>
    <s v="Electricity"/>
    <x v="4"/>
    <n v="15"/>
    <s v="MW"/>
    <n v="3.0230933945805846E-4"/>
    <n v="8.5483136223819586E-3"/>
    <n v="6.7579931000913383E-3"/>
    <n v="1.0338634060693644E-2"/>
    <n v="0"/>
    <n v="0"/>
    <n v="0"/>
    <n v="6.1499999999999992E-2"/>
    <n v="0"/>
    <n v="0"/>
    <n v="0"/>
    <n v="0"/>
    <n v="0"/>
    <n v="0"/>
    <n v="0"/>
    <n v="0"/>
    <n v="0"/>
    <n v="0"/>
  </r>
  <r>
    <x v="1"/>
    <x v="11"/>
    <s v="Electricity"/>
    <x v="4"/>
    <n v="15"/>
    <s v="MW"/>
    <n v="2.9995241614405821E-4"/>
    <n v="8.1297123852474857E-3"/>
    <n v="6.2755381730273795E-3"/>
    <n v="9.9838865141433919E-3"/>
    <n v="0"/>
    <n v="0"/>
    <n v="0"/>
    <n v="6.1499999999999992E-2"/>
    <n v="0"/>
    <n v="0"/>
    <n v="0"/>
    <n v="0"/>
    <n v="0"/>
    <n v="0"/>
    <n v="0"/>
    <n v="0"/>
    <n v="0"/>
    <n v="0"/>
  </r>
  <r>
    <x v="1"/>
    <x v="12"/>
    <s v="Electricity"/>
    <x v="4"/>
    <n v="15"/>
    <s v="MW"/>
    <n v="2.9759549283005785E-4"/>
    <n v="7.7166422348460542E-3"/>
    <n v="5.7998371686440132E-3"/>
    <n v="9.6334472183786275E-3"/>
    <n v="0"/>
    <n v="0"/>
    <n v="0"/>
    <n v="6.1499999999999992E-2"/>
    <n v="0"/>
    <n v="0"/>
    <n v="0"/>
    <n v="0"/>
    <n v="0"/>
    <n v="0"/>
    <n v="0"/>
    <n v="0"/>
    <n v="0"/>
    <n v="0"/>
  </r>
  <r>
    <x v="1"/>
    <x v="13"/>
    <s v="Electricity"/>
    <x v="4"/>
    <n v="15"/>
    <s v="MW"/>
    <n v="2.952385695160576E-4"/>
    <n v="7.3091031711776666E-3"/>
    <n v="5.3308900869412411E-3"/>
    <n v="9.2873161733993594E-3"/>
    <n v="0"/>
    <n v="0"/>
    <n v="0"/>
    <n v="6.1499999999999992E-2"/>
    <n v="0"/>
    <n v="0"/>
    <n v="0"/>
    <n v="0"/>
    <n v="0"/>
    <n v="0"/>
    <n v="0"/>
    <n v="0"/>
    <n v="0"/>
    <n v="0"/>
  </r>
  <r>
    <x v="1"/>
    <x v="14"/>
    <s v="Electricity"/>
    <x v="4"/>
    <n v="15"/>
    <s v="MW"/>
    <n v="2.9288164620205735E-4"/>
    <n v="6.9070951942423204E-3"/>
    <n v="4.8686969279190606E-3"/>
    <n v="8.9454933792055807E-3"/>
    <n v="0"/>
    <n v="0"/>
    <n v="0"/>
    <n v="6.1499999999999992E-2"/>
    <n v="0"/>
    <n v="0"/>
    <n v="0"/>
    <n v="0"/>
    <n v="0"/>
    <n v="0"/>
    <n v="0"/>
    <n v="0"/>
    <n v="0"/>
    <n v="0"/>
  </r>
  <r>
    <x v="1"/>
    <x v="15"/>
    <s v="Electricity"/>
    <x v="4"/>
    <n v="15"/>
    <s v="MW"/>
    <n v="2.905247228880571E-4"/>
    <n v="6.5106183040400164E-3"/>
    <n v="4.4132576915774735E-3"/>
    <n v="8.607978835797293E-3"/>
    <n v="0"/>
    <n v="0"/>
    <n v="0"/>
    <n v="6.1499999999999992E-2"/>
    <n v="0"/>
    <n v="0"/>
    <n v="0"/>
    <n v="0"/>
    <n v="0"/>
    <n v="0"/>
    <n v="0"/>
    <n v="0"/>
    <n v="0"/>
    <n v="0"/>
  </r>
  <r>
    <x v="1"/>
    <x v="16"/>
    <s v="Electricity"/>
    <x v="4"/>
    <n v="15"/>
    <s v="MW"/>
    <n v="2.8816779957405674E-4"/>
    <n v="6.1196725005707537E-3"/>
    <n v="3.9645723779164789E-3"/>
    <n v="8.2747725431744946E-3"/>
    <n v="0"/>
    <n v="0"/>
    <n v="0"/>
    <n v="6.1499999999999992E-2"/>
    <n v="0"/>
    <n v="0"/>
    <n v="0"/>
    <n v="0"/>
    <n v="0"/>
    <n v="0"/>
    <n v="0"/>
    <n v="0"/>
    <n v="0"/>
    <n v="0"/>
  </r>
  <r>
    <x v="1"/>
    <x v="17"/>
    <s v="Electricity"/>
    <x v="4"/>
    <n v="15"/>
    <s v="MW"/>
    <n v="2.8581087626005649E-4"/>
    <n v="5.7342577838345342E-3"/>
    <n v="3.5226409869360785E-3"/>
    <n v="7.9458745013371909E-3"/>
    <n v="0"/>
    <n v="0"/>
    <n v="0"/>
    <n v="6.1499999999999992E-2"/>
    <n v="0"/>
    <n v="0"/>
    <n v="0"/>
    <n v="0"/>
    <n v="0"/>
    <n v="0"/>
    <n v="0"/>
    <n v="0"/>
    <n v="0"/>
    <n v="0"/>
  </r>
  <r>
    <x v="1"/>
    <x v="18"/>
    <s v="Electricity"/>
    <x v="4"/>
    <n v="15"/>
    <s v="MW"/>
    <n v="2.8345395294605624E-4"/>
    <n v="5.3543741538313568E-3"/>
    <n v="3.087463518636271E-3"/>
    <n v="7.6212847102853764E-3"/>
    <n v="0"/>
    <n v="0"/>
    <n v="0"/>
    <n v="6.1499999999999992E-2"/>
    <n v="0"/>
    <n v="0"/>
    <n v="0"/>
    <n v="0"/>
    <n v="0"/>
    <n v="0"/>
    <n v="0"/>
    <n v="0"/>
    <n v="0"/>
    <n v="0"/>
  </r>
  <r>
    <x v="1"/>
    <x v="19"/>
    <s v="Electricity"/>
    <x v="4"/>
    <n v="15"/>
    <s v="MW"/>
    <n v="2.8109702963205599E-4"/>
    <n v="4.9800216105612216E-3"/>
    <n v="2.6590399730170564E-3"/>
    <n v="7.3010031700190547E-3"/>
    <n v="0"/>
    <n v="0"/>
    <n v="0"/>
    <n v="6.1499999999999992E-2"/>
    <n v="0"/>
    <n v="0"/>
    <n v="0"/>
    <n v="0"/>
    <n v="0"/>
    <n v="0"/>
    <n v="0"/>
    <n v="0"/>
    <n v="0"/>
    <n v="0"/>
  </r>
  <r>
    <x v="1"/>
    <x v="20"/>
    <s v="Electricity"/>
    <x v="4"/>
    <n v="15"/>
    <s v="MW"/>
    <n v="2.7874010631805568E-4"/>
    <n v="4.6112001540241296E-3"/>
    <n v="2.2373703500784348E-3"/>
    <n v="6.9850298805382242E-3"/>
    <n v="0"/>
    <n v="0"/>
    <n v="0"/>
    <n v="6.1499999999999992E-2"/>
    <n v="0"/>
    <n v="0"/>
    <n v="0"/>
    <n v="0"/>
    <n v="0"/>
    <n v="0"/>
    <n v="0"/>
    <n v="0"/>
    <n v="0"/>
    <n v="0"/>
  </r>
  <r>
    <x v="1"/>
    <x v="0"/>
    <s v="Electricity"/>
    <x v="5"/>
    <n v="588"/>
    <s v="MW"/>
    <n v="2.4788587405349559E-3"/>
    <n v="9.9180158071768915E-2"/>
    <n v="9.0930487610438954E-2"/>
    <n v="0.10742982784449304"/>
    <n v="0"/>
    <n v="0"/>
    <n v="0"/>
    <n v="0"/>
    <n v="0"/>
    <n v="0"/>
    <n v="0"/>
    <n v="0"/>
    <n v="0"/>
    <n v="0"/>
    <n v="0"/>
    <n v="0"/>
    <n v="0"/>
    <n v="0"/>
  </r>
  <r>
    <x v="1"/>
    <x v="1"/>
    <s v="Electricity"/>
    <x v="5"/>
    <n v="1176"/>
    <s v="MW"/>
    <n v="4.9577174810699117E-3"/>
    <n v="0.19254307864097853"/>
    <n v="0.17475763835359978"/>
    <n v="0.21032851755114568"/>
    <n v="0"/>
    <n v="0"/>
    <n v="0"/>
    <n v="0"/>
    <n v="0"/>
    <n v="0"/>
    <n v="0"/>
    <n v="0"/>
    <n v="0"/>
    <n v="0"/>
    <n v="0"/>
    <n v="0"/>
    <n v="0"/>
    <n v="0"/>
  </r>
  <r>
    <x v="1"/>
    <x v="2"/>
    <s v="Electricity"/>
    <x v="5"/>
    <n v="1764"/>
    <s v="MW"/>
    <n v="7.4365762216048693E-3"/>
    <n v="0.28008876170762886"/>
    <n v="0.25148145222948248"/>
    <n v="0.30869606911995784"/>
    <n v="0"/>
    <n v="0"/>
    <n v="0"/>
    <n v="0"/>
    <n v="0"/>
    <n v="0"/>
    <n v="0"/>
    <n v="0"/>
    <n v="0"/>
    <n v="0"/>
    <n v="0"/>
    <n v="0"/>
    <n v="0"/>
    <n v="0"/>
  </r>
  <r>
    <x v="1"/>
    <x v="3"/>
    <s v="Electricity"/>
    <x v="5"/>
    <n v="2353"/>
    <s v="MW"/>
    <n v="9.9196507082971973E-3"/>
    <n v="0.36197104111834899"/>
    <n v="0.32123845216718488"/>
    <n v="0.40270362731391895"/>
    <n v="0"/>
    <n v="0"/>
    <n v="0"/>
    <n v="0"/>
    <n v="0"/>
    <n v="0"/>
    <n v="0"/>
    <n v="0"/>
    <n v="0"/>
    <n v="0"/>
    <n v="0"/>
    <n v="0"/>
    <n v="0"/>
    <n v="0"/>
  </r>
  <r>
    <x v="1"/>
    <x v="4"/>
    <s v="Electricity"/>
    <x v="5"/>
    <n v="2941"/>
    <s v="MW"/>
    <n v="1.2398509448832152E-2"/>
    <n v="0.43787730254935137"/>
    <n v="0.38374955205607314"/>
    <n v="0.49200504959842972"/>
    <n v="0"/>
    <n v="0"/>
    <n v="0"/>
    <n v="0"/>
    <n v="0"/>
    <n v="0"/>
    <n v="0"/>
    <n v="0"/>
    <n v="0"/>
    <n v="0"/>
    <n v="0"/>
    <n v="0"/>
    <n v="0"/>
    <n v="0"/>
  </r>
  <r>
    <x v="1"/>
    <x v="5"/>
    <s v="Electricity"/>
    <x v="5"/>
    <n v="3529"/>
    <s v="MW"/>
    <n v="1.4877368189367109E-2"/>
    <n v="0.50796632647779438"/>
    <n v="0.4391573150776833"/>
    <n v="0.57677533374510004"/>
    <n v="0"/>
    <n v="0"/>
    <n v="0"/>
    <n v="0"/>
    <n v="0"/>
    <n v="0"/>
    <n v="0"/>
    <n v="0"/>
    <n v="0"/>
    <n v="0"/>
    <n v="0"/>
    <n v="0"/>
    <n v="0"/>
    <n v="0"/>
  </r>
  <r>
    <x v="1"/>
    <x v="6"/>
    <s v="Electricity"/>
    <x v="5"/>
    <n v="4117"/>
    <s v="MW"/>
    <n v="1.7356226929902067E-2"/>
    <n v="0.57223811290367821"/>
    <n v="0.48746174123201536"/>
    <n v="0.65701447975393001"/>
    <n v="0"/>
    <n v="0"/>
    <n v="0"/>
    <n v="0"/>
    <n v="0"/>
    <n v="0"/>
    <n v="0"/>
    <n v="0"/>
    <n v="0"/>
    <n v="0"/>
    <n v="0"/>
    <n v="0"/>
    <n v="0"/>
    <n v="0"/>
  </r>
  <r>
    <x v="1"/>
    <x v="7"/>
    <s v="Electricity"/>
    <x v="5"/>
    <n v="4705"/>
    <s v="MW"/>
    <n v="1.9835085670437021E-2"/>
    <n v="0.63069266182700257"/>
    <n v="0.52866283051906915"/>
    <n v="0.73272248762491943"/>
    <n v="0"/>
    <n v="0"/>
    <n v="0"/>
    <n v="0"/>
    <n v="0"/>
    <n v="0"/>
    <n v="0"/>
    <n v="0"/>
    <n v="0"/>
    <n v="0"/>
    <n v="0"/>
    <n v="0"/>
    <n v="0"/>
    <n v="0"/>
  </r>
  <r>
    <x v="1"/>
    <x v="8"/>
    <s v="Electricity"/>
    <x v="5"/>
    <n v="5293"/>
    <s v="MW"/>
    <n v="2.2313944410971977E-2"/>
    <n v="0.68332997324776779"/>
    <n v="0.56276058293884501"/>
    <n v="0.8038993573580685"/>
    <n v="0"/>
    <n v="0"/>
    <n v="0"/>
    <n v="0"/>
    <n v="0"/>
    <n v="0"/>
    <n v="0"/>
    <n v="0"/>
    <n v="0"/>
    <n v="0"/>
    <n v="0"/>
    <n v="0"/>
    <n v="0"/>
    <n v="0"/>
  </r>
  <r>
    <x v="1"/>
    <x v="9"/>
    <s v="Electricity"/>
    <x v="5"/>
    <n v="5881"/>
    <s v="MW"/>
    <n v="2.4792803151506934E-2"/>
    <n v="0.73015004716597365"/>
    <n v="0.5897549984913425"/>
    <n v="0.87054508895337712"/>
    <n v="0"/>
    <n v="0"/>
    <n v="0"/>
    <n v="0"/>
    <n v="0"/>
    <n v="0"/>
    <n v="0"/>
    <n v="0"/>
    <n v="0"/>
    <n v="0"/>
    <n v="0"/>
    <n v="0"/>
    <n v="0"/>
    <n v="0"/>
  </r>
  <r>
    <x v="1"/>
    <x v="10"/>
    <s v="Electricity"/>
    <x v="5"/>
    <n v="6470"/>
    <s v="MW"/>
    <n v="2.7275877638199265E-2"/>
    <n v="0.77127209101454364"/>
    <n v="0.60974031833859277"/>
    <n v="0.93280385611349026"/>
    <n v="0"/>
    <n v="0"/>
    <n v="0"/>
    <n v="0"/>
    <n v="0"/>
    <n v="0"/>
    <n v="0"/>
    <n v="0"/>
    <n v="0"/>
    <n v="0"/>
    <n v="0"/>
    <n v="0"/>
    <n v="0"/>
    <n v="0"/>
  </r>
  <r>
    <x v="1"/>
    <x v="11"/>
    <s v="Electricity"/>
    <x v="5"/>
    <n v="7058"/>
    <s v="MW"/>
    <n v="2.9754736378734218E-2"/>
    <n v="0.80645274329710148"/>
    <n v="0.62252201990409595"/>
    <n v="0.99038345842449726"/>
    <n v="0"/>
    <n v="0"/>
    <n v="0"/>
    <n v="0"/>
    <n v="0"/>
    <n v="0"/>
    <n v="0"/>
    <n v="0"/>
    <n v="0"/>
    <n v="0"/>
    <n v="0"/>
    <n v="0"/>
    <n v="0"/>
    <n v="0"/>
  </r>
  <r>
    <x v="1"/>
    <x v="12"/>
    <s v="Electricity"/>
    <x v="5"/>
    <n v="7646"/>
    <s v="MW"/>
    <n v="3.2233595119269175E-2"/>
    <n v="0.83581615807710019"/>
    <n v="0.62820038460232097"/>
    <n v="1.0434319225976638"/>
    <n v="0"/>
    <n v="0"/>
    <n v="0"/>
    <n v="0"/>
    <n v="0"/>
    <n v="0"/>
    <n v="0"/>
    <n v="0"/>
    <n v="0"/>
    <n v="0"/>
    <n v="0"/>
    <n v="0"/>
    <n v="0"/>
    <n v="0"/>
  </r>
  <r>
    <x v="1"/>
    <x v="13"/>
    <s v="Electricity"/>
    <x v="5"/>
    <n v="8234"/>
    <s v="MW"/>
    <n v="3.4712453859804135E-2"/>
    <n v="0.85936233535453954"/>
    <n v="0.62677541243326795"/>
    <n v="1.09194924863299"/>
    <n v="0"/>
    <n v="0"/>
    <n v="0"/>
    <n v="0"/>
    <n v="0"/>
    <n v="0"/>
    <n v="0"/>
    <n v="0"/>
    <n v="0"/>
    <n v="0"/>
    <n v="0"/>
    <n v="0"/>
    <n v="0"/>
    <n v="0"/>
  </r>
  <r>
    <x v="1"/>
    <x v="14"/>
    <s v="Electricity"/>
    <x v="5"/>
    <n v="8822"/>
    <s v="MW"/>
    <n v="3.7191312600339088E-2"/>
    <n v="0.87709127512941953"/>
    <n v="0.61824710339693678"/>
    <n v="1.1359354365304759"/>
    <n v="0"/>
    <n v="0"/>
    <n v="0"/>
    <n v="0"/>
    <n v="0"/>
    <n v="0"/>
    <n v="0"/>
    <n v="0"/>
    <n v="0"/>
    <n v="0"/>
    <n v="0"/>
    <n v="0"/>
    <n v="0"/>
    <n v="0"/>
  </r>
  <r>
    <x v="1"/>
    <x v="15"/>
    <s v="Electricity"/>
    <x v="5"/>
    <n v="9410"/>
    <s v="MW"/>
    <n v="3.9670171340874041E-2"/>
    <n v="0.88900297740174017"/>
    <n v="0.60261545749332723"/>
    <n v="1.175390486290121"/>
    <n v="0"/>
    <n v="0"/>
    <n v="0"/>
    <n v="0"/>
    <n v="0"/>
    <n v="0"/>
    <n v="0"/>
    <n v="0"/>
    <n v="0"/>
    <n v="0"/>
    <n v="0"/>
    <n v="0"/>
    <n v="0"/>
    <n v="0"/>
  </r>
  <r>
    <x v="1"/>
    <x v="16"/>
    <s v="Electricity"/>
    <x v="5"/>
    <n v="9998"/>
    <s v="MW"/>
    <n v="4.2149030081409002E-2"/>
    <n v="0.89509744217150156"/>
    <n v="0.57988047472243975"/>
    <n v="1.210314397911926"/>
    <n v="0"/>
    <n v="0"/>
    <n v="0"/>
    <n v="0"/>
    <n v="0"/>
    <n v="0"/>
    <n v="0"/>
    <n v="0"/>
    <n v="0"/>
    <n v="0"/>
    <n v="0"/>
    <n v="0"/>
    <n v="0"/>
    <n v="0"/>
  </r>
  <r>
    <x v="1"/>
    <x v="17"/>
    <s v="Electricity"/>
    <x v="5"/>
    <n v="10586"/>
    <s v="MW"/>
    <n v="4.4627888821943955E-2"/>
    <n v="0.8953746694387037"/>
    <n v="0.55004215508427401"/>
    <n v="1.2407071713958904"/>
    <n v="0"/>
    <n v="0"/>
    <n v="0"/>
    <n v="0"/>
    <n v="0"/>
    <n v="0"/>
    <n v="0"/>
    <n v="0"/>
    <n v="0"/>
    <n v="0"/>
    <n v="0"/>
    <n v="0"/>
    <n v="0"/>
    <n v="0"/>
  </r>
  <r>
    <x v="1"/>
    <x v="18"/>
    <s v="Electricity"/>
    <x v="5"/>
    <n v="11175"/>
    <s v="MW"/>
    <n v="4.7110963308636282E-2"/>
    <n v="0.88991429359203478"/>
    <n v="0.51314641772135561"/>
    <n v="1.2666821563756943"/>
    <n v="0"/>
    <n v="0"/>
    <n v="0"/>
    <n v="0"/>
    <n v="0"/>
    <n v="0"/>
    <n v="0"/>
    <n v="0"/>
    <n v="0"/>
    <n v="0"/>
    <n v="0"/>
    <n v="0"/>
    <n v="0"/>
    <n v="0"/>
  </r>
  <r>
    <x v="1"/>
    <x v="19"/>
    <s v="Electricity"/>
    <x v="5"/>
    <n v="11763"/>
    <s v="MW"/>
    <n v="4.9589822049171242E-2"/>
    <n v="0.8785520992235889"/>
    <n v="0.46909538409619544"/>
    <n v="1.2880088005753572"/>
    <n v="0"/>
    <n v="0"/>
    <n v="0"/>
    <n v="0"/>
    <n v="0"/>
    <n v="0"/>
    <n v="0"/>
    <n v="0"/>
    <n v="0"/>
    <n v="0"/>
    <n v="0"/>
    <n v="0"/>
    <n v="0"/>
    <n v="0"/>
  </r>
  <r>
    <x v="1"/>
    <x v="20"/>
    <s v="Electricity"/>
    <x v="5"/>
    <n v="12351"/>
    <s v="MW"/>
    <n v="5.2068680789706202E-2"/>
    <n v="0.86137266735258389"/>
    <n v="0.41794101360375718"/>
    <n v="1.3048043066371797"/>
    <n v="0"/>
    <n v="0"/>
    <n v="0"/>
    <n v="0"/>
    <n v="0"/>
    <n v="0"/>
    <n v="0"/>
    <n v="0"/>
    <n v="0"/>
    <n v="0"/>
    <n v="0"/>
    <n v="0"/>
    <n v="0"/>
    <n v="0"/>
  </r>
  <r>
    <x v="1"/>
    <x v="0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6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7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8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9"/>
    <s v="Electricity"/>
    <x v="6"/>
    <n v="1000"/>
    <s v="MW"/>
    <n v="6.8954153824011474E-3"/>
    <n v="0.20307053768477021"/>
    <n v="0.16402363474571435"/>
    <n v="0.24211743870833891"/>
    <n v="0"/>
    <n v="0"/>
    <n v="0"/>
    <n v="0"/>
    <n v="0"/>
    <n v="0"/>
    <n v="0"/>
    <n v="0"/>
    <n v="0"/>
    <n v="0"/>
    <n v="0"/>
    <n v="0"/>
    <n v="0"/>
    <n v="0"/>
  </r>
  <r>
    <x v="1"/>
    <x v="10"/>
    <s v="Electricity"/>
    <x v="6"/>
    <n v="1000"/>
    <s v="MW"/>
    <n v="6.9932771284677451E-3"/>
    <n v="0.19774687163003388"/>
    <n v="0.15633165242573785"/>
    <n v="0.23916208889165763"/>
    <n v="0"/>
    <n v="0"/>
    <n v="0"/>
    <n v="0"/>
    <n v="0"/>
    <n v="0"/>
    <n v="0"/>
    <n v="0"/>
    <n v="0"/>
    <n v="0"/>
    <n v="0"/>
    <n v="0"/>
    <n v="0"/>
    <n v="0"/>
  </r>
  <r>
    <x v="1"/>
    <x v="11"/>
    <s v="Electricity"/>
    <x v="6"/>
    <n v="1000"/>
    <s v="MW"/>
    <n v="7.0911388745343437E-3"/>
    <n v="0.19219354947994394"/>
    <n v="0.14835924067371514"/>
    <n v="0.23602785631631532"/>
    <n v="0"/>
    <n v="0"/>
    <n v="0"/>
    <n v="0"/>
    <n v="0"/>
    <n v="0"/>
    <n v="0"/>
    <n v="0"/>
    <n v="0"/>
    <n v="0"/>
    <n v="0"/>
    <n v="0"/>
    <n v="0"/>
    <n v="0"/>
  </r>
  <r>
    <x v="1"/>
    <x v="12"/>
    <s v="Electricity"/>
    <x v="6"/>
    <n v="1000"/>
    <s v="MW"/>
    <n v="7.1890006206009414E-3"/>
    <n v="0.18641057123450028"/>
    <n v="0.14010639948964615"/>
    <n v="0.2327147409823119"/>
    <n v="0"/>
    <n v="0"/>
    <n v="0"/>
    <n v="0"/>
    <n v="0"/>
    <n v="0"/>
    <n v="0"/>
    <n v="0"/>
    <n v="0"/>
    <n v="0"/>
    <n v="0"/>
    <n v="0"/>
    <n v="0"/>
    <n v="0"/>
  </r>
  <r>
    <x v="1"/>
    <x v="13"/>
    <s v="Electricity"/>
    <x v="6"/>
    <n v="1000"/>
    <s v="MW"/>
    <n v="7.2868623666675399E-3"/>
    <n v="0.18039793689370298"/>
    <n v="0.13157312887353095"/>
    <n v="0.22922274288964739"/>
    <n v="0"/>
    <n v="0"/>
    <n v="0"/>
    <n v="0"/>
    <n v="0"/>
    <n v="0"/>
    <n v="0"/>
    <n v="0"/>
    <n v="0"/>
    <n v="0"/>
    <n v="0"/>
    <n v="0"/>
    <n v="0"/>
    <n v="0"/>
  </r>
  <r>
    <x v="1"/>
    <x v="14"/>
    <s v="Electricity"/>
    <x v="6"/>
    <n v="1000"/>
    <s v="MW"/>
    <n v="7.3847241127341376E-3"/>
    <n v="0.17415564645755205"/>
    <n v="0.12275942882536947"/>
    <n v="0.22555186203832181"/>
    <n v="0"/>
    <n v="0"/>
    <n v="0"/>
    <n v="0"/>
    <n v="0"/>
    <n v="0"/>
    <n v="0"/>
    <n v="0"/>
    <n v="0"/>
    <n v="0"/>
    <n v="0"/>
    <n v="0"/>
    <n v="0"/>
    <n v="0"/>
  </r>
  <r>
    <x v="1"/>
    <x v="15"/>
    <s v="Electricity"/>
    <x v="6"/>
    <n v="1000"/>
    <s v="MW"/>
    <n v="7.4825858588007353E-3"/>
    <n v="0.16768369992604745"/>
    <n v="0.11366529934516179"/>
    <n v="0.22170209842833521"/>
    <n v="0"/>
    <n v="0"/>
    <n v="0"/>
    <n v="0"/>
    <n v="0"/>
    <n v="0"/>
    <n v="0"/>
    <n v="0"/>
    <n v="0"/>
    <n v="0"/>
    <n v="0"/>
    <n v="0"/>
    <n v="0"/>
    <n v="0"/>
  </r>
  <r>
    <x v="1"/>
    <x v="16"/>
    <s v="Electricity"/>
    <x v="6"/>
    <n v="1000"/>
    <s v="MW"/>
    <n v="7.580447604867333E-3"/>
    <n v="0.16098209729918919"/>
    <n v="0.10429074043290784"/>
    <n v="0.21767345205968747"/>
    <n v="0"/>
    <n v="0"/>
    <n v="0"/>
    <n v="0"/>
    <n v="0"/>
    <n v="0"/>
    <n v="0"/>
    <n v="0"/>
    <n v="0"/>
    <n v="0"/>
    <n v="0"/>
    <n v="0"/>
    <n v="0"/>
    <n v="0"/>
  </r>
  <r>
    <x v="1"/>
    <x v="17"/>
    <s v="Electricity"/>
    <x v="6"/>
    <n v="1000"/>
    <s v="MW"/>
    <n v="7.6783093509339316E-3"/>
    <n v="0.15405083857697724"/>
    <n v="9.4635752088607653E-2"/>
    <n v="0.21346592293237868"/>
    <n v="0"/>
    <n v="0"/>
    <n v="0"/>
    <n v="0"/>
    <n v="0"/>
    <n v="0"/>
    <n v="0"/>
    <n v="0"/>
    <n v="0"/>
    <n v="0"/>
    <n v="0"/>
    <n v="0"/>
    <n v="0"/>
    <n v="0"/>
  </r>
  <r>
    <x v="1"/>
    <x v="18"/>
    <s v="Electricity"/>
    <x v="6"/>
    <n v="1000"/>
    <s v="MW"/>
    <n v="7.7761710970005284E-3"/>
    <n v="0.14688992375941165"/>
    <n v="8.4700334312261219E-2"/>
    <n v="0.20907951104640876"/>
    <n v="0"/>
    <n v="0"/>
    <n v="0"/>
    <n v="0"/>
    <n v="0"/>
    <n v="0"/>
    <n v="0"/>
    <n v="0"/>
    <n v="0"/>
    <n v="0"/>
    <n v="0"/>
    <n v="0"/>
    <n v="0"/>
    <n v="0"/>
  </r>
  <r>
    <x v="1"/>
    <x v="19"/>
    <s v="Electricity"/>
    <x v="6"/>
    <n v="2000"/>
    <s v="MW"/>
    <n v="1.5748065686134256E-2"/>
    <n v="0.27899870569298485"/>
    <n v="0.14896897420773714"/>
    <n v="0.40902843280355572"/>
    <n v="0"/>
    <n v="0"/>
    <n v="0"/>
    <n v="0"/>
    <n v="0"/>
    <n v="0"/>
    <n v="0"/>
    <n v="0"/>
    <n v="0"/>
    <n v="0"/>
    <n v="0"/>
    <n v="0"/>
    <n v="0"/>
    <n v="0"/>
  </r>
  <r>
    <x v="1"/>
    <x v="20"/>
    <s v="Electricity"/>
    <x v="6"/>
    <n v="2000"/>
    <s v="MW"/>
    <n v="1.5943789178267449E-2"/>
    <n v="0.26375825167643902"/>
    <n v="0.12797642092685929"/>
    <n v="0.3995400779969715"/>
    <n v="0"/>
    <n v="0"/>
    <n v="0"/>
    <n v="0"/>
    <n v="0"/>
    <n v="0"/>
    <n v="0"/>
    <n v="0"/>
    <n v="0"/>
    <n v="0"/>
    <n v="0"/>
    <n v="0"/>
    <n v="0"/>
    <n v="0"/>
  </r>
  <r>
    <x v="1"/>
    <x v="0"/>
    <s v="Biogas"/>
    <x v="7"/>
    <n v="3736"/>
    <s v="mcf production/year"/>
    <n v="4.0834479999999999E-3"/>
    <n v="0.93596711607999994"/>
    <n v="0.86454761055999985"/>
    <n v="1.6661569341519322"/>
    <n v="0"/>
    <n v="0"/>
    <n v="0"/>
    <n v="0"/>
    <n v="0"/>
    <n v="0"/>
    <n v="0"/>
    <n v="0"/>
    <n v="0"/>
    <n v="0"/>
    <n v="0"/>
    <n v="0"/>
    <n v="0"/>
    <n v="0"/>
  </r>
  <r>
    <x v="1"/>
    <x v="1"/>
    <s v="Biogas"/>
    <x v="7"/>
    <n v="4299"/>
    <s v="mcf production/year"/>
    <n v="4.6988070000000002E-3"/>
    <n v="1.07701355247"/>
    <n v="0.99483141803999986"/>
    <n v="1.91724000533168"/>
    <n v="0"/>
    <n v="0"/>
    <n v="0"/>
    <n v="0"/>
    <n v="0"/>
    <n v="0"/>
    <n v="0"/>
    <n v="0"/>
    <n v="0"/>
    <n v="0"/>
    <n v="0"/>
    <n v="0"/>
    <n v="0"/>
    <n v="0"/>
  </r>
  <r>
    <x v="1"/>
    <x v="2"/>
    <s v="Biogas"/>
    <x v="7"/>
    <n v="4862"/>
    <s v="mcf production/year"/>
    <n v="5.3141659999999995E-3"/>
    <n v="1.2180599888599999"/>
    <n v="1.1251152255199997"/>
    <n v="2.1683230765114274"/>
    <n v="0"/>
    <n v="0"/>
    <n v="0"/>
    <n v="0"/>
    <n v="0"/>
    <n v="0"/>
    <n v="0"/>
    <n v="0"/>
    <n v="0"/>
    <n v="0"/>
    <n v="0"/>
    <n v="0"/>
    <n v="0"/>
    <n v="0"/>
  </r>
  <r>
    <x v="1"/>
    <x v="3"/>
    <s v="Biogas"/>
    <x v="7"/>
    <n v="5425"/>
    <s v="mcf production/year"/>
    <n v="5.9295249999999997E-3"/>
    <n v="1.3591064252499998"/>
    <n v="1.2553990329999998"/>
    <n v="2.4194061476911752"/>
    <n v="0"/>
    <n v="0"/>
    <n v="0"/>
    <n v="0"/>
    <n v="0"/>
    <n v="0"/>
    <n v="0"/>
    <n v="0"/>
    <n v="0"/>
    <n v="0"/>
    <n v="0"/>
    <n v="0"/>
    <n v="0"/>
    <n v="0"/>
  </r>
  <r>
    <x v="1"/>
    <x v="4"/>
    <s v="Biogas"/>
    <x v="7"/>
    <n v="5989"/>
    <s v="mcf production/year"/>
    <n v="6.5459769999999997E-3"/>
    <n v="1.5004033881699999"/>
    <n v="1.3859142504399997"/>
    <n v="2.6709351923543685"/>
    <n v="0"/>
    <n v="0"/>
    <n v="0"/>
    <n v="0"/>
    <n v="0"/>
    <n v="0"/>
    <n v="0"/>
    <n v="0"/>
    <n v="0"/>
    <n v="0"/>
    <n v="0"/>
    <n v="0"/>
    <n v="0"/>
    <n v="0"/>
  </r>
  <r>
    <x v="1"/>
    <x v="5"/>
    <s v="Biogas"/>
    <x v="7"/>
    <n v="6552"/>
    <s v="mcf production/year"/>
    <n v="7.1613359999999999E-3"/>
    <n v="1.6414498245599998"/>
    <n v="1.5161980579199998"/>
    <n v="2.9220182635341163"/>
    <n v="0"/>
    <n v="0"/>
    <n v="0"/>
    <n v="0"/>
    <n v="0"/>
    <n v="0"/>
    <n v="0"/>
    <n v="0"/>
    <n v="0"/>
    <n v="0"/>
    <n v="0"/>
    <n v="0"/>
    <n v="0"/>
    <n v="0"/>
  </r>
  <r>
    <x v="1"/>
    <x v="6"/>
    <s v="Biogas"/>
    <x v="7"/>
    <n v="7115"/>
    <s v="mcf production/year"/>
    <n v="7.7766949999999993E-3"/>
    <n v="1.7824962609499997"/>
    <n v="1.6464818653999995"/>
    <n v="3.1731013347138641"/>
    <n v="0"/>
    <n v="0"/>
    <n v="0"/>
    <n v="0"/>
    <n v="0"/>
    <n v="0"/>
    <n v="0"/>
    <n v="0"/>
    <n v="0"/>
    <n v="0"/>
    <n v="0"/>
    <n v="0"/>
    <n v="0"/>
    <n v="0"/>
  </r>
  <r>
    <x v="1"/>
    <x v="7"/>
    <s v="Biogas"/>
    <x v="7"/>
    <n v="7678"/>
    <s v="mcf production/year"/>
    <n v="8.3920539999999995E-3"/>
    <n v="1.9235426973399996"/>
    <n v="1.7767656728799996"/>
    <n v="3.4241844058936119"/>
    <n v="0"/>
    <n v="0"/>
    <n v="0"/>
    <n v="0"/>
    <n v="0"/>
    <n v="0"/>
    <n v="0"/>
    <n v="0"/>
    <n v="0"/>
    <n v="0"/>
    <n v="0"/>
    <n v="0"/>
    <n v="0"/>
    <n v="0"/>
  </r>
  <r>
    <x v="1"/>
    <x v="8"/>
    <s v="Biogas"/>
    <x v="7"/>
    <n v="8241"/>
    <s v="mcf production/year"/>
    <n v="9.0074129999999988E-3"/>
    <n v="2.0645891337299997"/>
    <n v="1.9070494803599995"/>
    <n v="3.6752674770733593"/>
    <n v="0"/>
    <n v="0"/>
    <n v="0"/>
    <n v="0"/>
    <n v="0"/>
    <n v="0"/>
    <n v="0"/>
    <n v="0"/>
    <n v="0"/>
    <n v="0"/>
    <n v="0"/>
    <n v="0"/>
    <n v="0"/>
    <n v="0"/>
  </r>
  <r>
    <x v="1"/>
    <x v="9"/>
    <s v="Biogas"/>
    <x v="7"/>
    <n v="8804"/>
    <s v="mcf production/year"/>
    <n v="9.6227720000000017E-3"/>
    <n v="2.2056355701200001"/>
    <n v="2.0373332878400001"/>
    <n v="3.9263505482531085"/>
    <n v="0"/>
    <n v="0"/>
    <n v="0"/>
    <n v="0"/>
    <n v="0"/>
    <n v="0"/>
    <n v="0"/>
    <n v="0"/>
    <n v="0"/>
    <n v="0"/>
    <n v="0"/>
    <n v="0"/>
    <n v="0"/>
    <n v="0"/>
  </r>
  <r>
    <x v="1"/>
    <x v="10"/>
    <s v="Biogas"/>
    <x v="7"/>
    <n v="9367"/>
    <s v="mcf production/year"/>
    <n v="1.0238131000000001E-2"/>
    <n v="2.34668200651"/>
    <n v="2.1676170953199998"/>
    <n v="4.1774336194328558"/>
    <n v="0"/>
    <n v="0"/>
    <n v="0"/>
    <n v="0"/>
    <n v="0"/>
    <n v="0"/>
    <n v="0"/>
    <n v="0"/>
    <n v="0"/>
    <n v="0"/>
    <n v="0"/>
    <n v="0"/>
    <n v="0"/>
    <n v="0"/>
  </r>
  <r>
    <x v="1"/>
    <x v="11"/>
    <s v="Biogas"/>
    <x v="7"/>
    <n v="9931"/>
    <s v="mcf production/year"/>
    <n v="1.0854583000000001E-2"/>
    <n v="2.4879789694299999"/>
    <n v="2.29813231276"/>
    <n v="4.4289626640960496"/>
    <n v="0"/>
    <n v="0"/>
    <n v="0"/>
    <n v="0"/>
    <n v="0"/>
    <n v="0"/>
    <n v="0"/>
    <n v="0"/>
    <n v="0"/>
    <n v="0"/>
    <n v="0"/>
    <n v="0"/>
    <n v="0"/>
    <n v="0"/>
  </r>
  <r>
    <x v="1"/>
    <x v="12"/>
    <s v="Biogas"/>
    <x v="7"/>
    <n v="10494"/>
    <s v="mcf production/year"/>
    <n v="1.1469942000000002E-2"/>
    <n v="2.6290254058200002"/>
    <n v="2.4284161202400001"/>
    <n v="4.6800457352757974"/>
    <n v="0"/>
    <n v="0"/>
    <n v="0"/>
    <n v="0"/>
    <n v="0"/>
    <n v="0"/>
    <n v="0"/>
    <n v="0"/>
    <n v="0"/>
    <n v="0"/>
    <n v="0"/>
    <n v="0"/>
    <n v="0"/>
    <n v="0"/>
  </r>
  <r>
    <x v="1"/>
    <x v="13"/>
    <s v="Biogas"/>
    <x v="7"/>
    <n v="11057"/>
    <s v="mcf production/year"/>
    <n v="1.2085301000000001E-2"/>
    <n v="2.7700718422100001"/>
    <n v="2.5586999277199998"/>
    <n v="4.9311288064555452"/>
    <n v="0"/>
    <n v="0"/>
    <n v="0"/>
    <n v="0"/>
    <n v="0"/>
    <n v="0"/>
    <n v="0"/>
    <n v="0"/>
    <n v="0"/>
    <n v="0"/>
    <n v="0"/>
    <n v="0"/>
    <n v="0"/>
    <n v="0"/>
  </r>
  <r>
    <x v="1"/>
    <x v="14"/>
    <s v="Biogas"/>
    <x v="7"/>
    <n v="11620"/>
    <s v="mcf production/year"/>
    <n v="1.2700660000000003E-2"/>
    <n v="2.9111182786000005"/>
    <n v="2.6889837352000003"/>
    <n v="5.182211877635293"/>
    <n v="0"/>
    <n v="0"/>
    <n v="0"/>
    <n v="0"/>
    <n v="0"/>
    <n v="0"/>
    <n v="0"/>
    <n v="0"/>
    <n v="0"/>
    <n v="0"/>
    <n v="0"/>
    <n v="0"/>
    <n v="0"/>
    <n v="0"/>
  </r>
  <r>
    <x v="1"/>
    <x v="15"/>
    <s v="Biogas"/>
    <x v="7"/>
    <n v="12183"/>
    <s v="mcf production/year"/>
    <n v="1.3316019000000002E-2"/>
    <n v="3.05216471499"/>
    <n v="2.81926754268"/>
    <n v="5.4332949488150408"/>
    <n v="0"/>
    <n v="0"/>
    <n v="0"/>
    <n v="0"/>
    <n v="0"/>
    <n v="0"/>
    <n v="0"/>
    <n v="0"/>
    <n v="0"/>
    <n v="0"/>
    <n v="0"/>
    <n v="0"/>
    <n v="0"/>
    <n v="0"/>
  </r>
  <r>
    <x v="1"/>
    <x v="16"/>
    <s v="Biogas"/>
    <x v="7"/>
    <n v="12746"/>
    <s v="mcf production/year"/>
    <n v="1.3931378000000003E-2"/>
    <n v="3.1932111513800003"/>
    <n v="2.9495513501600001"/>
    <n v="5.6843780199947886"/>
    <n v="0"/>
    <n v="0"/>
    <n v="0"/>
    <n v="0"/>
    <n v="0"/>
    <n v="0"/>
    <n v="0"/>
    <n v="0"/>
    <n v="0"/>
    <n v="0"/>
    <n v="0"/>
    <n v="0"/>
    <n v="0"/>
    <n v="0"/>
  </r>
  <r>
    <x v="1"/>
    <x v="17"/>
    <s v="Biogas"/>
    <x v="7"/>
    <n v="13309"/>
    <s v="mcf production/year"/>
    <n v="1.4546737000000002E-2"/>
    <n v="3.3342575877700003"/>
    <n v="3.0798351576400003"/>
    <n v="5.9354610911745365"/>
    <n v="0"/>
    <n v="0"/>
    <n v="0"/>
    <n v="0"/>
    <n v="0"/>
    <n v="0"/>
    <n v="0"/>
    <n v="0"/>
    <n v="0"/>
    <n v="0"/>
    <n v="0"/>
    <n v="0"/>
    <n v="0"/>
    <n v="0"/>
  </r>
  <r>
    <x v="1"/>
    <x v="18"/>
    <s v="Biogas"/>
    <x v="7"/>
    <n v="13873"/>
    <s v="mcf production/year"/>
    <n v="1.5163189000000002E-2"/>
    <n v="3.4755545506900001"/>
    <n v="3.21035037508"/>
    <n v="6.1869901358377293"/>
    <n v="0"/>
    <n v="0"/>
    <n v="0"/>
    <n v="0"/>
    <n v="0"/>
    <n v="0"/>
    <n v="0"/>
    <n v="0"/>
    <n v="0"/>
    <n v="0"/>
    <n v="0"/>
    <n v="0"/>
    <n v="0"/>
    <n v="0"/>
  </r>
  <r>
    <x v="1"/>
    <x v="19"/>
    <s v="Biogas"/>
    <x v="7"/>
    <n v="14436"/>
    <s v="mcf production/year"/>
    <n v="1.5778548000000003E-2"/>
    <n v="3.6166009870800004"/>
    <n v="3.3406341825600001"/>
    <n v="6.438073207017478"/>
    <n v="0"/>
    <n v="0"/>
    <n v="0"/>
    <n v="0"/>
    <n v="0"/>
    <n v="0"/>
    <n v="0"/>
    <n v="0"/>
    <n v="0"/>
    <n v="0"/>
    <n v="0"/>
    <n v="0"/>
    <n v="0"/>
    <n v="0"/>
  </r>
  <r>
    <x v="1"/>
    <x v="20"/>
    <s v="Biogas"/>
    <x v="7"/>
    <n v="14999"/>
    <s v="mcf production/year"/>
    <n v="1.6393907000000003E-2"/>
    <n v="3.7576474234700004"/>
    <n v="3.4709179900400002"/>
    <n v="6.6891562781972258"/>
    <n v="0"/>
    <n v="0"/>
    <n v="0"/>
    <n v="0"/>
    <n v="0"/>
    <n v="0"/>
    <n v="0"/>
    <n v="0"/>
    <n v="0"/>
    <n v="0"/>
    <n v="0"/>
    <n v="0"/>
    <n v="0"/>
    <n v="0"/>
  </r>
  <r>
    <x v="1"/>
    <x v="0"/>
    <s v="Biogas"/>
    <x v="8"/>
    <n v="659"/>
    <s v="mcf production/year"/>
    <n v="7.2028700000000001E-4"/>
    <n v="2.4641018269999995E-2"/>
    <n v="2.4641018269999995E-2"/>
    <n v="9.5989047054999985E-2"/>
    <n v="0"/>
    <n v="0"/>
    <n v="0"/>
    <n v="0"/>
    <n v="0"/>
    <n v="0"/>
    <n v="0"/>
    <n v="0"/>
    <n v="0"/>
    <n v="0"/>
    <n v="0"/>
    <n v="0"/>
    <n v="0"/>
    <n v="0"/>
  </r>
  <r>
    <x v="1"/>
    <x v="1"/>
    <s v="Biogas"/>
    <x v="8"/>
    <n v="758"/>
    <s v="mcf production/year"/>
    <n v="8.2849399999999993E-4"/>
    <n v="2.8342779739999994E-2"/>
    <n v="2.8342779739999994E-2"/>
    <n v="0.11040925290999998"/>
    <n v="0"/>
    <n v="0"/>
    <n v="0"/>
    <n v="0"/>
    <n v="0"/>
    <n v="0"/>
    <n v="0"/>
    <n v="0"/>
    <n v="0"/>
    <n v="0"/>
    <n v="0"/>
    <n v="0"/>
    <n v="0"/>
    <n v="0"/>
  </r>
  <r>
    <x v="1"/>
    <x v="2"/>
    <s v="Biogas"/>
    <x v="8"/>
    <n v="858"/>
    <s v="mcf production/year"/>
    <n v="9.3779399999999993E-4"/>
    <n v="3.2081932739999992E-2"/>
    <n v="3.2081932739999992E-2"/>
    <n v="0.12497511740999998"/>
    <n v="0"/>
    <n v="0"/>
    <n v="0"/>
    <n v="0"/>
    <n v="0"/>
    <n v="0"/>
    <n v="0"/>
    <n v="0"/>
    <n v="0"/>
    <n v="0"/>
    <n v="0"/>
    <n v="0"/>
    <n v="0"/>
    <n v="0"/>
  </r>
  <r>
    <x v="1"/>
    <x v="3"/>
    <s v="Biogas"/>
    <x v="8"/>
    <n v="957"/>
    <s v="mcf production/year"/>
    <n v="1.046001E-3"/>
    <n v="3.5783694209999994E-2"/>
    <n v="3.5783694209999994E-2"/>
    <n v="0.13939532326499998"/>
    <n v="0"/>
    <n v="0"/>
    <n v="0"/>
    <n v="0"/>
    <n v="0"/>
    <n v="0"/>
    <n v="0"/>
    <n v="0"/>
    <n v="0"/>
    <n v="0"/>
    <n v="0"/>
    <n v="0"/>
    <n v="0"/>
    <n v="0"/>
  </r>
  <r>
    <x v="1"/>
    <x v="4"/>
    <s v="Biogas"/>
    <x v="8"/>
    <n v="1057"/>
    <s v="mcf production/year"/>
    <n v="1.1553009999999999E-3"/>
    <n v="3.9522847209999989E-2"/>
    <n v="3.9522847209999989E-2"/>
    <n v="0.15396118776499995"/>
    <n v="0"/>
    <n v="0"/>
    <n v="0"/>
    <n v="0"/>
    <n v="0"/>
    <n v="0"/>
    <n v="0"/>
    <n v="0"/>
    <n v="0"/>
    <n v="0"/>
    <n v="0"/>
    <n v="0"/>
    <n v="0"/>
    <n v="0"/>
  </r>
  <r>
    <x v="1"/>
    <x v="5"/>
    <s v="Biogas"/>
    <x v="8"/>
    <n v="1156"/>
    <s v="mcf production/year"/>
    <n v="1.263508E-3"/>
    <n v="4.3224608679999992E-2"/>
    <n v="4.3224608679999992E-2"/>
    <n v="0.16838139361999999"/>
    <n v="0"/>
    <n v="0"/>
    <n v="0"/>
    <n v="0"/>
    <n v="0"/>
    <n v="0"/>
    <n v="0"/>
    <n v="0"/>
    <n v="0"/>
    <n v="0"/>
    <n v="0"/>
    <n v="0"/>
    <n v="0"/>
    <n v="0"/>
  </r>
  <r>
    <x v="1"/>
    <x v="6"/>
    <s v="Biogas"/>
    <x v="8"/>
    <n v="1255"/>
    <s v="mcf production/year"/>
    <n v="1.3717149999999999E-3"/>
    <n v="4.6926370149999987E-2"/>
    <n v="4.6926370149999987E-2"/>
    <n v="0.18280159947499997"/>
    <n v="0"/>
    <n v="0"/>
    <n v="0"/>
    <n v="0"/>
    <n v="0"/>
    <n v="0"/>
    <n v="0"/>
    <n v="0"/>
    <n v="0"/>
    <n v="0"/>
    <n v="0"/>
    <n v="0"/>
    <n v="0"/>
    <n v="0"/>
  </r>
  <r>
    <x v="1"/>
    <x v="7"/>
    <s v="Biogas"/>
    <x v="8"/>
    <n v="1355"/>
    <s v="mcf production/year"/>
    <n v="1.481015E-3"/>
    <n v="5.0665523149999989E-2"/>
    <n v="5.0665523149999989E-2"/>
    <n v="0.19736746397499999"/>
    <n v="0"/>
    <n v="0"/>
    <n v="0"/>
    <n v="0"/>
    <n v="0"/>
    <n v="0"/>
    <n v="0"/>
    <n v="0"/>
    <n v="0"/>
    <n v="0"/>
    <n v="0"/>
    <n v="0"/>
    <n v="0"/>
    <n v="0"/>
  </r>
  <r>
    <x v="1"/>
    <x v="8"/>
    <s v="Biogas"/>
    <x v="8"/>
    <n v="1454"/>
    <s v="mcf production/year"/>
    <n v="1.5892219999999999E-3"/>
    <n v="5.4367284619999991E-2"/>
    <n v="5.4367284619999991E-2"/>
    <n v="0.21178766982999997"/>
    <n v="0"/>
    <n v="0"/>
    <n v="0"/>
    <n v="0"/>
    <n v="0"/>
    <n v="0"/>
    <n v="0"/>
    <n v="0"/>
    <n v="0"/>
    <n v="0"/>
    <n v="0"/>
    <n v="0"/>
    <n v="0"/>
    <n v="0"/>
  </r>
  <r>
    <x v="1"/>
    <x v="9"/>
    <s v="Biogas"/>
    <x v="8"/>
    <n v="1553"/>
    <s v="mcf production/year"/>
    <n v="1.6974290000000003E-3"/>
    <n v="5.806904609E-2"/>
    <n v="5.806904609E-2"/>
    <n v="0.226207875685"/>
    <n v="0"/>
    <n v="0"/>
    <n v="0"/>
    <n v="0"/>
    <n v="0"/>
    <n v="0"/>
    <n v="0"/>
    <n v="0"/>
    <n v="0"/>
    <n v="0"/>
    <n v="0"/>
    <n v="0"/>
    <n v="0"/>
    <n v="0"/>
  </r>
  <r>
    <x v="1"/>
    <x v="10"/>
    <s v="Biogas"/>
    <x v="8"/>
    <n v="1653"/>
    <s v="mcf production/year"/>
    <n v="1.8067290000000002E-3"/>
    <n v="6.1808199089999995E-2"/>
    <n v="6.1808199089999995E-2"/>
    <n v="0.240773740185"/>
    <n v="0"/>
    <n v="0"/>
    <n v="0"/>
    <n v="0"/>
    <n v="0"/>
    <n v="0"/>
    <n v="0"/>
    <n v="0"/>
    <n v="0"/>
    <n v="0"/>
    <n v="0"/>
    <n v="0"/>
    <n v="0"/>
    <n v="0"/>
  </r>
  <r>
    <x v="1"/>
    <x v="11"/>
    <s v="Biogas"/>
    <x v="8"/>
    <n v="1752"/>
    <s v="mcf production/year"/>
    <n v="1.9149360000000003E-3"/>
    <n v="6.5509960559999997E-2"/>
    <n v="6.5509960559999997E-2"/>
    <n v="0.25519394604000001"/>
    <n v="0"/>
    <n v="0"/>
    <n v="0"/>
    <n v="0"/>
    <n v="0"/>
    <n v="0"/>
    <n v="0"/>
    <n v="0"/>
    <n v="0"/>
    <n v="0"/>
    <n v="0"/>
    <n v="0"/>
    <n v="0"/>
    <n v="0"/>
  </r>
  <r>
    <x v="1"/>
    <x v="12"/>
    <s v="Biogas"/>
    <x v="8"/>
    <n v="1852"/>
    <s v="mcf production/year"/>
    <n v="2.0242360000000004E-3"/>
    <n v="6.9249113560000006E-2"/>
    <n v="6.9249113560000006E-2"/>
    <n v="0.26975981054000003"/>
    <n v="0"/>
    <n v="0"/>
    <n v="0"/>
    <n v="0"/>
    <n v="0"/>
    <n v="0"/>
    <n v="0"/>
    <n v="0"/>
    <n v="0"/>
    <n v="0"/>
    <n v="0"/>
    <n v="0"/>
    <n v="0"/>
    <n v="0"/>
  </r>
  <r>
    <x v="1"/>
    <x v="13"/>
    <s v="Biogas"/>
    <x v="8"/>
    <n v="1951"/>
    <s v="mcf production/year"/>
    <n v="2.1324430000000004E-3"/>
    <n v="7.2950875030000001E-2"/>
    <n v="7.2950875030000001E-2"/>
    <n v="0.28418001639500001"/>
    <n v="0"/>
    <n v="0"/>
    <n v="0"/>
    <n v="0"/>
    <n v="0"/>
    <n v="0"/>
    <n v="0"/>
    <n v="0"/>
    <n v="0"/>
    <n v="0"/>
    <n v="0"/>
    <n v="0"/>
    <n v="0"/>
    <n v="0"/>
  </r>
  <r>
    <x v="1"/>
    <x v="14"/>
    <s v="Biogas"/>
    <x v="8"/>
    <n v="2050"/>
    <s v="mcf production/year"/>
    <n v="2.2406500000000003E-3"/>
    <n v="7.6652636499999996E-2"/>
    <n v="7.6652636499999996E-2"/>
    <n v="0.29860022224999999"/>
    <n v="0"/>
    <n v="0"/>
    <n v="0"/>
    <n v="0"/>
    <n v="0"/>
    <n v="0"/>
    <n v="0"/>
    <n v="0"/>
    <n v="0"/>
    <n v="0"/>
    <n v="0"/>
    <n v="0"/>
    <n v="0"/>
    <n v="0"/>
  </r>
  <r>
    <x v="1"/>
    <x v="15"/>
    <s v="Biogas"/>
    <x v="8"/>
    <n v="2150"/>
    <s v="mcf production/year"/>
    <n v="2.3499500000000004E-3"/>
    <n v="8.0391789500000005E-2"/>
    <n v="8.0391789500000005E-2"/>
    <n v="0.31316608675000002"/>
    <n v="0"/>
    <n v="0"/>
    <n v="0"/>
    <n v="0"/>
    <n v="0"/>
    <n v="0"/>
    <n v="0"/>
    <n v="0"/>
    <n v="0"/>
    <n v="0"/>
    <n v="0"/>
    <n v="0"/>
    <n v="0"/>
    <n v="0"/>
  </r>
  <r>
    <x v="1"/>
    <x v="16"/>
    <s v="Biogas"/>
    <x v="8"/>
    <n v="2249"/>
    <s v="mcf production/year"/>
    <n v="2.4581570000000003E-3"/>
    <n v="8.409355097E-2"/>
    <n v="8.409355097E-2"/>
    <n v="0.327586292605"/>
    <n v="0"/>
    <n v="0"/>
    <n v="0"/>
    <n v="0"/>
    <n v="0"/>
    <n v="0"/>
    <n v="0"/>
    <n v="0"/>
    <n v="0"/>
    <n v="0"/>
    <n v="0"/>
    <n v="0"/>
    <n v="0"/>
    <n v="0"/>
  </r>
  <r>
    <x v="1"/>
    <x v="17"/>
    <s v="Biogas"/>
    <x v="8"/>
    <n v="2348"/>
    <s v="mcf production/year"/>
    <n v="2.5663640000000002E-3"/>
    <n v="8.7795312439999995E-2"/>
    <n v="8.7795312439999995E-2"/>
    <n v="0.34200649845999997"/>
    <n v="0"/>
    <n v="0"/>
    <n v="0"/>
    <n v="0"/>
    <n v="0"/>
    <n v="0"/>
    <n v="0"/>
    <n v="0"/>
    <n v="0"/>
    <n v="0"/>
    <n v="0"/>
    <n v="0"/>
    <n v="0"/>
    <n v="0"/>
  </r>
  <r>
    <x v="1"/>
    <x v="18"/>
    <s v="Biogas"/>
    <x v="8"/>
    <n v="2448"/>
    <s v="mcf production/year"/>
    <n v="2.6756640000000003E-3"/>
    <n v="9.153446543999999E-2"/>
    <n v="9.153446543999999E-2"/>
    <n v="0.35657236296"/>
    <n v="0"/>
    <n v="0"/>
    <n v="0"/>
    <n v="0"/>
    <n v="0"/>
    <n v="0"/>
    <n v="0"/>
    <n v="0"/>
    <n v="0"/>
    <n v="0"/>
    <n v="0"/>
    <n v="0"/>
    <n v="0"/>
    <n v="0"/>
  </r>
  <r>
    <x v="1"/>
    <x v="19"/>
    <s v="Biogas"/>
    <x v="8"/>
    <n v="2547"/>
    <s v="mcf production/year"/>
    <n v="2.7838710000000003E-3"/>
    <n v="9.5236226909999985E-2"/>
    <n v="9.5236226909999985E-2"/>
    <n v="0.37099256881499998"/>
    <n v="0"/>
    <n v="0"/>
    <n v="0"/>
    <n v="0"/>
    <n v="0"/>
    <n v="0"/>
    <n v="0"/>
    <n v="0"/>
    <n v="0"/>
    <n v="0"/>
    <n v="0"/>
    <n v="0"/>
    <n v="0"/>
    <n v="0"/>
  </r>
  <r>
    <x v="1"/>
    <x v="20"/>
    <s v="Biogas"/>
    <x v="8"/>
    <n v="2647"/>
    <s v="mcf production/year"/>
    <n v="2.8931710000000004E-3"/>
    <n v="9.8975379909999994E-2"/>
    <n v="9.8975379909999994E-2"/>
    <n v="0.385558433315"/>
    <n v="0"/>
    <n v="0"/>
    <n v="0"/>
    <n v="0"/>
    <n v="0"/>
    <n v="0"/>
    <n v="0"/>
    <n v="0"/>
    <n v="0"/>
    <n v="0"/>
    <n v="0"/>
    <n v="0"/>
    <n v="0"/>
    <n v="0"/>
  </r>
  <r>
    <x v="1"/>
    <x v="0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6"/>
    <s v="RJF"/>
    <x v="9"/>
    <n v="0.7"/>
    <s v="Millions of Gallons production/year"/>
    <n v="9.9702777825000008E-5"/>
    <n v="1.032920778267E-3"/>
    <n v="1.032920778267E-3"/>
    <n v="3.2762332793295004E-3"/>
    <n v="0"/>
    <n v="0"/>
    <n v="0"/>
    <n v="0"/>
    <n v="0"/>
    <n v="0"/>
    <n v="0"/>
    <n v="0"/>
    <n v="0"/>
    <n v="0"/>
    <n v="0"/>
    <n v="0"/>
    <n v="0"/>
    <n v="0"/>
  </r>
  <r>
    <x v="1"/>
    <x v="7"/>
    <s v="RJF"/>
    <x v="9"/>
    <n v="0.68571428571428572"/>
    <s v="Millions of Gallons production/year"/>
    <n v="9.7668027257142873E-5"/>
    <n v="1.0118407623840001E-3"/>
    <n v="1.0118407623840001E-3"/>
    <n v="3.2093713756697149E-3"/>
    <n v="0"/>
    <n v="0"/>
    <n v="0"/>
    <n v="0"/>
    <n v="0"/>
    <n v="0"/>
    <n v="0"/>
    <n v="0"/>
    <n v="0"/>
    <n v="0"/>
    <n v="0"/>
    <n v="0"/>
    <n v="0"/>
    <n v="0"/>
  </r>
  <r>
    <x v="1"/>
    <x v="8"/>
    <s v="RJF"/>
    <x v="9"/>
    <n v="0.67142857142857149"/>
    <s v="Millions of Gallons production/year"/>
    <n v="9.5633276689285738E-5"/>
    <n v="9.9076074650100016E-4"/>
    <n v="9.9076074650100016E-4"/>
    <n v="3.1425094720099293E-3"/>
    <n v="0"/>
    <n v="0"/>
    <n v="0"/>
    <n v="0"/>
    <n v="0"/>
    <n v="0"/>
    <n v="0"/>
    <n v="0"/>
    <n v="0"/>
    <n v="0"/>
    <n v="0"/>
    <n v="0"/>
    <n v="0"/>
    <n v="0"/>
  </r>
  <r>
    <x v="1"/>
    <x v="9"/>
    <s v="RJF"/>
    <x v="9"/>
    <n v="0.65714285714285725"/>
    <s v="Millions of Gallons production/year"/>
    <n v="9.3598526121428603E-5"/>
    <n v="9.6968073061800024E-4"/>
    <n v="9.6968073061800024E-4"/>
    <n v="3.0756475683501438E-3"/>
    <n v="0"/>
    <n v="0"/>
    <n v="0"/>
    <n v="0"/>
    <n v="0"/>
    <n v="0"/>
    <n v="0"/>
    <n v="0"/>
    <n v="0"/>
    <n v="0"/>
    <n v="0"/>
    <n v="0"/>
    <n v="0"/>
    <n v="0"/>
  </r>
  <r>
    <x v="1"/>
    <x v="10"/>
    <s v="RJF"/>
    <x v="9"/>
    <n v="0.64285714285714302"/>
    <s v="Millions of Gallons production/year"/>
    <n v="9.1563775553571468E-5"/>
    <n v="9.4860071473500032E-4"/>
    <n v="9.4860071473500032E-4"/>
    <n v="3.0087856646903582E-3"/>
    <n v="0"/>
    <n v="0"/>
    <n v="0"/>
    <n v="0"/>
    <n v="0"/>
    <n v="0"/>
    <n v="0"/>
    <n v="0"/>
    <n v="0"/>
    <n v="0"/>
    <n v="0"/>
    <n v="0"/>
    <n v="0"/>
    <n v="0"/>
  </r>
  <r>
    <x v="1"/>
    <x v="11"/>
    <s v="RJF"/>
    <x v="9"/>
    <n v="0.62857142857142878"/>
    <s v="Millions of Gallons production/year"/>
    <n v="8.9529024985714333E-5"/>
    <n v="9.2752069885200039E-4"/>
    <n v="9.2752069885200039E-4"/>
    <n v="2.9419237610305731E-3"/>
    <n v="0"/>
    <n v="0"/>
    <n v="0"/>
    <n v="0"/>
    <n v="0"/>
    <n v="0"/>
    <n v="0"/>
    <n v="0"/>
    <n v="0"/>
    <n v="0"/>
    <n v="0"/>
    <n v="0"/>
    <n v="0"/>
    <n v="0"/>
  </r>
  <r>
    <x v="1"/>
    <x v="12"/>
    <s v="RJF"/>
    <x v="9"/>
    <n v="0.61428571428571455"/>
    <s v="Millions of Gallons production/year"/>
    <n v="8.7494274417857198E-5"/>
    <n v="9.0644068296900047E-4"/>
    <n v="9.0644068296900047E-4"/>
    <n v="2.8750618573707876E-3"/>
    <n v="0"/>
    <n v="0"/>
    <n v="0"/>
    <n v="0"/>
    <n v="0"/>
    <n v="0"/>
    <n v="0"/>
    <n v="0"/>
    <n v="0"/>
    <n v="0"/>
    <n v="0"/>
    <n v="0"/>
    <n v="0"/>
    <n v="0"/>
  </r>
  <r>
    <x v="1"/>
    <x v="13"/>
    <s v="RJF"/>
    <x v="9"/>
    <n v="0.60000000000000031"/>
    <s v="Millions of Gallons production/year"/>
    <n v="8.545952385000005E-5"/>
    <n v="8.8536066708600045E-4"/>
    <n v="8.8536066708600045E-4"/>
    <n v="2.8081999537110016E-3"/>
    <n v="0"/>
    <n v="0"/>
    <n v="0"/>
    <n v="0"/>
    <n v="0"/>
    <n v="0"/>
    <n v="0"/>
    <n v="0"/>
    <n v="0"/>
    <n v="0"/>
    <n v="0"/>
    <n v="0"/>
    <n v="0"/>
    <n v="0"/>
  </r>
  <r>
    <x v="1"/>
    <x v="14"/>
    <s v="RJF"/>
    <x v="9"/>
    <n v="0.58571428571428608"/>
    <s v="Millions of Gallons production/year"/>
    <n v="8.3424773282142915E-5"/>
    <n v="8.6428065120300053E-4"/>
    <n v="8.6428065120300053E-4"/>
    <n v="2.7413380500512161E-3"/>
    <n v="0"/>
    <n v="0"/>
    <n v="0"/>
    <n v="0"/>
    <n v="0"/>
    <n v="0"/>
    <n v="0"/>
    <n v="0"/>
    <n v="0"/>
    <n v="0"/>
    <n v="0"/>
    <n v="0"/>
    <n v="0"/>
    <n v="0"/>
  </r>
  <r>
    <x v="1"/>
    <x v="15"/>
    <s v="RJF"/>
    <x v="9"/>
    <n v="0.57142857142857184"/>
    <s v="Millions of Gallons production/year"/>
    <n v="8.139002271428578E-5"/>
    <n v="8.4320063532000061E-4"/>
    <n v="8.4320063532000061E-4"/>
    <n v="2.6744761463914305E-3"/>
    <n v="0"/>
    <n v="0"/>
    <n v="0"/>
    <n v="0"/>
    <n v="0"/>
    <n v="0"/>
    <n v="0"/>
    <n v="0"/>
    <n v="0"/>
    <n v="0"/>
    <n v="0"/>
    <n v="0"/>
    <n v="0"/>
    <n v="0"/>
  </r>
  <r>
    <x v="1"/>
    <x v="16"/>
    <s v="RJF"/>
    <x v="9"/>
    <n v="0.55714285714285761"/>
    <s v="Millions of Gallons production/year"/>
    <n v="7.9355272146428645E-5"/>
    <n v="8.2212061943700069E-4"/>
    <n v="8.2212061943700069E-4"/>
    <n v="2.6076142427316454E-3"/>
    <n v="0"/>
    <n v="0"/>
    <n v="0"/>
    <n v="0"/>
    <n v="0"/>
    <n v="0"/>
    <n v="0"/>
    <n v="0"/>
    <n v="0"/>
    <n v="0"/>
    <n v="0"/>
    <n v="0"/>
    <n v="0"/>
    <n v="0"/>
  </r>
  <r>
    <x v="1"/>
    <x v="17"/>
    <s v="RJF"/>
    <x v="9"/>
    <n v="0.54285714285714337"/>
    <s v="Millions of Gallons production/year"/>
    <n v="7.732052157857151E-5"/>
    <n v="8.0104060355400076E-4"/>
    <n v="8.0104060355400076E-4"/>
    <n v="2.5407523390718599E-3"/>
    <n v="0"/>
    <n v="0"/>
    <n v="0"/>
    <n v="0"/>
    <n v="0"/>
    <n v="0"/>
    <n v="0"/>
    <n v="0"/>
    <n v="0"/>
    <n v="0"/>
    <n v="0"/>
    <n v="0"/>
    <n v="0"/>
    <n v="0"/>
  </r>
  <r>
    <x v="1"/>
    <x v="18"/>
    <s v="RJF"/>
    <x v="9"/>
    <n v="0.52857142857142914"/>
    <s v="Millions of Gallons production/year"/>
    <n v="7.5285771010714375E-5"/>
    <n v="7.7996058767100084E-4"/>
    <n v="7.7996058767100084E-4"/>
    <n v="2.4738904354120743E-3"/>
    <n v="0"/>
    <n v="0"/>
    <n v="0"/>
    <n v="0"/>
    <n v="0"/>
    <n v="0"/>
    <n v="0"/>
    <n v="0"/>
    <n v="0"/>
    <n v="0"/>
    <n v="0"/>
    <n v="0"/>
    <n v="0"/>
    <n v="0"/>
  </r>
  <r>
    <x v="1"/>
    <x v="19"/>
    <s v="RJF"/>
    <x v="9"/>
    <n v="0.5142857142857149"/>
    <s v="Millions of Gallons production/year"/>
    <n v="7.325102044285724E-5"/>
    <n v="7.5888057178800092E-4"/>
    <n v="7.5888057178800092E-4"/>
    <n v="2.4070285317522888E-3"/>
    <n v="0"/>
    <n v="0"/>
    <n v="0"/>
    <n v="0"/>
    <n v="0"/>
    <n v="0"/>
    <n v="0"/>
    <n v="0"/>
    <n v="0"/>
    <n v="0"/>
    <n v="0"/>
    <n v="0"/>
    <n v="0"/>
    <n v="0"/>
  </r>
  <r>
    <x v="1"/>
    <x v="20"/>
    <s v="RJF"/>
    <x v="9"/>
    <n v="0.50000000000000067"/>
    <s v="Millions of Gallons production/year"/>
    <n v="7.1216269875000105E-5"/>
    <n v="7.37800555905001E-4"/>
    <n v="7.37800555905001E-4"/>
    <n v="2.3401666280925032E-3"/>
    <n v="0"/>
    <n v="0"/>
    <n v="0"/>
    <n v="0"/>
    <n v="0"/>
    <n v="0"/>
    <n v="0"/>
    <n v="0"/>
    <n v="0"/>
    <n v="0"/>
    <n v="0"/>
    <n v="0"/>
    <n v="0"/>
    <n v="0"/>
  </r>
  <r>
    <x v="1"/>
    <x v="0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6"/>
    <s v="RJF"/>
    <x v="10"/>
    <n v="6.4"/>
    <s v="Millions of Gallons production/year"/>
    <n v="9.1156825440000017E-4"/>
    <n v="2.7675212203584005E-2"/>
    <n v="2.7675212203584005E-2"/>
    <n v="4.3354186179264009E-2"/>
    <n v="0"/>
    <n v="0"/>
    <n v="0"/>
    <n v="0"/>
    <n v="0"/>
    <n v="0"/>
    <n v="0"/>
    <n v="0"/>
    <n v="0"/>
    <n v="0"/>
    <n v="0"/>
    <n v="0"/>
    <n v="0"/>
    <n v="0"/>
  </r>
  <r>
    <x v="1"/>
    <x v="7"/>
    <s v="RJF"/>
    <x v="10"/>
    <n v="6.6571428571428575"/>
    <s v="Millions of Gallons production/year"/>
    <n v="9.4819376462142873E-4"/>
    <n v="2.8787162693906576E-2"/>
    <n v="2.8787162693906576E-2"/>
    <n v="4.5096095445395154E-2"/>
    <n v="0"/>
    <n v="0"/>
    <n v="0"/>
    <n v="0"/>
    <n v="0"/>
    <n v="0"/>
    <n v="0"/>
    <n v="0"/>
    <n v="0"/>
    <n v="0"/>
    <n v="0"/>
    <n v="0"/>
    <n v="0"/>
    <n v="0"/>
  </r>
  <r>
    <x v="1"/>
    <x v="8"/>
    <s v="RJF"/>
    <x v="10"/>
    <n v="6.9142857142857146"/>
    <s v="Millions of Gallons production/year"/>
    <n v="9.848192748428573E-4"/>
    <n v="2.9899113184229147E-2"/>
    <n v="2.9899113184229147E-2"/>
    <n v="4.6838004711526299E-2"/>
    <n v="0"/>
    <n v="0"/>
    <n v="0"/>
    <n v="0"/>
    <n v="0"/>
    <n v="0"/>
    <n v="0"/>
    <n v="0"/>
    <n v="0"/>
    <n v="0"/>
    <n v="0"/>
    <n v="0"/>
    <n v="0"/>
    <n v="0"/>
  </r>
  <r>
    <x v="1"/>
    <x v="9"/>
    <s v="RJF"/>
    <x v="10"/>
    <n v="7.1714285714285717"/>
    <s v="Millions of Gallons production/year"/>
    <n v="1.021444785064286E-3"/>
    <n v="3.1011063674551722E-2"/>
    <n v="3.1011063674551722E-2"/>
    <n v="4.8579913977657443E-2"/>
    <n v="0"/>
    <n v="0"/>
    <n v="0"/>
    <n v="0"/>
    <n v="0"/>
    <n v="0"/>
    <n v="0"/>
    <n v="0"/>
    <n v="0"/>
    <n v="0"/>
    <n v="0"/>
    <n v="0"/>
    <n v="0"/>
    <n v="0"/>
  </r>
  <r>
    <x v="1"/>
    <x v="10"/>
    <s v="RJF"/>
    <x v="10"/>
    <n v="7.4285714285714288"/>
    <s v="Millions of Gallons production/year"/>
    <n v="1.0580702952857144E-3"/>
    <n v="3.2123014164874286E-2"/>
    <n v="3.2123014164874286E-2"/>
    <n v="5.0321823243788581E-2"/>
    <n v="0"/>
    <n v="0"/>
    <n v="0"/>
    <n v="0"/>
    <n v="0"/>
    <n v="0"/>
    <n v="0"/>
    <n v="0"/>
    <n v="0"/>
    <n v="0"/>
    <n v="0"/>
    <n v="0"/>
    <n v="0"/>
    <n v="0"/>
  </r>
  <r>
    <x v="1"/>
    <x v="11"/>
    <s v="RJF"/>
    <x v="10"/>
    <n v="7.6857142857142859"/>
    <s v="Millions of Gallons production/year"/>
    <n v="1.0946958055071431E-3"/>
    <n v="3.3234964655196861E-2"/>
    <n v="3.3234964655196861E-2"/>
    <n v="5.2063732509919726E-2"/>
    <n v="0"/>
    <n v="0"/>
    <n v="0"/>
    <n v="0"/>
    <n v="0"/>
    <n v="0"/>
    <n v="0"/>
    <n v="0"/>
    <n v="0"/>
    <n v="0"/>
    <n v="0"/>
    <n v="0"/>
    <n v="0"/>
    <n v="0"/>
  </r>
  <r>
    <x v="1"/>
    <x v="12"/>
    <s v="RJF"/>
    <x v="10"/>
    <n v="7.9428571428571431"/>
    <s v="Millions of Gallons production/year"/>
    <n v="1.1313213157285716E-3"/>
    <n v="3.4346915145519429E-2"/>
    <n v="3.4346915145519429E-2"/>
    <n v="5.3805641776050864E-2"/>
    <n v="0"/>
    <n v="0"/>
    <n v="0"/>
    <n v="0"/>
    <n v="0"/>
    <n v="0"/>
    <n v="0"/>
    <n v="0"/>
    <n v="0"/>
    <n v="0"/>
    <n v="0"/>
    <n v="0"/>
    <n v="0"/>
    <n v="0"/>
  </r>
  <r>
    <x v="1"/>
    <x v="13"/>
    <s v="RJF"/>
    <x v="10"/>
    <n v="8.1999999999999993"/>
    <s v="Millions of Gallons production/year"/>
    <n v="1.16794682595E-3"/>
    <n v="3.5458865635842003E-2"/>
    <n v="3.5458865635842003E-2"/>
    <n v="5.5547551042182002E-2"/>
    <n v="0"/>
    <n v="0"/>
    <n v="0"/>
    <n v="0"/>
    <n v="0"/>
    <n v="0"/>
    <n v="0"/>
    <n v="0"/>
    <n v="0"/>
    <n v="0"/>
    <n v="0"/>
    <n v="0"/>
    <n v="0"/>
    <n v="0"/>
  </r>
  <r>
    <x v="1"/>
    <x v="14"/>
    <s v="RJF"/>
    <x v="10"/>
    <n v="8.4571428571428555"/>
    <s v="Millions of Gallons production/year"/>
    <n v="1.2045723361714285E-3"/>
    <n v="3.6570816126164571E-2"/>
    <n v="3.6570816126164571E-2"/>
    <n v="5.7289460308313139E-2"/>
    <n v="0"/>
    <n v="0"/>
    <n v="0"/>
    <n v="0"/>
    <n v="0"/>
    <n v="0"/>
    <n v="0"/>
    <n v="0"/>
    <n v="0"/>
    <n v="0"/>
    <n v="0"/>
    <n v="0"/>
    <n v="0"/>
    <n v="0"/>
  </r>
  <r>
    <x v="1"/>
    <x v="15"/>
    <s v="RJF"/>
    <x v="10"/>
    <n v="8.7142857142857117"/>
    <s v="Millions of Gallons production/year"/>
    <n v="1.2411978463928569E-3"/>
    <n v="3.7682766616487139E-2"/>
    <n v="3.7682766616487139E-2"/>
    <n v="5.9031369574444277E-2"/>
    <n v="0"/>
    <n v="0"/>
    <n v="0"/>
    <n v="0"/>
    <n v="0"/>
    <n v="0"/>
    <n v="0"/>
    <n v="0"/>
    <n v="0"/>
    <n v="0"/>
    <n v="0"/>
    <n v="0"/>
    <n v="0"/>
    <n v="0"/>
  </r>
  <r>
    <x v="1"/>
    <x v="16"/>
    <s v="RJF"/>
    <x v="10"/>
    <n v="8.971428571428568"/>
    <s v="Millions of Gallons production/year"/>
    <n v="1.2778233566142854E-3"/>
    <n v="3.8794717106809706E-2"/>
    <n v="3.8794717106809706E-2"/>
    <n v="6.0773278840575415E-2"/>
    <n v="0"/>
    <n v="0"/>
    <n v="0"/>
    <n v="0"/>
    <n v="0"/>
    <n v="0"/>
    <n v="0"/>
    <n v="0"/>
    <n v="0"/>
    <n v="0"/>
    <n v="0"/>
    <n v="0"/>
    <n v="0"/>
    <n v="0"/>
  </r>
  <r>
    <x v="1"/>
    <x v="17"/>
    <s v="RJF"/>
    <x v="10"/>
    <n v="9.2285714285714242"/>
    <s v="Millions of Gallons production/year"/>
    <n v="1.3144488668357138E-3"/>
    <n v="3.9906667597132274E-2"/>
    <n v="3.9906667597132274E-2"/>
    <n v="6.251518810670656E-2"/>
    <n v="0"/>
    <n v="0"/>
    <n v="0"/>
    <n v="0"/>
    <n v="0"/>
    <n v="0"/>
    <n v="0"/>
    <n v="0"/>
    <n v="0"/>
    <n v="0"/>
    <n v="0"/>
    <n v="0"/>
    <n v="0"/>
    <n v="0"/>
  </r>
  <r>
    <x v="1"/>
    <x v="18"/>
    <s v="RJF"/>
    <x v="10"/>
    <n v="9.4857142857142804"/>
    <s v="Millions of Gallons production/year"/>
    <n v="1.3510743770571423E-3"/>
    <n v="4.1018618087454842E-2"/>
    <n v="4.1018618087454842E-2"/>
    <n v="6.425709737283769E-2"/>
    <n v="0"/>
    <n v="0"/>
    <n v="0"/>
    <n v="0"/>
    <n v="0"/>
    <n v="0"/>
    <n v="0"/>
    <n v="0"/>
    <n v="0"/>
    <n v="0"/>
    <n v="0"/>
    <n v="0"/>
    <n v="0"/>
    <n v="0"/>
  </r>
  <r>
    <x v="1"/>
    <x v="19"/>
    <s v="RJF"/>
    <x v="10"/>
    <n v="9.7428571428571367"/>
    <s v="Millions of Gallons production/year"/>
    <n v="1.3876998872785708E-3"/>
    <n v="4.2130568577777409E-2"/>
    <n v="4.2130568577777409E-2"/>
    <n v="6.5999006638968835E-2"/>
    <n v="0"/>
    <n v="0"/>
    <n v="0"/>
    <n v="0"/>
    <n v="0"/>
    <n v="0"/>
    <n v="0"/>
    <n v="0"/>
    <n v="0"/>
    <n v="0"/>
    <n v="0"/>
    <n v="0"/>
    <n v="0"/>
    <n v="0"/>
  </r>
  <r>
    <x v="1"/>
    <x v="20"/>
    <s v="RJF"/>
    <x v="10"/>
    <n v="9.9999999999999929"/>
    <s v="Millions of Gallons production/year"/>
    <n v="1.4243253974999992E-3"/>
    <n v="4.3242519068099977E-2"/>
    <n v="4.3242519068099977E-2"/>
    <n v="6.7740915905099966E-2"/>
    <n v="0"/>
    <n v="0"/>
    <n v="0"/>
    <n v="0"/>
    <n v="0"/>
    <n v="0"/>
    <n v="0"/>
    <n v="0"/>
    <n v="0"/>
    <n v="0"/>
    <n v="0"/>
    <n v="0"/>
    <n v="0"/>
    <n v="0"/>
  </r>
  <r>
    <x v="1"/>
    <x v="0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1"/>
    <x v="1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1"/>
    <x v="2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1"/>
    <x v="3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1"/>
    <x v="4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1"/>
    <x v="5"/>
    <s v="Green H2"/>
    <x v="11"/>
    <n v="2289.8773972602744"/>
    <s v="MW"/>
    <m/>
    <m/>
    <m/>
    <m/>
    <n v="8014.5708904109606"/>
    <n v="6411.6567123287678"/>
    <n v="9617.4850684931534"/>
    <n v="0"/>
    <n v="112203.99246575344"/>
    <n v="11220.399246575344"/>
    <n v="2003642.7226027402"/>
    <n v="2484.516976027398"/>
    <n v="79.229757945205492"/>
    <n v="64.57454260273974"/>
    <n v="76.481905068493163"/>
    <n v="12.869110972602742"/>
    <n v="233.15531658904112"/>
    <n v="13989.318995342468"/>
  </r>
  <r>
    <x v="1"/>
    <x v="6"/>
    <s v="Green H2"/>
    <x v="11"/>
    <n v="2582.2873972602742"/>
    <s v="MW"/>
    <m/>
    <m/>
    <m/>
    <m/>
    <n v="9038.0058904109592"/>
    <n v="7230.4047123287673"/>
    <n v="10845.607068493153"/>
    <n v="0"/>
    <n v="126532.08246575342"/>
    <n v="12653.208246575343"/>
    <n v="2259501.4726027399"/>
    <n v="2801.7818260273975"/>
    <n v="10.117385999999994"/>
    <n v="8.2459619999999951"/>
    <n v="9.7664939999999945"/>
    <n v="1.6433441999999991"/>
    <n v="29.773186199999984"/>
    <n v="1786.391171999999"/>
  </r>
  <r>
    <x v="1"/>
    <x v="7"/>
    <s v="Green H2"/>
    <x v="11"/>
    <n v="2874.6973972602741"/>
    <s v="MW"/>
    <m/>
    <m/>
    <m/>
    <m/>
    <n v="10061.440890410959"/>
    <n v="8049.1527123287669"/>
    <n v="12073.729068493152"/>
    <n v="0"/>
    <n v="140860.17246575342"/>
    <n v="14086.017246575342"/>
    <n v="2515360.2226027395"/>
    <n v="3119.0466760273971"/>
    <n v="10.117385999999994"/>
    <n v="8.2459619999999951"/>
    <n v="9.7664939999999945"/>
    <n v="1.6433441999999991"/>
    <n v="29.773186199999984"/>
    <n v="1786.391171999999"/>
  </r>
  <r>
    <x v="1"/>
    <x v="8"/>
    <s v="Green H2"/>
    <x v="11"/>
    <n v="3167.1073972602744"/>
    <s v="MW"/>
    <m/>
    <m/>
    <m/>
    <m/>
    <n v="11084.87589041096"/>
    <n v="8867.9007123287683"/>
    <n v="13301.851068493153"/>
    <n v="0"/>
    <n v="155188.26246575345"/>
    <n v="15518.826246575343"/>
    <n v="2771218.9726027399"/>
    <n v="3436.3115260273976"/>
    <n v="10.11738600000001"/>
    <n v="8.2459620000000093"/>
    <n v="9.7664940000000104"/>
    <n v="1.6433442000000018"/>
    <n v="29.77318620000003"/>
    <n v="1786.3911720000017"/>
  </r>
  <r>
    <x v="1"/>
    <x v="9"/>
    <s v="Green H2"/>
    <x v="11"/>
    <n v="3459.5173972602752"/>
    <s v="MW"/>
    <m/>
    <m/>
    <m/>
    <m/>
    <n v="12108.310890410963"/>
    <n v="9686.6487123287698"/>
    <n v="14529.973068493156"/>
    <n v="0"/>
    <n v="169516.35246575347"/>
    <n v="16951.635246575348"/>
    <n v="3027077.7226027409"/>
    <n v="3753.5763760273985"/>
    <n v="10.117386000000026"/>
    <n v="8.2459620000000218"/>
    <n v="9.7664940000000247"/>
    <n v="1.6433442000000043"/>
    <n v="29.773186200000076"/>
    <n v="1786.3911720000044"/>
  </r>
  <r>
    <x v="1"/>
    <x v="10"/>
    <s v="Green H2"/>
    <x v="11"/>
    <n v="3751.9273972602741"/>
    <s v="MW"/>
    <m/>
    <m/>
    <m/>
    <m/>
    <n v="13131.745890410959"/>
    <n v="10505.396712328768"/>
    <n v="15758.095068493152"/>
    <n v="0"/>
    <n v="183844.44246575341"/>
    <n v="18384.444246575342"/>
    <n v="3282936.4726027399"/>
    <n v="4070.8412260273972"/>
    <n v="10.117385999999962"/>
    <n v="8.2459619999999703"/>
    <n v="9.7664939999999643"/>
    <n v="1.643344199999994"/>
    <n v="29.773186199999891"/>
    <n v="1786.3911719999935"/>
  </r>
  <r>
    <x v="1"/>
    <x v="11"/>
    <s v="Green H2"/>
    <x v="11"/>
    <n v="4044.337397260274"/>
    <s v="MW"/>
    <m/>
    <m/>
    <m/>
    <m/>
    <n v="14155.180890410958"/>
    <n v="11324.144712328767"/>
    <n v="16986.217068493152"/>
    <n v="0"/>
    <n v="198172.53246575341"/>
    <n v="19817.253246575339"/>
    <n v="3538795.2226027395"/>
    <n v="4388.1060760273967"/>
    <n v="10.117385999999994"/>
    <n v="8.2459619999999951"/>
    <n v="9.7664939999999945"/>
    <n v="1.6433441999999991"/>
    <n v="29.773186199999984"/>
    <n v="1786.391171999999"/>
  </r>
  <r>
    <x v="1"/>
    <x v="12"/>
    <s v="Green H2"/>
    <x v="11"/>
    <n v="4336.7473972602738"/>
    <s v="MW"/>
    <m/>
    <m/>
    <m/>
    <m/>
    <n v="15178.615890410958"/>
    <n v="12142.892712328767"/>
    <n v="18214.339068493151"/>
    <n v="0"/>
    <n v="212500.6224657534"/>
    <n v="21250.06224657534"/>
    <n v="3794653.9726027395"/>
    <n v="4705.3709260273972"/>
    <n v="10.117385999999994"/>
    <n v="8.2459619999999951"/>
    <n v="9.7664939999999945"/>
    <n v="1.6433441999999991"/>
    <n v="29.773186199999984"/>
    <n v="1786.391171999999"/>
  </r>
  <r>
    <x v="1"/>
    <x v="13"/>
    <s v="Green H2"/>
    <x v="11"/>
    <n v="4629.1573972602755"/>
    <s v="MW"/>
    <m/>
    <m/>
    <m/>
    <m/>
    <n v="16202.050890410965"/>
    <n v="12961.64071232877"/>
    <n v="19442.461068493158"/>
    <n v="0"/>
    <n v="226828.71246575352"/>
    <n v="22682.871246575349"/>
    <n v="4050512.7226027413"/>
    <n v="5022.6357760273986"/>
    <n v="10.117386000000058"/>
    <n v="8.2459620000000466"/>
    <n v="9.7664940000000549"/>
    <n v="1.6433442000000094"/>
    <n v="29.773186200000168"/>
    <n v="1786.3911720000101"/>
  </r>
  <r>
    <x v="1"/>
    <x v="14"/>
    <s v="Green H2"/>
    <x v="11"/>
    <n v="4921.5673972602744"/>
    <s v="MW"/>
    <m/>
    <m/>
    <m/>
    <m/>
    <n v="17225.485890410961"/>
    <n v="13780.388712328768"/>
    <n v="20670.583068493153"/>
    <n v="0"/>
    <n v="241156.80246575346"/>
    <n v="24115.680246575343"/>
    <n v="4306371.4726027399"/>
    <n v="5339.9006260273982"/>
    <n v="10.117385999999962"/>
    <n v="8.2459619999999703"/>
    <n v="9.7664939999999643"/>
    <n v="1.643344199999994"/>
    <n v="29.773186199999891"/>
    <n v="1786.3911719999935"/>
  </r>
  <r>
    <x v="1"/>
    <x v="15"/>
    <s v="Green H2"/>
    <x v="11"/>
    <n v="5213.9773972602752"/>
    <s v="MW"/>
    <m/>
    <m/>
    <m/>
    <m/>
    <n v="18248.920890410962"/>
    <n v="14599.136712328769"/>
    <n v="21898.705068493156"/>
    <n v="0"/>
    <n v="255484.89246575348"/>
    <n v="25548.489246575344"/>
    <n v="4562230.2226027409"/>
    <n v="5657.1654760273977"/>
    <n v="10.117386000000026"/>
    <n v="8.2459620000000218"/>
    <n v="9.7664940000000247"/>
    <n v="1.6433442000000043"/>
    <n v="29.773186200000076"/>
    <n v="1786.3911720000044"/>
  </r>
  <r>
    <x v="1"/>
    <x v="16"/>
    <s v="Green H2"/>
    <x v="11"/>
    <n v="5506.3873972602751"/>
    <s v="MW"/>
    <m/>
    <m/>
    <m/>
    <m/>
    <n v="19272.355890410963"/>
    <n v="15417.884712328769"/>
    <n v="23126.827068493156"/>
    <n v="0"/>
    <n v="269812.98246575351"/>
    <n v="26981.298246575348"/>
    <n v="4818088.9726027409"/>
    <n v="5974.4303260273982"/>
    <n v="10.117385999999994"/>
    <n v="8.2459619999999951"/>
    <n v="9.7664939999999945"/>
    <n v="1.6433441999999991"/>
    <n v="29.773186199999984"/>
    <n v="1786.391171999999"/>
  </r>
  <r>
    <x v="1"/>
    <x v="17"/>
    <s v="Green H2"/>
    <x v="11"/>
    <n v="5798.797397260274"/>
    <s v="MW"/>
    <m/>
    <m/>
    <m/>
    <m/>
    <n v="20295.790890410957"/>
    <n v="16236.632712328767"/>
    <n v="24354.949068493152"/>
    <n v="0"/>
    <n v="284141.07246575342"/>
    <n v="28414.107246575339"/>
    <n v="5073947.722602739"/>
    <n v="6291.6951760273969"/>
    <n v="10.117385999999962"/>
    <n v="8.2459619999999703"/>
    <n v="9.7664939999999643"/>
    <n v="1.643344199999994"/>
    <n v="29.773186199999891"/>
    <n v="1786.3911719999935"/>
  </r>
  <r>
    <x v="1"/>
    <x v="18"/>
    <s v="Green H2"/>
    <x v="11"/>
    <n v="6091.2073972602739"/>
    <s v="MW"/>
    <m/>
    <m/>
    <m/>
    <m/>
    <n v="21319.225890410959"/>
    <n v="17055.380712328766"/>
    <n v="25583.071068493151"/>
    <n v="0"/>
    <n v="298469.16246575344"/>
    <n v="29846.91624657534"/>
    <n v="5329806.4726027399"/>
    <n v="6608.9600260273974"/>
    <n v="10.117385999999994"/>
    <n v="8.2459619999999951"/>
    <n v="9.7664939999999945"/>
    <n v="1.6433441999999991"/>
    <n v="29.773186199999984"/>
    <n v="1786.391171999999"/>
  </r>
  <r>
    <x v="1"/>
    <x v="19"/>
    <s v="Green H2"/>
    <x v="11"/>
    <n v="6383.6173972602719"/>
    <s v="MW"/>
    <m/>
    <m/>
    <m/>
    <m/>
    <n v="22342.660890410953"/>
    <n v="17874.128712328758"/>
    <n v="26811.193068493143"/>
    <n v="0"/>
    <n v="312797.25246575335"/>
    <n v="31279.72524657533"/>
    <n v="5585665.2226027381"/>
    <n v="6926.2248760273951"/>
    <n v="10.117385999999932"/>
    <n v="8.2459619999999436"/>
    <n v="9.7664939999999341"/>
    <n v="1.6433441999999889"/>
    <n v="29.773186199999799"/>
    <n v="1786.3911719999878"/>
  </r>
  <r>
    <x v="1"/>
    <x v="20"/>
    <s v="Green H2"/>
    <x v="11"/>
    <n v="6676.0273972602727"/>
    <s v="MW"/>
    <m/>
    <m/>
    <m/>
    <m/>
    <n v="23366.095890410954"/>
    <n v="18692.876712328762"/>
    <n v="28039.315068493146"/>
    <n v="0"/>
    <n v="327125.34246575338"/>
    <n v="32712.534246575335"/>
    <n v="5841523.9726027381"/>
    <n v="7243.4897260273956"/>
    <n v="10.117386000000026"/>
    <n v="8.2459620000000218"/>
    <n v="9.7664940000000247"/>
    <n v="1.6433442000000043"/>
    <n v="29.773186200000076"/>
    <n v="1786.3911720000044"/>
  </r>
  <r>
    <x v="2"/>
    <x v="0"/>
    <s v="Blue H2"/>
    <x v="0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Blue H2"/>
    <x v="0"/>
    <n v="4380"/>
    <s v="metric ton production/year"/>
    <n v="5.2559999999999998E-4"/>
    <n v="1.345719815892903E-2"/>
    <n v="1.2695492039052935E-2"/>
    <n v="1.4218904278805126E-2"/>
    <n v="0"/>
    <n v="0"/>
    <n v="0"/>
    <n v="12.263999999999999"/>
    <n v="0"/>
    <n v="0"/>
    <n v="0"/>
    <n v="0"/>
    <n v="0"/>
    <n v="0"/>
    <n v="0"/>
    <n v="0"/>
    <n v="0"/>
    <n v="0"/>
  </r>
  <r>
    <x v="2"/>
    <x v="2"/>
    <s v="Blue H2"/>
    <x v="0"/>
    <n v="8760"/>
    <s v="metric ton production/year"/>
    <n v="1.0512E-3"/>
    <n v="2.6453602249343972E-2"/>
    <n v="2.4469395941077696E-2"/>
    <n v="2.8437808557610252E-2"/>
    <n v="0"/>
    <n v="0"/>
    <n v="0"/>
    <n v="24.527999999999999"/>
    <n v="0"/>
    <n v="0"/>
    <n v="0"/>
    <n v="0"/>
    <n v="0"/>
    <n v="0"/>
    <n v="0"/>
    <n v="0"/>
    <n v="0"/>
    <n v="0"/>
  </r>
  <r>
    <x v="2"/>
    <x v="3"/>
    <s v="Blue H2"/>
    <x v="0"/>
    <n v="13140"/>
    <s v="metric ton production/year"/>
    <n v="1.5767999999999999E-3"/>
    <n v="3.8933689508263224E-2"/>
    <n v="3.521066618011108E-2"/>
    <n v="4.2656712836415374E-2"/>
    <n v="0"/>
    <n v="0"/>
    <n v="0"/>
    <n v="36.792000000000002"/>
    <n v="0"/>
    <n v="0"/>
    <n v="0"/>
    <n v="0"/>
    <n v="0"/>
    <n v="0"/>
    <n v="0"/>
    <n v="0"/>
    <n v="0"/>
    <n v="0"/>
  </r>
  <r>
    <x v="2"/>
    <x v="4"/>
    <s v="Blue H2"/>
    <x v="0"/>
    <n v="17520"/>
    <s v="metric ton production/year"/>
    <n v="2.1023999999999999E-3"/>
    <n v="5.0767867345038922E-2"/>
    <n v="4.4660117574857341E-2"/>
    <n v="5.6875617115220503E-2"/>
    <n v="0"/>
    <n v="0"/>
    <n v="0"/>
    <n v="49.055999999999997"/>
    <n v="0"/>
    <n v="0"/>
    <n v="0"/>
    <n v="0"/>
    <n v="0"/>
    <n v="0"/>
    <n v="0"/>
    <n v="0"/>
    <n v="0"/>
    <n v="0"/>
  </r>
  <r>
    <x v="2"/>
    <x v="5"/>
    <s v="Blue H2"/>
    <x v="0"/>
    <n v="21900"/>
    <s v="metric ton production/year"/>
    <n v="2.6279999999999997E-3"/>
    <n v="6.1829807899247427E-2"/>
    <n v="5.2565094404469236E-2"/>
    <n v="7.1094521394025625E-2"/>
    <n v="0"/>
    <n v="0"/>
    <n v="0"/>
    <n v="61.319999999999993"/>
    <n v="0"/>
    <n v="0"/>
    <n v="0"/>
    <n v="0"/>
    <n v="0"/>
    <n v="0"/>
    <n v="0"/>
    <n v="0"/>
    <n v="0"/>
    <n v="0"/>
  </r>
  <r>
    <x v="2"/>
    <x v="6"/>
    <s v="Blue H2"/>
    <x v="0"/>
    <n v="26280"/>
    <s v="metric ton production/year"/>
    <n v="3.1535999999999999E-3"/>
    <n v="7.1973311260762812E-2"/>
    <n v="5.8633196848694877E-2"/>
    <n v="8.5313425672830748E-2"/>
    <n v="0"/>
    <n v="0"/>
    <n v="0"/>
    <n v="73.584000000000003"/>
    <n v="0"/>
    <n v="0"/>
    <n v="0"/>
    <n v="0"/>
    <n v="0"/>
    <n v="0"/>
    <n v="0"/>
    <n v="0"/>
    <n v="0"/>
    <n v="0"/>
  </r>
  <r>
    <x v="2"/>
    <x v="7"/>
    <s v="Blue H2"/>
    <x v="0"/>
    <n v="30660"/>
    <s v="metric ton production/year"/>
    <n v="3.6791999999999997E-3"/>
    <n v="8.106720863916525E-2"/>
    <n v="6.260208732669463E-2"/>
    <n v="9.953232995163587E-2"/>
    <n v="0"/>
    <n v="0"/>
    <n v="0"/>
    <n v="85.847999999999999"/>
    <n v="0"/>
    <n v="0"/>
    <n v="0"/>
    <n v="0"/>
    <n v="0"/>
    <n v="0"/>
    <n v="0"/>
    <n v="0"/>
    <n v="0"/>
    <n v="0"/>
  </r>
  <r>
    <x v="2"/>
    <x v="8"/>
    <s v="Blue H2"/>
    <x v="0"/>
    <n v="35040"/>
    <s v="metric ton production/year"/>
    <n v="4.2047999999999999E-3"/>
    <n v="8.8839879609822023E-2"/>
    <n v="6.3928524989203053E-2"/>
    <n v="0.11375123423044101"/>
    <n v="0"/>
    <n v="0"/>
    <n v="0"/>
    <n v="98.111999999999995"/>
    <n v="0"/>
    <n v="0"/>
    <n v="0"/>
    <n v="0"/>
    <n v="0"/>
    <n v="0"/>
    <n v="0"/>
    <n v="0"/>
    <n v="0"/>
    <n v="0"/>
  </r>
  <r>
    <x v="2"/>
    <x v="9"/>
    <s v="Blue H2"/>
    <x v="0"/>
    <n v="39420"/>
    <s v="metric ton production/year"/>
    <n v="4.7303999999999992E-3"/>
    <n v="9.5165752644597534E-2"/>
    <n v="6.2361366779948968E-2"/>
    <n v="0.1279701385092461"/>
    <n v="0"/>
    <n v="0"/>
    <n v="0"/>
    <n v="110.376"/>
    <n v="0"/>
    <n v="0"/>
    <n v="0"/>
    <n v="0"/>
    <n v="0"/>
    <n v="0"/>
    <n v="0"/>
    <n v="0"/>
    <n v="0"/>
    <n v="0"/>
  </r>
  <r>
    <x v="2"/>
    <x v="10"/>
    <s v="Blue H2"/>
    <x v="0"/>
    <n v="43800"/>
    <s v="metric ton production/year"/>
    <n v="5.2559999999999994E-3"/>
    <n v="9.9676722070936211E-2"/>
    <n v="5.7164401353821191E-2"/>
    <n v="0.14218904278805125"/>
    <n v="0"/>
    <n v="0"/>
    <n v="0"/>
    <n v="122.63999999999999"/>
    <n v="0"/>
    <n v="0"/>
    <n v="0"/>
    <n v="0"/>
    <n v="0"/>
    <n v="0"/>
    <n v="0"/>
    <n v="0"/>
    <n v="0"/>
    <n v="0"/>
  </r>
  <r>
    <x v="2"/>
    <x v="11"/>
    <s v="Blue H2"/>
    <x v="0"/>
    <n v="48180"/>
    <s v="metric ton production/year"/>
    <n v="5.7815999999999996E-3"/>
    <n v="0.10249090288726698"/>
    <n v="4.8573858707677574E-2"/>
    <n v="0.15640794706685637"/>
    <n v="0"/>
    <n v="0"/>
    <n v="0"/>
    <n v="134.904"/>
    <n v="0"/>
    <n v="0"/>
    <n v="0"/>
    <n v="0"/>
    <n v="0"/>
    <n v="0"/>
    <n v="0"/>
    <n v="0"/>
    <n v="0"/>
    <n v="0"/>
  </r>
  <r>
    <x v="2"/>
    <x v="12"/>
    <s v="Blue H2"/>
    <x v="0"/>
    <n v="52560"/>
    <s v="metric ton production/year"/>
    <n v="6.3071999999999998E-3"/>
    <n v="0.103744570522917"/>
    <n v="3.6862289700172503E-2"/>
    <n v="0.1706268513456615"/>
    <n v="0"/>
    <n v="0"/>
    <n v="0"/>
    <n v="147.16800000000001"/>
    <n v="0"/>
    <n v="0"/>
    <n v="0"/>
    <n v="0"/>
    <n v="0"/>
    <n v="0"/>
    <n v="0"/>
    <n v="0"/>
    <n v="0"/>
    <n v="0"/>
  </r>
  <r>
    <x v="2"/>
    <x v="13"/>
    <s v="Blue H2"/>
    <x v="0"/>
    <n v="56940"/>
    <s v="metric ton production/year"/>
    <n v="6.8327999999999991E-3"/>
    <n v="0.10370316164789602"/>
    <n v="2.2560567671325436E-2"/>
    <n v="0.18484575562446662"/>
    <n v="0"/>
    <n v="0"/>
    <n v="0"/>
    <n v="159.43199999999999"/>
    <n v="0"/>
    <n v="0"/>
    <n v="0"/>
    <n v="0"/>
    <n v="0"/>
    <n v="0"/>
    <n v="0"/>
    <n v="0"/>
    <n v="0"/>
    <n v="0"/>
  </r>
  <r>
    <x v="2"/>
    <x v="14"/>
    <s v="Blue H2"/>
    <x v="0"/>
    <n v="61320"/>
    <s v="metric ton production/year"/>
    <n v="7.3583999999999993E-3"/>
    <n v="0.10210654630472529"/>
    <n v="5.1484327061788468E-3"/>
    <n v="0.19906465990327174"/>
    <n v="0"/>
    <n v="0"/>
    <n v="0"/>
    <n v="171.696"/>
    <n v="0"/>
    <n v="0"/>
    <n v="0"/>
    <n v="0"/>
    <n v="0"/>
    <n v="0"/>
    <n v="0"/>
    <n v="0"/>
    <n v="0"/>
    <n v="0"/>
  </r>
  <r>
    <x v="2"/>
    <x v="15"/>
    <s v="Blue H2"/>
    <x v="0"/>
    <n v="65700"/>
    <s v="metric ton production/year"/>
    <n v="7.8839999999999986E-3"/>
    <n v="0.10664178209103842"/>
    <n v="0"/>
    <n v="0.21328356418207683"/>
    <n v="0"/>
    <n v="0"/>
    <n v="0"/>
    <n v="183.96"/>
    <n v="0"/>
    <n v="0"/>
    <n v="0"/>
    <n v="0"/>
    <n v="0"/>
    <n v="0"/>
    <n v="0"/>
    <n v="0"/>
    <n v="0"/>
    <n v="0"/>
  </r>
  <r>
    <x v="2"/>
    <x v="16"/>
    <s v="Blue H2"/>
    <x v="0"/>
    <n v="70080"/>
    <s v="metric ton production/year"/>
    <n v="8.4095999999999997E-3"/>
    <n v="0.11375123423044101"/>
    <n v="0"/>
    <n v="0.22750246846088201"/>
    <n v="0"/>
    <n v="0"/>
    <n v="0"/>
    <n v="196.22399999999999"/>
    <n v="0"/>
    <n v="0"/>
    <n v="0"/>
    <n v="0"/>
    <n v="0"/>
    <n v="0"/>
    <n v="0"/>
    <n v="0"/>
    <n v="0"/>
    <n v="0"/>
  </r>
  <r>
    <x v="2"/>
    <x v="17"/>
    <s v="Blue H2"/>
    <x v="0"/>
    <n v="74460"/>
    <s v="metric ton production/year"/>
    <n v="8.935199999999999E-3"/>
    <n v="0.12086068636984355"/>
    <n v="0"/>
    <n v="0.24172137273968711"/>
    <n v="0"/>
    <n v="0"/>
    <n v="0"/>
    <n v="208.488"/>
    <n v="0"/>
    <n v="0"/>
    <n v="0"/>
    <n v="0"/>
    <n v="0"/>
    <n v="0"/>
    <n v="0"/>
    <n v="0"/>
    <n v="0"/>
    <n v="0"/>
  </r>
  <r>
    <x v="2"/>
    <x v="18"/>
    <s v="Blue H2"/>
    <x v="0"/>
    <n v="78840"/>
    <s v="metric ton production/year"/>
    <n v="9.4607999999999984E-3"/>
    <n v="0.1279701385092461"/>
    <n v="0"/>
    <n v="0.2559402770184922"/>
    <n v="0"/>
    <n v="0"/>
    <n v="0"/>
    <n v="220.75200000000001"/>
    <n v="0"/>
    <n v="0"/>
    <n v="0"/>
    <n v="0"/>
    <n v="0"/>
    <n v="0"/>
    <n v="0"/>
    <n v="0"/>
    <n v="0"/>
    <n v="0"/>
  </r>
  <r>
    <x v="2"/>
    <x v="19"/>
    <s v="Blue H2"/>
    <x v="0"/>
    <n v="83220"/>
    <s v="metric ton production/year"/>
    <n v="9.9863999999999994E-3"/>
    <n v="0.13507959064864869"/>
    <n v="0"/>
    <n v="0.27015918129729738"/>
    <n v="0"/>
    <n v="0"/>
    <n v="0"/>
    <n v="233.01599999999996"/>
    <n v="0"/>
    <n v="0"/>
    <n v="0"/>
    <n v="0"/>
    <n v="0"/>
    <n v="0"/>
    <n v="0"/>
    <n v="0"/>
    <n v="0"/>
    <n v="0"/>
  </r>
  <r>
    <x v="2"/>
    <x v="20"/>
    <s v="Blue H2"/>
    <x v="0"/>
    <n v="87600"/>
    <s v="metric ton production/year"/>
    <n v="1.0511999999999999E-2"/>
    <n v="0.14218904278805125"/>
    <n v="0"/>
    <n v="0.2843780855761025"/>
    <n v="0"/>
    <n v="0"/>
    <n v="0"/>
    <n v="245.27999999999997"/>
    <n v="0"/>
    <n v="0"/>
    <n v="0"/>
    <n v="0"/>
    <n v="0"/>
    <n v="0"/>
    <n v="0"/>
    <n v="0"/>
    <n v="0"/>
    <n v="0"/>
  </r>
  <r>
    <x v="2"/>
    <x v="0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s v="Green H2"/>
    <x v="1"/>
    <n v="0"/>
    <s v="metric ton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5"/>
    <s v="Green H2"/>
    <x v="1"/>
    <n v="16425"/>
    <s v="metric ton production/year"/>
    <n v="1.9709999999999997E-3"/>
    <n v="0.17032320487891631"/>
    <n v="0.16337466975783269"/>
    <n v="0.17727173999999996"/>
    <n v="0"/>
    <n v="0"/>
    <n v="0"/>
    <n v="67.342500000000001"/>
    <n v="0"/>
    <n v="0"/>
    <n v="0"/>
    <n v="0"/>
    <n v="0"/>
    <n v="0"/>
    <n v="0"/>
    <n v="0"/>
    <n v="0"/>
    <n v="0"/>
  </r>
  <r>
    <x v="2"/>
    <x v="6"/>
    <s v="Green H2"/>
    <x v="1"/>
    <n v="32850"/>
    <s v="metric ton production/year"/>
    <n v="3.9419999999999993E-3"/>
    <n v="0.33786833698491497"/>
    <n v="0.32119319396983009"/>
    <n v="0.35454347999999991"/>
    <n v="0"/>
    <n v="0"/>
    <n v="0"/>
    <n v="134.685"/>
    <n v="0"/>
    <n v="0"/>
    <n v="0"/>
    <n v="0"/>
    <n v="0"/>
    <n v="0"/>
    <n v="0"/>
    <n v="0"/>
    <n v="0"/>
    <n v="0"/>
  </r>
  <r>
    <x v="2"/>
    <x v="7"/>
    <s v="Green H2"/>
    <x v="1"/>
    <n v="49275"/>
    <s v="metric ton production/year"/>
    <n v="5.9129999999999999E-3"/>
    <n v="0.5021391321763865"/>
    <n v="0.47246304435277298"/>
    <n v="0.53181521999999992"/>
    <n v="0"/>
    <n v="0"/>
    <n v="0"/>
    <n v="202.02749999999997"/>
    <n v="0"/>
    <n v="0"/>
    <n v="0"/>
    <n v="0"/>
    <n v="0"/>
    <n v="0"/>
    <n v="0"/>
    <n v="0"/>
    <n v="0"/>
    <n v="0"/>
  </r>
  <r>
    <x v="2"/>
    <x v="8"/>
    <s v="Green H2"/>
    <x v="1"/>
    <n v="65700"/>
    <s v="metric ton production/year"/>
    <n v="7.8839999999999986E-3"/>
    <n v="0.66237817008633926"/>
    <n v="0.61566938017267869"/>
    <n v="0.70908695999999982"/>
    <n v="0"/>
    <n v="0"/>
    <n v="0"/>
    <n v="269.37"/>
    <n v="0"/>
    <n v="0"/>
    <n v="0"/>
    <n v="0"/>
    <n v="0"/>
    <n v="0"/>
    <n v="0"/>
    <n v="0"/>
    <n v="0"/>
    <n v="0"/>
  </r>
  <r>
    <x v="2"/>
    <x v="9"/>
    <s v="Green H2"/>
    <x v="1"/>
    <n v="82125"/>
    <s v="metric ton production/year"/>
    <n v="9.8549999999999992E-3"/>
    <n v="0.81801622944864871"/>
    <n v="0.74967375889729748"/>
    <n v="0.88635869999999994"/>
    <n v="0"/>
    <n v="0"/>
    <n v="0"/>
    <n v="336.71249999999992"/>
    <n v="0"/>
    <n v="0"/>
    <n v="0"/>
    <n v="0"/>
    <n v="0"/>
    <n v="0"/>
    <n v="0"/>
    <n v="0"/>
    <n v="0"/>
    <n v="0"/>
  </r>
  <r>
    <x v="2"/>
    <x v="10"/>
    <s v="Green H2"/>
    <x v="1"/>
    <n v="98550"/>
    <s v="metric ton production/year"/>
    <n v="1.1826E-2"/>
    <n v="0.96797771838649127"/>
    <n v="0.87232499677298236"/>
    <n v="1.0636304399999998"/>
    <n v="0"/>
    <n v="0"/>
    <n v="0"/>
    <n v="404.05499999999995"/>
    <n v="0"/>
    <n v="0"/>
    <n v="0"/>
    <n v="0"/>
    <n v="0"/>
    <n v="0"/>
    <n v="0"/>
    <n v="0"/>
    <n v="0"/>
    <n v="0"/>
  </r>
  <r>
    <x v="2"/>
    <x v="11"/>
    <s v="Green H2"/>
    <x v="1"/>
    <n v="114975"/>
    <s v="metric ton production/year"/>
    <n v="1.3796999999999999E-2"/>
    <n v="1.112236506389616"/>
    <n v="0.9835708327792323"/>
    <n v="1.2409021799999997"/>
    <n v="0"/>
    <n v="0"/>
    <n v="0"/>
    <n v="471.39749999999992"/>
    <n v="0"/>
    <n v="0"/>
    <n v="0"/>
    <n v="0"/>
    <n v="0"/>
    <n v="0"/>
    <n v="0"/>
    <n v="0"/>
    <n v="0"/>
    <n v="0"/>
  </r>
  <r>
    <x v="2"/>
    <x v="12"/>
    <s v="Green H2"/>
    <x v="1"/>
    <n v="131400"/>
    <s v="metric ton production/year"/>
    <n v="1.5767999999999997E-2"/>
    <n v="1.2509682179431383"/>
    <n v="1.0837625158862774"/>
    <n v="1.4181739199999996"/>
    <n v="0"/>
    <n v="0"/>
    <n v="0"/>
    <n v="538.74"/>
    <n v="0"/>
    <n v="0"/>
    <n v="0"/>
    <n v="0"/>
    <n v="0"/>
    <n v="0"/>
    <n v="0"/>
    <n v="0"/>
    <n v="0"/>
    <n v="0"/>
  </r>
  <r>
    <x v="2"/>
    <x v="13"/>
    <s v="Green H2"/>
    <x v="1"/>
    <n v="147825"/>
    <s v="metric ton production/year"/>
    <n v="1.7738999999999998E-2"/>
    <n v="1.3847870025608262"/>
    <n v="1.1741283451216524"/>
    <n v="1.5954456599999998"/>
    <n v="0"/>
    <n v="0"/>
    <n v="0"/>
    <n v="606.08249999999998"/>
    <n v="0"/>
    <n v="0"/>
    <n v="0"/>
    <n v="0"/>
    <n v="0"/>
    <n v="0"/>
    <n v="0"/>
    <n v="0"/>
    <n v="0"/>
    <n v="0"/>
  </r>
  <r>
    <x v="2"/>
    <x v="14"/>
    <s v="Green H2"/>
    <x v="1"/>
    <n v="164250"/>
    <s v="metric ton production/year"/>
    <n v="1.9709999999999998E-2"/>
    <n v="1.5130081671467503"/>
    <n v="1.253298934293501"/>
    <n v="1.7727173999999999"/>
    <n v="0"/>
    <n v="0"/>
    <n v="0"/>
    <n v="673.42499999999984"/>
    <n v="0"/>
    <n v="0"/>
    <n v="0"/>
    <n v="0"/>
    <n v="0"/>
    <n v="0"/>
    <n v="0"/>
    <n v="0"/>
    <n v="0"/>
    <n v="0"/>
  </r>
  <r>
    <x v="2"/>
    <x v="15"/>
    <s v="Green H2"/>
    <x v="1"/>
    <n v="180675"/>
    <s v="metric ton production/year"/>
    <n v="2.1680999999999999E-2"/>
    <n v="1.6356422986204109"/>
    <n v="1.3212954572408222"/>
    <n v="1.9499891399999998"/>
    <n v="0"/>
    <n v="0"/>
    <n v="0"/>
    <n v="740.76749999999993"/>
    <n v="0"/>
    <n v="0"/>
    <n v="0"/>
    <n v="0"/>
    <n v="0"/>
    <n v="0"/>
    <n v="0"/>
    <n v="0"/>
    <n v="0"/>
    <n v="0"/>
  </r>
  <r>
    <x v="2"/>
    <x v="16"/>
    <s v="Green H2"/>
    <x v="1"/>
    <n v="197100"/>
    <s v="metric ton production/year"/>
    <n v="2.3651999999999999E-2"/>
    <n v="1.753257612658794"/>
    <n v="1.3792543453175883"/>
    <n v="2.1272608799999997"/>
    <n v="0"/>
    <n v="0"/>
    <n v="0"/>
    <n v="808.1099999999999"/>
    <n v="0"/>
    <n v="0"/>
    <n v="0"/>
    <n v="0"/>
    <n v="0"/>
    <n v="0"/>
    <n v="0"/>
    <n v="0"/>
    <n v="0"/>
    <n v="0"/>
  </r>
  <r>
    <x v="2"/>
    <x v="17"/>
    <s v="Green H2"/>
    <x v="1"/>
    <n v="213525"/>
    <s v="metric ton production/year"/>
    <n v="2.5622999999999996E-2"/>
    <n v="1.8667458918056412"/>
    <n v="1.4289591636112824"/>
    <n v="2.3045326199999998"/>
    <n v="0"/>
    <n v="0"/>
    <n v="0"/>
    <n v="875.45249999999987"/>
    <n v="0"/>
    <n v="0"/>
    <n v="0"/>
    <n v="0"/>
    <n v="0"/>
    <n v="0"/>
    <n v="0"/>
    <n v="0"/>
    <n v="0"/>
    <n v="0"/>
  </r>
  <r>
    <x v="2"/>
    <x v="18"/>
    <s v="Green H2"/>
    <x v="1"/>
    <n v="229950"/>
    <s v="metric ton production/year"/>
    <n v="2.7593999999999997E-2"/>
    <n v="1.9766328413934795"/>
    <n v="1.4714613227869595"/>
    <n v="2.4818043599999995"/>
    <n v="0"/>
    <n v="0"/>
    <n v="0"/>
    <n v="942.79499999999985"/>
    <n v="0"/>
    <n v="0"/>
    <n v="0"/>
    <n v="0"/>
    <n v="0"/>
    <n v="0"/>
    <n v="0"/>
    <n v="0"/>
    <n v="0"/>
    <n v="0"/>
  </r>
  <r>
    <x v="2"/>
    <x v="19"/>
    <s v="Green H2"/>
    <x v="1"/>
    <n v="246375"/>
    <s v="metric ton production/year"/>
    <n v="2.9564999999999998E-2"/>
    <n v="2.0837465570741931"/>
    <n v="1.5084170141483868"/>
    <n v="2.6590760999999996"/>
    <n v="0"/>
    <n v="0"/>
    <n v="0"/>
    <n v="1010.1374999999999"/>
    <n v="0"/>
    <n v="0"/>
    <n v="0"/>
    <n v="0"/>
    <n v="0"/>
    <n v="0"/>
    <n v="0"/>
    <n v="0"/>
    <n v="0"/>
    <n v="0"/>
  </r>
  <r>
    <x v="2"/>
    <x v="20"/>
    <s v="Green H2"/>
    <x v="1"/>
    <n v="262800"/>
    <s v="metric ton production/year"/>
    <n v="3.1535999999999995E-2"/>
    <n v="2.1889309172917861"/>
    <n v="1.5415139945835732"/>
    <n v="2.8363478399999993"/>
    <n v="0"/>
    <n v="0"/>
    <n v="0"/>
    <n v="1077.48"/>
    <n v="0"/>
    <n v="0"/>
    <n v="0"/>
    <n v="0"/>
    <n v="0"/>
    <n v="0"/>
    <n v="0"/>
    <n v="0"/>
    <n v="0"/>
    <n v="0"/>
  </r>
  <r>
    <x v="2"/>
    <x v="0"/>
    <s v="Electricity"/>
    <x v="2"/>
    <n v="1171"/>
    <s v="MW"/>
    <n v="9.6702605611217567E-3"/>
    <n v="0.38691110363161241"/>
    <n v="0.35472836501890959"/>
    <n v="0.41909383955799928"/>
    <n v="4098.5"/>
    <n v="3278.7999999999997"/>
    <n v="4918.2"/>
    <n v="0"/>
    <n v="57379"/>
    <n v="5737.9"/>
    <n v="1024625"/>
    <n v="1270.5350000000001"/>
    <n v="40.516599999999997"/>
    <n v="33.022199999999998"/>
    <n v="39.111399999999996"/>
    <n v="6.5810199999999996"/>
    <n v="119.23121999999999"/>
    <n v="7153.8731999999991"/>
  </r>
  <r>
    <x v="2"/>
    <x v="1"/>
    <s v="Electricity"/>
    <x v="2"/>
    <n v="2342"/>
    <s v="MW"/>
    <n v="1.8886309524751267E-2"/>
    <n v="0.73348838330280919"/>
    <n v="0.66573516186895565"/>
    <n v="0.80124159949020701"/>
    <n v="8197"/>
    <n v="6557.5999999999995"/>
    <n v="9836.4"/>
    <n v="0"/>
    <n v="114758"/>
    <n v="11475.8"/>
    <n v="2049250"/>
    <n v="2541.0700000000002"/>
    <n v="40.516599999999997"/>
    <n v="33.022199999999998"/>
    <n v="39.111399999999996"/>
    <n v="6.5810199999999996"/>
    <n v="119.23121999999999"/>
    <n v="7153.8731999999991"/>
  </r>
  <r>
    <x v="2"/>
    <x v="2"/>
    <s v="Electricity"/>
    <x v="2"/>
    <n v="3513"/>
    <s v="MW"/>
    <n v="2.7648146890888538E-2"/>
    <n v="1.0413307139489523"/>
    <n v="0.93497275148942038"/>
    <n v="1.1476886687280652"/>
    <n v="12295.5"/>
    <n v="9836.4"/>
    <n v="14754.6"/>
    <n v="0"/>
    <n v="172137"/>
    <n v="17213.699999999997"/>
    <n v="3073875"/>
    <n v="3811.605"/>
    <n v="40.516599999999997"/>
    <n v="33.022199999999998"/>
    <n v="39.111399999999996"/>
    <n v="6.5810199999999996"/>
    <n v="119.23121999999999"/>
    <n v="7153.8731999999991"/>
  </r>
  <r>
    <x v="2"/>
    <x v="3"/>
    <s v="Electricity"/>
    <x v="2"/>
    <n v="4684"/>
    <s v="MW"/>
    <n v="3.5955772659533571E-2"/>
    <n v="1.3120369705054034"/>
    <n v="1.1643934948195851"/>
    <n v="1.4596804362030154"/>
    <n v="16394"/>
    <n v="13115.199999999999"/>
    <n v="19672.8"/>
    <n v="0"/>
    <n v="229516"/>
    <n v="22951.599999999999"/>
    <n v="4098500"/>
    <n v="5082.1400000000003"/>
    <n v="40.516599999999997"/>
    <n v="33.022199999999998"/>
    <n v="39.111399999999996"/>
    <n v="6.5810199999999996"/>
    <n v="119.23121999999999"/>
    <n v="7153.8731999999991"/>
  </r>
  <r>
    <x v="2"/>
    <x v="4"/>
    <s v="Electricity"/>
    <x v="2"/>
    <n v="5854"/>
    <s v="MW"/>
    <n v="4.3801704475975728E-2"/>
    <n v="1.5469417741025873"/>
    <n v="1.3557181644549579"/>
    <n v="1.7381653715824776"/>
    <n v="20489"/>
    <n v="16391.2"/>
    <n v="24586.799999999999"/>
    <n v="0"/>
    <n v="286846"/>
    <n v="28684.6"/>
    <n v="5122250"/>
    <n v="6351.59"/>
    <n v="40.481999999999999"/>
    <n v="32.994"/>
    <n v="39.077999999999996"/>
    <n v="6.5754000000000001"/>
    <n v="119.12939999999999"/>
    <n v="7147.7639999999992"/>
  </r>
  <r>
    <x v="2"/>
    <x v="5"/>
    <s v="Electricity"/>
    <x v="2"/>
    <n v="7025"/>
    <s v="MW"/>
    <n v="5.120110099139439E-2"/>
    <n v="1.7481879087193295"/>
    <n v="1.511378743484509"/>
    <n v="1.9849970597309223"/>
    <n v="24587.5"/>
    <n v="19670"/>
    <n v="29505"/>
    <n v="0"/>
    <n v="344225"/>
    <n v="34422.5"/>
    <n v="6146875"/>
    <n v="7622.125"/>
    <n v="40.516599999999997"/>
    <n v="33.022199999999998"/>
    <n v="39.111399999999996"/>
    <n v="6.5810199999999996"/>
    <n v="119.23121999999999"/>
    <n v="7153.8731999999991"/>
  </r>
  <r>
    <x v="2"/>
    <x v="6"/>
    <s v="Electricity"/>
    <x v="2"/>
    <n v="8196"/>
    <s v="MW"/>
    <n v="5.8146285909320798E-2"/>
    <n v="1.9170941389215412"/>
    <n v="1.6330790032884208"/>
    <n v="2.2011092584021217"/>
    <n v="28686"/>
    <n v="22948.799999999999"/>
    <n v="34423.200000000004"/>
    <n v="0"/>
    <n v="401604"/>
    <n v="40160.399999999994"/>
    <n v="7171500"/>
    <n v="8892.66"/>
    <n v="40.516599999999997"/>
    <n v="33.022199999999998"/>
    <n v="39.111399999999996"/>
    <n v="6.5810199999999996"/>
    <n v="119.23121999999999"/>
    <n v="7153.8731999999991"/>
  </r>
  <r>
    <x v="2"/>
    <x v="7"/>
    <s v="Electricity"/>
    <x v="2"/>
    <n v="9367"/>
    <s v="MW"/>
    <n v="6.4637259229754981E-2"/>
    <n v="2.0552593396445848"/>
    <n v="1.7227713048059754"/>
    <n v="2.3877473565275178"/>
    <n v="32784.5"/>
    <n v="26227.599999999999"/>
    <n v="39341.4"/>
    <n v="0"/>
    <n v="458983"/>
    <n v="45898.299999999996"/>
    <n v="8196125"/>
    <n v="10163.195"/>
    <n v="40.516599999999997"/>
    <n v="33.022199999999998"/>
    <n v="39.111399999999996"/>
    <n v="6.5810199999999996"/>
    <n v="119.23121999999999"/>
    <n v="7153.8731999999991"/>
  </r>
  <r>
    <x v="2"/>
    <x v="8"/>
    <s v="Electricity"/>
    <x v="2"/>
    <n v="10538"/>
    <s v="MW"/>
    <n v="7.0674020952696898E-2"/>
    <n v="2.1642823858238214"/>
    <n v="1.7824080089764547"/>
    <n v="2.5461567430385519"/>
    <n v="36883"/>
    <n v="29506.399999999998"/>
    <n v="44259.6"/>
    <n v="0"/>
    <n v="516362"/>
    <n v="51636.2"/>
    <n v="9220750"/>
    <n v="11433.73"/>
    <n v="40.516599999999997"/>
    <n v="33.022199999999998"/>
    <n v="39.111399999999996"/>
    <n v="6.5810199999999996"/>
    <n v="119.23121999999999"/>
    <n v="7153.8731999999991"/>
  </r>
  <r>
    <x v="2"/>
    <x v="9"/>
    <s v="Electricity"/>
    <x v="2"/>
    <n v="11709"/>
    <s v="MW"/>
    <n v="7.6256571078146596E-2"/>
    <n v="2.245762152394613"/>
    <n v="1.8139414767391404"/>
    <n v="2.6775828068666656"/>
    <n v="40981.5"/>
    <n v="32785.199999999997"/>
    <n v="49177.8"/>
    <n v="0"/>
    <n v="573741"/>
    <n v="57374.1"/>
    <n v="10245375"/>
    <n v="12704.264999999999"/>
    <n v="40.516599999999997"/>
    <n v="33.022199999999998"/>
    <n v="39.111399999999996"/>
    <n v="6.5810199999999996"/>
    <n v="119.23121999999999"/>
    <n v="7153.8731999999991"/>
  </r>
  <r>
    <x v="2"/>
    <x v="10"/>
    <s v="Electricity"/>
    <x v="2"/>
    <n v="12880"/>
    <s v="MW"/>
    <n v="8.1384909606104033E-2"/>
    <n v="2.3012975142923215"/>
    <n v="1.8193240690333143"/>
    <n v="2.7832709369433006"/>
    <n v="45080"/>
    <n v="36064"/>
    <n v="54096"/>
    <n v="0"/>
    <n v="631120"/>
    <n v="63111.999999999993"/>
    <n v="11270000"/>
    <n v="13974.8"/>
    <n v="40.516599999999997"/>
    <n v="33.022199999999998"/>
    <n v="39.111399999999996"/>
    <n v="6.5810199999999996"/>
    <n v="119.23121999999999"/>
    <n v="7153.8731999999991"/>
  </r>
  <r>
    <x v="2"/>
    <x v="11"/>
    <s v="Electricity"/>
    <x v="2"/>
    <n v="14051"/>
    <s v="MW"/>
    <n v="8.6059036536569253E-2"/>
    <n v="2.332487346452309"/>
    <n v="1.8005081467982589"/>
    <n v="2.8644665221998991"/>
    <n v="49178.5"/>
    <n v="39342.799999999996"/>
    <n v="59014.200000000004"/>
    <n v="0"/>
    <n v="688499"/>
    <n v="68849.899999999994"/>
    <n v="12294625"/>
    <n v="15245.334999999999"/>
    <n v="40.516599999999997"/>
    <n v="33.022199999999998"/>
    <n v="39.111399999999996"/>
    <n v="6.5810199999999996"/>
    <n v="119.23121999999999"/>
    <n v="7153.8731999999991"/>
  </r>
  <r>
    <x v="2"/>
    <x v="12"/>
    <s v="Electricity"/>
    <x v="2"/>
    <n v="15221"/>
    <s v="MW"/>
    <n v="9.0273021048896465E-2"/>
    <n v="2.3407767378078468"/>
    <n v="1.7593304852374139"/>
    <n v="2.9222229653012111"/>
    <n v="53273.5"/>
    <n v="42618.799999999996"/>
    <n v="63928.200000000004"/>
    <n v="0"/>
    <n v="745829"/>
    <n v="74582.899999999994"/>
    <n v="13318375"/>
    <n v="16514.785"/>
    <n v="40.481999999999999"/>
    <n v="32.994"/>
    <n v="39.077999999999996"/>
    <n v="6.5754000000000001"/>
    <n v="119.12939999999999"/>
    <n v="7147.7639999999992"/>
  </r>
  <r>
    <x v="2"/>
    <x v="13"/>
    <s v="Electricity"/>
    <x v="2"/>
    <n v="16392"/>
    <s v="MW"/>
    <n v="9.4038918726135304E-2"/>
    <n v="2.3280838956846757"/>
    <n v="1.6979866161984032"/>
    <n v="2.9581811490477463"/>
    <n v="57372"/>
    <n v="45897.599999999999"/>
    <n v="68846.400000000009"/>
    <n v="0"/>
    <n v="803208"/>
    <n v="80320.799999999988"/>
    <n v="14343000"/>
    <n v="17785.32"/>
    <n v="40.516599999999997"/>
    <n v="33.022199999999998"/>
    <n v="39.111399999999996"/>
    <n v="6.5810199999999996"/>
    <n v="119.23121999999999"/>
    <n v="7153.8731999999991"/>
  </r>
  <r>
    <x v="2"/>
    <x v="14"/>
    <s v="Electricity"/>
    <x v="2"/>
    <n v="17563"/>
    <s v="MW"/>
    <n v="9.7350604805881882E-2"/>
    <n v="2.2958416934989447"/>
    <n v="1.6183007596948227"/>
    <n v="2.9733826002599066"/>
    <n v="61470.5"/>
    <n v="49176.399999999994"/>
    <n v="73764.600000000006"/>
    <n v="0"/>
    <n v="860587"/>
    <n v="86058.7"/>
    <n v="15367625"/>
    <n v="19055.855"/>
    <n v="40.516599999999997"/>
    <n v="33.022199999999998"/>
    <n v="39.111399999999996"/>
    <n v="6.5810199999999996"/>
    <n v="119.23121999999999"/>
    <n v="7153.8731999999991"/>
  </r>
  <r>
    <x v="2"/>
    <x v="15"/>
    <s v="Electricity"/>
    <x v="2"/>
    <n v="18734"/>
    <s v="MW"/>
    <n v="0.10020807928813624"/>
    <n v="2.2456490061860159"/>
    <n v="1.522225276665955"/>
    <n v="2.9690727078691355"/>
    <n v="65569"/>
    <n v="52455.199999999997"/>
    <n v="78682.8"/>
    <n v="0"/>
    <n v="917966"/>
    <n v="91796.599999999991"/>
    <n v="16392250"/>
    <n v="20326.39"/>
    <n v="40.516599999999997"/>
    <n v="33.022199999999998"/>
    <n v="39.111399999999996"/>
    <n v="6.5810199999999996"/>
    <n v="119.23121999999999"/>
    <n v="7153.8731999999991"/>
  </r>
  <r>
    <x v="2"/>
    <x v="16"/>
    <s v="Electricity"/>
    <x v="2"/>
    <n v="19905"/>
    <s v="MW"/>
    <n v="0.10261134217289836"/>
    <n v="2.1791047086812507"/>
    <n v="1.4117125280510818"/>
    <n v="2.9464968608068731"/>
    <n v="69667.5"/>
    <n v="55734"/>
    <n v="83601"/>
    <n v="0"/>
    <n v="975345"/>
    <n v="97534.5"/>
    <n v="17416875"/>
    <n v="21596.924999999999"/>
    <n v="40.516599999999997"/>
    <n v="33.022199999999998"/>
    <n v="39.111399999999996"/>
    <n v="6.5810199999999996"/>
    <n v="119.23121999999999"/>
    <n v="7153.8731999999991"/>
  </r>
  <r>
    <x v="2"/>
    <x v="17"/>
    <s v="Electricity"/>
    <x v="2"/>
    <n v="21076"/>
    <s v="MW"/>
    <n v="0.10456039346016822"/>
    <n v="2.0978076759200115"/>
    <n v="1.288714874789485"/>
    <n v="2.9069004480045617"/>
    <n v="73766"/>
    <n v="59012.799999999996"/>
    <n v="88519.2"/>
    <n v="0"/>
    <n v="1032724"/>
    <n v="103272.4"/>
    <n v="18441500"/>
    <n v="22867.46"/>
    <n v="40.516599999999997"/>
    <n v="33.022199999999998"/>
    <n v="39.111399999999996"/>
    <n v="6.5810199999999996"/>
    <n v="119.23121999999999"/>
    <n v="7153.8731999999991"/>
  </r>
  <r>
    <x v="2"/>
    <x v="18"/>
    <s v="Electricity"/>
    <x v="2"/>
    <n v="22247"/>
    <s v="MW"/>
    <n v="0.10605523314994585"/>
    <n v="2.0033567828376597"/>
    <n v="1.1551846778204462"/>
    <n v="2.8515288583936429"/>
    <n v="77864.5"/>
    <n v="62291.6"/>
    <n v="93437.400000000009"/>
    <n v="0"/>
    <n v="1090103"/>
    <n v="109010.29999999999"/>
    <n v="19466125"/>
    <n v="24137.994999999999"/>
    <n v="40.516599999999997"/>
    <n v="33.022199999999998"/>
    <n v="39.111399999999996"/>
    <n v="6.5810199999999996"/>
    <n v="119.23121999999999"/>
    <n v="7153.8731999999991"/>
  </r>
  <r>
    <x v="2"/>
    <x v="19"/>
    <s v="Electricity"/>
    <x v="2"/>
    <n v="23418"/>
    <s v="MW"/>
    <n v="0.10709586124223124"/>
    <n v="1.8973509043695567"/>
    <n v="1.0130742980832477"/>
    <n v="2.7816274809055588"/>
    <n v="81963"/>
    <n v="65570.399999999994"/>
    <n v="98355.6"/>
    <n v="0"/>
    <n v="1147482"/>
    <n v="114748.2"/>
    <n v="20490750"/>
    <n v="25408.53"/>
    <n v="40.516599999999997"/>
    <n v="33.022199999999998"/>
    <n v="39.111399999999996"/>
    <n v="6.5810199999999996"/>
    <n v="119.23121999999999"/>
    <n v="7153.8731999999991"/>
  </r>
  <r>
    <x v="2"/>
    <x v="20"/>
    <s v="Electricity"/>
    <x v="2"/>
    <n v="24589"/>
    <s v="MW"/>
    <n v="0.10768227773702438"/>
    <n v="1.7813889154510654"/>
    <n v="0.86433609651717103"/>
    <n v="2.698441704471751"/>
    <n v="86061.5"/>
    <n v="68849.2"/>
    <n v="103273.8"/>
    <n v="0"/>
    <n v="1204861"/>
    <n v="120486.09999999999"/>
    <n v="21515375"/>
    <n v="26679.064999999999"/>
    <n v="40.516599999999997"/>
    <n v="33.022199999999998"/>
    <n v="39.111399999999996"/>
    <n v="6.5810199999999996"/>
    <n v="119.23121999999999"/>
    <n v="7153.8731999999991"/>
  </r>
  <r>
    <x v="2"/>
    <x v="0"/>
    <s v="Electricity"/>
    <x v="3"/>
    <n v="99"/>
    <s v="MW"/>
    <n v="8.9195705339215775E-4"/>
    <n v="3.568756867911406E-2"/>
    <n v="3.2719125324186867E-2"/>
    <n v="3.8656011786263191E-2"/>
    <n v="247.5"/>
    <n v="79.2"/>
    <n v="415.8"/>
    <n v="0"/>
    <n v="3465"/>
    <n v="346.5"/>
    <n v="61875"/>
    <n v="76.724999999999994"/>
    <n v="2.3363999999999998"/>
    <n v="4.0491000000000001"/>
    <n v="1.98"/>
    <n v="0.11187"/>
    <n v="8.4773700000000005"/>
    <n v="67.818960000000004"/>
  </r>
  <r>
    <x v="2"/>
    <x v="1"/>
    <s v="Electricity"/>
    <x v="3"/>
    <n v="212"/>
    <s v="MW"/>
    <n v="1.8947544793857763E-3"/>
    <n v="7.3586657997904037E-2"/>
    <n v="6.6789368160184881E-2"/>
    <n v="8.038394730927656E-2"/>
    <n v="530"/>
    <n v="169.60000000000002"/>
    <n v="890.40000000000009"/>
    <n v="0"/>
    <n v="7420"/>
    <n v="742"/>
    <n v="132500"/>
    <n v="164.3"/>
    <n v="2.6667999999999998"/>
    <n v="4.6216999999999997"/>
    <n v="2.2600000000000002"/>
    <n v="0.12769"/>
    <n v="9.6761900000000018"/>
    <n v="77.409520000000015"/>
  </r>
  <r>
    <x v="2"/>
    <x v="2"/>
    <s v="Electricity"/>
    <x v="3"/>
    <n v="325"/>
    <s v="MW"/>
    <n v="2.8812468920218714E-3"/>
    <n v="0.10851833560393502"/>
    <n v="9.7434643449532649E-2"/>
    <n v="0.11960202695795161"/>
    <n v="812.5"/>
    <n v="260"/>
    <n v="1365"/>
    <n v="0"/>
    <n v="11375"/>
    <n v="1137.5"/>
    <n v="203125"/>
    <n v="251.875"/>
    <n v="2.6667999999999998"/>
    <n v="4.6216999999999997"/>
    <n v="2.2600000000000002"/>
    <n v="0.12769"/>
    <n v="9.6761900000000018"/>
    <n v="77.409520000000015"/>
  </r>
  <r>
    <x v="2"/>
    <x v="3"/>
    <s v="Electricity"/>
    <x v="3"/>
    <n v="438"/>
    <s v="MW"/>
    <n v="3.8514342913004433E-3"/>
    <n v="0.14053999694312261"/>
    <n v="0.12472503586503352"/>
    <n v="0.15635495695131618"/>
    <n v="1095"/>
    <n v="350.40000000000003"/>
    <n v="1839.6000000000001"/>
    <n v="0"/>
    <n v="15330"/>
    <n v="1533"/>
    <n v="273750"/>
    <n v="339.45"/>
    <n v="2.6667999999999998"/>
    <n v="4.6216999999999997"/>
    <n v="2.2600000000000002"/>
    <n v="0.12769"/>
    <n v="9.6761900000000018"/>
    <n v="77.409520000000015"/>
  </r>
  <r>
    <x v="2"/>
    <x v="4"/>
    <s v="Electricity"/>
    <x v="3"/>
    <n v="551"/>
    <s v="MW"/>
    <n v="4.8053166772214911E-3"/>
    <n v="0.16970903746138233"/>
    <n v="0.14873063007949069"/>
    <n v="0.19068744350839809"/>
    <n v="1377.5"/>
    <n v="440.8"/>
    <n v="2314.2000000000003"/>
    <n v="0"/>
    <n v="19285"/>
    <n v="1928.4999999999998"/>
    <n v="344375"/>
    <n v="427.02499999999998"/>
    <n v="2.6667999999999998"/>
    <n v="4.6216999999999997"/>
    <n v="2.2600000000000002"/>
    <n v="0.12769"/>
    <n v="9.6761900000000018"/>
    <n v="77.409520000000015"/>
  </r>
  <r>
    <x v="2"/>
    <x v="5"/>
    <s v="Electricity"/>
    <x v="3"/>
    <n v="664"/>
    <s v="MW"/>
    <n v="5.7428940497850156E-3"/>
    <n v="0.19608285260462974"/>
    <n v="0.16952151076570751"/>
    <n v="0.2226441928482252"/>
    <n v="1660"/>
    <n v="531.20000000000005"/>
    <n v="2788.8"/>
    <n v="0"/>
    <n v="23240"/>
    <n v="2324"/>
    <n v="415000"/>
    <n v="514.6"/>
    <n v="2.6667999999999998"/>
    <n v="4.6216999999999997"/>
    <n v="2.2600000000000002"/>
    <n v="0.12769"/>
    <n v="9.6761900000000018"/>
    <n v="77.409520000000015"/>
  </r>
  <r>
    <x v="2"/>
    <x v="6"/>
    <s v="Electricity"/>
    <x v="3"/>
    <n v="777"/>
    <s v="MW"/>
    <n v="6.6641664089910164E-3"/>
    <n v="0.2197188378187804"/>
    <n v="0.18716776259648721"/>
    <n v="0.25226991118982528"/>
    <n v="1942.5"/>
    <n v="621.6"/>
    <n v="3263.4"/>
    <n v="0"/>
    <n v="27195"/>
    <n v="2719.5"/>
    <n v="485625"/>
    <n v="602.17499999999995"/>
    <n v="2.6667999999999998"/>
    <n v="4.6216999999999997"/>
    <n v="2.2600000000000002"/>
    <n v="0.12769"/>
    <n v="9.6761900000000018"/>
    <n v="77.409520000000015"/>
  </r>
  <r>
    <x v="2"/>
    <x v="7"/>
    <s v="Electricity"/>
    <x v="3"/>
    <n v="890"/>
    <s v="MW"/>
    <n v="7.5691337548394943E-3"/>
    <n v="0.24067438854974987"/>
    <n v="0.20173947024463307"/>
    <n v="0.27960930475222628"/>
    <n v="2225"/>
    <n v="712"/>
    <n v="3738"/>
    <n v="0"/>
    <n v="31150"/>
    <n v="3115"/>
    <n v="556250"/>
    <n v="689.75"/>
    <n v="2.6667999999999998"/>
    <n v="4.6216999999999997"/>
    <n v="2.2600000000000002"/>
    <n v="0.12769"/>
    <n v="9.6761900000000018"/>
    <n v="77.409520000000015"/>
  </r>
  <r>
    <x v="2"/>
    <x v="8"/>
    <s v="Electricity"/>
    <x v="3"/>
    <n v="1003"/>
    <s v="MW"/>
    <n v="8.4577960873304502E-3"/>
    <n v="0.25900690024345374"/>
    <n v="0.21330671838294843"/>
    <n v="0.30470707975445593"/>
    <n v="2507.5"/>
    <n v="802.40000000000009"/>
    <n v="4212.6000000000004"/>
    <n v="0"/>
    <n v="35105"/>
    <n v="3510.5"/>
    <n v="626875"/>
    <n v="777.32500000000005"/>
    <n v="2.6667999999999998"/>
    <n v="4.6216999999999997"/>
    <n v="2.2600000000000002"/>
    <n v="0.12769"/>
    <n v="9.6761900000000018"/>
    <n v="77.409520000000015"/>
  </r>
  <r>
    <x v="2"/>
    <x v="9"/>
    <s v="Electricity"/>
    <x v="3"/>
    <n v="1116"/>
    <s v="MW"/>
    <n v="9.3301534064638789E-3"/>
    <n v="0.27477376834580741"/>
    <n v="0.22193959168423644"/>
    <n v="0.32760794241554198"/>
    <n v="2790"/>
    <n v="892.80000000000007"/>
    <n v="4687.2"/>
    <n v="0"/>
    <n v="39060"/>
    <n v="3905.9999999999995"/>
    <n v="697500"/>
    <n v="864.9"/>
    <n v="2.6667999999999998"/>
    <n v="4.6216999999999997"/>
    <n v="2.2600000000000002"/>
    <n v="0.12769"/>
    <n v="9.6761900000000018"/>
    <n v="77.409520000000015"/>
  </r>
  <r>
    <x v="2"/>
    <x v="10"/>
    <s v="Electricity"/>
    <x v="3"/>
    <n v="1229"/>
    <s v="MW"/>
    <n v="1.0186205712239787E-2"/>
    <n v="0.28803238830272665"/>
    <n v="0.22770817482130051"/>
    <n v="0.34835659895451243"/>
    <n v="3072.5"/>
    <n v="983.2"/>
    <n v="5161.8"/>
    <n v="0"/>
    <n v="43015"/>
    <n v="4301.5"/>
    <n v="768125"/>
    <n v="952.47500000000002"/>
    <n v="2.6667999999999998"/>
    <n v="4.6216999999999997"/>
    <n v="2.2600000000000002"/>
    <n v="0.12769"/>
    <n v="9.6761900000000018"/>
    <n v="77.409520000000015"/>
  </r>
  <r>
    <x v="2"/>
    <x v="11"/>
    <s v="Electricity"/>
    <x v="3"/>
    <n v="1342"/>
    <s v="MW"/>
    <n v="1.1025953004658169E-2"/>
    <n v="0.29884015556012689"/>
    <n v="0.23068255246694386"/>
    <n v="0.36699775559039499"/>
    <n v="3355"/>
    <n v="1073.6000000000001"/>
    <n v="5636.4000000000005"/>
    <n v="0"/>
    <n v="46970"/>
    <n v="4697"/>
    <n v="838750"/>
    <n v="1040.05"/>
    <n v="2.6667999999999998"/>
    <n v="4.6216999999999997"/>
    <n v="2.2600000000000002"/>
    <n v="0.12769"/>
    <n v="9.6761900000000018"/>
    <n v="77.409520000000015"/>
  </r>
  <r>
    <x v="2"/>
    <x v="12"/>
    <s v="Electricity"/>
    <x v="3"/>
    <n v="1455"/>
    <s v="MW"/>
    <n v="1.1849395283719031E-2"/>
    <n v="0.30725446556392372"/>
    <n v="0.23093280929396978"/>
    <n v="0.38357611854221757"/>
    <n v="3637.5"/>
    <n v="1164"/>
    <n v="6111"/>
    <n v="0"/>
    <n v="50925"/>
    <n v="5092.5"/>
    <n v="909375"/>
    <n v="1127.625"/>
    <n v="2.6667999999999998"/>
    <n v="4.6216999999999997"/>
    <n v="2.2600000000000002"/>
    <n v="0.12769"/>
    <n v="9.6761900000000018"/>
    <n v="77.409520000000015"/>
  </r>
  <r>
    <x v="2"/>
    <x v="13"/>
    <s v="Electricity"/>
    <x v="3"/>
    <n v="1568"/>
    <s v="MW"/>
    <n v="1.2656532549422367E-2"/>
    <n v="0.31333271376003269"/>
    <n v="0.22852902997518157"/>
    <n v="0.39813639402900797"/>
    <n v="3920"/>
    <n v="1254.4000000000001"/>
    <n v="6585.6"/>
    <n v="0"/>
    <n v="54880"/>
    <n v="5488"/>
    <n v="980000"/>
    <n v="1215.2"/>
    <n v="2.6667999999999998"/>
    <n v="4.6216999999999997"/>
    <n v="2.2600000000000002"/>
    <n v="0.12769"/>
    <n v="9.6761900000000018"/>
    <n v="77.409520000000015"/>
  </r>
  <r>
    <x v="2"/>
    <x v="14"/>
    <s v="Electricity"/>
    <x v="3"/>
    <n v="1681"/>
    <s v="MW"/>
    <n v="1.3447364801768181E-2"/>
    <n v="0.31713229559436934"/>
    <n v="0.22354129918338242"/>
    <n v="0.41072328826979404"/>
    <n v="4202.5"/>
    <n v="1344.8000000000002"/>
    <n v="7060.2000000000007"/>
    <n v="0"/>
    <n v="58835"/>
    <n v="5883.5"/>
    <n v="1050625"/>
    <n v="1302.7750000000001"/>
    <n v="2.6667999999999998"/>
    <n v="4.6216999999999997"/>
    <n v="2.2600000000000002"/>
    <n v="0.12769"/>
    <n v="9.6761900000000018"/>
    <n v="77.409520000000015"/>
  </r>
  <r>
    <x v="2"/>
    <x v="15"/>
    <s v="Electricity"/>
    <x v="3"/>
    <n v="1794"/>
    <s v="MW"/>
    <n v="1.4221892040756471E-2"/>
    <n v="0.31871060651284916"/>
    <n v="0.21603970159137564"/>
    <n v="0.42138150748360353"/>
    <n v="4485"/>
    <n v="1435.2"/>
    <n v="7534.8"/>
    <n v="0"/>
    <n v="62790"/>
    <n v="6279"/>
    <n v="1121250"/>
    <n v="1390.35"/>
    <n v="2.6667999999999998"/>
    <n v="4.6216999999999997"/>
    <n v="2.2600000000000002"/>
    <n v="0.12769"/>
    <n v="9.6761900000000018"/>
    <n v="77.409520000000015"/>
  </r>
  <r>
    <x v="2"/>
    <x v="16"/>
    <s v="Electricity"/>
    <x v="3"/>
    <n v="1907"/>
    <s v="MW"/>
    <n v="1.4980114266387238E-2"/>
    <n v="0.31812504196138786"/>
    <n v="0.20609432187196458"/>
    <n v="0.43015575788946442"/>
    <n v="4767.5"/>
    <n v="1525.6000000000001"/>
    <n v="8009.4000000000005"/>
    <n v="0"/>
    <n v="66745"/>
    <n v="6674.5"/>
    <n v="1191875"/>
    <n v="1477.925"/>
    <n v="2.6667999999999998"/>
    <n v="4.6216999999999997"/>
    <n v="2.2600000000000002"/>
    <n v="0.12769"/>
    <n v="9.6761900000000018"/>
    <n v="77.409520000000015"/>
  </r>
  <r>
    <x v="2"/>
    <x v="17"/>
    <s v="Electricity"/>
    <x v="3"/>
    <n v="2020"/>
    <s v="MW"/>
    <n v="1.5722031478660484E-2"/>
    <n v="0.31543299738590086"/>
    <n v="0.19377524469795243"/>
    <n v="0.43709074570640438"/>
    <n v="5050"/>
    <n v="1616"/>
    <n v="8484"/>
    <n v="0"/>
    <n v="70700"/>
    <n v="7070"/>
    <n v="1262500"/>
    <n v="1565.5"/>
    <n v="2.6667999999999998"/>
    <n v="4.6216999999999997"/>
    <n v="2.2600000000000002"/>
    <n v="0.12769"/>
    <n v="9.6761900000000018"/>
    <n v="77.409520000000015"/>
  </r>
  <r>
    <x v="2"/>
    <x v="18"/>
    <s v="Electricity"/>
    <x v="3"/>
    <n v="2132"/>
    <s v="MW"/>
    <n v="1.6439932639752675E-2"/>
    <n v="0.31054620865976162"/>
    <n v="0.17906856385853157"/>
    <n v="0.44202384889412005"/>
    <n v="5330"/>
    <n v="1705.6000000000001"/>
    <n v="8954.4"/>
    <n v="0"/>
    <n v="74620"/>
    <n v="7461.9999999999991"/>
    <n v="1332500"/>
    <n v="1652.3"/>
    <n v="2.6431999999999998"/>
    <n v="4.5808"/>
    <n v="2.2400000000000002"/>
    <n v="0.12656000000000001"/>
    <n v="9.5905600000000018"/>
    <n v="76.724480000000014"/>
  </r>
  <r>
    <x v="2"/>
    <x v="19"/>
    <s v="Electricity"/>
    <x v="3"/>
    <n v="2245"/>
    <s v="MW"/>
    <n v="1.7149311971387676E-2"/>
    <n v="0.30382371644252881"/>
    <n v="0.16222407650962781"/>
    <n v="0.44542335161149871"/>
    <n v="5612.5"/>
    <n v="1796"/>
    <n v="9429"/>
    <n v="0"/>
    <n v="78575"/>
    <n v="7857.4999999999991"/>
    <n v="1403125"/>
    <n v="1739.875"/>
    <n v="2.6667999999999998"/>
    <n v="4.6216999999999997"/>
    <n v="2.2600000000000002"/>
    <n v="0.12769"/>
    <n v="9.6761900000000018"/>
    <n v="77.409520000000015"/>
  </r>
  <r>
    <x v="2"/>
    <x v="20"/>
    <s v="Electricity"/>
    <x v="3"/>
    <n v="2358"/>
    <s v="MW"/>
    <n v="1.7842386289665155E-2"/>
    <n v="0.29516676123091701"/>
    <n v="0.14321593898508508"/>
    <n v="0.44711757852028783"/>
    <n v="5895"/>
    <n v="1886.4"/>
    <n v="9903.6"/>
    <n v="0"/>
    <n v="82530"/>
    <n v="8253"/>
    <n v="1473750"/>
    <n v="1827.45"/>
    <n v="2.6667999999999998"/>
    <n v="4.6216999999999997"/>
    <n v="2.2600000000000002"/>
    <n v="0.12769"/>
    <n v="9.6761900000000018"/>
    <n v="77.409520000000015"/>
  </r>
  <r>
    <x v="2"/>
    <x v="0"/>
    <s v="Electricity"/>
    <x v="4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Electricity"/>
    <x v="4"/>
    <n v="5"/>
    <s v="MW"/>
    <n v="1.0784054976135365E-4"/>
    <n v="4.1882078865263742E-3"/>
    <n v="3.8013379880978866E-3"/>
    <n v="4.5750777549976767E-3"/>
    <n v="0"/>
    <n v="0"/>
    <n v="0"/>
    <n v="2.0500000000000001E-2"/>
    <n v="0"/>
    <n v="0"/>
    <n v="0"/>
    <n v="0"/>
    <n v="0"/>
    <n v="0"/>
    <n v="0"/>
    <n v="0"/>
    <n v="0"/>
    <n v="0"/>
  </r>
  <r>
    <x v="2"/>
    <x v="2"/>
    <s v="Electricity"/>
    <x v="4"/>
    <n v="5"/>
    <s v="MW"/>
    <n v="1.0705490865668688E-4"/>
    <n v="4.0320808806157552E-3"/>
    <n v="3.6202579110347871E-3"/>
    <n v="4.4439038204577841E-3"/>
    <n v="0"/>
    <n v="0"/>
    <n v="0"/>
    <n v="2.0500000000000001E-2"/>
    <n v="0"/>
    <n v="0"/>
    <n v="0"/>
    <n v="0"/>
    <n v="0"/>
    <n v="0"/>
    <n v="0"/>
    <n v="0"/>
    <n v="0"/>
    <n v="0"/>
  </r>
  <r>
    <x v="2"/>
    <x v="3"/>
    <s v="Electricity"/>
    <x v="4"/>
    <n v="5"/>
    <s v="MW"/>
    <n v="1.0626926755202014E-4"/>
    <n v="3.8777975702828189E-3"/>
    <n v="3.4414291415318862E-3"/>
    <n v="4.3141659695130567E-3"/>
    <n v="0"/>
    <n v="0"/>
    <n v="0"/>
    <n v="2.0500000000000001E-2"/>
    <n v="0"/>
    <n v="0"/>
    <n v="0"/>
    <n v="0"/>
    <n v="0"/>
    <n v="0"/>
    <n v="0"/>
    <n v="0"/>
    <n v="0"/>
    <n v="0"/>
  </r>
  <r>
    <x v="2"/>
    <x v="4"/>
    <s v="Electricity"/>
    <x v="4"/>
    <n v="5"/>
    <s v="MW"/>
    <n v="1.0548362644735336E-4"/>
    <n v="3.7253579555275619E-3"/>
    <n v="3.2648516795891823E-3"/>
    <n v="4.1858642021634926E-3"/>
    <n v="0"/>
    <n v="0"/>
    <n v="0"/>
    <n v="2.0500000000000001E-2"/>
    <n v="0"/>
    <n v="0"/>
    <n v="0"/>
    <n v="0"/>
    <n v="0"/>
    <n v="0"/>
    <n v="0"/>
    <n v="0"/>
    <n v="0"/>
    <n v="0"/>
  </r>
  <r>
    <x v="2"/>
    <x v="5"/>
    <s v="Electricity"/>
    <x v="4"/>
    <n v="10"/>
    <s v="MW"/>
    <n v="2.0939597068537322E-4"/>
    <n v="7.1495240726999736E-3"/>
    <n v="6.181051050413354E-3"/>
    <n v="8.1179970368181857E-3"/>
    <n v="0"/>
    <n v="0"/>
    <n v="0"/>
    <n v="4.1000000000000002E-2"/>
    <n v="0"/>
    <n v="0"/>
    <n v="0"/>
    <n v="0"/>
    <n v="0"/>
    <n v="0"/>
    <n v="0"/>
    <n v="0"/>
    <n v="0"/>
    <n v="0"/>
  </r>
  <r>
    <x v="2"/>
    <x v="6"/>
    <s v="Electricity"/>
    <x v="4"/>
    <n v="10"/>
    <s v="MW"/>
    <n v="2.078246884760397E-4"/>
    <n v="6.8520196255001829E-3"/>
    <n v="5.8369013567687372E-3"/>
    <n v="7.8671378364997113E-3"/>
    <n v="0"/>
    <n v="0"/>
    <n v="0"/>
    <n v="4.1000000000000002E-2"/>
    <n v="0"/>
    <n v="0"/>
    <n v="0"/>
    <n v="0"/>
    <n v="0"/>
    <n v="0"/>
    <n v="0"/>
    <n v="0"/>
    <n v="0"/>
    <n v="0"/>
  </r>
  <r>
    <x v="2"/>
    <x v="7"/>
    <s v="Electricity"/>
    <x v="4"/>
    <n v="15"/>
    <s v="MW"/>
    <n v="3.0938010940005932E-4"/>
    <n v="9.8373038541836339E-3"/>
    <n v="8.2458814173667749E-3"/>
    <n v="1.1428726205057351E-2"/>
    <n v="0"/>
    <n v="0"/>
    <n v="0"/>
    <n v="6.1499999999999992E-2"/>
    <n v="0"/>
    <n v="0"/>
    <n v="0"/>
    <n v="0"/>
    <n v="0"/>
    <n v="0"/>
    <n v="0"/>
    <n v="0"/>
    <n v="0"/>
    <n v="0"/>
  </r>
  <r>
    <x v="2"/>
    <x v="8"/>
    <s v="Electricity"/>
    <x v="4"/>
    <n v="15"/>
    <s v="MW"/>
    <n v="3.0702318608605896E-4"/>
    <n v="9.4021093568500327E-3"/>
    <n v="7.7431647222610351E-3"/>
    <n v="1.1061053906150625E-2"/>
    <n v="0"/>
    <n v="0"/>
    <n v="0"/>
    <n v="6.1499999999999992E-2"/>
    <n v="0"/>
    <n v="0"/>
    <n v="0"/>
    <n v="0"/>
    <n v="0"/>
    <n v="0"/>
    <n v="0"/>
    <n v="0"/>
    <n v="0"/>
    <n v="0"/>
  </r>
  <r>
    <x v="2"/>
    <x v="9"/>
    <s v="Electricity"/>
    <x v="4"/>
    <n v="15"/>
    <s v="MW"/>
    <n v="3.0466626277205871E-4"/>
    <n v="8.9724459462494754E-3"/>
    <n v="7.2472019498358905E-3"/>
    <n v="1.0697689858029389E-2"/>
    <n v="0"/>
    <n v="0"/>
    <n v="0"/>
    <n v="6.1499999999999992E-2"/>
    <n v="0"/>
    <n v="0"/>
    <n v="0"/>
    <n v="0"/>
    <n v="0"/>
    <n v="0"/>
    <n v="0"/>
    <n v="0"/>
    <n v="0"/>
    <n v="0"/>
  </r>
  <r>
    <x v="2"/>
    <x v="10"/>
    <s v="Electricity"/>
    <x v="4"/>
    <n v="15"/>
    <s v="MW"/>
    <n v="3.0230933945805846E-4"/>
    <n v="8.5483136223819586E-3"/>
    <n v="6.7579931000913383E-3"/>
    <n v="1.0338634060693644E-2"/>
    <n v="0"/>
    <n v="0"/>
    <n v="0"/>
    <n v="6.1499999999999992E-2"/>
    <n v="0"/>
    <n v="0"/>
    <n v="0"/>
    <n v="0"/>
    <n v="0"/>
    <n v="0"/>
    <n v="0"/>
    <n v="0"/>
    <n v="0"/>
    <n v="0"/>
  </r>
  <r>
    <x v="2"/>
    <x v="11"/>
    <s v="Electricity"/>
    <x v="4"/>
    <n v="15"/>
    <s v="MW"/>
    <n v="2.9995241614405821E-4"/>
    <n v="8.1297123852474857E-3"/>
    <n v="6.2755381730273795E-3"/>
    <n v="9.9838865141433919E-3"/>
    <n v="0"/>
    <n v="0"/>
    <n v="0"/>
    <n v="6.1499999999999992E-2"/>
    <n v="0"/>
    <n v="0"/>
    <n v="0"/>
    <n v="0"/>
    <n v="0"/>
    <n v="0"/>
    <n v="0"/>
    <n v="0"/>
    <n v="0"/>
    <n v="0"/>
  </r>
  <r>
    <x v="2"/>
    <x v="12"/>
    <s v="Electricity"/>
    <x v="4"/>
    <n v="15"/>
    <s v="MW"/>
    <n v="2.9759549283005785E-4"/>
    <n v="7.7166422348460542E-3"/>
    <n v="5.7998371686440132E-3"/>
    <n v="9.6334472183786275E-3"/>
    <n v="0"/>
    <n v="0"/>
    <n v="0"/>
    <n v="6.1499999999999992E-2"/>
    <n v="0"/>
    <n v="0"/>
    <n v="0"/>
    <n v="0"/>
    <n v="0"/>
    <n v="0"/>
    <n v="0"/>
    <n v="0"/>
    <n v="0"/>
    <n v="0"/>
  </r>
  <r>
    <x v="2"/>
    <x v="13"/>
    <s v="Electricity"/>
    <x v="4"/>
    <n v="15"/>
    <s v="MW"/>
    <n v="2.952385695160576E-4"/>
    <n v="7.3091031711776666E-3"/>
    <n v="5.3308900869412411E-3"/>
    <n v="9.2873161733993594E-3"/>
    <n v="0"/>
    <n v="0"/>
    <n v="0"/>
    <n v="6.1499999999999992E-2"/>
    <n v="0"/>
    <n v="0"/>
    <n v="0"/>
    <n v="0"/>
    <n v="0"/>
    <n v="0"/>
    <n v="0"/>
    <n v="0"/>
    <n v="0"/>
    <n v="0"/>
  </r>
  <r>
    <x v="2"/>
    <x v="14"/>
    <s v="Electricity"/>
    <x v="4"/>
    <n v="15"/>
    <s v="MW"/>
    <n v="2.9288164620205735E-4"/>
    <n v="6.9070951942423204E-3"/>
    <n v="4.8686969279190606E-3"/>
    <n v="8.9454933792055807E-3"/>
    <n v="0"/>
    <n v="0"/>
    <n v="0"/>
    <n v="6.1499999999999992E-2"/>
    <n v="0"/>
    <n v="0"/>
    <n v="0"/>
    <n v="0"/>
    <n v="0"/>
    <n v="0"/>
    <n v="0"/>
    <n v="0"/>
    <n v="0"/>
    <n v="0"/>
  </r>
  <r>
    <x v="2"/>
    <x v="15"/>
    <s v="Electricity"/>
    <x v="4"/>
    <n v="15"/>
    <s v="MW"/>
    <n v="2.905247228880571E-4"/>
    <n v="6.5106183040400164E-3"/>
    <n v="4.4132576915774735E-3"/>
    <n v="8.607978835797293E-3"/>
    <n v="0"/>
    <n v="0"/>
    <n v="0"/>
    <n v="6.1499999999999992E-2"/>
    <n v="0"/>
    <n v="0"/>
    <n v="0"/>
    <n v="0"/>
    <n v="0"/>
    <n v="0"/>
    <n v="0"/>
    <n v="0"/>
    <n v="0"/>
    <n v="0"/>
  </r>
  <r>
    <x v="2"/>
    <x v="16"/>
    <s v="Electricity"/>
    <x v="4"/>
    <n v="15"/>
    <s v="MW"/>
    <n v="2.8816779957405674E-4"/>
    <n v="6.1196725005707537E-3"/>
    <n v="3.9645723779164789E-3"/>
    <n v="8.2747725431744946E-3"/>
    <n v="0"/>
    <n v="0"/>
    <n v="0"/>
    <n v="6.1499999999999992E-2"/>
    <n v="0"/>
    <n v="0"/>
    <n v="0"/>
    <n v="0"/>
    <n v="0"/>
    <n v="0"/>
    <n v="0"/>
    <n v="0"/>
    <n v="0"/>
    <n v="0"/>
  </r>
  <r>
    <x v="2"/>
    <x v="17"/>
    <s v="Electricity"/>
    <x v="4"/>
    <n v="15"/>
    <s v="MW"/>
    <n v="2.8581087626005649E-4"/>
    <n v="5.7342577838345342E-3"/>
    <n v="3.5226409869360785E-3"/>
    <n v="7.9458745013371909E-3"/>
    <n v="0"/>
    <n v="0"/>
    <n v="0"/>
    <n v="6.1499999999999992E-2"/>
    <n v="0"/>
    <n v="0"/>
    <n v="0"/>
    <n v="0"/>
    <n v="0"/>
    <n v="0"/>
    <n v="0"/>
    <n v="0"/>
    <n v="0"/>
    <n v="0"/>
  </r>
  <r>
    <x v="2"/>
    <x v="18"/>
    <s v="Electricity"/>
    <x v="4"/>
    <n v="15"/>
    <s v="MW"/>
    <n v="2.8345395294605624E-4"/>
    <n v="5.3543741538313568E-3"/>
    <n v="3.087463518636271E-3"/>
    <n v="7.6212847102853764E-3"/>
    <n v="0"/>
    <n v="0"/>
    <n v="0"/>
    <n v="6.1499999999999992E-2"/>
    <n v="0"/>
    <n v="0"/>
    <n v="0"/>
    <n v="0"/>
    <n v="0"/>
    <n v="0"/>
    <n v="0"/>
    <n v="0"/>
    <n v="0"/>
    <n v="0"/>
  </r>
  <r>
    <x v="2"/>
    <x v="19"/>
    <s v="Electricity"/>
    <x v="4"/>
    <n v="15"/>
    <s v="MW"/>
    <n v="2.8109702963205599E-4"/>
    <n v="4.9800216105612216E-3"/>
    <n v="2.6590399730170564E-3"/>
    <n v="7.3010031700190547E-3"/>
    <n v="0"/>
    <n v="0"/>
    <n v="0"/>
    <n v="6.1499999999999992E-2"/>
    <n v="0"/>
    <n v="0"/>
    <n v="0"/>
    <n v="0"/>
    <n v="0"/>
    <n v="0"/>
    <n v="0"/>
    <n v="0"/>
    <n v="0"/>
    <n v="0"/>
  </r>
  <r>
    <x v="2"/>
    <x v="20"/>
    <s v="Electricity"/>
    <x v="4"/>
    <n v="15"/>
    <s v="MW"/>
    <n v="2.7874010631805568E-4"/>
    <n v="4.6112001540241296E-3"/>
    <n v="2.2373703500784348E-3"/>
    <n v="6.9850298805382242E-3"/>
    <n v="0"/>
    <n v="0"/>
    <n v="0"/>
    <n v="6.1499999999999992E-2"/>
    <n v="0"/>
    <n v="0"/>
    <n v="0"/>
    <n v="0"/>
    <n v="0"/>
    <n v="0"/>
    <n v="0"/>
    <n v="0"/>
    <n v="0"/>
    <n v="0"/>
  </r>
  <r>
    <x v="2"/>
    <x v="0"/>
    <s v="Electricity"/>
    <x v="5"/>
    <n v="588"/>
    <s v="MW"/>
    <n v="2.4788587405349559E-3"/>
    <n v="9.9180158071768915E-2"/>
    <n v="9.0930487610438954E-2"/>
    <n v="0.10742982784449304"/>
    <n v="0"/>
    <n v="0"/>
    <n v="0"/>
    <n v="0"/>
    <n v="0"/>
    <n v="0"/>
    <n v="0"/>
    <n v="0"/>
    <n v="0"/>
    <n v="0"/>
    <n v="0"/>
    <n v="0"/>
    <n v="0"/>
    <n v="0"/>
  </r>
  <r>
    <x v="2"/>
    <x v="1"/>
    <s v="Electricity"/>
    <x v="5"/>
    <n v="1176"/>
    <s v="MW"/>
    <n v="4.9577174810699117E-3"/>
    <n v="0.19254307864097853"/>
    <n v="0.17475763835359978"/>
    <n v="0.21032851755114568"/>
    <n v="0"/>
    <n v="0"/>
    <n v="0"/>
    <n v="0"/>
    <n v="0"/>
    <n v="0"/>
    <n v="0"/>
    <n v="0"/>
    <n v="0"/>
    <n v="0"/>
    <n v="0"/>
    <n v="0"/>
    <n v="0"/>
    <n v="0"/>
  </r>
  <r>
    <x v="2"/>
    <x v="2"/>
    <s v="Electricity"/>
    <x v="5"/>
    <n v="1764"/>
    <s v="MW"/>
    <n v="7.4365762216048693E-3"/>
    <n v="0.28008876170762886"/>
    <n v="0.25148145222948248"/>
    <n v="0.30869606911995784"/>
    <n v="0"/>
    <n v="0"/>
    <n v="0"/>
    <n v="0"/>
    <n v="0"/>
    <n v="0"/>
    <n v="0"/>
    <n v="0"/>
    <n v="0"/>
    <n v="0"/>
    <n v="0"/>
    <n v="0"/>
    <n v="0"/>
    <n v="0"/>
  </r>
  <r>
    <x v="2"/>
    <x v="3"/>
    <s v="Electricity"/>
    <x v="5"/>
    <n v="2353"/>
    <s v="MW"/>
    <n v="9.9196507082971973E-3"/>
    <n v="0.36197104111834899"/>
    <n v="0.32123845216718488"/>
    <n v="0.40270362731391895"/>
    <n v="0"/>
    <n v="0"/>
    <n v="0"/>
    <n v="0"/>
    <n v="0"/>
    <n v="0"/>
    <n v="0"/>
    <n v="0"/>
    <n v="0"/>
    <n v="0"/>
    <n v="0"/>
    <n v="0"/>
    <n v="0"/>
    <n v="0"/>
  </r>
  <r>
    <x v="2"/>
    <x v="4"/>
    <s v="Electricity"/>
    <x v="5"/>
    <n v="2941"/>
    <s v="MW"/>
    <n v="1.2398509448832152E-2"/>
    <n v="0.43787730254935137"/>
    <n v="0.38374955205607314"/>
    <n v="0.49200504959842972"/>
    <n v="0"/>
    <n v="0"/>
    <n v="0"/>
    <n v="0"/>
    <n v="0"/>
    <n v="0"/>
    <n v="0"/>
    <n v="0"/>
    <n v="0"/>
    <n v="0"/>
    <n v="0"/>
    <n v="0"/>
    <n v="0"/>
    <n v="0"/>
  </r>
  <r>
    <x v="2"/>
    <x v="5"/>
    <s v="Electricity"/>
    <x v="5"/>
    <n v="3529"/>
    <s v="MW"/>
    <n v="1.4877368189367109E-2"/>
    <n v="0.50796632647779438"/>
    <n v="0.4391573150776833"/>
    <n v="0.57677533374510004"/>
    <n v="0"/>
    <n v="0"/>
    <n v="0"/>
    <n v="0"/>
    <n v="0"/>
    <n v="0"/>
    <n v="0"/>
    <n v="0"/>
    <n v="0"/>
    <n v="0"/>
    <n v="0"/>
    <n v="0"/>
    <n v="0"/>
    <n v="0"/>
  </r>
  <r>
    <x v="2"/>
    <x v="6"/>
    <s v="Electricity"/>
    <x v="5"/>
    <n v="4117"/>
    <s v="MW"/>
    <n v="1.7356226929902067E-2"/>
    <n v="0.57223811290367821"/>
    <n v="0.48746174123201536"/>
    <n v="0.65701447975393001"/>
    <n v="0"/>
    <n v="0"/>
    <n v="0"/>
    <n v="0"/>
    <n v="0"/>
    <n v="0"/>
    <n v="0"/>
    <n v="0"/>
    <n v="0"/>
    <n v="0"/>
    <n v="0"/>
    <n v="0"/>
    <n v="0"/>
    <n v="0"/>
  </r>
  <r>
    <x v="2"/>
    <x v="7"/>
    <s v="Electricity"/>
    <x v="5"/>
    <n v="4705"/>
    <s v="MW"/>
    <n v="1.9835085670437021E-2"/>
    <n v="0.63069266182700257"/>
    <n v="0.52866283051906915"/>
    <n v="0.73272248762491943"/>
    <n v="0"/>
    <n v="0"/>
    <n v="0"/>
    <n v="0"/>
    <n v="0"/>
    <n v="0"/>
    <n v="0"/>
    <n v="0"/>
    <n v="0"/>
    <n v="0"/>
    <n v="0"/>
    <n v="0"/>
    <n v="0"/>
    <n v="0"/>
  </r>
  <r>
    <x v="2"/>
    <x v="8"/>
    <s v="Electricity"/>
    <x v="5"/>
    <n v="5293"/>
    <s v="MW"/>
    <n v="2.2313944410971977E-2"/>
    <n v="0.68332997324776779"/>
    <n v="0.56276058293884501"/>
    <n v="0.8038993573580685"/>
    <n v="0"/>
    <n v="0"/>
    <n v="0"/>
    <n v="0"/>
    <n v="0"/>
    <n v="0"/>
    <n v="0"/>
    <n v="0"/>
    <n v="0"/>
    <n v="0"/>
    <n v="0"/>
    <n v="0"/>
    <n v="0"/>
    <n v="0"/>
  </r>
  <r>
    <x v="2"/>
    <x v="9"/>
    <s v="Electricity"/>
    <x v="5"/>
    <n v="5881"/>
    <s v="MW"/>
    <n v="2.4792803151506934E-2"/>
    <n v="0.73015004716597365"/>
    <n v="0.5897549984913425"/>
    <n v="0.87054508895337712"/>
    <n v="0"/>
    <n v="0"/>
    <n v="0"/>
    <n v="0"/>
    <n v="0"/>
    <n v="0"/>
    <n v="0"/>
    <n v="0"/>
    <n v="0"/>
    <n v="0"/>
    <n v="0"/>
    <n v="0"/>
    <n v="0"/>
    <n v="0"/>
  </r>
  <r>
    <x v="2"/>
    <x v="10"/>
    <s v="Electricity"/>
    <x v="5"/>
    <n v="6470"/>
    <s v="MW"/>
    <n v="2.7275877638199265E-2"/>
    <n v="0.77127209101454364"/>
    <n v="0.60974031833859277"/>
    <n v="0.93280385611349026"/>
    <n v="0"/>
    <n v="0"/>
    <n v="0"/>
    <n v="0"/>
    <n v="0"/>
    <n v="0"/>
    <n v="0"/>
    <n v="0"/>
    <n v="0"/>
    <n v="0"/>
    <n v="0"/>
    <n v="0"/>
    <n v="0"/>
    <n v="0"/>
  </r>
  <r>
    <x v="2"/>
    <x v="11"/>
    <s v="Electricity"/>
    <x v="5"/>
    <n v="7058"/>
    <s v="MW"/>
    <n v="2.9754736378734218E-2"/>
    <n v="0.80645274329710148"/>
    <n v="0.62252201990409595"/>
    <n v="0.99038345842449726"/>
    <n v="0"/>
    <n v="0"/>
    <n v="0"/>
    <n v="0"/>
    <n v="0"/>
    <n v="0"/>
    <n v="0"/>
    <n v="0"/>
    <n v="0"/>
    <n v="0"/>
    <n v="0"/>
    <n v="0"/>
    <n v="0"/>
    <n v="0"/>
  </r>
  <r>
    <x v="2"/>
    <x v="12"/>
    <s v="Electricity"/>
    <x v="5"/>
    <n v="7646"/>
    <s v="MW"/>
    <n v="3.2233595119269175E-2"/>
    <n v="0.83581615807710019"/>
    <n v="0.62820038460232097"/>
    <n v="1.0434319225976638"/>
    <n v="0"/>
    <n v="0"/>
    <n v="0"/>
    <n v="0"/>
    <n v="0"/>
    <n v="0"/>
    <n v="0"/>
    <n v="0"/>
    <n v="0"/>
    <n v="0"/>
    <n v="0"/>
    <n v="0"/>
    <n v="0"/>
    <n v="0"/>
  </r>
  <r>
    <x v="2"/>
    <x v="13"/>
    <s v="Electricity"/>
    <x v="5"/>
    <n v="8234"/>
    <s v="MW"/>
    <n v="3.4712453859804135E-2"/>
    <n v="0.85936233535453954"/>
    <n v="0.62677541243326795"/>
    <n v="1.09194924863299"/>
    <n v="0"/>
    <n v="0"/>
    <n v="0"/>
    <n v="0"/>
    <n v="0"/>
    <n v="0"/>
    <n v="0"/>
    <n v="0"/>
    <n v="0"/>
    <n v="0"/>
    <n v="0"/>
    <n v="0"/>
    <n v="0"/>
    <n v="0"/>
  </r>
  <r>
    <x v="2"/>
    <x v="14"/>
    <s v="Electricity"/>
    <x v="5"/>
    <n v="8822"/>
    <s v="MW"/>
    <n v="3.7191312600339088E-2"/>
    <n v="0.87709127512941953"/>
    <n v="0.61824710339693678"/>
    <n v="1.1359354365304759"/>
    <n v="0"/>
    <n v="0"/>
    <n v="0"/>
    <n v="0"/>
    <n v="0"/>
    <n v="0"/>
    <n v="0"/>
    <n v="0"/>
    <n v="0"/>
    <n v="0"/>
    <n v="0"/>
    <n v="0"/>
    <n v="0"/>
    <n v="0"/>
  </r>
  <r>
    <x v="2"/>
    <x v="15"/>
    <s v="Electricity"/>
    <x v="5"/>
    <n v="9410"/>
    <s v="MW"/>
    <n v="3.9670171340874041E-2"/>
    <n v="0.88900297740174017"/>
    <n v="0.60261545749332723"/>
    <n v="1.175390486290121"/>
    <n v="0"/>
    <n v="0"/>
    <n v="0"/>
    <n v="0"/>
    <n v="0"/>
    <n v="0"/>
    <n v="0"/>
    <n v="0"/>
    <n v="0"/>
    <n v="0"/>
    <n v="0"/>
    <n v="0"/>
    <n v="0"/>
    <n v="0"/>
  </r>
  <r>
    <x v="2"/>
    <x v="16"/>
    <s v="Electricity"/>
    <x v="5"/>
    <n v="9998"/>
    <s v="MW"/>
    <n v="4.2149030081409002E-2"/>
    <n v="0.89509744217150156"/>
    <n v="0.57988047472243975"/>
    <n v="1.210314397911926"/>
    <n v="0"/>
    <n v="0"/>
    <n v="0"/>
    <n v="0"/>
    <n v="0"/>
    <n v="0"/>
    <n v="0"/>
    <n v="0"/>
    <n v="0"/>
    <n v="0"/>
    <n v="0"/>
    <n v="0"/>
    <n v="0"/>
    <n v="0"/>
  </r>
  <r>
    <x v="2"/>
    <x v="17"/>
    <s v="Electricity"/>
    <x v="5"/>
    <n v="10586"/>
    <s v="MW"/>
    <n v="4.4627888821943955E-2"/>
    <n v="0.8953746694387037"/>
    <n v="0.55004215508427401"/>
    <n v="1.2407071713958904"/>
    <n v="0"/>
    <n v="0"/>
    <n v="0"/>
    <n v="0"/>
    <n v="0"/>
    <n v="0"/>
    <n v="0"/>
    <n v="0"/>
    <n v="0"/>
    <n v="0"/>
    <n v="0"/>
    <n v="0"/>
    <n v="0"/>
    <n v="0"/>
  </r>
  <r>
    <x v="2"/>
    <x v="18"/>
    <s v="Electricity"/>
    <x v="5"/>
    <n v="11175"/>
    <s v="MW"/>
    <n v="4.7110963308636282E-2"/>
    <n v="0.88991429359203478"/>
    <n v="0.51314641772135561"/>
    <n v="1.2666821563756943"/>
    <n v="0"/>
    <n v="0"/>
    <n v="0"/>
    <n v="0"/>
    <n v="0"/>
    <n v="0"/>
    <n v="0"/>
    <n v="0"/>
    <n v="0"/>
    <n v="0"/>
    <n v="0"/>
    <n v="0"/>
    <n v="0"/>
    <n v="0"/>
  </r>
  <r>
    <x v="2"/>
    <x v="19"/>
    <s v="Electricity"/>
    <x v="5"/>
    <n v="11763"/>
    <s v="MW"/>
    <n v="4.9589822049171242E-2"/>
    <n v="0.8785520992235889"/>
    <n v="0.46909538409619544"/>
    <n v="1.2880088005753572"/>
    <n v="0"/>
    <n v="0"/>
    <n v="0"/>
    <n v="0"/>
    <n v="0"/>
    <n v="0"/>
    <n v="0"/>
    <n v="0"/>
    <n v="0"/>
    <n v="0"/>
    <n v="0"/>
    <n v="0"/>
    <n v="0"/>
    <n v="0"/>
  </r>
  <r>
    <x v="2"/>
    <x v="20"/>
    <s v="Electricity"/>
    <x v="5"/>
    <n v="12351"/>
    <s v="MW"/>
    <n v="5.2068680789706202E-2"/>
    <n v="0.86137266735258389"/>
    <n v="0.41794101360375718"/>
    <n v="1.3048043066371797"/>
    <n v="0"/>
    <n v="0"/>
    <n v="0"/>
    <n v="0"/>
    <n v="0"/>
    <n v="0"/>
    <n v="0"/>
    <n v="0"/>
    <n v="0"/>
    <n v="0"/>
    <n v="0"/>
    <n v="0"/>
    <n v="0"/>
    <n v="0"/>
  </r>
  <r>
    <x v="2"/>
    <x v="0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5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6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7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8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9"/>
    <s v="Electricity"/>
    <x v="6"/>
    <n v="1000"/>
    <s v="MW"/>
    <n v="6.8954153824011474E-3"/>
    <n v="0.20307053768477021"/>
    <n v="0.16402363474571435"/>
    <n v="0.24211743870833891"/>
    <n v="0"/>
    <n v="0"/>
    <n v="0"/>
    <n v="0"/>
    <n v="0"/>
    <n v="0"/>
    <n v="0"/>
    <n v="0"/>
    <n v="0"/>
    <n v="0"/>
    <n v="0"/>
    <n v="0"/>
    <n v="0"/>
    <n v="0"/>
  </r>
  <r>
    <x v="2"/>
    <x v="10"/>
    <s v="Electricity"/>
    <x v="6"/>
    <n v="1000"/>
    <s v="MW"/>
    <n v="6.9932771284677451E-3"/>
    <n v="0.19774687163003388"/>
    <n v="0.15633165242573785"/>
    <n v="0.23916208889165763"/>
    <n v="0"/>
    <n v="0"/>
    <n v="0"/>
    <n v="0"/>
    <n v="0"/>
    <n v="0"/>
    <n v="0"/>
    <n v="0"/>
    <n v="0"/>
    <n v="0"/>
    <n v="0"/>
    <n v="0"/>
    <n v="0"/>
    <n v="0"/>
  </r>
  <r>
    <x v="2"/>
    <x v="11"/>
    <s v="Electricity"/>
    <x v="6"/>
    <n v="1000"/>
    <s v="MW"/>
    <n v="7.0911388745343437E-3"/>
    <n v="0.19219354947994394"/>
    <n v="0.14835924067371514"/>
    <n v="0.23602785631631532"/>
    <n v="0"/>
    <n v="0"/>
    <n v="0"/>
    <n v="0"/>
    <n v="0"/>
    <n v="0"/>
    <n v="0"/>
    <n v="0"/>
    <n v="0"/>
    <n v="0"/>
    <n v="0"/>
    <n v="0"/>
    <n v="0"/>
    <n v="0"/>
  </r>
  <r>
    <x v="2"/>
    <x v="12"/>
    <s v="Electricity"/>
    <x v="6"/>
    <n v="1000"/>
    <s v="MW"/>
    <n v="7.1890006206009414E-3"/>
    <n v="0.18641057123450028"/>
    <n v="0.14010639948964615"/>
    <n v="0.2327147409823119"/>
    <n v="0"/>
    <n v="0"/>
    <n v="0"/>
    <n v="0"/>
    <n v="0"/>
    <n v="0"/>
    <n v="0"/>
    <n v="0"/>
    <n v="0"/>
    <n v="0"/>
    <n v="0"/>
    <n v="0"/>
    <n v="0"/>
    <n v="0"/>
  </r>
  <r>
    <x v="2"/>
    <x v="13"/>
    <s v="Electricity"/>
    <x v="6"/>
    <n v="1000"/>
    <s v="MW"/>
    <n v="7.2868623666675399E-3"/>
    <n v="0.18039793689370298"/>
    <n v="0.13157312887353095"/>
    <n v="0.22922274288964739"/>
    <n v="0"/>
    <n v="0"/>
    <n v="0"/>
    <n v="0"/>
    <n v="0"/>
    <n v="0"/>
    <n v="0"/>
    <n v="0"/>
    <n v="0"/>
    <n v="0"/>
    <n v="0"/>
    <n v="0"/>
    <n v="0"/>
    <n v="0"/>
  </r>
  <r>
    <x v="2"/>
    <x v="14"/>
    <s v="Electricity"/>
    <x v="6"/>
    <n v="1000"/>
    <s v="MW"/>
    <n v="7.3847241127341376E-3"/>
    <n v="0.17415564645755205"/>
    <n v="0.12275942882536947"/>
    <n v="0.22555186203832181"/>
    <n v="0"/>
    <n v="0"/>
    <n v="0"/>
    <n v="0"/>
    <n v="0"/>
    <n v="0"/>
    <n v="0"/>
    <n v="0"/>
    <n v="0"/>
    <n v="0"/>
    <n v="0"/>
    <n v="0"/>
    <n v="0"/>
    <n v="0"/>
  </r>
  <r>
    <x v="2"/>
    <x v="15"/>
    <s v="Electricity"/>
    <x v="6"/>
    <n v="1000"/>
    <s v="MW"/>
    <n v="7.4825858588007353E-3"/>
    <n v="0.16768369992604745"/>
    <n v="0.11366529934516179"/>
    <n v="0.22170209842833521"/>
    <n v="0"/>
    <n v="0"/>
    <n v="0"/>
    <n v="0"/>
    <n v="0"/>
    <n v="0"/>
    <n v="0"/>
    <n v="0"/>
    <n v="0"/>
    <n v="0"/>
    <n v="0"/>
    <n v="0"/>
    <n v="0"/>
    <n v="0"/>
  </r>
  <r>
    <x v="2"/>
    <x v="16"/>
    <s v="Electricity"/>
    <x v="6"/>
    <n v="1000"/>
    <s v="MW"/>
    <n v="7.580447604867333E-3"/>
    <n v="0.16098209729918919"/>
    <n v="0.10429074043290784"/>
    <n v="0.21767345205968747"/>
    <n v="0"/>
    <n v="0"/>
    <n v="0"/>
    <n v="0"/>
    <n v="0"/>
    <n v="0"/>
    <n v="0"/>
    <n v="0"/>
    <n v="0"/>
    <n v="0"/>
    <n v="0"/>
    <n v="0"/>
    <n v="0"/>
    <n v="0"/>
  </r>
  <r>
    <x v="2"/>
    <x v="17"/>
    <s v="Electricity"/>
    <x v="6"/>
    <n v="1000"/>
    <s v="MW"/>
    <n v="7.6783093509339316E-3"/>
    <n v="0.15405083857697724"/>
    <n v="9.4635752088607653E-2"/>
    <n v="0.21346592293237868"/>
    <n v="0"/>
    <n v="0"/>
    <n v="0"/>
    <n v="0"/>
    <n v="0"/>
    <n v="0"/>
    <n v="0"/>
    <n v="0"/>
    <n v="0"/>
    <n v="0"/>
    <n v="0"/>
    <n v="0"/>
    <n v="0"/>
    <n v="0"/>
  </r>
  <r>
    <x v="2"/>
    <x v="18"/>
    <s v="Electricity"/>
    <x v="6"/>
    <n v="1000"/>
    <s v="MW"/>
    <n v="7.7761710970005284E-3"/>
    <n v="0.14688992375941165"/>
    <n v="8.4700334312261219E-2"/>
    <n v="0.20907951104640876"/>
    <n v="0"/>
    <n v="0"/>
    <n v="0"/>
    <n v="0"/>
    <n v="0"/>
    <n v="0"/>
    <n v="0"/>
    <n v="0"/>
    <n v="0"/>
    <n v="0"/>
    <n v="0"/>
    <n v="0"/>
    <n v="0"/>
    <n v="0"/>
  </r>
  <r>
    <x v="2"/>
    <x v="19"/>
    <s v="Electricity"/>
    <x v="6"/>
    <n v="2000"/>
    <s v="MW"/>
    <n v="1.5748065686134256E-2"/>
    <n v="0.27899870569298485"/>
    <n v="0.14896897420773714"/>
    <n v="0.40902843280355572"/>
    <n v="0"/>
    <n v="0"/>
    <n v="0"/>
    <n v="0"/>
    <n v="0"/>
    <n v="0"/>
    <n v="0"/>
    <n v="0"/>
    <n v="0"/>
    <n v="0"/>
    <n v="0"/>
    <n v="0"/>
    <n v="0"/>
    <n v="0"/>
  </r>
  <r>
    <x v="2"/>
    <x v="20"/>
    <s v="Electricity"/>
    <x v="6"/>
    <n v="2000"/>
    <s v="MW"/>
    <n v="1.5943789178267449E-2"/>
    <n v="0.26375825167643902"/>
    <n v="0.12797642092685929"/>
    <n v="0.3995400779969715"/>
    <n v="0"/>
    <n v="0"/>
    <n v="0"/>
    <n v="0"/>
    <n v="0"/>
    <n v="0"/>
    <n v="0"/>
    <n v="0"/>
    <n v="0"/>
    <n v="0"/>
    <n v="0"/>
    <n v="0"/>
    <n v="0"/>
    <n v="0"/>
  </r>
  <r>
    <x v="2"/>
    <x v="0"/>
    <s v="Biogas"/>
    <x v="7"/>
    <n v="6857"/>
    <s v="mcf production/year"/>
    <n v="7.4947009999999994E-3"/>
    <n v="1.7178604162099997"/>
    <n v="1.5867780957199997"/>
    <n v="3.0580401759849565"/>
    <n v="0"/>
    <n v="0"/>
    <n v="0"/>
    <n v="0"/>
    <n v="0"/>
    <n v="0"/>
    <n v="0"/>
    <n v="0"/>
    <n v="0"/>
    <n v="0"/>
    <n v="0"/>
    <n v="0"/>
    <n v="0"/>
    <n v="0"/>
  </r>
  <r>
    <x v="2"/>
    <x v="1"/>
    <s v="Biogas"/>
    <x v="7"/>
    <n v="7942.15"/>
    <s v="mcf production/year"/>
    <n v="8.6807699499999984E-3"/>
    <n v="1.9897192802394994"/>
    <n v="1.8378926138139995"/>
    <n v="3.5419883015457083"/>
    <n v="0"/>
    <n v="0"/>
    <n v="0"/>
    <n v="0"/>
    <n v="0"/>
    <n v="0"/>
    <n v="0"/>
    <n v="0"/>
    <n v="0"/>
    <n v="0"/>
    <n v="0"/>
    <n v="0"/>
    <n v="0"/>
    <n v="0"/>
  </r>
  <r>
    <x v="2"/>
    <x v="2"/>
    <s v="Biogas"/>
    <x v="7"/>
    <n v="9027.2999999999993"/>
    <s v="mcf production/year"/>
    <n v="9.8668388999999992E-3"/>
    <n v="2.2615781442689995"/>
    <n v="2.0890071319079997"/>
    <n v="4.0259364271064602"/>
    <n v="0"/>
    <n v="0"/>
    <n v="0"/>
    <n v="0"/>
    <n v="0"/>
    <n v="0"/>
    <n v="0"/>
    <n v="0"/>
    <n v="0"/>
    <n v="0"/>
    <n v="0"/>
    <n v="0"/>
    <n v="0"/>
    <n v="0"/>
  </r>
  <r>
    <x v="2"/>
    <x v="3"/>
    <s v="Biogas"/>
    <x v="7"/>
    <n v="10112.449999999999"/>
    <s v="mcf production/year"/>
    <n v="1.1052907849999998E-2"/>
    <n v="2.5334370082984994"/>
    <n v="2.3401216500019992"/>
    <n v="4.509884552667212"/>
    <n v="0"/>
    <n v="0"/>
    <n v="0"/>
    <n v="0"/>
    <n v="0"/>
    <n v="0"/>
    <n v="0"/>
    <n v="0"/>
    <n v="0"/>
    <n v="0"/>
    <n v="0"/>
    <n v="0"/>
    <n v="0"/>
    <n v="0"/>
  </r>
  <r>
    <x v="2"/>
    <x v="4"/>
    <s v="Biogas"/>
    <x v="7"/>
    <n v="11197.599999999999"/>
    <s v="mcf production/year"/>
    <n v="1.2238976799999997E-2"/>
    <n v="2.8052958723279993"/>
    <n v="2.5912361680959992"/>
    <n v="4.993832678227963"/>
    <n v="0"/>
    <n v="0"/>
    <n v="0"/>
    <n v="0"/>
    <n v="0"/>
    <n v="0"/>
    <n v="0"/>
    <n v="0"/>
    <n v="0"/>
    <n v="0"/>
    <n v="0"/>
    <n v="0"/>
    <n v="0"/>
    <n v="0"/>
  </r>
  <r>
    <x v="2"/>
    <x v="5"/>
    <s v="Biogas"/>
    <x v="7"/>
    <n v="12282.749999999998"/>
    <s v="mcf production/year"/>
    <n v="1.3425045749999998E-2"/>
    <n v="3.0771547363574991"/>
    <n v="2.8423506861899992"/>
    <n v="5.4777808037887157"/>
    <n v="0"/>
    <n v="0"/>
    <n v="0"/>
    <n v="0"/>
    <n v="0"/>
    <n v="0"/>
    <n v="0"/>
    <n v="0"/>
    <n v="0"/>
    <n v="0"/>
    <n v="0"/>
    <n v="0"/>
    <n v="0"/>
    <n v="0"/>
  </r>
  <r>
    <x v="2"/>
    <x v="6"/>
    <s v="Biogas"/>
    <x v="7"/>
    <n v="13367.899999999998"/>
    <s v="mcf production/year"/>
    <n v="1.4611114699999997E-2"/>
    <n v="3.349013600386999"/>
    <n v="3.0934652042839987"/>
    <n v="5.9617289293494666"/>
    <n v="0"/>
    <n v="0"/>
    <n v="0"/>
    <n v="0"/>
    <n v="0"/>
    <n v="0"/>
    <n v="0"/>
    <n v="0"/>
    <n v="0"/>
    <n v="0"/>
    <n v="0"/>
    <n v="0"/>
    <n v="0"/>
    <n v="0"/>
  </r>
  <r>
    <x v="2"/>
    <x v="7"/>
    <s v="Biogas"/>
    <x v="7"/>
    <n v="14453.049999999997"/>
    <s v="mcf production/year"/>
    <n v="1.5797183649999998E-2"/>
    <n v="3.6208724644164993"/>
    <n v="3.3445797223779992"/>
    <n v="6.4456770549102194"/>
    <n v="0"/>
    <n v="0"/>
    <n v="0"/>
    <n v="0"/>
    <n v="0"/>
    <n v="0"/>
    <n v="0"/>
    <n v="0"/>
    <n v="0"/>
    <n v="0"/>
    <n v="0"/>
    <n v="0"/>
    <n v="0"/>
    <n v="0"/>
  </r>
  <r>
    <x v="2"/>
    <x v="8"/>
    <s v="Biogas"/>
    <x v="7"/>
    <n v="15538.199999999997"/>
    <s v="mcf production/year"/>
    <n v="1.6983252599999995E-2"/>
    <n v="3.8927313284459983"/>
    <n v="3.5956942404719983"/>
    <n v="6.9296251804709703"/>
    <n v="0"/>
    <n v="0"/>
    <n v="0"/>
    <n v="0"/>
    <n v="0"/>
    <n v="0"/>
    <n v="0"/>
    <n v="0"/>
    <n v="0"/>
    <n v="0"/>
    <n v="0"/>
    <n v="0"/>
    <n v="0"/>
    <n v="0"/>
  </r>
  <r>
    <x v="2"/>
    <x v="9"/>
    <s v="Biogas"/>
    <x v="7"/>
    <n v="16623.349999999999"/>
    <s v="mcf production/year"/>
    <n v="1.8169321550000003E-2"/>
    <n v="4.1645901924755"/>
    <n v="3.846808758566"/>
    <n v="7.4135733060317248"/>
    <n v="0"/>
    <n v="0"/>
    <n v="0"/>
    <n v="0"/>
    <n v="0"/>
    <n v="0"/>
    <n v="0"/>
    <n v="0"/>
    <n v="0"/>
    <n v="0"/>
    <n v="0"/>
    <n v="0"/>
    <n v="0"/>
    <n v="0"/>
  </r>
  <r>
    <x v="2"/>
    <x v="10"/>
    <s v="Biogas"/>
    <x v="7"/>
    <n v="17708.5"/>
    <s v="mcf production/year"/>
    <n v="1.9355390500000003E-2"/>
    <n v="4.4364490565050003"/>
    <n v="4.0979232766600004"/>
    <n v="7.8975214315924775"/>
    <n v="0"/>
    <n v="0"/>
    <n v="0"/>
    <n v="0"/>
    <n v="0"/>
    <n v="0"/>
    <n v="0"/>
    <n v="0"/>
    <n v="0"/>
    <n v="0"/>
    <n v="0"/>
    <n v="0"/>
    <n v="0"/>
    <n v="0"/>
  </r>
  <r>
    <x v="2"/>
    <x v="11"/>
    <s v="Biogas"/>
    <x v="7"/>
    <n v="18793.650000000001"/>
    <s v="mcf production/year"/>
    <n v="2.0541459450000004E-2"/>
    <n v="4.7083079205345006"/>
    <n v="4.3490377947540004"/>
    <n v="8.3814695571532294"/>
    <n v="0"/>
    <n v="0"/>
    <n v="0"/>
    <n v="0"/>
    <n v="0"/>
    <n v="0"/>
    <n v="0"/>
    <n v="0"/>
    <n v="0"/>
    <n v="0"/>
    <n v="0"/>
    <n v="0"/>
    <n v="0"/>
    <n v="0"/>
  </r>
  <r>
    <x v="2"/>
    <x v="12"/>
    <s v="Biogas"/>
    <x v="7"/>
    <n v="19878.800000000003"/>
    <s v="mcf production/year"/>
    <n v="2.1727528400000005E-2"/>
    <n v="4.980166784564001"/>
    <n v="4.6001523128480004"/>
    <n v="8.8654176827139821"/>
    <n v="0"/>
    <n v="0"/>
    <n v="0"/>
    <n v="0"/>
    <n v="0"/>
    <n v="0"/>
    <n v="0"/>
    <n v="0"/>
    <n v="0"/>
    <n v="0"/>
    <n v="0"/>
    <n v="0"/>
    <n v="0"/>
    <n v="0"/>
  </r>
  <r>
    <x v="2"/>
    <x v="13"/>
    <s v="Biogas"/>
    <x v="7"/>
    <n v="20963.950000000004"/>
    <s v="mcf production/year"/>
    <n v="2.2913597350000009E-2"/>
    <n v="5.2520256485935013"/>
    <n v="4.8512668309420013"/>
    <n v="9.3493658082747348"/>
    <n v="0"/>
    <n v="0"/>
    <n v="0"/>
    <n v="0"/>
    <n v="0"/>
    <n v="0"/>
    <n v="0"/>
    <n v="0"/>
    <n v="0"/>
    <n v="0"/>
    <n v="0"/>
    <n v="0"/>
    <n v="0"/>
    <n v="0"/>
  </r>
  <r>
    <x v="2"/>
    <x v="14"/>
    <s v="Biogas"/>
    <x v="7"/>
    <n v="22049.100000000006"/>
    <s v="mcf production/year"/>
    <n v="2.409966630000001E-2"/>
    <n v="5.5238845126230016"/>
    <n v="5.1023813490360013"/>
    <n v="9.8333139338354876"/>
    <n v="0"/>
    <n v="0"/>
    <n v="0"/>
    <n v="0"/>
    <n v="0"/>
    <n v="0"/>
    <n v="0"/>
    <n v="0"/>
    <n v="0"/>
    <n v="0"/>
    <n v="0"/>
    <n v="0"/>
    <n v="0"/>
    <n v="0"/>
  </r>
  <r>
    <x v="2"/>
    <x v="15"/>
    <s v="Biogas"/>
    <x v="7"/>
    <n v="23134.250000000007"/>
    <s v="mcf production/year"/>
    <n v="2.528573525000001E-2"/>
    <n v="5.7957433766525019"/>
    <n v="5.3534958671300013"/>
    <n v="10.31726205939624"/>
    <n v="0"/>
    <n v="0"/>
    <n v="0"/>
    <n v="0"/>
    <n v="0"/>
    <n v="0"/>
    <n v="0"/>
    <n v="0"/>
    <n v="0"/>
    <n v="0"/>
    <n v="0"/>
    <n v="0"/>
    <n v="0"/>
    <n v="0"/>
  </r>
  <r>
    <x v="2"/>
    <x v="16"/>
    <s v="Biogas"/>
    <x v="7"/>
    <n v="24219.400000000009"/>
    <s v="mcf production/year"/>
    <n v="2.6471804200000015E-2"/>
    <n v="6.0676022406820032"/>
    <n v="5.6046103852240021"/>
    <n v="10.801210184956993"/>
    <n v="0"/>
    <n v="0"/>
    <n v="0"/>
    <n v="0"/>
    <n v="0"/>
    <n v="0"/>
    <n v="0"/>
    <n v="0"/>
    <n v="0"/>
    <n v="0"/>
    <n v="0"/>
    <n v="0"/>
    <n v="0"/>
    <n v="0"/>
  </r>
  <r>
    <x v="2"/>
    <x v="17"/>
    <s v="Biogas"/>
    <x v="7"/>
    <n v="25304.55000000001"/>
    <s v="mcf production/year"/>
    <n v="2.7657873150000015E-2"/>
    <n v="6.3394611047115026"/>
    <n v="5.8557249033180021"/>
    <n v="11.285158310517746"/>
    <n v="0"/>
    <n v="0"/>
    <n v="0"/>
    <n v="0"/>
    <n v="0"/>
    <n v="0"/>
    <n v="0"/>
    <n v="0"/>
    <n v="0"/>
    <n v="0"/>
    <n v="0"/>
    <n v="0"/>
    <n v="0"/>
    <n v="0"/>
  </r>
  <r>
    <x v="2"/>
    <x v="18"/>
    <s v="Biogas"/>
    <x v="7"/>
    <n v="26389.700000000012"/>
    <s v="mcf production/year"/>
    <n v="2.8843942100000016E-2"/>
    <n v="6.6113199687410029"/>
    <n v="6.106839421412003"/>
    <n v="11.769106436078498"/>
    <n v="0"/>
    <n v="0"/>
    <n v="0"/>
    <n v="0"/>
    <n v="0"/>
    <n v="0"/>
    <n v="0"/>
    <n v="0"/>
    <n v="0"/>
    <n v="0"/>
    <n v="0"/>
    <n v="0"/>
    <n v="0"/>
    <n v="0"/>
  </r>
  <r>
    <x v="2"/>
    <x v="19"/>
    <s v="Biogas"/>
    <x v="7"/>
    <n v="27474.850000000013"/>
    <s v="mcf production/year"/>
    <n v="3.003001105000002E-2"/>
    <n v="6.8831788327705041"/>
    <n v="6.3579539395060038"/>
    <n v="12.253054561639251"/>
    <n v="0"/>
    <n v="0"/>
    <n v="0"/>
    <n v="0"/>
    <n v="0"/>
    <n v="0"/>
    <n v="0"/>
    <n v="0"/>
    <n v="0"/>
    <n v="0"/>
    <n v="0"/>
    <n v="0"/>
    <n v="0"/>
    <n v="0"/>
  </r>
  <r>
    <x v="2"/>
    <x v="20"/>
    <s v="Biogas"/>
    <x v="7"/>
    <n v="28560.000000000015"/>
    <s v="mcf production/year"/>
    <n v="3.1216080000000021E-2"/>
    <n v="7.1550376968000045"/>
    <n v="6.6090684576000038"/>
    <n v="12.737002687200004"/>
    <n v="0"/>
    <n v="0"/>
    <n v="0"/>
    <n v="0"/>
    <n v="0"/>
    <n v="0"/>
    <n v="0"/>
    <n v="0"/>
    <n v="0"/>
    <n v="0"/>
    <n v="0"/>
    <n v="0"/>
    <n v="0"/>
    <n v="0"/>
  </r>
  <r>
    <x v="2"/>
    <x v="0"/>
    <s v="Biogas"/>
    <x v="8"/>
    <n v="444"/>
    <s v="mcf production/year"/>
    <n v="4.8529199999999996E-4"/>
    <n v="1.6601839319999995E-2"/>
    <n v="1.6601839319999995E-2"/>
    <n v="6.4672438379999989E-2"/>
    <n v="0"/>
    <n v="0"/>
    <n v="0"/>
    <n v="0"/>
    <n v="0"/>
    <n v="0"/>
    <n v="0"/>
    <n v="0"/>
    <n v="0"/>
    <n v="0"/>
    <n v="0"/>
    <n v="0"/>
    <n v="0"/>
    <n v="0"/>
  </r>
  <r>
    <x v="2"/>
    <x v="1"/>
    <s v="Biogas"/>
    <x v="8"/>
    <n v="514.20000000000005"/>
    <s v="mcf production/year"/>
    <n v="5.6202059999999998E-4"/>
    <n v="1.9226724725999997E-2"/>
    <n v="1.9226724725999997E-2"/>
    <n v="7.4897675258999985E-2"/>
    <n v="0"/>
    <n v="0"/>
    <n v="0"/>
    <n v="0"/>
    <n v="0"/>
    <n v="0"/>
    <n v="0"/>
    <n v="0"/>
    <n v="0"/>
    <n v="0"/>
    <n v="0"/>
    <n v="0"/>
    <n v="0"/>
    <n v="0"/>
  </r>
  <r>
    <x v="2"/>
    <x v="2"/>
    <s v="Biogas"/>
    <x v="8"/>
    <n v="584.40000000000009"/>
    <s v="mcf production/year"/>
    <n v="6.3874920000000005E-4"/>
    <n v="2.1851610131999998E-2"/>
    <n v="2.1851610131999998E-2"/>
    <n v="8.5122912137999995E-2"/>
    <n v="0"/>
    <n v="0"/>
    <n v="0"/>
    <n v="0"/>
    <n v="0"/>
    <n v="0"/>
    <n v="0"/>
    <n v="0"/>
    <n v="0"/>
    <n v="0"/>
    <n v="0"/>
    <n v="0"/>
    <n v="0"/>
    <n v="0"/>
  </r>
  <r>
    <x v="2"/>
    <x v="3"/>
    <s v="Biogas"/>
    <x v="8"/>
    <n v="654.60000000000014"/>
    <s v="mcf production/year"/>
    <n v="7.1547780000000012E-4"/>
    <n v="2.4476495538E-2"/>
    <n v="2.4476495538E-2"/>
    <n v="9.5348149017000006E-2"/>
    <n v="0"/>
    <n v="0"/>
    <n v="0"/>
    <n v="0"/>
    <n v="0"/>
    <n v="0"/>
    <n v="0"/>
    <n v="0"/>
    <n v="0"/>
    <n v="0"/>
    <n v="0"/>
    <n v="0"/>
    <n v="0"/>
    <n v="0"/>
  </r>
  <r>
    <x v="2"/>
    <x v="4"/>
    <s v="Biogas"/>
    <x v="8"/>
    <n v="724.80000000000018"/>
    <s v="mcf production/year"/>
    <n v="7.9220640000000019E-4"/>
    <n v="2.7101380944000001E-2"/>
    <n v="2.7101380944000001E-2"/>
    <n v="0.10557338589600002"/>
    <n v="0"/>
    <n v="0"/>
    <n v="0"/>
    <n v="0"/>
    <n v="0"/>
    <n v="0"/>
    <n v="0"/>
    <n v="0"/>
    <n v="0"/>
    <n v="0"/>
    <n v="0"/>
    <n v="0"/>
    <n v="0"/>
    <n v="0"/>
  </r>
  <r>
    <x v="2"/>
    <x v="5"/>
    <s v="Biogas"/>
    <x v="8"/>
    <n v="795.00000000000023"/>
    <s v="mcf production/year"/>
    <n v="8.6893500000000026E-4"/>
    <n v="2.9726266350000002E-2"/>
    <n v="2.9726266350000002E-2"/>
    <n v="0.11579862277500003"/>
    <n v="0"/>
    <n v="0"/>
    <n v="0"/>
    <n v="0"/>
    <n v="0"/>
    <n v="0"/>
    <n v="0"/>
    <n v="0"/>
    <n v="0"/>
    <n v="0"/>
    <n v="0"/>
    <n v="0"/>
    <n v="0"/>
    <n v="0"/>
  </r>
  <r>
    <x v="2"/>
    <x v="6"/>
    <s v="Biogas"/>
    <x v="8"/>
    <n v="865.20000000000027"/>
    <s v="mcf production/year"/>
    <n v="9.4566360000000022E-4"/>
    <n v="3.2351151756E-2"/>
    <n v="3.2351151756E-2"/>
    <n v="0.12602385965400001"/>
    <n v="0"/>
    <n v="0"/>
    <n v="0"/>
    <n v="0"/>
    <n v="0"/>
    <n v="0"/>
    <n v="0"/>
    <n v="0"/>
    <n v="0"/>
    <n v="0"/>
    <n v="0"/>
    <n v="0"/>
    <n v="0"/>
    <n v="0"/>
  </r>
  <r>
    <x v="2"/>
    <x v="7"/>
    <s v="Biogas"/>
    <x v="8"/>
    <n v="935.40000000000032"/>
    <s v="mcf production/year"/>
    <n v="1.0223922000000003E-3"/>
    <n v="3.4976037162000005E-2"/>
    <n v="3.4976037162000005E-2"/>
    <n v="0.13624909653300002"/>
    <n v="0"/>
    <n v="0"/>
    <n v="0"/>
    <n v="0"/>
    <n v="0"/>
    <n v="0"/>
    <n v="0"/>
    <n v="0"/>
    <n v="0"/>
    <n v="0"/>
    <n v="0"/>
    <n v="0"/>
    <n v="0"/>
    <n v="0"/>
  </r>
  <r>
    <x v="2"/>
    <x v="8"/>
    <s v="Biogas"/>
    <x v="8"/>
    <n v="1005.6000000000004"/>
    <s v="mcf production/year"/>
    <n v="1.0991208000000004E-3"/>
    <n v="3.7600922568000003E-2"/>
    <n v="3.7600922568000003E-2"/>
    <n v="0.14647433341200003"/>
    <n v="0"/>
    <n v="0"/>
    <n v="0"/>
    <n v="0"/>
    <n v="0"/>
    <n v="0"/>
    <n v="0"/>
    <n v="0"/>
    <n v="0"/>
    <n v="0"/>
    <n v="0"/>
    <n v="0"/>
    <n v="0"/>
    <n v="0"/>
  </r>
  <r>
    <x v="2"/>
    <x v="9"/>
    <s v="Biogas"/>
    <x v="8"/>
    <n v="1075.8000000000004"/>
    <s v="mcf production/year"/>
    <n v="1.1758494000000006E-3"/>
    <n v="4.0225807974000015E-2"/>
    <n v="4.0225807974000015E-2"/>
    <n v="0.15669957029100007"/>
    <n v="0"/>
    <n v="0"/>
    <n v="0"/>
    <n v="0"/>
    <n v="0"/>
    <n v="0"/>
    <n v="0"/>
    <n v="0"/>
    <n v="0"/>
    <n v="0"/>
    <n v="0"/>
    <n v="0"/>
    <n v="0"/>
    <n v="0"/>
  </r>
  <r>
    <x v="2"/>
    <x v="10"/>
    <s v="Biogas"/>
    <x v="8"/>
    <n v="1146.0000000000005"/>
    <s v="mcf production/year"/>
    <n v="1.2525780000000007E-3"/>
    <n v="4.285069338000002E-2"/>
    <n v="4.285069338000002E-2"/>
    <n v="0.16692480717000008"/>
    <n v="0"/>
    <n v="0"/>
    <n v="0"/>
    <n v="0"/>
    <n v="0"/>
    <n v="0"/>
    <n v="0"/>
    <n v="0"/>
    <n v="0"/>
    <n v="0"/>
    <n v="0"/>
    <n v="0"/>
    <n v="0"/>
    <n v="0"/>
  </r>
  <r>
    <x v="2"/>
    <x v="11"/>
    <s v="Biogas"/>
    <x v="8"/>
    <n v="1216.2000000000005"/>
    <s v="mcf production/year"/>
    <n v="1.3293066000000008E-3"/>
    <n v="4.5475578786000018E-2"/>
    <n v="4.5475578786000018E-2"/>
    <n v="0.17715004404900009"/>
    <n v="0"/>
    <n v="0"/>
    <n v="0"/>
    <n v="0"/>
    <n v="0"/>
    <n v="0"/>
    <n v="0"/>
    <n v="0"/>
    <n v="0"/>
    <n v="0"/>
    <n v="0"/>
    <n v="0"/>
    <n v="0"/>
    <n v="0"/>
  </r>
  <r>
    <x v="2"/>
    <x v="12"/>
    <s v="Biogas"/>
    <x v="8"/>
    <n v="1286.4000000000005"/>
    <s v="mcf production/year"/>
    <n v="1.4060352000000009E-3"/>
    <n v="4.8100464192000023E-2"/>
    <n v="4.8100464192000023E-2"/>
    <n v="0.1873752809280001"/>
    <n v="0"/>
    <n v="0"/>
    <n v="0"/>
    <n v="0"/>
    <n v="0"/>
    <n v="0"/>
    <n v="0"/>
    <n v="0"/>
    <n v="0"/>
    <n v="0"/>
    <n v="0"/>
    <n v="0"/>
    <n v="0"/>
    <n v="0"/>
  </r>
  <r>
    <x v="2"/>
    <x v="13"/>
    <s v="Biogas"/>
    <x v="8"/>
    <n v="1356.6000000000006"/>
    <s v="mcf production/year"/>
    <n v="1.4827638000000009E-3"/>
    <n v="5.072534959800002E-2"/>
    <n v="5.072534959800002E-2"/>
    <n v="0.19760051780700011"/>
    <n v="0"/>
    <n v="0"/>
    <n v="0"/>
    <n v="0"/>
    <n v="0"/>
    <n v="0"/>
    <n v="0"/>
    <n v="0"/>
    <n v="0"/>
    <n v="0"/>
    <n v="0"/>
    <n v="0"/>
    <n v="0"/>
    <n v="0"/>
  </r>
  <r>
    <x v="2"/>
    <x v="14"/>
    <s v="Biogas"/>
    <x v="8"/>
    <n v="1426.8000000000006"/>
    <s v="mcf production/year"/>
    <n v="1.559492400000001E-3"/>
    <n v="5.3350235004000025E-2"/>
    <n v="5.3350235004000025E-2"/>
    <n v="0.20782575468600012"/>
    <n v="0"/>
    <n v="0"/>
    <n v="0"/>
    <n v="0"/>
    <n v="0"/>
    <n v="0"/>
    <n v="0"/>
    <n v="0"/>
    <n v="0"/>
    <n v="0"/>
    <n v="0"/>
    <n v="0"/>
    <n v="0"/>
    <n v="0"/>
  </r>
  <r>
    <x v="2"/>
    <x v="15"/>
    <s v="Biogas"/>
    <x v="8"/>
    <n v="1497.0000000000007"/>
    <s v="mcf production/year"/>
    <n v="1.6362210000000011E-3"/>
    <n v="5.5975120410000023E-2"/>
    <n v="5.5975120410000023E-2"/>
    <n v="0.21805099156500013"/>
    <n v="0"/>
    <n v="0"/>
    <n v="0"/>
    <n v="0"/>
    <n v="0"/>
    <n v="0"/>
    <n v="0"/>
    <n v="0"/>
    <n v="0"/>
    <n v="0"/>
    <n v="0"/>
    <n v="0"/>
    <n v="0"/>
    <n v="0"/>
  </r>
  <r>
    <x v="2"/>
    <x v="16"/>
    <s v="Biogas"/>
    <x v="8"/>
    <n v="1567.2000000000007"/>
    <s v="mcf production/year"/>
    <n v="1.7129496000000011E-3"/>
    <n v="5.8600005816000028E-2"/>
    <n v="5.8600005816000028E-2"/>
    <n v="0.22827622844400014"/>
    <n v="0"/>
    <n v="0"/>
    <n v="0"/>
    <n v="0"/>
    <n v="0"/>
    <n v="0"/>
    <n v="0"/>
    <n v="0"/>
    <n v="0"/>
    <n v="0"/>
    <n v="0"/>
    <n v="0"/>
    <n v="0"/>
    <n v="0"/>
  </r>
  <r>
    <x v="2"/>
    <x v="17"/>
    <s v="Biogas"/>
    <x v="8"/>
    <n v="1637.4000000000008"/>
    <s v="mcf production/year"/>
    <n v="1.7896782000000012E-3"/>
    <n v="6.1224891222000033E-2"/>
    <n v="6.1224891222000033E-2"/>
    <n v="0.23850146532300015"/>
    <n v="0"/>
    <n v="0"/>
    <n v="0"/>
    <n v="0"/>
    <n v="0"/>
    <n v="0"/>
    <n v="0"/>
    <n v="0"/>
    <n v="0"/>
    <n v="0"/>
    <n v="0"/>
    <n v="0"/>
    <n v="0"/>
    <n v="0"/>
  </r>
  <r>
    <x v="2"/>
    <x v="18"/>
    <s v="Biogas"/>
    <x v="8"/>
    <n v="1707.6000000000008"/>
    <s v="mcf production/year"/>
    <n v="1.8664068000000013E-3"/>
    <n v="6.3849776628000038E-2"/>
    <n v="6.3849776628000038E-2"/>
    <n v="0.24872670220200013"/>
    <n v="0"/>
    <n v="0"/>
    <n v="0"/>
    <n v="0"/>
    <n v="0"/>
    <n v="0"/>
    <n v="0"/>
    <n v="0"/>
    <n v="0"/>
    <n v="0"/>
    <n v="0"/>
    <n v="0"/>
    <n v="0"/>
    <n v="0"/>
  </r>
  <r>
    <x v="2"/>
    <x v="19"/>
    <s v="Biogas"/>
    <x v="8"/>
    <n v="1777.8000000000009"/>
    <s v="mcf production/year"/>
    <n v="1.9431354000000011E-3"/>
    <n v="6.6474662034000029E-2"/>
    <n v="6.6474662034000029E-2"/>
    <n v="0.25895193908100012"/>
    <n v="0"/>
    <n v="0"/>
    <n v="0"/>
    <n v="0"/>
    <n v="0"/>
    <n v="0"/>
    <n v="0"/>
    <n v="0"/>
    <n v="0"/>
    <n v="0"/>
    <n v="0"/>
    <n v="0"/>
    <n v="0"/>
    <n v="0"/>
  </r>
  <r>
    <x v="2"/>
    <x v="20"/>
    <s v="Biogas"/>
    <x v="8"/>
    <n v="1848.0000000000009"/>
    <s v="mcf production/year"/>
    <n v="2.0198640000000014E-3"/>
    <n v="6.9099547440000034E-2"/>
    <n v="6.9099547440000034E-2"/>
    <n v="0.26917717596000018"/>
    <n v="0"/>
    <n v="0"/>
    <n v="0"/>
    <n v="0"/>
    <n v="0"/>
    <n v="0"/>
    <n v="0"/>
    <n v="0"/>
    <n v="0"/>
    <n v="0"/>
    <n v="0"/>
    <n v="0"/>
    <n v="0"/>
    <n v="0"/>
  </r>
  <r>
    <x v="2"/>
    <x v="0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5"/>
    <s v="RJF"/>
    <x v="9"/>
    <n v="50"/>
    <s v="Millions of Gallons production/year"/>
    <n v="7.1216269875000009E-3"/>
    <n v="7.3780055590500007E-2"/>
    <n v="7.3780055590500007E-2"/>
    <n v="0.23401666280925001"/>
    <n v="0"/>
    <n v="0"/>
    <n v="0"/>
    <n v="0"/>
    <n v="0"/>
    <n v="0"/>
    <n v="0"/>
    <n v="0"/>
    <n v="0"/>
    <n v="0"/>
    <n v="0"/>
    <n v="0"/>
    <n v="0"/>
    <n v="0"/>
  </r>
  <r>
    <x v="2"/>
    <x v="6"/>
    <s v="RJF"/>
    <x v="9"/>
    <n v="60"/>
    <s v="Millions of Gallons production/year"/>
    <n v="8.5459523850000014E-3"/>
    <n v="8.8536066708600009E-2"/>
    <n v="8.8536066708600009E-2"/>
    <n v="0.28081999537110003"/>
    <n v="0"/>
    <n v="0"/>
    <n v="0"/>
    <n v="0"/>
    <n v="0"/>
    <n v="0"/>
    <n v="0"/>
    <n v="0"/>
    <n v="0"/>
    <n v="0"/>
    <n v="0"/>
    <n v="0"/>
    <n v="0"/>
    <n v="0"/>
  </r>
  <r>
    <x v="2"/>
    <x v="7"/>
    <s v="RJF"/>
    <x v="9"/>
    <n v="70"/>
    <s v="Millions of Gallons production/year"/>
    <n v="9.9702777825000019E-3"/>
    <n v="0.10329207782670001"/>
    <n v="0.10329207782670001"/>
    <n v="0.32762332793295007"/>
    <n v="0"/>
    <n v="0"/>
    <n v="0"/>
    <n v="0"/>
    <n v="0"/>
    <n v="0"/>
    <n v="0"/>
    <n v="0"/>
    <n v="0"/>
    <n v="0"/>
    <n v="0"/>
    <n v="0"/>
    <n v="0"/>
    <n v="0"/>
  </r>
  <r>
    <x v="2"/>
    <x v="8"/>
    <s v="RJF"/>
    <x v="9"/>
    <n v="80"/>
    <s v="Millions of Gallons production/year"/>
    <n v="1.1394603180000001E-2"/>
    <n v="0.1180480889448"/>
    <n v="0.1180480889448"/>
    <n v="0.3744266604948"/>
    <n v="0"/>
    <n v="0"/>
    <n v="0"/>
    <n v="0"/>
    <n v="0"/>
    <n v="0"/>
    <n v="0"/>
    <n v="0"/>
    <n v="0"/>
    <n v="0"/>
    <n v="0"/>
    <n v="0"/>
    <n v="0"/>
    <n v="0"/>
  </r>
  <r>
    <x v="2"/>
    <x v="9"/>
    <s v="RJF"/>
    <x v="9"/>
    <n v="90"/>
    <s v="Millions of Gallons production/year"/>
    <n v="1.2818928577500001E-2"/>
    <n v="0.1328041000629"/>
    <n v="0.1328041000629"/>
    <n v="0.42122999305665004"/>
    <n v="0"/>
    <n v="0"/>
    <n v="0"/>
    <n v="0"/>
    <n v="0"/>
    <n v="0"/>
    <n v="0"/>
    <n v="0"/>
    <n v="0"/>
    <n v="0"/>
    <n v="0"/>
    <n v="0"/>
    <n v="0"/>
    <n v="0"/>
  </r>
  <r>
    <x v="2"/>
    <x v="10"/>
    <s v="RJF"/>
    <x v="9"/>
    <n v="100"/>
    <s v="Millions of Gallons production/year"/>
    <n v="1.4243253975000002E-2"/>
    <n v="0.14756011118100001"/>
    <n v="0.14756011118100001"/>
    <n v="0.46803332561850003"/>
    <n v="0"/>
    <n v="0"/>
    <n v="0"/>
    <n v="0"/>
    <n v="0"/>
    <n v="0"/>
    <n v="0"/>
    <n v="0"/>
    <n v="0"/>
    <n v="0"/>
    <n v="0"/>
    <n v="0"/>
    <n v="0"/>
    <n v="0"/>
  </r>
  <r>
    <x v="2"/>
    <x v="11"/>
    <s v="RJF"/>
    <x v="9"/>
    <n v="90"/>
    <s v="Millions of Gallons production/year"/>
    <n v="1.2818928577500001E-2"/>
    <n v="0.1328041000629"/>
    <n v="0.1328041000629"/>
    <n v="0.42122999305665004"/>
    <n v="0"/>
    <n v="0"/>
    <n v="0"/>
    <n v="0"/>
    <n v="0"/>
    <n v="0"/>
    <n v="0"/>
    <n v="0"/>
    <n v="0"/>
    <n v="0"/>
    <n v="0"/>
    <n v="0"/>
    <n v="0"/>
    <n v="0"/>
  </r>
  <r>
    <x v="2"/>
    <x v="12"/>
    <s v="RJF"/>
    <x v="9"/>
    <n v="80"/>
    <s v="Millions of Gallons production/year"/>
    <n v="1.1394603180000001E-2"/>
    <n v="0.1180480889448"/>
    <n v="0.1180480889448"/>
    <n v="0.3744266604948"/>
    <n v="0"/>
    <n v="0"/>
    <n v="0"/>
    <n v="0"/>
    <n v="0"/>
    <n v="0"/>
    <n v="0"/>
    <n v="0"/>
    <n v="0"/>
    <n v="0"/>
    <n v="0"/>
    <n v="0"/>
    <n v="0"/>
    <n v="0"/>
  </r>
  <r>
    <x v="2"/>
    <x v="13"/>
    <s v="RJF"/>
    <x v="9"/>
    <n v="70"/>
    <s v="Millions of Gallons production/year"/>
    <n v="9.9702777825000019E-3"/>
    <n v="0.10329207782670001"/>
    <n v="0.10329207782670001"/>
    <n v="0.32762332793295007"/>
    <n v="0"/>
    <n v="0"/>
    <n v="0"/>
    <n v="0"/>
    <n v="0"/>
    <n v="0"/>
    <n v="0"/>
    <n v="0"/>
    <n v="0"/>
    <n v="0"/>
    <n v="0"/>
    <n v="0"/>
    <n v="0"/>
    <n v="0"/>
  </r>
  <r>
    <x v="2"/>
    <x v="14"/>
    <s v="RJF"/>
    <x v="9"/>
    <n v="60"/>
    <s v="Millions of Gallons production/year"/>
    <n v="8.5459523850000014E-3"/>
    <n v="8.8536066708600009E-2"/>
    <n v="8.8536066708600009E-2"/>
    <n v="0.28081999537110003"/>
    <n v="0"/>
    <n v="0"/>
    <n v="0"/>
    <n v="0"/>
    <n v="0"/>
    <n v="0"/>
    <n v="0"/>
    <n v="0"/>
    <n v="0"/>
    <n v="0"/>
    <n v="0"/>
    <n v="0"/>
    <n v="0"/>
    <n v="0"/>
  </r>
  <r>
    <x v="2"/>
    <x v="15"/>
    <s v="RJF"/>
    <x v="9"/>
    <n v="50"/>
    <s v="Millions of Gallons production/year"/>
    <n v="7.1216269875000009E-3"/>
    <n v="7.3780055590500007E-2"/>
    <n v="7.3780055590500007E-2"/>
    <n v="0.23401666280925001"/>
    <n v="0"/>
    <n v="0"/>
    <n v="0"/>
    <n v="0"/>
    <n v="0"/>
    <n v="0"/>
    <n v="0"/>
    <n v="0"/>
    <n v="0"/>
    <n v="0"/>
    <n v="0"/>
    <n v="0"/>
    <n v="0"/>
    <n v="0"/>
  </r>
  <r>
    <x v="2"/>
    <x v="16"/>
    <s v="RJF"/>
    <x v="9"/>
    <n v="40"/>
    <s v="Millions of Gallons production/year"/>
    <n v="5.6973015900000003E-3"/>
    <n v="5.9024044472399999E-2"/>
    <n v="5.9024044472399999E-2"/>
    <n v="0.1872133302474"/>
    <n v="0"/>
    <n v="0"/>
    <n v="0"/>
    <n v="0"/>
    <n v="0"/>
    <n v="0"/>
    <n v="0"/>
    <n v="0"/>
    <n v="0"/>
    <n v="0"/>
    <n v="0"/>
    <n v="0"/>
    <n v="0"/>
    <n v="0"/>
  </r>
  <r>
    <x v="2"/>
    <x v="17"/>
    <s v="RJF"/>
    <x v="9"/>
    <n v="30"/>
    <s v="Millions of Gallons production/year"/>
    <n v="4.2729761925000007E-3"/>
    <n v="4.4268033354300004E-2"/>
    <n v="4.4268033354300004E-2"/>
    <n v="0.14040999768555001"/>
    <n v="0"/>
    <n v="0"/>
    <n v="0"/>
    <n v="0"/>
    <n v="0"/>
    <n v="0"/>
    <n v="0"/>
    <n v="0"/>
    <n v="0"/>
    <n v="0"/>
    <n v="0"/>
    <n v="0"/>
    <n v="0"/>
    <n v="0"/>
  </r>
  <r>
    <x v="2"/>
    <x v="18"/>
    <s v="RJF"/>
    <x v="9"/>
    <n v="20"/>
    <s v="Millions of Gallons production/year"/>
    <n v="2.8486507950000002E-3"/>
    <n v="2.9512022236199999E-2"/>
    <n v="2.9512022236199999E-2"/>
    <n v="9.36066651237E-2"/>
    <n v="0"/>
    <n v="0"/>
    <n v="0"/>
    <n v="0"/>
    <n v="0"/>
    <n v="0"/>
    <n v="0"/>
    <n v="0"/>
    <n v="0"/>
    <n v="0"/>
    <n v="0"/>
    <n v="0"/>
    <n v="0"/>
    <n v="0"/>
  </r>
  <r>
    <x v="2"/>
    <x v="19"/>
    <s v="RJF"/>
    <x v="9"/>
    <n v="10"/>
    <s v="Millions of Gallons production/year"/>
    <n v="1.4243253975000001E-3"/>
    <n v="1.47560111181E-2"/>
    <n v="1.47560111181E-2"/>
    <n v="4.680333256185E-2"/>
    <n v="0"/>
    <n v="0"/>
    <n v="0"/>
    <n v="0"/>
    <n v="0"/>
    <n v="0"/>
    <n v="0"/>
    <n v="0"/>
    <n v="0"/>
    <n v="0"/>
    <n v="0"/>
    <n v="0"/>
    <n v="0"/>
    <n v="0"/>
  </r>
  <r>
    <x v="2"/>
    <x v="20"/>
    <s v="RJF"/>
    <x v="9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s v="RJF"/>
    <x v="10"/>
    <n v="0"/>
    <s v="Millions of Gallons production/year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5"/>
    <s v="RJF"/>
    <x v="10"/>
    <n v="10"/>
    <s v="Millions of Gallons production/year"/>
    <n v="1.4243253975000001E-3"/>
    <n v="4.5037169068950007E-2"/>
    <n v="4.5037169068950007E-2"/>
    <n v="6.9535565905950017E-2"/>
    <n v="0"/>
    <n v="0"/>
    <n v="0"/>
    <n v="0"/>
    <n v="0"/>
    <n v="0"/>
    <n v="0"/>
    <n v="0"/>
    <n v="0"/>
    <n v="0"/>
    <n v="0"/>
    <n v="0"/>
    <n v="0"/>
    <n v="0"/>
  </r>
  <r>
    <x v="2"/>
    <x v="6"/>
    <s v="RJF"/>
    <x v="10"/>
    <n v="16"/>
    <s v="Millions of Gallons production/year"/>
    <n v="2.2789206360000003E-3"/>
    <n v="6.9188030508960011E-2"/>
    <n v="6.9188030508960011E-2"/>
    <n v="0.10838546544816002"/>
    <n v="0"/>
    <n v="0"/>
    <n v="0"/>
    <n v="0"/>
    <n v="0"/>
    <n v="0"/>
    <n v="0"/>
    <n v="0"/>
    <n v="0"/>
    <n v="0"/>
    <n v="0"/>
    <n v="0"/>
    <n v="0"/>
    <n v="0"/>
  </r>
  <r>
    <x v="2"/>
    <x v="7"/>
    <s v="RJF"/>
    <x v="10"/>
    <n v="22"/>
    <s v="Millions of Gallons production/year"/>
    <n v="3.1335158745000005E-3"/>
    <n v="9.5133541949820016E-2"/>
    <n v="9.5133541949820016E-2"/>
    <n v="0.14903001499122004"/>
    <n v="0"/>
    <n v="0"/>
    <n v="0"/>
    <n v="0"/>
    <n v="0"/>
    <n v="0"/>
    <n v="0"/>
    <n v="0"/>
    <n v="0"/>
    <n v="0"/>
    <n v="0"/>
    <n v="0"/>
    <n v="0"/>
    <n v="0"/>
  </r>
  <r>
    <x v="2"/>
    <x v="8"/>
    <s v="RJF"/>
    <x v="10"/>
    <n v="28"/>
    <s v="Millions of Gallons production/year"/>
    <n v="3.9881111130000008E-3"/>
    <n v="0.12107905339068002"/>
    <n v="0.12107905339068002"/>
    <n v="0.18967456453428005"/>
    <n v="0"/>
    <n v="0"/>
    <n v="0"/>
    <n v="0"/>
    <n v="0"/>
    <n v="0"/>
    <n v="0"/>
    <n v="0"/>
    <n v="0"/>
    <n v="0"/>
    <n v="0"/>
    <n v="0"/>
    <n v="0"/>
    <n v="0"/>
  </r>
  <r>
    <x v="2"/>
    <x v="9"/>
    <s v="RJF"/>
    <x v="10"/>
    <n v="34"/>
    <s v="Millions of Gallons production/year"/>
    <n v="4.8427063515000006E-3"/>
    <n v="0.14702456483154003"/>
    <n v="0.14702456483154003"/>
    <n v="0.23031911407734004"/>
    <n v="0"/>
    <n v="0"/>
    <n v="0"/>
    <n v="0"/>
    <n v="0"/>
    <n v="0"/>
    <n v="0"/>
    <n v="0"/>
    <n v="0"/>
    <n v="0"/>
    <n v="0"/>
    <n v="0"/>
    <n v="0"/>
    <n v="0"/>
  </r>
  <r>
    <x v="2"/>
    <x v="10"/>
    <s v="RJF"/>
    <x v="10"/>
    <n v="40"/>
    <s v="Millions of Gallons production/year"/>
    <n v="5.6973015900000003E-3"/>
    <n v="0.17297007627240002"/>
    <n v="0.17297007627240002"/>
    <n v="0.27096366362040003"/>
    <n v="0"/>
    <n v="0"/>
    <n v="0"/>
    <n v="0"/>
    <n v="0"/>
    <n v="0"/>
    <n v="0"/>
    <n v="0"/>
    <n v="0"/>
    <n v="0"/>
    <n v="0"/>
    <n v="0"/>
    <n v="0"/>
    <n v="0"/>
  </r>
  <r>
    <x v="2"/>
    <x v="11"/>
    <s v="RJF"/>
    <x v="10"/>
    <n v="46"/>
    <s v="Millions of Gallons production/year"/>
    <n v="6.551896828500001E-3"/>
    <n v="0.19891558771326004"/>
    <n v="0.19891558771326004"/>
    <n v="0.31160821316346005"/>
    <n v="0"/>
    <n v="0"/>
    <n v="0"/>
    <n v="0"/>
    <n v="0"/>
    <n v="0"/>
    <n v="0"/>
    <n v="0"/>
    <n v="0"/>
    <n v="0"/>
    <n v="0"/>
    <n v="0"/>
    <n v="0"/>
    <n v="0"/>
  </r>
  <r>
    <x v="2"/>
    <x v="12"/>
    <s v="RJF"/>
    <x v="10"/>
    <n v="52"/>
    <s v="Millions of Gallons production/year"/>
    <n v="7.4064920670000008E-3"/>
    <n v="0.22486109915412003"/>
    <n v="0.22486109915412003"/>
    <n v="0.35225276270652006"/>
    <n v="0"/>
    <n v="0"/>
    <n v="0"/>
    <n v="0"/>
    <n v="0"/>
    <n v="0"/>
    <n v="0"/>
    <n v="0"/>
    <n v="0"/>
    <n v="0"/>
    <n v="0"/>
    <n v="0"/>
    <n v="0"/>
    <n v="0"/>
  </r>
  <r>
    <x v="2"/>
    <x v="13"/>
    <s v="RJF"/>
    <x v="10"/>
    <n v="58"/>
    <s v="Millions of Gallons production/year"/>
    <n v="8.2610873055000006E-3"/>
    <n v="0.25080661059498"/>
    <n v="0.25080661059498"/>
    <n v="0.39289731224958002"/>
    <n v="0"/>
    <n v="0"/>
    <n v="0"/>
    <n v="0"/>
    <n v="0"/>
    <n v="0"/>
    <n v="0"/>
    <n v="0"/>
    <n v="0"/>
    <n v="0"/>
    <n v="0"/>
    <n v="0"/>
    <n v="0"/>
    <n v="0"/>
  </r>
  <r>
    <x v="2"/>
    <x v="14"/>
    <s v="RJF"/>
    <x v="10"/>
    <n v="64"/>
    <s v="Millions of Gallons production/year"/>
    <n v="9.1156825440000012E-3"/>
    <n v="0.27675212203584004"/>
    <n v="0.27675212203584004"/>
    <n v="0.43354186179264009"/>
    <n v="0"/>
    <n v="0"/>
    <n v="0"/>
    <n v="0"/>
    <n v="0"/>
    <n v="0"/>
    <n v="0"/>
    <n v="0"/>
    <n v="0"/>
    <n v="0"/>
    <n v="0"/>
    <n v="0"/>
    <n v="0"/>
    <n v="0"/>
  </r>
  <r>
    <x v="2"/>
    <x v="15"/>
    <s v="RJF"/>
    <x v="10"/>
    <n v="70"/>
    <s v="Millions of Gallons production/year"/>
    <n v="9.9702777825000019E-3"/>
    <n v="0.30269763347670003"/>
    <n v="0.30269763347670003"/>
    <n v="0.47418641133570011"/>
    <n v="0"/>
    <n v="0"/>
    <n v="0"/>
    <n v="0"/>
    <n v="0"/>
    <n v="0"/>
    <n v="0"/>
    <n v="0"/>
    <n v="0"/>
    <n v="0"/>
    <n v="0"/>
    <n v="0"/>
    <n v="0"/>
    <n v="0"/>
  </r>
  <r>
    <x v="2"/>
    <x v="16"/>
    <s v="RJF"/>
    <x v="10"/>
    <n v="76"/>
    <s v="Millions of Gallons production/year"/>
    <n v="1.0824873021000001E-2"/>
    <n v="0.32864314491756003"/>
    <n v="0.32864314491756003"/>
    <n v="0.51483096087876001"/>
    <n v="0"/>
    <n v="0"/>
    <n v="0"/>
    <n v="0"/>
    <n v="0"/>
    <n v="0"/>
    <n v="0"/>
    <n v="0"/>
    <n v="0"/>
    <n v="0"/>
    <n v="0"/>
    <n v="0"/>
    <n v="0"/>
    <n v="0"/>
  </r>
  <r>
    <x v="2"/>
    <x v="17"/>
    <s v="RJF"/>
    <x v="10"/>
    <n v="82"/>
    <s v="Millions of Gallons production/year"/>
    <n v="1.1679468259500001E-2"/>
    <n v="0.35458865635842002"/>
    <n v="0.35458865635842002"/>
    <n v="0.55547551042182008"/>
    <n v="0"/>
    <n v="0"/>
    <n v="0"/>
    <n v="0"/>
    <n v="0"/>
    <n v="0"/>
    <n v="0"/>
    <n v="0"/>
    <n v="0"/>
    <n v="0"/>
    <n v="0"/>
    <n v="0"/>
    <n v="0"/>
    <n v="0"/>
  </r>
  <r>
    <x v="2"/>
    <x v="18"/>
    <s v="RJF"/>
    <x v="10"/>
    <n v="88"/>
    <s v="Millions of Gallons production/year"/>
    <n v="1.2534063498000002E-2"/>
    <n v="0.38053416779928007"/>
    <n v="0.38053416779928007"/>
    <n v="0.59612005996488016"/>
    <n v="0"/>
    <n v="0"/>
    <n v="0"/>
    <n v="0"/>
    <n v="0"/>
    <n v="0"/>
    <n v="0"/>
    <n v="0"/>
    <n v="0"/>
    <n v="0"/>
    <n v="0"/>
    <n v="0"/>
    <n v="0"/>
    <n v="0"/>
  </r>
  <r>
    <x v="2"/>
    <x v="19"/>
    <s v="RJF"/>
    <x v="10"/>
    <n v="94"/>
    <s v="Millions of Gallons production/year"/>
    <n v="1.3388658736500001E-2"/>
    <n v="0.40647967924014"/>
    <n v="0.40647967924014"/>
    <n v="0.63676460950794012"/>
    <n v="0"/>
    <n v="0"/>
    <n v="0"/>
    <n v="0"/>
    <n v="0"/>
    <n v="0"/>
    <n v="0"/>
    <n v="0"/>
    <n v="0"/>
    <n v="0"/>
    <n v="0"/>
    <n v="0"/>
    <n v="0"/>
    <n v="0"/>
  </r>
  <r>
    <x v="2"/>
    <x v="20"/>
    <s v="RJF"/>
    <x v="10"/>
    <n v="100"/>
    <s v="Millions of Gallons production/year"/>
    <n v="1.4243253975000002E-2"/>
    <n v="0.43242519068100005"/>
    <n v="0.43242519068100005"/>
    <n v="0.67740915905100008"/>
    <n v="0"/>
    <n v="0"/>
    <n v="0"/>
    <n v="0"/>
    <n v="0"/>
    <n v="0"/>
    <n v="0"/>
    <n v="0"/>
    <n v="0"/>
    <n v="0"/>
    <n v="0"/>
    <n v="0"/>
    <n v="0"/>
    <n v="0"/>
  </r>
  <r>
    <x v="2"/>
    <x v="0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2"/>
    <x v="1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2"/>
    <x v="2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2"/>
    <x v="3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2"/>
    <x v="4"/>
    <s v="Green H2"/>
    <x v="11"/>
    <n v="0"/>
    <s v="MW"/>
    <m/>
    <m/>
    <m/>
    <m/>
    <n v="0"/>
    <n v="0"/>
    <n v="0"/>
    <n v="0"/>
    <n v="0"/>
    <n v="0"/>
    <n v="0"/>
    <n v="0"/>
    <n v="0"/>
    <n v="0"/>
    <n v="0"/>
    <n v="0"/>
    <n v="0"/>
    <n v="0"/>
  </r>
  <r>
    <x v="2"/>
    <x v="5"/>
    <s v="Green H2"/>
    <x v="11"/>
    <n v="320.625"/>
    <s v="MW"/>
    <m/>
    <m/>
    <m/>
    <m/>
    <n v="1122.1875"/>
    <n v="897.74999999999989"/>
    <n v="1346.625"/>
    <n v="0"/>
    <n v="15710.625"/>
    <n v="1571.0625"/>
    <n v="280546.875"/>
    <n v="347.87812500000001"/>
    <n v="11.093624999999999"/>
    <n v="9.0416249999999998"/>
    <n v="10.708874999999999"/>
    <n v="1.8019125"/>
    <n v="32.646037499999998"/>
    <n v="1958.7622499999998"/>
  </r>
  <r>
    <x v="2"/>
    <x v="6"/>
    <s v="Green H2"/>
    <x v="11"/>
    <n v="641.25"/>
    <s v="MW"/>
    <m/>
    <m/>
    <m/>
    <m/>
    <n v="2244.375"/>
    <n v="1795.4999999999998"/>
    <n v="2693.25"/>
    <n v="0"/>
    <n v="31421.25"/>
    <n v="3142.125"/>
    <n v="561093.75"/>
    <n v="695.75625000000002"/>
    <n v="11.093624999999999"/>
    <n v="9.0416249999999998"/>
    <n v="10.708874999999999"/>
    <n v="1.8019125"/>
    <n v="32.646037499999998"/>
    <n v="1958.7622499999998"/>
  </r>
  <r>
    <x v="2"/>
    <x v="7"/>
    <s v="Green H2"/>
    <x v="11"/>
    <n v="961.875"/>
    <s v="MW"/>
    <m/>
    <m/>
    <m/>
    <m/>
    <n v="3366.5625"/>
    <n v="2693.25"/>
    <n v="4039.875"/>
    <n v="0"/>
    <n v="47131.875"/>
    <n v="4713.1875"/>
    <n v="841640.625"/>
    <n v="1043.6343750000001"/>
    <n v="11.093624999999999"/>
    <n v="9.0416249999999998"/>
    <n v="10.708874999999999"/>
    <n v="1.8019125"/>
    <n v="32.646037499999998"/>
    <n v="1958.7622499999998"/>
  </r>
  <r>
    <x v="2"/>
    <x v="8"/>
    <s v="Green H2"/>
    <x v="11"/>
    <n v="1282.5"/>
    <s v="MW"/>
    <m/>
    <m/>
    <m/>
    <m/>
    <n v="4488.75"/>
    <n v="3590.9999999999995"/>
    <n v="5386.5"/>
    <n v="0"/>
    <n v="62842.5"/>
    <n v="6284.25"/>
    <n v="1122187.5"/>
    <n v="1391.5125"/>
    <n v="11.093624999999999"/>
    <n v="9.0416249999999998"/>
    <n v="10.708874999999999"/>
    <n v="1.8019125"/>
    <n v="32.646037499999998"/>
    <n v="1958.7622499999998"/>
  </r>
  <r>
    <x v="2"/>
    <x v="9"/>
    <s v="Green H2"/>
    <x v="11"/>
    <n v="1603.125"/>
    <s v="MW"/>
    <m/>
    <m/>
    <m/>
    <m/>
    <n v="5610.9375"/>
    <n v="4488.75"/>
    <n v="6733.125"/>
    <n v="0"/>
    <n v="78553.125"/>
    <n v="7855.3124999999991"/>
    <n v="1402734.375"/>
    <n v="1739.390625"/>
    <n v="11.093624999999999"/>
    <n v="9.0416249999999998"/>
    <n v="10.708874999999999"/>
    <n v="1.8019125"/>
    <n v="32.646037499999998"/>
    <n v="1958.7622499999998"/>
  </r>
  <r>
    <x v="2"/>
    <x v="10"/>
    <s v="Green H2"/>
    <x v="11"/>
    <n v="1923.75"/>
    <s v="MW"/>
    <m/>
    <m/>
    <m/>
    <m/>
    <n v="6733.125"/>
    <n v="5386.5"/>
    <n v="8079.75"/>
    <n v="0"/>
    <n v="94263.75"/>
    <n v="9426.375"/>
    <n v="1683281.25"/>
    <n v="2087.2687500000002"/>
    <n v="11.093624999999999"/>
    <n v="9.0416249999999998"/>
    <n v="10.708874999999999"/>
    <n v="1.8019125"/>
    <n v="32.646037499999998"/>
    <n v="1958.7622499999998"/>
  </r>
  <r>
    <x v="2"/>
    <x v="11"/>
    <s v="Green H2"/>
    <x v="11"/>
    <n v="2244.375"/>
    <s v="MW"/>
    <m/>
    <m/>
    <m/>
    <m/>
    <n v="7855.3125"/>
    <n v="6284.25"/>
    <n v="9426.375"/>
    <n v="0"/>
    <n v="109974.375"/>
    <n v="10997.4375"/>
    <n v="1963828.125"/>
    <n v="2435.1468749999999"/>
    <n v="11.093624999999999"/>
    <n v="9.0416249999999998"/>
    <n v="10.708874999999999"/>
    <n v="1.8019125"/>
    <n v="32.646037499999998"/>
    <n v="1958.7622499999998"/>
  </r>
  <r>
    <x v="2"/>
    <x v="12"/>
    <s v="Green H2"/>
    <x v="11"/>
    <n v="2565"/>
    <s v="MW"/>
    <m/>
    <m/>
    <m/>
    <m/>
    <n v="8977.5"/>
    <n v="7181.9999999999991"/>
    <n v="10773"/>
    <n v="0"/>
    <n v="125685"/>
    <n v="12568.5"/>
    <n v="2244375"/>
    <n v="2783.0250000000001"/>
    <n v="11.093624999999999"/>
    <n v="9.0416249999999998"/>
    <n v="10.708874999999999"/>
    <n v="1.8019125"/>
    <n v="32.646037499999998"/>
    <n v="1958.7622499999998"/>
  </r>
  <r>
    <x v="2"/>
    <x v="13"/>
    <s v="Green H2"/>
    <x v="11"/>
    <n v="2885.625"/>
    <s v="MW"/>
    <m/>
    <m/>
    <m/>
    <m/>
    <n v="10099.6875"/>
    <n v="8079.7499999999991"/>
    <n v="12119.625"/>
    <n v="0"/>
    <n v="141395.625"/>
    <n v="14139.5625"/>
    <n v="2524921.875"/>
    <n v="3130.9031249999998"/>
    <n v="11.093624999999999"/>
    <n v="9.0416249999999998"/>
    <n v="10.708874999999999"/>
    <n v="1.8019125"/>
    <n v="32.646037499999998"/>
    <n v="1958.7622499999998"/>
  </r>
  <r>
    <x v="2"/>
    <x v="14"/>
    <s v="Green H2"/>
    <x v="11"/>
    <n v="3206.25"/>
    <s v="MW"/>
    <m/>
    <m/>
    <m/>
    <m/>
    <n v="11221.875"/>
    <n v="8977.5"/>
    <n v="13466.25"/>
    <n v="0"/>
    <n v="157106.25"/>
    <n v="15710.624999999998"/>
    <n v="2805468.75"/>
    <n v="3478.78125"/>
    <n v="11.093624999999999"/>
    <n v="9.0416249999999998"/>
    <n v="10.708874999999999"/>
    <n v="1.8019125"/>
    <n v="32.646037499999998"/>
    <n v="1958.7622499999998"/>
  </r>
  <r>
    <x v="2"/>
    <x v="15"/>
    <s v="Green H2"/>
    <x v="11"/>
    <n v="3526.875"/>
    <s v="MW"/>
    <m/>
    <m/>
    <m/>
    <m/>
    <n v="12344.0625"/>
    <n v="9875.25"/>
    <n v="14812.875"/>
    <n v="0"/>
    <n v="172816.875"/>
    <n v="17281.6875"/>
    <n v="3086015.625"/>
    <n v="3826.6593750000002"/>
    <n v="11.093624999999999"/>
    <n v="9.0416249999999998"/>
    <n v="10.708874999999999"/>
    <n v="1.8019125"/>
    <n v="32.646037499999998"/>
    <n v="1958.7622499999998"/>
  </r>
  <r>
    <x v="2"/>
    <x v="16"/>
    <s v="Green H2"/>
    <x v="11"/>
    <n v="3847.5"/>
    <s v="MW"/>
    <m/>
    <m/>
    <m/>
    <m/>
    <n v="13466.25"/>
    <n v="10773"/>
    <n v="16159.5"/>
    <n v="0"/>
    <n v="188527.5"/>
    <n v="18852.75"/>
    <n v="3366562.5"/>
    <n v="4174.5375000000004"/>
    <n v="11.093624999999999"/>
    <n v="9.0416249999999998"/>
    <n v="10.708874999999999"/>
    <n v="1.8019125"/>
    <n v="32.646037499999998"/>
    <n v="1958.7622499999998"/>
  </r>
  <r>
    <x v="2"/>
    <x v="17"/>
    <s v="Green H2"/>
    <x v="11"/>
    <n v="4168.125"/>
    <s v="MW"/>
    <m/>
    <m/>
    <m/>
    <m/>
    <n v="14588.4375"/>
    <n v="11670.75"/>
    <n v="17506.125"/>
    <n v="0"/>
    <n v="204238.125"/>
    <n v="20423.8125"/>
    <n v="3647109.375"/>
    <n v="4522.4156249999996"/>
    <n v="11.093624999999999"/>
    <n v="9.0416249999999998"/>
    <n v="10.708874999999999"/>
    <n v="1.8019125"/>
    <n v="32.646037499999998"/>
    <n v="1958.7622499999998"/>
  </r>
  <r>
    <x v="2"/>
    <x v="18"/>
    <s v="Green H2"/>
    <x v="11"/>
    <n v="4488.75"/>
    <s v="MW"/>
    <m/>
    <m/>
    <m/>
    <m/>
    <n v="15710.625"/>
    <n v="12568.5"/>
    <n v="18852.75"/>
    <n v="0"/>
    <n v="219948.75"/>
    <n v="21994.875"/>
    <n v="3927656.25"/>
    <n v="4870.2937499999998"/>
    <n v="11.093624999999999"/>
    <n v="9.0416249999999998"/>
    <n v="10.708874999999999"/>
    <n v="1.8019125"/>
    <n v="32.646037499999998"/>
    <n v="1958.7622499999998"/>
  </r>
  <r>
    <x v="2"/>
    <x v="19"/>
    <s v="Green H2"/>
    <x v="11"/>
    <n v="4809.375"/>
    <s v="MW"/>
    <m/>
    <m/>
    <m/>
    <m/>
    <n v="16832.8125"/>
    <n v="13466.25"/>
    <n v="20199.375"/>
    <n v="0"/>
    <n v="235659.375"/>
    <n v="23565.9375"/>
    <n v="4208203.125"/>
    <n v="5218.171875"/>
    <n v="11.093624999999999"/>
    <n v="9.0416249999999998"/>
    <n v="10.708874999999999"/>
    <n v="1.8019125"/>
    <n v="32.646037499999998"/>
    <n v="1958.7622499999998"/>
  </r>
  <r>
    <x v="2"/>
    <x v="20"/>
    <s v="Green H2"/>
    <x v="11"/>
    <n v="5130"/>
    <s v="MW"/>
    <m/>
    <m/>
    <m/>
    <m/>
    <n v="17955"/>
    <n v="14363.999999999998"/>
    <n v="21546"/>
    <n v="0"/>
    <n v="251370"/>
    <n v="25137"/>
    <n v="4488750"/>
    <n v="5566.05"/>
    <n v="11.093624999999999"/>
    <n v="9.0416249999999998"/>
    <n v="10.708874999999999"/>
    <n v="1.8019125"/>
    <n v="32.646037499999998"/>
    <n v="1958.7622499999998"/>
  </r>
  <r>
    <x v="3"/>
    <x v="0"/>
    <s v="Blue H2"/>
    <x v="0"/>
    <n v="476.1904761904762"/>
    <s v="metric ton production/year"/>
    <n v="5.7142857142857142E-5"/>
    <n v="1.4835579141662997E-3"/>
    <n v="1.4212466960424137E-3"/>
    <n v="1.5458691322901854E-3"/>
    <n v="0"/>
    <n v="0"/>
    <n v="0"/>
    <n v="1.3333333333333333"/>
    <n v="0"/>
    <n v="0"/>
    <n v="0"/>
    <n v="0"/>
    <n v="0"/>
    <n v="0"/>
    <n v="0"/>
    <n v="0"/>
    <n v="0"/>
    <n v="0"/>
  </r>
  <r>
    <x v="3"/>
    <x v="1"/>
    <s v="Blue H2"/>
    <x v="0"/>
    <n v="952.38095238095241"/>
    <s v="metric ton production/year"/>
    <n v="1.1428571428571428E-4"/>
    <n v="2.9261139723698697E-3"/>
    <n v="2.7604896801593686E-3"/>
    <n v="3.0917382645803708E-3"/>
    <n v="0"/>
    <n v="0"/>
    <n v="0"/>
    <n v="2.6666666666666665"/>
    <n v="0"/>
    <n v="0"/>
    <n v="0"/>
    <n v="0"/>
    <n v="0"/>
    <n v="0"/>
    <n v="0"/>
    <n v="0"/>
    <n v="0"/>
    <n v="0"/>
  </r>
  <r>
    <x v="3"/>
    <x v="2"/>
    <s v="Blue H2"/>
    <x v="0"/>
    <n v="1428.5714285714287"/>
    <s v="metric ton production/year"/>
    <n v="1.7142857142857143E-4"/>
    <n v="4.3140251548179995E-3"/>
    <n v="3.9904429127654425E-3"/>
    <n v="4.6376073968705566E-3"/>
    <n v="0"/>
    <n v="0"/>
    <n v="0"/>
    <n v="4"/>
    <n v="0"/>
    <n v="0"/>
    <n v="0"/>
    <n v="0"/>
    <n v="0"/>
    <n v="0"/>
    <n v="0"/>
    <n v="0"/>
    <n v="0"/>
    <n v="0"/>
  </r>
  <r>
    <x v="3"/>
    <x v="3"/>
    <s v="Blue H2"/>
    <x v="0"/>
    <n v="1904.7619047619048"/>
    <s v="metric ton production/year"/>
    <n v="2.2857142857142857E-4"/>
    <n v="5.6437906078514498E-3"/>
    <n v="5.1041046865421581E-3"/>
    <n v="6.1834765291607415E-3"/>
    <n v="0"/>
    <n v="0"/>
    <n v="0"/>
    <n v="5.333333333333333"/>
    <n v="0"/>
    <n v="0"/>
    <n v="0"/>
    <n v="0"/>
    <n v="0"/>
    <n v="0"/>
    <n v="0"/>
    <n v="0"/>
    <n v="0"/>
    <n v="0"/>
  </r>
  <r>
    <x v="3"/>
    <x v="4"/>
    <s v="Blue H2"/>
    <x v="0"/>
    <n v="2380.9523809523812"/>
    <s v="metric ton production/year"/>
    <n v="2.8571428571428574E-4"/>
    <n v="6.8993079127308825E-3"/>
    <n v="6.0692701640108378E-3"/>
    <n v="7.7293456614509273E-3"/>
    <n v="0"/>
    <n v="0"/>
    <n v="0"/>
    <n v="6.666666666666667"/>
    <n v="0"/>
    <n v="0"/>
    <n v="0"/>
    <n v="0"/>
    <n v="0"/>
    <n v="0"/>
    <n v="0"/>
    <n v="0"/>
    <n v="0"/>
    <n v="0"/>
  </r>
  <r>
    <x v="3"/>
    <x v="5"/>
    <s v="Blue H2"/>
    <x v="0"/>
    <n v="2857.1428571428573"/>
    <s v="metric ton production/year"/>
    <n v="3.4285714285714285E-4"/>
    <n v="8.0665111414543293E-3"/>
    <n v="6.8578074891675455E-3"/>
    <n v="9.2752147937411131E-3"/>
    <n v="0"/>
    <n v="0"/>
    <n v="0"/>
    <n v="8"/>
    <n v="0"/>
    <n v="0"/>
    <n v="0"/>
    <n v="0"/>
    <n v="0"/>
    <n v="0"/>
    <n v="0"/>
    <n v="0"/>
    <n v="0"/>
    <n v="0"/>
  </r>
  <r>
    <x v="3"/>
    <x v="6"/>
    <s v="Blue H2"/>
    <x v="0"/>
    <n v="3333.3333333333335"/>
    <s v="metric ton production/year"/>
    <n v="3.9999999999999996E-4"/>
    <n v="9.1290349138461197E-3"/>
    <n v="7.4369859016609431E-3"/>
    <n v="1.0821083926031297E-2"/>
    <n v="0"/>
    <n v="0"/>
    <n v="0"/>
    <n v="9.3333333333333339"/>
    <n v="0"/>
    <n v="0"/>
    <n v="0"/>
    <n v="0"/>
    <n v="0"/>
    <n v="0"/>
    <n v="0"/>
    <n v="0"/>
    <n v="0"/>
    <n v="0"/>
  </r>
  <r>
    <x v="3"/>
    <x v="7"/>
    <s v="Blue H2"/>
    <x v="0"/>
    <n v="3809.5238095238096"/>
    <s v="metric ton production/year"/>
    <n v="4.5714285714285713E-4"/>
    <n v="1.0072650407127669E-2"/>
    <n v="7.7783477559338543E-3"/>
    <n v="1.2366953058321483E-2"/>
    <n v="0"/>
    <n v="0"/>
    <n v="0"/>
    <n v="10.666666666666666"/>
    <n v="0"/>
    <n v="0"/>
    <n v="0"/>
    <n v="0"/>
    <n v="0"/>
    <n v="0"/>
    <n v="0"/>
    <n v="0"/>
    <n v="0"/>
    <n v="0"/>
  </r>
  <r>
    <x v="3"/>
    <x v="8"/>
    <s v="Blue H2"/>
    <x v="0"/>
    <n v="4285.7142857142862"/>
    <s v="metric ton production/year"/>
    <n v="5.142857142857143E-4"/>
    <n v="1.0865934394547704E-2"/>
    <n v="7.8190465984837396E-3"/>
    <n v="1.3912822190611669E-2"/>
    <n v="0"/>
    <n v="0"/>
    <n v="0"/>
    <n v="12"/>
    <n v="0"/>
    <n v="0"/>
    <n v="0"/>
    <n v="0"/>
    <n v="0"/>
    <n v="0"/>
    <n v="0"/>
    <n v="0"/>
    <n v="0"/>
    <n v="0"/>
  </r>
  <r>
    <x v="3"/>
    <x v="9"/>
    <s v="Blue H2"/>
    <x v="0"/>
    <n v="4761.9047619047624"/>
    <s v="metric ton production/year"/>
    <n v="5.7142857142857147E-4"/>
    <n v="1.1495947506051745E-2"/>
    <n v="7.5332036892016363E-3"/>
    <n v="1.5458691322901855E-2"/>
    <n v="0"/>
    <n v="0"/>
    <n v="0"/>
    <n v="13.333333333333334"/>
    <n v="0"/>
    <n v="0"/>
    <n v="0"/>
    <n v="0"/>
    <n v="0"/>
    <n v="0"/>
    <n v="0"/>
    <n v="0"/>
    <n v="0"/>
    <n v="0"/>
  </r>
  <r>
    <x v="3"/>
    <x v="10"/>
    <s v="Blue H2"/>
    <x v="0"/>
    <n v="5238.0952380952385"/>
    <s v="metric ton production/year"/>
    <n v="6.2857142857142853E-4"/>
    <n v="1.1920460347687524E-2"/>
    <n v="6.8363602401830086E-3"/>
    <n v="1.7004560455192039E-2"/>
    <n v="0"/>
    <n v="0"/>
    <n v="0"/>
    <n v="14.666666666666666"/>
    <n v="0"/>
    <n v="0"/>
    <n v="0"/>
    <n v="0"/>
    <n v="0"/>
    <n v="0"/>
    <n v="0"/>
    <n v="0"/>
    <n v="0"/>
    <n v="0"/>
  </r>
  <r>
    <x v="3"/>
    <x v="11"/>
    <s v="Blue H2"/>
    <x v="0"/>
    <n v="5714.2857142857147"/>
    <s v="metric ton production/year"/>
    <n v="6.857142857142857E-4"/>
    <n v="1.2155714035138111E-2"/>
    <n v="5.7609984827939956E-3"/>
    <n v="1.8550429587482226E-2"/>
    <n v="0"/>
    <n v="0"/>
    <n v="0"/>
    <n v="16"/>
    <n v="0"/>
    <n v="0"/>
    <n v="0"/>
    <n v="0"/>
    <n v="0"/>
    <n v="0"/>
    <n v="0"/>
    <n v="0"/>
    <n v="0"/>
    <n v="0"/>
  </r>
  <r>
    <x v="3"/>
    <x v="12"/>
    <s v="Blue H2"/>
    <x v="0"/>
    <n v="6190.4761904761908"/>
    <s v="metric ton production/year"/>
    <n v="7.4285714285714287E-4"/>
    <n v="1.2218955359842005E-2"/>
    <n v="4.3416119999115984E-3"/>
    <n v="2.009629871977241E-2"/>
    <n v="0"/>
    <n v="0"/>
    <n v="0"/>
    <n v="17.333333333333332"/>
    <n v="0"/>
    <n v="0"/>
    <n v="0"/>
    <n v="0"/>
    <n v="0"/>
    <n v="0"/>
    <n v="0"/>
    <n v="0"/>
    <n v="0"/>
    <n v="0"/>
  </r>
  <r>
    <x v="3"/>
    <x v="13"/>
    <s v="Blue H2"/>
    <x v="0"/>
    <n v="6666.666666666667"/>
    <s v="metric ton production/year"/>
    <n v="7.9999999999999993E-4"/>
    <n v="1.214180560214214E-2"/>
    <n v="2.6414433522216878E-3"/>
    <n v="2.1642167852062594E-2"/>
    <n v="0"/>
    <n v="0"/>
    <n v="0"/>
    <n v="18.666666666666668"/>
    <n v="0"/>
    <n v="0"/>
    <n v="0"/>
    <n v="0"/>
    <n v="0"/>
    <n v="0"/>
    <n v="0"/>
    <n v="0"/>
    <n v="0"/>
    <n v="0"/>
  </r>
  <r>
    <x v="3"/>
    <x v="14"/>
    <s v="Blue H2"/>
    <x v="0"/>
    <n v="7142.8571428571431"/>
    <s v="metric ton production/year"/>
    <n v="8.571428571428571E-4"/>
    <n v="1.1893875955727017E-2"/>
    <n v="5.9971492710125416E-4"/>
    <n v="2.3188036984352779E-2"/>
    <n v="0"/>
    <n v="0"/>
    <n v="0"/>
    <n v="20"/>
    <n v="0"/>
    <n v="0"/>
    <n v="0"/>
    <n v="0"/>
    <n v="0"/>
    <n v="0"/>
    <n v="0"/>
    <n v="0"/>
    <n v="0"/>
    <n v="0"/>
  </r>
  <r>
    <x v="3"/>
    <x v="15"/>
    <s v="Blue H2"/>
    <x v="0"/>
    <n v="7619.0476190476193"/>
    <s v="metric ton production/year"/>
    <n v="9.1428571428571427E-4"/>
    <n v="1.2366953058321483E-2"/>
    <n v="0"/>
    <n v="2.4733906116642966E-2"/>
    <n v="0"/>
    <n v="0"/>
    <n v="0"/>
    <n v="21.333333333333332"/>
    <n v="0"/>
    <n v="0"/>
    <n v="0"/>
    <n v="0"/>
    <n v="0"/>
    <n v="0"/>
    <n v="0"/>
    <n v="0"/>
    <n v="0"/>
    <n v="0"/>
  </r>
  <r>
    <x v="3"/>
    <x v="16"/>
    <s v="Blue H2"/>
    <x v="0"/>
    <n v="8095.2380952380954"/>
    <s v="metric ton production/year"/>
    <n v="9.7142857142857133E-4"/>
    <n v="1.3139887624466575E-2"/>
    <n v="0"/>
    <n v="2.627977524893315E-2"/>
    <n v="0"/>
    <n v="0"/>
    <n v="0"/>
    <n v="22.666666666666664"/>
    <n v="0"/>
    <n v="0"/>
    <n v="0"/>
    <n v="0"/>
    <n v="0"/>
    <n v="0"/>
    <n v="0"/>
    <n v="0"/>
    <n v="0"/>
    <n v="0"/>
  </r>
  <r>
    <x v="3"/>
    <x v="17"/>
    <s v="Blue H2"/>
    <x v="0"/>
    <n v="8571.4285714285725"/>
    <s v="metric ton production/year"/>
    <n v="1.0285714285714286E-3"/>
    <n v="1.3912822190611669E-2"/>
    <n v="0"/>
    <n v="2.7825644381223338E-2"/>
    <n v="0"/>
    <n v="0"/>
    <n v="0"/>
    <n v="24"/>
    <n v="0"/>
    <n v="0"/>
    <n v="0"/>
    <n v="0"/>
    <n v="0"/>
    <n v="0"/>
    <n v="0"/>
    <n v="0"/>
    <n v="0"/>
    <n v="0"/>
  </r>
  <r>
    <x v="3"/>
    <x v="18"/>
    <s v="Blue H2"/>
    <x v="0"/>
    <n v="9047.6190476190495"/>
    <s v="metric ton production/year"/>
    <n v="1.0857142857142858E-3"/>
    <n v="1.4685756756756763E-2"/>
    <n v="0"/>
    <n v="2.9371513513513525E-2"/>
    <n v="0"/>
    <n v="0"/>
    <n v="0"/>
    <n v="25.333333333333336"/>
    <n v="0"/>
    <n v="0"/>
    <n v="0"/>
    <n v="0"/>
    <n v="0"/>
    <n v="0"/>
    <n v="0"/>
    <n v="0"/>
    <n v="0"/>
    <n v="0"/>
  </r>
  <r>
    <x v="3"/>
    <x v="19"/>
    <s v="Blue H2"/>
    <x v="0"/>
    <n v="9523.8095238095266"/>
    <s v="metric ton production/year"/>
    <n v="1.1428571428571432E-3"/>
    <n v="1.5458691322901858E-2"/>
    <n v="0"/>
    <n v="3.0917382645803716E-2"/>
    <n v="0"/>
    <n v="0"/>
    <n v="0"/>
    <n v="26.666666666666671"/>
    <n v="0"/>
    <n v="0"/>
    <n v="0"/>
    <n v="0"/>
    <n v="0"/>
    <n v="0"/>
    <n v="0"/>
    <n v="0"/>
    <n v="0"/>
    <n v="0"/>
  </r>
  <r>
    <x v="3"/>
    <x v="20"/>
    <s v="Blue H2"/>
    <x v="0"/>
    <n v="10000"/>
    <s v="metric ton production/year"/>
    <n v="1.1999999999999999E-3"/>
    <n v="1.6231625889046947E-2"/>
    <n v="0"/>
    <n v="3.2463251778093893E-2"/>
    <n v="0"/>
    <n v="0"/>
    <n v="0"/>
    <n v="28"/>
    <n v="0"/>
    <n v="0"/>
    <n v="0"/>
    <n v="0"/>
    <n v="0"/>
    <n v="0"/>
    <n v="0"/>
    <n v="0"/>
    <n v="0"/>
    <n v="0"/>
  </r>
  <r>
    <x v="3"/>
    <x v="0"/>
    <s v="Green H2"/>
    <x v="1"/>
    <n v="476.1904761904762"/>
    <s v="metric ton production/year"/>
    <n v="5.7142857142857142E-5"/>
    <n v="5.0771173533046858E-3"/>
    <n v="5.0148061351807998E-3"/>
    <n v="5.1394285714285708E-3"/>
    <n v="0"/>
    <n v="0"/>
    <n v="0"/>
    <n v="1.9523809523809521"/>
    <n v="0"/>
    <n v="0"/>
    <n v="0"/>
    <n v="0"/>
    <n v="0"/>
    <n v="0"/>
    <n v="0"/>
    <n v="0"/>
    <n v="0"/>
    <n v="0"/>
  </r>
  <r>
    <x v="3"/>
    <x v="1"/>
    <s v="Green H2"/>
    <x v="1"/>
    <n v="952.38095238095241"/>
    <s v="metric ton production/year"/>
    <n v="1.1428571428571428E-4"/>
    <n v="1.0113232850646641E-2"/>
    <n v="9.9476085584361395E-3"/>
    <n v="1.0278857142857142E-2"/>
    <n v="0"/>
    <n v="0"/>
    <n v="0"/>
    <n v="3.9047619047619042"/>
    <n v="0"/>
    <n v="0"/>
    <n v="0"/>
    <n v="0"/>
    <n v="0"/>
    <n v="0"/>
    <n v="0"/>
    <n v="0"/>
    <n v="0"/>
    <n v="0"/>
  </r>
  <r>
    <x v="3"/>
    <x v="2"/>
    <s v="Green H2"/>
    <x v="1"/>
    <n v="1428.5714285714287"/>
    <s v="metric ton production/year"/>
    <n v="1.7142857142857143E-4"/>
    <n v="1.5094703472233156E-2"/>
    <n v="1.47711212301806E-2"/>
    <n v="1.5418285714285714E-2"/>
    <n v="0"/>
    <n v="0"/>
    <n v="0"/>
    <n v="5.8571428571428577"/>
    <n v="0"/>
    <n v="0"/>
    <n v="0"/>
    <n v="0"/>
    <n v="0"/>
    <n v="0"/>
    <n v="0"/>
    <n v="0"/>
    <n v="0"/>
    <n v="0"/>
  </r>
  <r>
    <x v="3"/>
    <x v="3"/>
    <s v="Green H2"/>
    <x v="1"/>
    <n v="1904.7619047619048"/>
    <s v="metric ton production/year"/>
    <n v="2.2857142857142857E-4"/>
    <n v="2.0018028364404993E-2"/>
    <n v="1.9478342443095702E-2"/>
    <n v="2.0557714285714283E-2"/>
    <n v="0"/>
    <n v="0"/>
    <n v="0"/>
    <n v="7.8095238095238084"/>
    <n v="0"/>
    <n v="0"/>
    <n v="0"/>
    <n v="0"/>
    <n v="0"/>
    <n v="0"/>
    <n v="0"/>
    <n v="0"/>
    <n v="0"/>
    <n v="0"/>
  </r>
  <r>
    <x v="3"/>
    <x v="4"/>
    <s v="Green H2"/>
    <x v="1"/>
    <n v="2380.9523809523812"/>
    <s v="metric ton production/year"/>
    <n v="2.8571428571428574E-4"/>
    <n v="2.4867105108422813E-2"/>
    <n v="2.403706735970277E-2"/>
    <n v="2.5697142857142859E-2"/>
    <n v="0"/>
    <n v="0"/>
    <n v="0"/>
    <n v="9.761904761904761"/>
    <n v="0"/>
    <n v="0"/>
    <n v="0"/>
    <n v="0"/>
    <n v="0"/>
    <n v="0"/>
    <n v="0"/>
    <n v="0"/>
    <n v="0"/>
    <n v="0"/>
  </r>
  <r>
    <x v="3"/>
    <x v="5"/>
    <s v="Green H2"/>
    <x v="1"/>
    <n v="2857.1428571428573"/>
    <s v="metric ton production/year"/>
    <n v="3.4285714285714285E-4"/>
    <n v="2.9627867776284643E-2"/>
    <n v="2.8419164123997861E-2"/>
    <n v="3.0836571428571428E-2"/>
    <n v="0"/>
    <n v="0"/>
    <n v="0"/>
    <n v="11.714285714285715"/>
    <n v="0"/>
    <n v="0"/>
    <n v="0"/>
    <n v="0"/>
    <n v="0"/>
    <n v="0"/>
    <n v="0"/>
    <n v="0"/>
    <n v="0"/>
    <n v="0"/>
  </r>
  <r>
    <x v="3"/>
    <x v="6"/>
    <s v="Green H2"/>
    <x v="1"/>
    <n v="3333.3333333333335"/>
    <s v="metric ton production/year"/>
    <n v="3.9999999999999996E-4"/>
    <n v="3.4283950987814817E-2"/>
    <n v="3.2591901975629639E-2"/>
    <n v="3.5975999999999994E-2"/>
    <n v="0"/>
    <n v="0"/>
    <n v="0"/>
    <n v="13.666666666666666"/>
    <n v="0"/>
    <n v="0"/>
    <n v="0"/>
    <n v="0"/>
    <n v="0"/>
    <n v="0"/>
    <n v="0"/>
    <n v="0"/>
    <n v="0"/>
    <n v="0"/>
  </r>
  <r>
    <x v="3"/>
    <x v="7"/>
    <s v="Green H2"/>
    <x v="1"/>
    <n v="3809.5238095238096"/>
    <s v="metric ton production/year"/>
    <n v="4.5714285714285713E-4"/>
    <n v="3.8821125920234761E-2"/>
    <n v="3.6526823269040942E-2"/>
    <n v="4.1115428571428567E-2"/>
    <n v="0"/>
    <n v="0"/>
    <n v="0"/>
    <n v="15.619047619047617"/>
    <n v="0"/>
    <n v="0"/>
    <n v="0"/>
    <n v="0"/>
    <n v="0"/>
    <n v="0"/>
    <n v="0"/>
    <n v="0"/>
    <n v="0"/>
    <n v="0"/>
  </r>
  <r>
    <x v="3"/>
    <x v="8"/>
    <s v="Green H2"/>
    <x v="1"/>
    <n v="4285.7142857142862"/>
    <s v="metric ton production/year"/>
    <n v="5.142857142857143E-4"/>
    <n v="4.3207969346793176E-2"/>
    <n v="4.0161081550729213E-2"/>
    <n v="4.6254857142857146E-2"/>
    <n v="0"/>
    <n v="0"/>
    <n v="0"/>
    <n v="17.571428571428569"/>
    <n v="0"/>
    <n v="0"/>
    <n v="0"/>
    <n v="0"/>
    <n v="0"/>
    <n v="0"/>
    <n v="0"/>
    <n v="0"/>
    <n v="0"/>
    <n v="0"/>
  </r>
  <r>
    <x v="3"/>
    <x v="9"/>
    <s v="Green H2"/>
    <x v="1"/>
    <n v="4761.9047619047624"/>
    <s v="metric ton production/year"/>
    <n v="5.7142857142857147E-4"/>
    <n v="4.7431541897435606E-2"/>
    <n v="4.34687980805855E-2"/>
    <n v="5.1394285714285719E-2"/>
    <n v="0"/>
    <n v="0"/>
    <n v="0"/>
    <n v="19.523809523809522"/>
    <n v="0"/>
    <n v="0"/>
    <n v="0"/>
    <n v="0"/>
    <n v="0"/>
    <n v="0"/>
    <n v="0"/>
    <n v="0"/>
    <n v="0"/>
    <n v="0"/>
  </r>
  <r>
    <x v="3"/>
    <x v="10"/>
    <s v="Green H2"/>
    <x v="1"/>
    <n v="5238.0952380952385"/>
    <s v="metric ton production/year"/>
    <n v="6.2857142857142853E-4"/>
    <n v="5.1449614178209771E-2"/>
    <n v="4.6365514070705251E-2"/>
    <n v="5.6533714285714277E-2"/>
    <n v="0"/>
    <n v="0"/>
    <n v="0"/>
    <n v="21.476190476190478"/>
    <n v="0"/>
    <n v="0"/>
    <n v="0"/>
    <n v="0"/>
    <n v="0"/>
    <n v="0"/>
    <n v="0"/>
    <n v="0"/>
    <n v="0"/>
    <n v="0"/>
  </r>
  <r>
    <x v="3"/>
    <x v="11"/>
    <s v="Green H2"/>
    <x v="1"/>
    <n v="5714.2857142857147"/>
    <s v="metric ton production/year"/>
    <n v="6.857142857142857E-4"/>
    <n v="5.5278427304798733E-2"/>
    <n v="4.8883711752454623E-2"/>
    <n v="6.1673142857142857E-2"/>
    <n v="0"/>
    <n v="0"/>
    <n v="0"/>
    <n v="23.428571428571431"/>
    <n v="0"/>
    <n v="0"/>
    <n v="0"/>
    <n v="0"/>
    <n v="0"/>
    <n v="0"/>
    <n v="0"/>
    <n v="0"/>
    <n v="0"/>
    <n v="0"/>
  </r>
  <r>
    <x v="3"/>
    <x v="12"/>
    <s v="Green H2"/>
    <x v="1"/>
    <n v="6190.4761904761908"/>
    <s v="metric ton production/year"/>
    <n v="7.4285714285714287E-4"/>
    <n v="5.8935228068641016E-2"/>
    <n v="5.1057884708710616E-2"/>
    <n v="6.6812571428571429E-2"/>
    <n v="0"/>
    <n v="0"/>
    <n v="0"/>
    <n v="25.38095238095238"/>
    <n v="0"/>
    <n v="0"/>
    <n v="0"/>
    <n v="0"/>
    <n v="0"/>
    <n v="0"/>
    <n v="0"/>
    <n v="0"/>
    <n v="0"/>
    <n v="0"/>
  </r>
  <r>
    <x v="3"/>
    <x v="13"/>
    <s v="Green H2"/>
    <x v="1"/>
    <n v="6666.666666666667"/>
    <s v="metric ton production/year"/>
    <n v="7.9999999999999993E-4"/>
    <n v="6.2451637750079537E-2"/>
    <n v="5.2951275500159087E-2"/>
    <n v="7.1951999999999988E-2"/>
    <n v="0"/>
    <n v="0"/>
    <n v="0"/>
    <n v="27.333333333333332"/>
    <n v="0"/>
    <n v="0"/>
    <n v="0"/>
    <n v="0"/>
    <n v="0"/>
    <n v="0"/>
    <n v="0"/>
    <n v="0"/>
    <n v="0"/>
    <n v="0"/>
  </r>
  <r>
    <x v="3"/>
    <x v="14"/>
    <s v="Green H2"/>
    <x v="1"/>
    <n v="7142.8571428571431"/>
    <s v="metric ton production/year"/>
    <n v="8.571428571428571E-4"/>
    <n v="6.5797267542802809E-2"/>
    <n v="5.4503106514177044E-2"/>
    <n v="7.7091428571428561E-2"/>
    <n v="0"/>
    <n v="0"/>
    <n v="0"/>
    <n v="29.285714285714285"/>
    <n v="0"/>
    <n v="0"/>
    <n v="0"/>
    <n v="0"/>
    <n v="0"/>
    <n v="0"/>
    <n v="0"/>
    <n v="0"/>
    <n v="0"/>
    <n v="0"/>
  </r>
  <r>
    <x v="3"/>
    <x v="15"/>
    <s v="Green H2"/>
    <x v="1"/>
    <n v="7619.0476190476193"/>
    <s v="metric ton production/year"/>
    <n v="9.1428571428571427E-4"/>
    <n v="6.8974880647114531E-2"/>
    <n v="5.5718904151371922E-2"/>
    <n v="8.2230857142857133E-2"/>
    <n v="0"/>
    <n v="0"/>
    <n v="0"/>
    <n v="31.238095238095234"/>
    <n v="0"/>
    <n v="0"/>
    <n v="0"/>
    <n v="0"/>
    <n v="0"/>
    <n v="0"/>
    <n v="0"/>
    <n v="0"/>
    <n v="0"/>
    <n v="0"/>
  </r>
  <r>
    <x v="3"/>
    <x v="16"/>
    <s v="Green H2"/>
    <x v="1"/>
    <n v="8095.2380952380954"/>
    <s v="metric ton production/year"/>
    <n v="9.7142857142857133E-4"/>
    <n v="7.2009324285954662E-2"/>
    <n v="5.6648362857623633E-2"/>
    <n v="8.7370285714285706E-2"/>
    <n v="0"/>
    <n v="0"/>
    <n v="0"/>
    <n v="33.19047619047619"/>
    <n v="0"/>
    <n v="0"/>
    <n v="0"/>
    <n v="0"/>
    <n v="0"/>
    <n v="0"/>
    <n v="0"/>
    <n v="0"/>
    <n v="0"/>
    <n v="0"/>
  </r>
  <r>
    <x v="3"/>
    <x v="17"/>
    <s v="Green H2"/>
    <x v="1"/>
    <n v="8571.4285714285725"/>
    <s v="metric ton production/year"/>
    <n v="1.0285714285714286E-3"/>
    <n v="7.4935857968012096E-2"/>
    <n v="5.7362001650309906E-2"/>
    <n v="9.2509714285714292E-2"/>
    <n v="0"/>
    <n v="0"/>
    <n v="0"/>
    <n v="35.142857142857139"/>
    <n v="0"/>
    <n v="0"/>
    <n v="0"/>
    <n v="0"/>
    <n v="0"/>
    <n v="0"/>
    <n v="0"/>
    <n v="0"/>
    <n v="0"/>
    <n v="0"/>
  </r>
  <r>
    <x v="3"/>
    <x v="18"/>
    <s v="Green H2"/>
    <x v="1"/>
    <n v="9047.6190476190495"/>
    <s v="metric ton production/year"/>
    <n v="1.0857142857142858E-3"/>
    <n v="7.7772650341122018E-2"/>
    <n v="5.7896157825101179E-2"/>
    <n v="9.7649142857142865E-2"/>
    <n v="0"/>
    <n v="0"/>
    <n v="0"/>
    <n v="37.095238095238095"/>
    <n v="0"/>
    <n v="0"/>
    <n v="0"/>
    <n v="0"/>
    <n v="0"/>
    <n v="0"/>
    <n v="0"/>
    <n v="0"/>
    <n v="0"/>
    <n v="0"/>
  </r>
  <r>
    <x v="3"/>
    <x v="19"/>
    <s v="Green H2"/>
    <x v="1"/>
    <n v="9523.8095238095266"/>
    <s v="metric ton production/year"/>
    <n v="1.1428571428571432E-3"/>
    <n v="8.054877851027302E-2"/>
    <n v="5.8308985591974574E-2"/>
    <n v="0.10278857142857145"/>
    <n v="0"/>
    <n v="0"/>
    <n v="0"/>
    <n v="39.047619047619051"/>
    <n v="0"/>
    <n v="0"/>
    <n v="0"/>
    <n v="0"/>
    <n v="0"/>
    <n v="0"/>
    <n v="0"/>
    <n v="0"/>
    <n v="0"/>
    <n v="0"/>
  </r>
  <r>
    <x v="3"/>
    <x v="20"/>
    <s v="Green H2"/>
    <x v="1"/>
    <n v="10000"/>
    <s v="metric ton production/year"/>
    <n v="1.1999999999999999E-3"/>
    <n v="8.329265286498426E-2"/>
    <n v="5.8657305729968544E-2"/>
    <n v="0.10792799999999998"/>
    <n v="0"/>
    <n v="0"/>
    <n v="0"/>
    <n v="41"/>
    <n v="0"/>
    <n v="0"/>
    <n v="0"/>
    <n v="0"/>
    <n v="0"/>
    <n v="0"/>
    <n v="0"/>
    <n v="0"/>
    <n v="0"/>
    <n v="0"/>
  </r>
  <r>
    <x v="3"/>
    <x v="0"/>
    <s v="Electricity"/>
    <x v="2"/>
    <n v="47.61904761904762"/>
    <s v="MW"/>
    <n v="3.9324389252660551E-4"/>
    <n v="1.573384993012128E-2"/>
    <n v="1.4425129723025072E-2"/>
    <n v="1.7042570027977683E-2"/>
    <n v="166.66666666666669"/>
    <n v="133.33333333333334"/>
    <n v="200"/>
    <n v="0"/>
    <n v="2333.3333333333335"/>
    <n v="233.33333333333334"/>
    <n v="41666.666666666672"/>
    <n v="51.666666666666671"/>
    <n v="1.6476190476190475"/>
    <n v="1.342857142857143"/>
    <n v="1.5904761904761904"/>
    <n v="0.26761904761904765"/>
    <n v="4.8485714285714288"/>
    <n v="290.91428571428571"/>
  </r>
  <r>
    <x v="3"/>
    <x v="1"/>
    <s v="Electricity"/>
    <x v="2"/>
    <n v="95.238095238095241"/>
    <s v="MW"/>
    <n v="7.6801714142374334E-4"/>
    <n v="2.9827513452190202E-2"/>
    <n v="2.7072309457482645E-2"/>
    <n v="3.2582717233549149E-2"/>
    <n v="333.33333333333337"/>
    <n v="266.66666666666669"/>
    <n v="400"/>
    <n v="0"/>
    <n v="4666.666666666667"/>
    <n v="466.66666666666669"/>
    <n v="83333.333333333343"/>
    <n v="103.33333333333334"/>
    <n v="1.6476190476190475"/>
    <n v="1.342857142857143"/>
    <n v="1.5904761904761904"/>
    <n v="0.26761904761904765"/>
    <n v="4.8485714285714288"/>
    <n v="290.91428571428571"/>
  </r>
  <r>
    <x v="3"/>
    <x v="2"/>
    <s v="Electricity"/>
    <x v="2"/>
    <n v="142.85714285714286"/>
    <s v="MW"/>
    <n v="1.1243197466914131E-3"/>
    <n v="4.2346009269608888E-2"/>
    <n v="3.8020932515530896E-2"/>
    <n v="4.6671085711360458E-2"/>
    <n v="500"/>
    <n v="400"/>
    <n v="600"/>
    <n v="0"/>
    <n v="7000"/>
    <n v="700"/>
    <n v="125000"/>
    <n v="155"/>
    <n v="1.6476190476190475"/>
    <n v="1.342857142857143"/>
    <n v="1.5904761904761904"/>
    <n v="0.26761904761904765"/>
    <n v="4.8485714285714288"/>
    <n v="290.91428571428571"/>
  </r>
  <r>
    <x v="3"/>
    <x v="3"/>
    <s v="Electricity"/>
    <x v="2"/>
    <n v="190.47619047619048"/>
    <s v="MW"/>
    <n v="1.4621517083296153E-3"/>
    <n v="5.3354356085779493E-2"/>
    <n v="4.7350392209328018E-2"/>
    <n v="5.935831955605772E-2"/>
    <n v="666.66666666666674"/>
    <n v="533.33333333333337"/>
    <n v="800"/>
    <n v="0"/>
    <n v="9333.3333333333339"/>
    <n v="933.33333333333337"/>
    <n v="166666.66666666669"/>
    <n v="206.66666666666669"/>
    <n v="1.6476190476190475"/>
    <n v="1.342857142857143"/>
    <n v="1.5904761904761904"/>
    <n v="0.26761904761904765"/>
    <n v="4.8485714285714288"/>
    <n v="290.91428571428571"/>
  </r>
  <r>
    <x v="3"/>
    <x v="4"/>
    <s v="Electricity"/>
    <x v="2"/>
    <n v="238.0952380952381"/>
    <s v="MW"/>
    <n v="1.7815130263383494E-3"/>
    <n v="6.2917572604104133E-2"/>
    <n v="5.514008185103219E-2"/>
    <n v="7.0695062862286995E-2"/>
    <n v="833.33333333333337"/>
    <n v="666.66666666666663"/>
    <n v="1000.0000000000001"/>
    <n v="0"/>
    <n v="11666.666666666668"/>
    <n v="1166.6666666666667"/>
    <n v="208333.33333333334"/>
    <n v="258.33333333333337"/>
    <n v="1.6476190476190475"/>
    <n v="1.342857142857143"/>
    <n v="1.5904761904761904"/>
    <n v="0.26761904761904765"/>
    <n v="4.8485714285714288"/>
    <n v="290.91428571428571"/>
  </r>
  <r>
    <x v="3"/>
    <x v="5"/>
    <s v="Electricity"/>
    <x v="2"/>
    <n v="285.71428571428572"/>
    <s v="MW"/>
    <n v="2.0824037007176163E-3"/>
    <n v="7.1100677527984921E-2"/>
    <n v="6.1469394752801582E-2"/>
    <n v="8.0731959724694352E-2"/>
    <n v="1000"/>
    <n v="800"/>
    <n v="1200"/>
    <n v="0"/>
    <n v="14000"/>
    <n v="1400"/>
    <n v="250000"/>
    <n v="310"/>
    <n v="1.6476190476190475"/>
    <n v="1.342857142857143"/>
    <n v="1.5904761904761904"/>
    <n v="0.26761904761904765"/>
    <n v="4.8485714285714288"/>
    <n v="290.91428571428571"/>
  </r>
  <r>
    <x v="3"/>
    <x v="6"/>
    <s v="Electricity"/>
    <x v="2"/>
    <n v="333.33333333333337"/>
    <s v="MW"/>
    <n v="2.3648237314674151E-3"/>
    <n v="7.7968689560824034E-2"/>
    <n v="6.64177242267944E-2"/>
    <n v="8.9519654237925891E-2"/>
    <n v="1166.6666666666667"/>
    <n v="933.33333333333337"/>
    <n v="1400.0000000000002"/>
    <n v="0"/>
    <n v="16333.333333333334"/>
    <n v="1633.3333333333333"/>
    <n v="291666.66666666669"/>
    <n v="361.66666666666669"/>
    <n v="1.6476190476190486"/>
    <n v="1.3428571428571436"/>
    <n v="1.5904761904761915"/>
    <n v="0.26761904761904781"/>
    <n v="4.8485714285714314"/>
    <n v="290.91428571428588"/>
  </r>
  <r>
    <x v="3"/>
    <x v="7"/>
    <s v="Electricity"/>
    <x v="2"/>
    <n v="380.95238095238096"/>
    <s v="MW"/>
    <n v="2.628773118587746E-3"/>
    <n v="8.3586627406023559E-2"/>
    <n v="7.0064463585168824E-2"/>
    <n v="9.7108790496627684E-2"/>
    <n v="1333.3333333333335"/>
    <n v="1066.6666666666667"/>
    <n v="1600"/>
    <n v="0"/>
    <n v="18666.666666666668"/>
    <n v="1866.6666666666667"/>
    <n v="333333.33333333337"/>
    <n v="413.33333333333337"/>
    <n v="1.6476190476190467"/>
    <n v="1.3428571428571421"/>
    <n v="1.5904761904761895"/>
    <n v="0.26761904761904748"/>
    <n v="4.8485714285714252"/>
    <n v="290.91428571428554"/>
  </r>
  <r>
    <x v="3"/>
    <x v="8"/>
    <s v="Electricity"/>
    <x v="2"/>
    <n v="428.57142857142856"/>
    <s v="MW"/>
    <n v="2.8742518620786094E-3"/>
    <n v="8.8019509766985651E-2"/>
    <n v="7.2489006140083009E-2"/>
    <n v="0.1035500125954458"/>
    <n v="1500"/>
    <n v="1199.9999999999998"/>
    <n v="1800"/>
    <n v="0"/>
    <n v="21000"/>
    <n v="2100"/>
    <n v="375000"/>
    <n v="465"/>
    <n v="1.6476190476190467"/>
    <n v="1.3428571428571421"/>
    <n v="1.5904761904761895"/>
    <n v="0.26761904761904748"/>
    <n v="4.8485714285714252"/>
    <n v="290.91428571428554"/>
  </r>
  <r>
    <x v="3"/>
    <x v="9"/>
    <s v="Electricity"/>
    <x v="2"/>
    <n v="476.19047619047615"/>
    <s v="MW"/>
    <n v="3.101259961940005E-3"/>
    <n v="9.1332355347112426E-2"/>
    <n v="7.3770745203695171E-2"/>
    <n v="0.10889396462902631"/>
    <n v="1666.6666666666665"/>
    <n v="1333.333333333333"/>
    <n v="2000"/>
    <n v="0"/>
    <n v="23333.333333333332"/>
    <n v="2333.333333333333"/>
    <n v="416666.66666666663"/>
    <n v="516.66666666666663"/>
    <n v="1.6476190476190467"/>
    <n v="1.3428571428571421"/>
    <n v="1.5904761904761895"/>
    <n v="0.26761904761904748"/>
    <n v="4.8485714285714252"/>
    <n v="290.91428571428554"/>
  </r>
  <r>
    <x v="3"/>
    <x v="10"/>
    <s v="Electricity"/>
    <x v="2"/>
    <n v="523.80952380952374"/>
    <s v="MW"/>
    <n v="3.3097974181719326E-3"/>
    <n v="9.3590182849806025E-2"/>
    <n v="7.3989074088163478E-2"/>
    <n v="0.11319129069201532"/>
    <n v="1833.333333333333"/>
    <n v="1466.6666666666663"/>
    <n v="2200"/>
    <n v="0"/>
    <n v="25666.666666666664"/>
    <n v="2566.6666666666661"/>
    <n v="458333.33333333326"/>
    <n v="568.33333333333326"/>
    <n v="1.6476190476190467"/>
    <n v="1.3428571428571421"/>
    <n v="1.5904761904761895"/>
    <n v="0.26761904761904748"/>
    <n v="4.8485714285714252"/>
    <n v="290.91428571428554"/>
  </r>
  <r>
    <x v="3"/>
    <x v="11"/>
    <s v="Electricity"/>
    <x v="2"/>
    <n v="571.42857142857133"/>
    <s v="MW"/>
    <n v="3.4998642307743928E-3"/>
    <n v="9.4858010978468577E-2"/>
    <n v="7.3223386105646104E-2"/>
    <n v="0.11649263487905887"/>
    <n v="1999.9999999999995"/>
    <n v="1599.9999999999995"/>
    <n v="2399.9999999999995"/>
    <n v="0"/>
    <n v="27999.999999999993"/>
    <n v="2799.9999999999991"/>
    <n v="499999.99999999988"/>
    <n v="619.99999999999989"/>
    <n v="1.6476190476190467"/>
    <n v="1.3428571428571421"/>
    <n v="1.5904761904761895"/>
    <n v="0.26761904761904748"/>
    <n v="4.8485714285714252"/>
    <n v="290.91428571428554"/>
  </r>
  <r>
    <x v="3"/>
    <x v="12"/>
    <s v="Electricity"/>
    <x v="2"/>
    <n v="619.04761904761892"/>
    <s v="MW"/>
    <n v="3.6714603997473846E-3"/>
    <n v="9.5200858436502223E-2"/>
    <n v="7.1553074568301248E-2"/>
    <n v="0.11884864128480307"/>
    <n v="2166.6666666666661"/>
    <n v="1733.3333333333328"/>
    <n v="2599.9999999999995"/>
    <n v="0"/>
    <n v="30333.333333333325"/>
    <n v="3033.3333333333321"/>
    <n v="541666.66666666651"/>
    <n v="671.66666666666652"/>
    <n v="1.6476190476190467"/>
    <n v="1.3428571428571421"/>
    <n v="1.5904761904761895"/>
    <n v="0.26761904761904748"/>
    <n v="4.8485714285714252"/>
    <n v="290.91428571428554"/>
  </r>
  <r>
    <x v="3"/>
    <x v="13"/>
    <s v="Electricity"/>
    <x v="2"/>
    <n v="666.66666666666652"/>
    <s v="MW"/>
    <n v="3.8245859250909098E-3"/>
    <n v="9.4683743927309078E-2"/>
    <n v="6.9057532788287093E-2"/>
    <n v="0.12030995400389401"/>
    <n v="2333.333333333333"/>
    <n v="1866.6666666666661"/>
    <n v="2799.9999999999995"/>
    <n v="0"/>
    <n v="32666.666666666664"/>
    <n v="3266.6666666666661"/>
    <n v="583333.33333333326"/>
    <n v="723.33333333333326"/>
    <n v="1.6476190476190467"/>
    <n v="1.3428571428571421"/>
    <n v="1.5904761904761895"/>
    <n v="0.26761904761904748"/>
    <n v="4.8485714285714252"/>
    <n v="290.91428571428554"/>
  </r>
  <r>
    <x v="3"/>
    <x v="14"/>
    <s v="Electricity"/>
    <x v="2"/>
    <n v="714.28571428571411"/>
    <s v="MW"/>
    <n v="3.9592408068049659E-3"/>
    <n v="9.3371686154291242E-2"/>
    <n v="6.5816154077761785E-2"/>
    <n v="0.1209272171309777"/>
    <n v="2499.9999999999995"/>
    <n v="1999.9999999999993"/>
    <n v="2999.9999999999995"/>
    <n v="0"/>
    <n v="34999.999999999993"/>
    <n v="3499.9999999999991"/>
    <n v="624999.99999999988"/>
    <n v="774.99999999999989"/>
    <n v="1.6476190476190467"/>
    <n v="1.3428571428571421"/>
    <n v="1.5904761904761895"/>
    <n v="0.26761904761904748"/>
    <n v="4.8485714285714252"/>
    <n v="290.91428571428554"/>
  </r>
  <r>
    <x v="3"/>
    <x v="15"/>
    <s v="Electricity"/>
    <x v="2"/>
    <n v="761.9047619047617"/>
    <s v="MW"/>
    <n v="4.0754250448895553E-3"/>
    <n v="9.1329703820850941E-2"/>
    <n v="6.1908331748883563E-2"/>
    <n v="0.12075107476070034"/>
    <n v="2666.6666666666661"/>
    <n v="2133.3333333333326"/>
    <n v="3199.9999999999991"/>
    <n v="0"/>
    <n v="37333.333333333328"/>
    <n v="3733.3333333333321"/>
    <n v="666666.66666666651"/>
    <n v="826.66666666666652"/>
    <n v="1.6476190476190467"/>
    <n v="1.3428571428571421"/>
    <n v="1.5904761904761895"/>
    <n v="0.26761904761904748"/>
    <n v="4.8485714285714252"/>
    <n v="290.91428571428554"/>
  </r>
  <r>
    <x v="3"/>
    <x v="16"/>
    <s v="Electricity"/>
    <x v="2"/>
    <n v="809.52380952380929"/>
    <s v="MW"/>
    <n v="4.173138639344676E-3"/>
    <n v="8.8622815630390192E-2"/>
    <n v="5.7413459113810558E-2"/>
    <n v="0.11983217098770786"/>
    <n v="2833.3333333333326"/>
    <n v="2266.6666666666661"/>
    <n v="3399.9999999999991"/>
    <n v="0"/>
    <n v="39666.666666666657"/>
    <n v="3966.6666666666652"/>
    <n v="708333.33333333314"/>
    <n v="878.33333333333314"/>
    <n v="1.6476190476190467"/>
    <n v="1.3428571428571421"/>
    <n v="1.5904761904761895"/>
    <n v="0.26761904761904748"/>
    <n v="4.8485714285714252"/>
    <n v="290.91428571428554"/>
  </r>
  <r>
    <x v="3"/>
    <x v="17"/>
    <s v="Electricity"/>
    <x v="2"/>
    <n v="857.14285714285688"/>
    <s v="MW"/>
    <n v="4.2523815901703297E-3"/>
    <n v="8.5316040286311207E-2"/>
    <n v="5.2410929484700997E-2"/>
    <n v="0.11822114990664645"/>
    <n v="2999.9999999999991"/>
    <n v="2399.9999999999991"/>
    <n v="3599.9999999999991"/>
    <n v="0"/>
    <n v="41999.999999999985"/>
    <n v="4199.9999999999982"/>
    <n v="749999.99999999977"/>
    <n v="929.99999999999966"/>
    <n v="1.6476190476190467"/>
    <n v="1.3428571428571421"/>
    <n v="1.5904761904761895"/>
    <n v="0.26761904761904748"/>
    <n v="4.8485714285714252"/>
    <n v="290.91428571428554"/>
  </r>
  <r>
    <x v="3"/>
    <x v="18"/>
    <s v="Electricity"/>
    <x v="2"/>
    <n v="904.76190476190447"/>
    <s v="MW"/>
    <n v="4.3131538973665163E-3"/>
    <n v="8.1474396492016099E-2"/>
    <n v="4.6980136173713043E-2"/>
    <n v="0.11596865561216217"/>
    <n v="3166.6666666666656"/>
    <n v="2533.3333333333326"/>
    <n v="3799.9999999999991"/>
    <n v="0"/>
    <n v="44333.333333333321"/>
    <n v="4433.3333333333312"/>
    <n v="791666.6666666664"/>
    <n v="981.66666666666629"/>
    <n v="1.6476190476190467"/>
    <n v="1.3428571428571421"/>
    <n v="1.5904761904761895"/>
    <n v="0.26761904761904748"/>
    <n v="4.8485714285714252"/>
    <n v="290.91428571428554"/>
  </r>
  <r>
    <x v="3"/>
    <x v="19"/>
    <s v="Electricity"/>
    <x v="2"/>
    <n v="952.38095238095207"/>
    <s v="MW"/>
    <n v="4.3554555609332342E-3"/>
    <n v="7.716290295090697E-2"/>
    <n v="4.1200472493004868E-2"/>
    <n v="0.11312533219890106"/>
    <n v="3333.3333333333321"/>
    <n v="2666.6666666666656"/>
    <n v="3999.9999999999986"/>
    <n v="0"/>
    <n v="46666.66666666665"/>
    <n v="4666.6666666666642"/>
    <n v="833333.33333333302"/>
    <n v="1033.333333333333"/>
    <n v="1.6476190476190467"/>
    <n v="1.3428571428571421"/>
    <n v="1.5904761904761895"/>
    <n v="0.26761904761904748"/>
    <n v="4.8485714285714252"/>
    <n v="290.91428571428554"/>
  </r>
  <r>
    <x v="3"/>
    <x v="20"/>
    <s v="Electricity"/>
    <x v="2"/>
    <n v="1000"/>
    <s v="MW"/>
    <n v="4.3792865808704859E-3"/>
    <n v="7.2446578366386002E-2"/>
    <n v="3.5151331754734678E-2"/>
    <n v="0.10974182376150925"/>
    <n v="3500"/>
    <n v="2800"/>
    <n v="4200"/>
    <n v="0"/>
    <n v="49000"/>
    <n v="4900"/>
    <n v="875000"/>
    <n v="1085"/>
    <n v="1.6476190476190584"/>
    <n v="1.3428571428571516"/>
    <n v="1.5904761904762008"/>
    <n v="0.26761904761904937"/>
    <n v="4.8485714285714598"/>
    <n v="290.91428571428759"/>
  </r>
  <r>
    <x v="3"/>
    <x v="0"/>
    <s v="Electricity"/>
    <x v="3"/>
    <n v="9.5238095238095237"/>
    <s v="MW"/>
    <n v="8.5806354342679911E-5"/>
    <n v="3.4331475400783129E-3"/>
    <n v="3.1475830037697799E-3"/>
    <n v="3.7187120525505714E-3"/>
    <n v="23.80952380952381"/>
    <n v="7.6190476190476195"/>
    <n v="40"/>
    <n v="0"/>
    <n v="333.33333333333337"/>
    <n v="33.333333333333336"/>
    <n v="5952.3809523809523"/>
    <n v="7.3809523809523814"/>
    <n v="0.22476190476190475"/>
    <n v="0.38952380952380949"/>
    <n v="0.19047619047619047"/>
    <n v="1.0761904761904761E-2"/>
    <n v="0.81552380952380965"/>
    <n v="6.5241904761904772"/>
  </r>
  <r>
    <x v="3"/>
    <x v="1"/>
    <s v="Electricity"/>
    <x v="3"/>
    <n v="19.047619047619047"/>
    <s v="MW"/>
    <n v="1.7023849769863219E-4"/>
    <n v="6.6115595685448366E-3"/>
    <n v="6.000841703520653E-3"/>
    <n v="7.2222773862782169E-3"/>
    <n v="47.61904761904762"/>
    <n v="15.238095238095239"/>
    <n v="80"/>
    <n v="0"/>
    <n v="666.66666666666674"/>
    <n v="66.666666666666671"/>
    <n v="11904.761904761905"/>
    <n v="14.761904761904763"/>
    <n v="0.22476190476190475"/>
    <n v="0.38952380952380949"/>
    <n v="0.19047619047619047"/>
    <n v="1.0761904761904761E-2"/>
    <n v="0.81552380952380965"/>
    <n v="6.5241904761904772"/>
  </r>
  <r>
    <x v="3"/>
    <x v="2"/>
    <s v="Electricity"/>
    <x v="3"/>
    <n v="28.571428571428569"/>
    <s v="MW"/>
    <n v="2.5329643006785684E-4"/>
    <n v="9.5400734596865957E-3"/>
    <n v="8.5656829406182567E-3"/>
    <n v="1.051446390839135E-2"/>
    <n v="71.428571428571416"/>
    <n v="22.857142857142858"/>
    <n v="120"/>
    <n v="0"/>
    <n v="999.99999999999977"/>
    <n v="99.999999999999972"/>
    <n v="17857.142857142855"/>
    <n v="22.142857142857139"/>
    <n v="0.22476190476190472"/>
    <n v="0.38952380952380944"/>
    <n v="0.19047619047619044"/>
    <n v="1.0761904761904759E-2"/>
    <n v="0.81552380952380943"/>
    <n v="6.5241904761904754"/>
  </r>
  <r>
    <x v="3"/>
    <x v="3"/>
    <s v="Electricity"/>
    <x v="3"/>
    <n v="38.095238095238095"/>
    <s v="MW"/>
    <n v="3.349801514503538E-4"/>
    <n v="1.2223526587790615E-2"/>
    <n v="1.0848013556428223E-2"/>
    <n v="1.3599039526098382E-2"/>
    <n v="95.238095238095241"/>
    <n v="30.476190476190478"/>
    <n v="160"/>
    <n v="0"/>
    <n v="1333.3333333333335"/>
    <n v="133.33333333333334"/>
    <n v="23809.523809523809"/>
    <n v="29.523809523809526"/>
    <n v="0.2247619047619048"/>
    <n v="0.38952380952380961"/>
    <n v="0.19047619047619052"/>
    <n v="1.0761904761904762E-2"/>
    <n v="0.81552380952380976"/>
    <n v="6.5241904761904781"/>
  </r>
  <r>
    <x v="3"/>
    <x v="4"/>
    <s v="Electricity"/>
    <x v="3"/>
    <n v="47.61904761904762"/>
    <s v="MW"/>
    <n v="4.1528966184612316E-4"/>
    <n v="1.4666756327143923E-2"/>
    <n v="1.2853740392316194E-2"/>
    <n v="1.6479772146607733E-2"/>
    <n v="119.04761904761905"/>
    <n v="38.095238095238095"/>
    <n v="200"/>
    <n v="0"/>
    <n v="1666.6666666666667"/>
    <n v="166.66666666666666"/>
    <n v="29761.904761904763"/>
    <n v="36.904761904761905"/>
    <n v="0.2247619047619048"/>
    <n v="0.38952380952380961"/>
    <n v="0.19047619047619052"/>
    <n v="1.0761904761904762E-2"/>
    <n v="0.81552380952380976"/>
    <n v="6.5241904761904781"/>
  </r>
  <r>
    <x v="3"/>
    <x v="5"/>
    <s v="Electricity"/>
    <x v="3"/>
    <n v="57.142857142857146"/>
    <s v="MW"/>
    <n v="4.9422496125516491E-4"/>
    <n v="1.6874600052033541E-2"/>
    <n v="1.4588770289647805E-2"/>
    <n v="1.9160429677127812E-2"/>
    <n v="142.85714285714286"/>
    <n v="45.714285714285722"/>
    <n v="240.00000000000003"/>
    <n v="0"/>
    <n v="2000"/>
    <n v="200"/>
    <n v="35714.285714285717"/>
    <n v="44.285714285714285"/>
    <n v="0.2247619047619048"/>
    <n v="0.38952380952380961"/>
    <n v="0.19047619047619052"/>
    <n v="1.0761904761904762E-2"/>
    <n v="0.81552380952380976"/>
    <n v="6.5241904761904781"/>
  </r>
  <r>
    <x v="3"/>
    <x v="6"/>
    <s v="Electricity"/>
    <x v="3"/>
    <n v="66.666666666666671"/>
    <s v="MW"/>
    <n v="5.7178604967747905E-4"/>
    <n v="1.88518951367465E-2"/>
    <n v="1.6059010089788696E-2"/>
    <n v="2.1644780024867041E-2"/>
    <n v="166.66666666666669"/>
    <n v="53.333333333333343"/>
    <n v="280.00000000000006"/>
    <n v="0"/>
    <n v="2333.3333333333335"/>
    <n v="233.33333333333334"/>
    <n v="41666.666666666672"/>
    <n v="51.666666666666671"/>
    <n v="0.2247619047619048"/>
    <n v="0.38952380952380961"/>
    <n v="0.19047619047619052"/>
    <n v="1.0761904761904762E-2"/>
    <n v="0.81552380952380976"/>
    <n v="6.5241904761904781"/>
  </r>
  <r>
    <x v="3"/>
    <x v="7"/>
    <s v="Electricity"/>
    <x v="3"/>
    <n v="76.19047619047619"/>
    <s v="MW"/>
    <n v="6.4797292711306538E-4"/>
    <n v="2.0603478955569812E-2"/>
    <n v="1.727036663410449E-2"/>
    <n v="2.3936591097033815E-2"/>
    <n v="190.47619047619048"/>
    <n v="60.952380952380956"/>
    <n v="320"/>
    <n v="0"/>
    <n v="2666.666666666667"/>
    <n v="266.66666666666669"/>
    <n v="47619.047619047618"/>
    <n v="59.047619047619051"/>
    <n v="0.22476190476190464"/>
    <n v="0.38952380952380927"/>
    <n v="0.19047619047619038"/>
    <n v="1.0761904761904756E-2"/>
    <n v="0.81552380952380921"/>
    <n v="6.5241904761904737"/>
  </r>
  <r>
    <x v="3"/>
    <x v="8"/>
    <s v="Electricity"/>
    <x v="3"/>
    <n v="85.714285714285708"/>
    <s v="MW"/>
    <n v="7.227855935619241E-4"/>
    <n v="2.2134188882790517E-2"/>
    <n v="1.8228746763960836E-2"/>
    <n v="2.6039630800836565E-2"/>
    <n v="214.28571428571428"/>
    <n v="68.571428571428569"/>
    <n v="360"/>
    <n v="0"/>
    <n v="3000"/>
    <n v="299.99999999999994"/>
    <n v="53571.428571428572"/>
    <n v="66.428571428571431"/>
    <n v="0.22476190476190464"/>
    <n v="0.38952380952380927"/>
    <n v="0.19047619047619038"/>
    <n v="1.0761904761904756E-2"/>
    <n v="0.81552380952380921"/>
    <n v="6.5241904761904737"/>
  </r>
  <r>
    <x v="3"/>
    <x v="9"/>
    <s v="Electricity"/>
    <x v="3"/>
    <n v="95.238095238095227"/>
    <s v="MW"/>
    <n v="7.962240490240551E-4"/>
    <n v="2.3448862292695632E-2"/>
    <n v="1.8940057320723368E-2"/>
    <n v="2.7957667043483698E-2"/>
    <n v="238.09523809523807"/>
    <n v="76.19047619047619"/>
    <n v="399.99999999999994"/>
    <n v="0"/>
    <n v="3333.333333333333"/>
    <n v="333.33333333333326"/>
    <n v="59523.809523809519"/>
    <n v="73.809523809523796"/>
    <n v="0.22476190476190464"/>
    <n v="0.38952380952380927"/>
    <n v="0.19047619047619038"/>
    <n v="1.0761904761904756E-2"/>
    <n v="0.81552380952380921"/>
    <n v="6.5241904761904737"/>
  </r>
  <r>
    <x v="3"/>
    <x v="10"/>
    <s v="Electricity"/>
    <x v="3"/>
    <n v="104.76190476190474"/>
    <s v="MW"/>
    <n v="8.6828829349945862E-4"/>
    <n v="2.4552336559572185E-2"/>
    <n v="1.9410205145757722E-2"/>
    <n v="2.9694467732183625E-2"/>
    <n v="261.90476190476187"/>
    <n v="83.809523809523796"/>
    <n v="439.99999999999994"/>
    <n v="0"/>
    <n v="3666.6666666666661"/>
    <n v="366.66666666666657"/>
    <n v="65476.190476190466"/>
    <n v="81.190476190476176"/>
    <n v="0.22476190476190464"/>
    <n v="0.38952380952380927"/>
    <n v="0.19047619047619038"/>
    <n v="1.0761904761904756E-2"/>
    <n v="0.81552380952380921"/>
    <n v="6.5241904761904737"/>
  </r>
  <r>
    <x v="3"/>
    <x v="11"/>
    <s v="Electricity"/>
    <x v="3"/>
    <n v="114.28571428571426"/>
    <s v="MW"/>
    <n v="9.3897832698813441E-4"/>
    <n v="2.5449449057707203E-2"/>
    <n v="1.9645097080429535E-2"/>
    <n v="3.1253800774144767E-2"/>
    <n v="285.71428571428567"/>
    <n v="91.428571428571416"/>
    <n v="479.99999999999994"/>
    <n v="0"/>
    <n v="3999.9999999999991"/>
    <n v="399.99999999999989"/>
    <n v="71428.57142857142"/>
    <n v="88.571428571428555"/>
    <n v="0.22476190476190464"/>
    <n v="0.38952380952380927"/>
    <n v="0.19047619047619038"/>
    <n v="1.0761904761904756E-2"/>
    <n v="0.81552380952380921"/>
    <n v="6.5241904761904737"/>
  </r>
  <r>
    <x v="3"/>
    <x v="12"/>
    <s v="Electricity"/>
    <x v="3"/>
    <n v="123.80952380952378"/>
    <s v="MW"/>
    <n v="1.0082941494900827E-3"/>
    <n v="2.6145037161387715E-2"/>
    <n v="1.9650639966104447E-2"/>
    <n v="3.2639434076575539E-2"/>
    <n v="309.52380952380946"/>
    <n v="99.047619047619037"/>
    <n v="519.99999999999989"/>
    <n v="0"/>
    <n v="4333.3333333333321"/>
    <n v="433.3333333333332"/>
    <n v="77380.952380952367"/>
    <n v="95.952380952380935"/>
    <n v="0.22476190476190464"/>
    <n v="0.38952380952380927"/>
    <n v="0.19047619047619038"/>
    <n v="1.0761904761904756E-2"/>
    <n v="0.81552380952380921"/>
    <n v="6.5241904761904737"/>
  </r>
  <r>
    <x v="3"/>
    <x v="13"/>
    <s v="Electricity"/>
    <x v="3"/>
    <n v="133.33333333333331"/>
    <s v="MW"/>
    <n v="1.0762357610053033E-3"/>
    <n v="2.6643938244900734E-2"/>
    <n v="1.9432740644148089E-2"/>
    <n v="3.3855135546684352E-2"/>
    <n v="333.33333333333326"/>
    <n v="106.66666666666666"/>
    <n v="560"/>
    <n v="0"/>
    <n v="4666.6666666666661"/>
    <n v="466.66666666666652"/>
    <n v="83333.333333333314"/>
    <n v="103.33333333333331"/>
    <n v="0.22476190476190497"/>
    <n v="0.38952380952380988"/>
    <n v="0.19047619047619066"/>
    <n v="1.0761904761904771E-2"/>
    <n v="0.81552380952381043"/>
    <n v="6.5241904761904834"/>
  </r>
  <r>
    <x v="3"/>
    <x v="14"/>
    <s v="Electricity"/>
    <x v="3"/>
    <n v="142.85714285714283"/>
    <s v="MW"/>
    <n v="1.1428031615337961E-3"/>
    <n v="2.6950989682533288E-2"/>
    <n v="1.8997305955926094E-2"/>
    <n v="3.4904673091679606E-2"/>
    <n v="357.14285714285711"/>
    <n v="114.28571428571428"/>
    <n v="599.99999999999989"/>
    <n v="0"/>
    <n v="5000"/>
    <n v="499.99999999999994"/>
    <n v="89285.714285714275"/>
    <n v="110.71428571428571"/>
    <n v="0.22476190476190464"/>
    <n v="0.38952380952380927"/>
    <n v="0.19047619047619038"/>
    <n v="1.0761904761904756E-2"/>
    <n v="0.81552380952380921"/>
    <n v="6.5241904761904737"/>
  </r>
  <r>
    <x v="3"/>
    <x v="15"/>
    <s v="Electricity"/>
    <x v="3"/>
    <n v="152.38095238095235"/>
    <s v="MW"/>
    <n v="1.2079963510755614E-3"/>
    <n v="2.7071028848572414E-2"/>
    <n v="1.8350242742804106E-2"/>
    <n v="3.5791814618769735E-2"/>
    <n v="380.95238095238085"/>
    <n v="121.90476190476188"/>
    <n v="639.99999999999989"/>
    <n v="0"/>
    <n v="5333.3333333333321"/>
    <n v="533.33333333333314"/>
    <n v="95238.095238095208"/>
    <n v="118.09523809523806"/>
    <n v="0.22476190476190464"/>
    <n v="0.38952380952380927"/>
    <n v="0.19047619047619038"/>
    <n v="1.0761904761904756E-2"/>
    <n v="0.81552380952380921"/>
    <n v="6.5241904761904737"/>
  </r>
  <r>
    <x v="3"/>
    <x v="16"/>
    <s v="Electricity"/>
    <x v="3"/>
    <n v="161.90476190476187"/>
    <s v="MW"/>
    <n v="1.271815329630599E-3"/>
    <n v="2.7008893117305127E-2"/>
    <n v="1.749745784614776E-2"/>
    <n v="3.6520328035163148E-2"/>
    <n v="404.7619047619047"/>
    <n v="129.52380952380949"/>
    <n v="679.99999999999989"/>
    <n v="0"/>
    <n v="5666.6666666666661"/>
    <n v="566.66666666666652"/>
    <n v="101190.47619047617"/>
    <n v="125.47619047619045"/>
    <n v="0.22476190476190464"/>
    <n v="0.38952380952380927"/>
    <n v="0.19047619047619038"/>
    <n v="1.0761904761904756E-2"/>
    <n v="0.81552380952380921"/>
    <n v="6.5241904761904737"/>
  </r>
  <r>
    <x v="3"/>
    <x v="17"/>
    <s v="Electricity"/>
    <x v="3"/>
    <n v="171.42857142857139"/>
    <s v="MW"/>
    <n v="1.334260097198909E-3"/>
    <n v="2.6769419863018454E-2"/>
    <n v="1.6444858107322692E-2"/>
    <n v="3.7093981248068252E-2"/>
    <n v="428.57142857142844"/>
    <n v="137.14285714285711"/>
    <n v="719.99999999999989"/>
    <n v="0"/>
    <n v="5999.9999999999982"/>
    <n v="599.99999999999977"/>
    <n v="107142.85714285712"/>
    <n v="132.8571428571428"/>
    <n v="0.22476190476190464"/>
    <n v="0.38952380952380927"/>
    <n v="0.19047619047619038"/>
    <n v="1.0761904761904756E-2"/>
    <n v="0.81552380952380921"/>
    <n v="6.5241904761904737"/>
  </r>
  <r>
    <x v="3"/>
    <x v="18"/>
    <s v="Electricity"/>
    <x v="3"/>
    <n v="180.95238095238091"/>
    <s v="MW"/>
    <n v="1.3953306537804913E-3"/>
    <n v="2.6357446459999417E-2"/>
    <n v="1.5198350367694537E-2"/>
    <n v="3.7516542164693467E-2"/>
    <n v="452.38095238095229"/>
    <n v="144.76190476190473"/>
    <n v="759.99999999999989"/>
    <n v="0"/>
    <n v="6333.3333333333321"/>
    <n v="633.33333333333314"/>
    <n v="113095.23809523808"/>
    <n v="140.23809523809521"/>
    <n v="0.22476190476190464"/>
    <n v="0.38952380952380927"/>
    <n v="0.19047619047619038"/>
    <n v="1.0761904761904756E-2"/>
    <n v="0.81552380952380921"/>
    <n v="6.5241904761904737"/>
  </r>
  <r>
    <x v="3"/>
    <x v="19"/>
    <s v="Electricity"/>
    <x v="3"/>
    <n v="190.47619047619042"/>
    <s v="MW"/>
    <n v="1.455026999375346E-3"/>
    <n v="2.5777810282535049E-2"/>
    <n v="1.3763841468628935E-2"/>
    <n v="3.7791778692247209E-2"/>
    <n v="476.19047619047603"/>
    <n v="152.38095238095235"/>
    <n v="799.99999999999977"/>
    <n v="0"/>
    <n v="6666.6666666666642"/>
    <n v="666.6666666666664"/>
    <n v="119047.61904761901"/>
    <n v="147.61904761904756"/>
    <n v="0.22476190476190464"/>
    <n v="0.38952380952380927"/>
    <n v="0.19047619047619038"/>
    <n v="1.0761904761904756E-2"/>
    <n v="0.81552380952380921"/>
    <n v="6.5241904761904737"/>
  </r>
  <r>
    <x v="3"/>
    <x v="20"/>
    <s v="Electricity"/>
    <x v="3"/>
    <n v="200"/>
    <s v="MW"/>
    <n v="1.5133491339834734E-3"/>
    <n v="2.5035348704912381E-2"/>
    <n v="1.2147238251491523E-2"/>
    <n v="3.7923458737937892E-2"/>
    <n v="500"/>
    <n v="160"/>
    <n v="840"/>
    <n v="0"/>
    <n v="7000"/>
    <n v="700"/>
    <n v="125000"/>
    <n v="155"/>
    <n v="0.22476190476190597"/>
    <n v="0.3895238095238116"/>
    <n v="0.19047619047619152"/>
    <n v="1.076190476190482E-2"/>
    <n v="0.81552380952381409"/>
    <n v="6.5241904761905127"/>
  </r>
  <r>
    <x v="3"/>
    <x v="0"/>
    <s v="Electricity"/>
    <x v="4"/>
    <n v="0.23809523809523808"/>
    <s v="MW"/>
    <n v="5.1726757555247808E-6"/>
    <n v="2.0696088514355579E-4"/>
    <n v="1.8974616060577062E-4"/>
    <n v="2.2417560824441576E-4"/>
    <n v="0"/>
    <n v="0"/>
    <n v="0"/>
    <n v="9.7619047619047598E-4"/>
    <n v="0"/>
    <n v="0"/>
    <n v="0"/>
    <n v="0"/>
    <n v="0"/>
    <n v="0"/>
    <n v="0"/>
    <n v="0"/>
    <n v="0"/>
    <n v="0"/>
  </r>
  <r>
    <x v="3"/>
    <x v="1"/>
    <s v="Electricity"/>
    <x v="4"/>
    <n v="0.47619047619047616"/>
    <s v="MW"/>
    <n v="1.0270528548700346E-5"/>
    <n v="3.9887694157394028E-4"/>
    <n v="3.6203218934265579E-4"/>
    <n v="4.3572169095215955E-4"/>
    <n v="0"/>
    <n v="0"/>
    <n v="0"/>
    <n v="1.952380952380952E-3"/>
    <n v="0"/>
    <n v="0"/>
    <n v="0"/>
    <n v="0"/>
    <n v="0"/>
    <n v="0"/>
    <n v="0"/>
    <n v="0"/>
    <n v="0"/>
    <n v="0"/>
  </r>
  <r>
    <x v="3"/>
    <x v="2"/>
    <s v="Electricity"/>
    <x v="4"/>
    <n v="0.71428571428571419"/>
    <s v="MW"/>
    <n v="1.5293558379526696E-5"/>
    <n v="5.760115543736792E-4"/>
    <n v="5.1717970157639809E-4"/>
    <n v="6.3484340292254045E-4"/>
    <n v="0"/>
    <n v="0"/>
    <n v="0"/>
    <n v="2.928571428571428E-3"/>
    <n v="0"/>
    <n v="0"/>
    <n v="0"/>
    <n v="0"/>
    <n v="0"/>
    <n v="0"/>
    <n v="0"/>
    <n v="0"/>
    <n v="0"/>
    <n v="0"/>
  </r>
  <r>
    <x v="3"/>
    <x v="3"/>
    <s v="Electricity"/>
    <x v="4"/>
    <n v="0.95238095238095233"/>
    <s v="MW"/>
    <n v="2.0241765248003831E-5"/>
    <n v="7.3862810862529871E-4"/>
    <n v="6.5551031267274012E-4"/>
    <n v="8.2174589895486782E-4"/>
    <n v="0"/>
    <n v="0"/>
    <n v="0"/>
    <n v="3.9047619047619039E-3"/>
    <n v="0"/>
    <n v="0"/>
    <n v="0"/>
    <n v="0"/>
    <n v="0"/>
    <n v="0"/>
    <n v="0"/>
    <n v="0"/>
    <n v="0"/>
    <n v="0"/>
  </r>
  <r>
    <x v="3"/>
    <x v="4"/>
    <s v="Electricity"/>
    <x v="4"/>
    <n v="1.1904761904761905"/>
    <s v="MW"/>
    <n v="2.5115149154131757E-5"/>
    <n v="8.8698998941132438E-4"/>
    <n v="7.7734563799742445E-4"/>
    <n v="9.9663433384845077E-4"/>
    <n v="0"/>
    <n v="0"/>
    <n v="0"/>
    <n v="4.8809523809523808E-3"/>
    <n v="0"/>
    <n v="0"/>
    <n v="0"/>
    <n v="0"/>
    <n v="0"/>
    <n v="0"/>
    <n v="0"/>
    <n v="0"/>
    <n v="0"/>
    <n v="0"/>
  </r>
  <r>
    <x v="3"/>
    <x v="5"/>
    <s v="Electricity"/>
    <x v="4"/>
    <n v="1.4285714285714286"/>
    <s v="MW"/>
    <n v="2.9913710097910458E-5"/>
    <n v="1.0213605818142819E-3"/>
    <n v="8.8300729291619336E-4"/>
    <n v="1.1597138624025978E-3"/>
    <n v="0"/>
    <n v="0"/>
    <n v="0"/>
    <n v="5.8571428571428568E-3"/>
    <n v="0"/>
    <n v="0"/>
    <n v="0"/>
    <n v="0"/>
    <n v="0"/>
    <n v="0"/>
    <n v="0"/>
    <n v="0"/>
    <n v="0"/>
    <n v="0"/>
  </r>
  <r>
    <x v="3"/>
    <x v="6"/>
    <s v="Electricity"/>
    <x v="4"/>
    <n v="1.6666666666666667"/>
    <s v="MW"/>
    <n v="3.4637448079339949E-5"/>
    <n v="1.1420032709166974E-3"/>
    <n v="9.7281689279478964E-4"/>
    <n v="1.311189639416619E-3"/>
    <n v="0"/>
    <n v="0"/>
    <n v="0"/>
    <n v="6.8333333333333328E-3"/>
    <n v="0"/>
    <n v="0"/>
    <n v="0"/>
    <n v="0"/>
    <n v="0"/>
    <n v="0"/>
    <n v="0"/>
    <n v="0"/>
    <n v="0"/>
    <n v="0"/>
  </r>
  <r>
    <x v="3"/>
    <x v="7"/>
    <s v="Electricity"/>
    <x v="4"/>
    <n v="1.9047619047619049"/>
    <s v="MW"/>
    <n v="3.928636309842023E-5"/>
    <n v="1.2491814418010964E-3"/>
    <n v="1.0470960529989554E-3"/>
    <n v="1.4512668196898224E-3"/>
    <n v="0"/>
    <n v="0"/>
    <n v="0"/>
    <n v="7.8095238095238096E-3"/>
    <n v="0"/>
    <n v="0"/>
    <n v="0"/>
    <n v="0"/>
    <n v="0"/>
    <n v="0"/>
    <n v="0"/>
    <n v="0"/>
    <n v="0"/>
    <n v="0"/>
  </r>
  <r>
    <x v="3"/>
    <x v="8"/>
    <s v="Electricity"/>
    <x v="4"/>
    <n v="2.1428571428571428"/>
    <s v="MW"/>
    <n v="4.3860455155151284E-5"/>
    <n v="1.3431584795500046E-3"/>
    <n v="1.1061663888944336E-3"/>
    <n v="1.5801505580215177E-3"/>
    <n v="0"/>
    <n v="0"/>
    <n v="0"/>
    <n v="8.7857142857142839E-3"/>
    <n v="0"/>
    <n v="0"/>
    <n v="0"/>
    <n v="0"/>
    <n v="0"/>
    <n v="0"/>
    <n v="0"/>
    <n v="0"/>
    <n v="0"/>
    <n v="0"/>
  </r>
  <r>
    <x v="3"/>
    <x v="9"/>
    <s v="Electricity"/>
    <x v="4"/>
    <n v="2.3809523809523809"/>
    <s v="MW"/>
    <n v="4.8359724249533131E-5"/>
    <n v="1.4241977692459485E-3"/>
    <n v="1.1503495158469669E-3"/>
    <n v="1.6980460092110143E-3"/>
    <n v="0"/>
    <n v="0"/>
    <n v="0"/>
    <n v="9.7619047619047616E-3"/>
    <n v="0"/>
    <n v="0"/>
    <n v="0"/>
    <n v="0"/>
    <n v="0"/>
    <n v="0"/>
    <n v="0"/>
    <n v="0"/>
    <n v="0"/>
    <n v="0"/>
  </r>
  <r>
    <x v="3"/>
    <x v="10"/>
    <s v="Electricity"/>
    <x v="4"/>
    <n v="2.6190476190476191"/>
    <s v="MW"/>
    <n v="5.2784170381565757E-5"/>
    <n v="1.4925626959714532E-3"/>
    <n v="1.1799670492222971E-3"/>
    <n v="1.8051583280576206E-3"/>
    <n v="0"/>
    <n v="0"/>
    <n v="0"/>
    <n v="1.0738095238095238E-2"/>
    <n v="0"/>
    <n v="0"/>
    <n v="0"/>
    <n v="0"/>
    <n v="0"/>
    <n v="0"/>
    <n v="0"/>
    <n v="0"/>
    <n v="0"/>
    <n v="0"/>
  </r>
  <r>
    <x v="3"/>
    <x v="11"/>
    <s v="Electricity"/>
    <x v="4"/>
    <n v="2.8571428571428572"/>
    <s v="MW"/>
    <n v="5.7133793551249177E-5"/>
    <n v="1.5485166448090451E-3"/>
    <n v="1.1953406043861677E-3"/>
    <n v="1.9016926693606461E-3"/>
    <n v="0"/>
    <n v="0"/>
    <n v="0"/>
    <n v="1.1714285714285714E-2"/>
    <n v="0"/>
    <n v="0"/>
    <n v="0"/>
    <n v="0"/>
    <n v="0"/>
    <n v="0"/>
    <n v="0"/>
    <n v="0"/>
    <n v="0"/>
    <n v="0"/>
  </r>
  <r>
    <x v="3"/>
    <x v="12"/>
    <s v="Electricity"/>
    <x v="4"/>
    <n v="3.0952380952380953"/>
    <s v="MW"/>
    <n v="6.1408593758583376E-5"/>
    <n v="1.5923230008412495E-3"/>
    <n v="1.1967917967043204E-3"/>
    <n v="1.9878541879193999E-3"/>
    <n v="0"/>
    <n v="0"/>
    <n v="0"/>
    <n v="1.269047619047619E-2"/>
    <n v="0"/>
    <n v="0"/>
    <n v="0"/>
    <n v="0"/>
    <n v="0"/>
    <n v="0"/>
    <n v="0"/>
    <n v="0"/>
    <n v="0"/>
    <n v="0"/>
  </r>
  <r>
    <x v="3"/>
    <x v="13"/>
    <s v="Electricity"/>
    <x v="4"/>
    <n v="3.3333333333333335"/>
    <s v="MW"/>
    <n v="6.5608571003568361E-5"/>
    <n v="1.6242451491505926E-3"/>
    <n v="1.1846422415424979E-3"/>
    <n v="2.063848038533191E-3"/>
    <n v="0"/>
    <n v="0"/>
    <n v="0"/>
    <n v="1.3666666666666666E-2"/>
    <n v="0"/>
    <n v="0"/>
    <n v="0"/>
    <n v="0"/>
    <n v="0"/>
    <n v="0"/>
    <n v="0"/>
    <n v="0"/>
    <n v="0"/>
    <n v="0"/>
  </r>
  <r>
    <x v="3"/>
    <x v="14"/>
    <s v="Electricity"/>
    <x v="4"/>
    <n v="3.5714285714285716"/>
    <s v="MW"/>
    <n v="6.973372528620412E-5"/>
    <n v="1.6445464748195999E-3"/>
    <n v="1.1592135542664429E-3"/>
    <n v="2.1298793760013285E-3"/>
    <n v="0"/>
    <n v="0"/>
    <n v="0"/>
    <n v="1.4642857142857143E-2"/>
    <n v="0"/>
    <n v="0"/>
    <n v="0"/>
    <n v="0"/>
    <n v="0"/>
    <n v="0"/>
    <n v="0"/>
    <n v="0"/>
    <n v="0"/>
    <n v="0"/>
  </r>
  <r>
    <x v="3"/>
    <x v="15"/>
    <s v="Electricity"/>
    <x v="4"/>
    <n v="3.8095238095238098"/>
    <s v="MW"/>
    <n v="7.3784056606490678E-5"/>
    <n v="1.6534903629307977E-3"/>
    <n v="1.120827350241898E-3"/>
    <n v="2.1861533551231216E-3"/>
    <n v="0"/>
    <n v="0"/>
    <n v="0"/>
    <n v="1.5619047619047619E-2"/>
    <n v="0"/>
    <n v="0"/>
    <n v="0"/>
    <n v="0"/>
    <n v="0"/>
    <n v="0"/>
    <n v="0"/>
    <n v="0"/>
    <n v="0"/>
    <n v="0"/>
  </r>
  <r>
    <x v="3"/>
    <x v="16"/>
    <s v="Electricity"/>
    <x v="4"/>
    <n v="4.0476190476190474"/>
    <s v="MW"/>
    <n v="7.7759564964428009E-5"/>
    <n v="1.6513401985667111E-3"/>
    <n v="1.0698052448346056E-3"/>
    <n v="2.2328751306978797E-3"/>
    <n v="0"/>
    <n v="0"/>
    <n v="0"/>
    <n v="1.6595238095238093E-2"/>
    <n v="0"/>
    <n v="0"/>
    <n v="0"/>
    <n v="0"/>
    <n v="0"/>
    <n v="0"/>
    <n v="0"/>
    <n v="0"/>
    <n v="0"/>
    <n v="0"/>
  </r>
  <r>
    <x v="3"/>
    <x v="17"/>
    <s v="Electricity"/>
    <x v="4"/>
    <n v="4.2857142857142856"/>
    <s v="MW"/>
    <n v="8.1660250360016139E-5"/>
    <n v="1.6383593668098668E-3"/>
    <n v="1.0064688534103081E-3"/>
    <n v="2.2702498575249115E-3"/>
    <n v="0"/>
    <n v="0"/>
    <n v="0"/>
    <n v="1.7571428571428568E-2"/>
    <n v="0"/>
    <n v="0"/>
    <n v="0"/>
    <n v="0"/>
    <n v="0"/>
    <n v="0"/>
    <n v="0"/>
    <n v="0"/>
    <n v="0"/>
    <n v="0"/>
  </r>
  <r>
    <x v="3"/>
    <x v="18"/>
    <s v="Electricity"/>
    <x v="4"/>
    <n v="4.5238095238095237"/>
    <s v="MW"/>
    <n v="8.5486112793255043E-5"/>
    <n v="1.6148112527427901E-3"/>
    <n v="9.3113979133474837E-4"/>
    <n v="2.2984826904035261E-3"/>
    <n v="0"/>
    <n v="0"/>
    <n v="0"/>
    <n v="1.8547619047619042E-2"/>
    <n v="0"/>
    <n v="0"/>
    <n v="0"/>
    <n v="0"/>
    <n v="0"/>
    <n v="0"/>
    <n v="0"/>
    <n v="0"/>
    <n v="0"/>
    <n v="0"/>
  </r>
  <r>
    <x v="3"/>
    <x v="19"/>
    <s v="Electricity"/>
    <x v="4"/>
    <n v="4.7619047619047619"/>
    <s v="MW"/>
    <n v="8.9237152264144747E-5"/>
    <n v="1.5809592414480068E-3"/>
    <n v="8.4413967397366869E-4"/>
    <n v="2.3177787841330336E-3"/>
    <n v="0"/>
    <n v="0"/>
    <n v="0"/>
    <n v="1.9523809523809523E-2"/>
    <n v="0"/>
    <n v="0"/>
    <n v="0"/>
    <n v="0"/>
    <n v="0"/>
    <n v="0"/>
    <n v="0"/>
    <n v="0"/>
    <n v="0"/>
    <n v="0"/>
  </r>
  <r>
    <x v="3"/>
    <x v="20"/>
    <s v="Electricity"/>
    <x v="4"/>
    <n v="5"/>
    <s v="MW"/>
    <n v="9.2913368772685223E-5"/>
    <n v="1.5370667180080429E-3"/>
    <n v="7.4579011669281153E-4"/>
    <n v="2.3283432935127411E-3"/>
    <n v="0"/>
    <n v="0"/>
    <n v="0"/>
    <n v="2.0500000000000001E-2"/>
    <n v="0"/>
    <n v="0"/>
    <n v="0"/>
    <n v="0"/>
    <n v="0"/>
    <n v="0"/>
    <n v="0"/>
    <n v="0"/>
    <n v="0"/>
    <n v="0"/>
  </r>
  <r>
    <x v="3"/>
    <x v="0"/>
    <s v="Electricity"/>
    <x v="5"/>
    <n v="23.80952380952381"/>
    <s v="MW"/>
    <n v="1.0037490850886605E-4"/>
    <n v="4.0160413861260492E-3"/>
    <n v="3.6819925336264558E-3"/>
    <n v="4.3500902107423481E-3"/>
    <n v="0"/>
    <n v="0"/>
    <n v="0"/>
    <n v="0"/>
    <n v="0"/>
    <n v="0"/>
    <n v="0"/>
    <n v="0"/>
    <n v="0"/>
    <n v="0"/>
    <n v="0"/>
    <n v="0"/>
    <n v="0"/>
    <n v="0"/>
  </r>
  <r>
    <x v="3"/>
    <x v="1"/>
    <s v="Electricity"/>
    <x v="5"/>
    <n v="47.61904761904762"/>
    <s v="MW"/>
    <n v="2.007498170177321E-4"/>
    <n v="7.796528937519376E-3"/>
    <n v="7.076353998769022E-3"/>
    <n v="8.5167038205031433E-3"/>
    <n v="0"/>
    <n v="0"/>
    <n v="0"/>
    <n v="0"/>
    <n v="0"/>
    <n v="0"/>
    <n v="0"/>
    <n v="0"/>
    <n v="0"/>
    <n v="0"/>
    <n v="0"/>
    <n v="0"/>
    <n v="0"/>
    <n v="0"/>
  </r>
  <r>
    <x v="3"/>
    <x v="2"/>
    <s v="Electricity"/>
    <x v="5"/>
    <n v="71.428571428571431"/>
    <s v="MW"/>
    <n v="3.0112472552659816E-4"/>
    <n v="1.1341462654179983E-2"/>
    <n v="1.0183084395427701E-2"/>
    <n v="1.2499840829282389E-2"/>
    <n v="0"/>
    <n v="0"/>
    <n v="0"/>
    <n v="0"/>
    <n v="0"/>
    <n v="0"/>
    <n v="0"/>
    <n v="0"/>
    <n v="0"/>
    <n v="0"/>
    <n v="0"/>
    <n v="0"/>
    <n v="0"/>
    <n v="0"/>
  </r>
  <r>
    <x v="3"/>
    <x v="3"/>
    <s v="Electricity"/>
    <x v="5"/>
    <n v="95.238095238095241"/>
    <s v="MW"/>
    <n v="4.014996340354642E-4"/>
    <n v="1.4650842536107865E-2"/>
    <n v="1.3002183723602487E-2"/>
    <n v="1.6299501237080079E-2"/>
    <n v="0"/>
    <n v="0"/>
    <n v="0"/>
    <n v="0"/>
    <n v="0"/>
    <n v="0"/>
    <n v="0"/>
    <n v="0"/>
    <n v="0"/>
    <n v="0"/>
    <n v="0"/>
    <n v="0"/>
    <n v="0"/>
    <n v="0"/>
  </r>
  <r>
    <x v="3"/>
    <x v="4"/>
    <s v="Electricity"/>
    <x v="5"/>
    <n v="119.04761904761905"/>
    <s v="MW"/>
    <n v="5.0187454254433024E-4"/>
    <n v="1.772466858330303E-2"/>
    <n v="1.5533651983293387E-2"/>
    <n v="1.9915685043896215E-2"/>
    <n v="0"/>
    <n v="0"/>
    <n v="0"/>
    <n v="0"/>
    <n v="0"/>
    <n v="0"/>
    <n v="0"/>
    <n v="0"/>
    <n v="0"/>
    <n v="0"/>
    <n v="0"/>
    <n v="0"/>
    <n v="0"/>
    <n v="0"/>
  </r>
  <r>
    <x v="3"/>
    <x v="5"/>
    <s v="Electricity"/>
    <x v="5"/>
    <n v="142.85714285714286"/>
    <s v="MW"/>
    <n v="6.0224945105319633E-4"/>
    <n v="2.0562940795765473E-2"/>
    <n v="1.7777489174500397E-2"/>
    <n v="2.3348392249730805E-2"/>
    <n v="0"/>
    <n v="0"/>
    <n v="0"/>
    <n v="0"/>
    <n v="0"/>
    <n v="0"/>
    <n v="0"/>
    <n v="0"/>
    <n v="0"/>
    <n v="0"/>
    <n v="0"/>
    <n v="0"/>
    <n v="0"/>
    <n v="0"/>
  </r>
  <r>
    <x v="3"/>
    <x v="6"/>
    <s v="Electricity"/>
    <x v="5"/>
    <n v="166.66666666666669"/>
    <s v="MW"/>
    <n v="7.0262435956206242E-4"/>
    <n v="2.3165659173495192E-2"/>
    <n v="1.9733695297223519E-2"/>
    <n v="2.6597622854583839E-2"/>
    <n v="0"/>
    <n v="0"/>
    <n v="0"/>
    <n v="0"/>
    <n v="0"/>
    <n v="0"/>
    <n v="0"/>
    <n v="0"/>
    <n v="0"/>
    <n v="0"/>
    <n v="0"/>
    <n v="0"/>
    <n v="0"/>
    <n v="0"/>
  </r>
  <r>
    <x v="3"/>
    <x v="7"/>
    <s v="Electricity"/>
    <x v="5"/>
    <n v="190.47619047619048"/>
    <s v="MW"/>
    <n v="8.029992680709284E-4"/>
    <n v="2.5532823716492185E-2"/>
    <n v="2.1402270351462745E-2"/>
    <n v="2.9663376858455315E-2"/>
    <n v="0"/>
    <n v="0"/>
    <n v="0"/>
    <n v="0"/>
    <n v="0"/>
    <n v="0"/>
    <n v="0"/>
    <n v="0"/>
    <n v="0"/>
    <n v="0"/>
    <n v="0"/>
    <n v="0"/>
    <n v="0"/>
    <n v="0"/>
  </r>
  <r>
    <x v="3"/>
    <x v="8"/>
    <s v="Electricity"/>
    <x v="5"/>
    <n v="214.28571428571428"/>
    <s v="MW"/>
    <n v="9.0337417657979449E-4"/>
    <n v="2.7664434424756461E-2"/>
    <n v="2.278321433721809E-2"/>
    <n v="3.2545654261345244E-2"/>
    <n v="0"/>
    <n v="0"/>
    <n v="0"/>
    <n v="0"/>
    <n v="0"/>
    <n v="0"/>
    <n v="0"/>
    <n v="0"/>
    <n v="0"/>
    <n v="0"/>
    <n v="0"/>
    <n v="0"/>
    <n v="0"/>
    <n v="0"/>
  </r>
  <r>
    <x v="3"/>
    <x v="9"/>
    <s v="Electricity"/>
    <x v="5"/>
    <n v="238.09523809523807"/>
    <s v="MW"/>
    <n v="1.0037490850886605E-3"/>
    <n v="2.9560491298288014E-2"/>
    <n v="2.3876527254489539E-2"/>
    <n v="3.5244455063253619E-2"/>
    <n v="0"/>
    <n v="0"/>
    <n v="0"/>
    <n v="0"/>
    <n v="0"/>
    <n v="0"/>
    <n v="0"/>
    <n v="0"/>
    <n v="0"/>
    <n v="0"/>
    <n v="0"/>
    <n v="0"/>
    <n v="0"/>
    <n v="0"/>
  </r>
  <r>
    <x v="3"/>
    <x v="10"/>
    <s v="Electricity"/>
    <x v="5"/>
    <n v="261.90476190476187"/>
    <s v="MW"/>
    <n v="1.1041239935975263E-3"/>
    <n v="3.122099433708684E-2"/>
    <n v="2.4682209103277095E-2"/>
    <n v="3.7759779264180428E-2"/>
    <n v="0"/>
    <n v="0"/>
    <n v="0"/>
    <n v="0"/>
    <n v="0"/>
    <n v="0"/>
    <n v="0"/>
    <n v="0"/>
    <n v="0"/>
    <n v="0"/>
    <n v="0"/>
    <n v="0"/>
    <n v="0"/>
    <n v="0"/>
  </r>
  <r>
    <x v="3"/>
    <x v="11"/>
    <s v="Electricity"/>
    <x v="5"/>
    <n v="285.71428571428567"/>
    <s v="MW"/>
    <n v="1.2044989021063924E-3"/>
    <n v="3.2645943541152952E-2"/>
    <n v="2.5200259883580774E-2"/>
    <n v="4.00916268641257E-2"/>
    <n v="0"/>
    <n v="0"/>
    <n v="0"/>
    <n v="0"/>
    <n v="0"/>
    <n v="0"/>
    <n v="0"/>
    <n v="0"/>
    <n v="0"/>
    <n v="0"/>
    <n v="0"/>
    <n v="0"/>
    <n v="0"/>
    <n v="0"/>
  </r>
  <r>
    <x v="3"/>
    <x v="12"/>
    <s v="Electricity"/>
    <x v="5"/>
    <n v="309.52380952380946"/>
    <s v="MW"/>
    <n v="1.3048738106152585E-3"/>
    <n v="3.3835338910486346E-2"/>
    <n v="2.5430679595400556E-2"/>
    <n v="4.2239997863089407E-2"/>
    <n v="0"/>
    <n v="0"/>
    <n v="0"/>
    <n v="0"/>
    <n v="0"/>
    <n v="0"/>
    <n v="0"/>
    <n v="0"/>
    <n v="0"/>
    <n v="0"/>
    <n v="0"/>
    <n v="0"/>
    <n v="0"/>
    <n v="0"/>
  </r>
  <r>
    <x v="3"/>
    <x v="13"/>
    <s v="Electricity"/>
    <x v="5"/>
    <n v="333.33333333333326"/>
    <s v="MW"/>
    <n v="1.4052487191241244E-3"/>
    <n v="3.4789180445087005E-2"/>
    <n v="2.537346823873645E-2"/>
    <n v="4.420489226107157E-2"/>
    <n v="0"/>
    <n v="0"/>
    <n v="0"/>
    <n v="0"/>
    <n v="0"/>
    <n v="0"/>
    <n v="0"/>
    <n v="0"/>
    <n v="0"/>
    <n v="0"/>
    <n v="0"/>
    <n v="0"/>
    <n v="0"/>
    <n v="0"/>
  </r>
  <r>
    <x v="3"/>
    <x v="14"/>
    <s v="Electricity"/>
    <x v="5"/>
    <n v="357.14285714285705"/>
    <s v="MW"/>
    <n v="1.5056236276329905E-3"/>
    <n v="3.5507468144954951E-2"/>
    <n v="2.5028625813588452E-2"/>
    <n v="4.5986310058072175E-2"/>
    <n v="0"/>
    <n v="0"/>
    <n v="0"/>
    <n v="0"/>
    <n v="0"/>
    <n v="0"/>
    <n v="0"/>
    <n v="0"/>
    <n v="0"/>
    <n v="0"/>
    <n v="0"/>
    <n v="0"/>
    <n v="0"/>
    <n v="0"/>
  </r>
  <r>
    <x v="3"/>
    <x v="15"/>
    <s v="Electricity"/>
    <x v="5"/>
    <n v="380.95238095238085"/>
    <s v="MW"/>
    <n v="1.6059985361418566E-3"/>
    <n v="3.5990202010090171E-2"/>
    <n v="2.4396152319956562E-2"/>
    <n v="4.7584251254091214E-2"/>
    <n v="0"/>
    <n v="0"/>
    <n v="0"/>
    <n v="0"/>
    <n v="0"/>
    <n v="0"/>
    <n v="0"/>
    <n v="0"/>
    <n v="0"/>
    <n v="0"/>
    <n v="0"/>
    <n v="0"/>
    <n v="0"/>
    <n v="0"/>
  </r>
  <r>
    <x v="3"/>
    <x v="16"/>
    <s v="Electricity"/>
    <x v="5"/>
    <n v="404.76190476190465"/>
    <s v="MW"/>
    <n v="1.7063734446507227E-3"/>
    <n v="3.6237382040492677E-2"/>
    <n v="2.347604775784079E-2"/>
    <n v="4.8998715849128717E-2"/>
    <n v="0"/>
    <n v="0"/>
    <n v="0"/>
    <n v="0"/>
    <n v="0"/>
    <n v="0"/>
    <n v="0"/>
    <n v="0"/>
    <n v="0"/>
    <n v="0"/>
    <n v="0"/>
    <n v="0"/>
    <n v="0"/>
    <n v="0"/>
  </r>
  <r>
    <x v="3"/>
    <x v="17"/>
    <s v="Electricity"/>
    <x v="5"/>
    <n v="428.57142857142844"/>
    <s v="MW"/>
    <n v="1.8067483531595885E-3"/>
    <n v="3.6249008236162457E-2"/>
    <n v="2.2268312127241122E-2"/>
    <n v="5.0229703843184662E-2"/>
    <n v="0"/>
    <n v="0"/>
    <n v="0"/>
    <n v="0"/>
    <n v="0"/>
    <n v="0"/>
    <n v="0"/>
    <n v="0"/>
    <n v="0"/>
    <n v="0"/>
    <n v="0"/>
    <n v="0"/>
    <n v="0"/>
    <n v="0"/>
  </r>
  <r>
    <x v="3"/>
    <x v="18"/>
    <s v="Electricity"/>
    <x v="5"/>
    <n v="452.38095238095224"/>
    <s v="MW"/>
    <n v="1.9071232616684546E-3"/>
    <n v="3.602508059709951E-2"/>
    <n v="2.0772945428157566E-2"/>
    <n v="5.1277215236259048E-2"/>
    <n v="0"/>
    <n v="0"/>
    <n v="0"/>
    <n v="0"/>
    <n v="0"/>
    <n v="0"/>
    <n v="0"/>
    <n v="0"/>
    <n v="0"/>
    <n v="0"/>
    <n v="0"/>
    <n v="0"/>
    <n v="0"/>
    <n v="0"/>
  </r>
  <r>
    <x v="3"/>
    <x v="19"/>
    <s v="Electricity"/>
    <x v="5"/>
    <n v="476.19047619047603"/>
    <s v="MW"/>
    <n v="2.0074981701773205E-3"/>
    <n v="3.556559912330385E-2"/>
    <n v="1.8989947660590121E-2"/>
    <n v="5.214125002835189E-2"/>
    <n v="0"/>
    <n v="0"/>
    <n v="0"/>
    <n v="0"/>
    <n v="0"/>
    <n v="0"/>
    <n v="0"/>
    <n v="0"/>
    <n v="0"/>
    <n v="0"/>
    <n v="0"/>
    <n v="0"/>
    <n v="0"/>
    <n v="0"/>
  </r>
  <r>
    <x v="3"/>
    <x v="20"/>
    <s v="Electricity"/>
    <x v="5"/>
    <n v="500"/>
    <s v="MW"/>
    <n v="2.107873078686187E-3"/>
    <n v="3.4870563814775477E-2"/>
    <n v="1.6919318824538791E-2"/>
    <n v="5.2821808219463189E-2"/>
    <n v="0"/>
    <n v="0"/>
    <n v="0"/>
    <n v="0"/>
    <n v="0"/>
    <n v="0"/>
    <n v="0"/>
    <n v="0"/>
    <n v="0"/>
    <n v="0"/>
    <n v="0"/>
    <n v="0"/>
    <n v="0"/>
    <n v="0"/>
  </r>
  <r>
    <x v="3"/>
    <x v="0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5"/>
    <s v="Electricity"/>
    <x v="6"/>
    <n v="0"/>
    <s v="MW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6"/>
    <s v="Electricity"/>
    <x v="6"/>
    <n v="66.666666666666671"/>
    <s v="MW"/>
    <n v="4.4012200961342365E-4"/>
    <n v="1.4510906618457147E-2"/>
    <n v="1.2361133674224428E-2"/>
    <n v="1.6660679440427744E-2"/>
    <n v="0"/>
    <n v="0"/>
    <n v="0"/>
    <n v="0"/>
    <n v="0"/>
    <n v="0"/>
    <n v="0"/>
    <n v="0"/>
    <n v="0"/>
    <n v="0"/>
    <n v="0"/>
    <n v="0"/>
    <n v="0"/>
    <n v="0"/>
  </r>
  <r>
    <x v="3"/>
    <x v="7"/>
    <s v="Electricity"/>
    <x v="6"/>
    <n v="133.33333333333334"/>
    <s v="MW"/>
    <n v="8.9329225203572699E-4"/>
    <n v="2.8403853534424248E-2"/>
    <n v="2.3808841478603817E-2"/>
    <n v="3.2998865342095757E-2"/>
    <n v="0"/>
    <n v="0"/>
    <n v="0"/>
    <n v="0"/>
    <n v="0"/>
    <n v="0"/>
    <n v="0"/>
    <n v="0"/>
    <n v="0"/>
    <n v="0"/>
    <n v="0"/>
    <n v="0"/>
    <n v="0"/>
    <n v="0"/>
  </r>
  <r>
    <x v="3"/>
    <x v="8"/>
    <s v="Electricity"/>
    <x v="6"/>
    <n v="200"/>
    <s v="MW"/>
    <n v="1.3595107272669101E-3"/>
    <n v="4.1632909528830572E-2"/>
    <n v="3.4287037526728924E-2"/>
    <n v="4.8978781153271811E-2"/>
    <n v="0"/>
    <n v="0"/>
    <n v="0"/>
    <n v="0"/>
    <n v="0"/>
    <n v="0"/>
    <n v="0"/>
    <n v="0"/>
    <n v="0"/>
    <n v="0"/>
    <n v="0"/>
    <n v="0"/>
    <n v="0"/>
    <n v="0"/>
  </r>
  <r>
    <x v="3"/>
    <x v="9"/>
    <s v="Electricity"/>
    <x v="6"/>
    <n v="266.66666666666669"/>
    <s v="MW"/>
    <n v="1.838777435306973E-3"/>
    <n v="5.4152143382605392E-2"/>
    <n v="4.3739635932190497E-2"/>
    <n v="6.4564650322223707E-2"/>
    <n v="0"/>
    <n v="0"/>
    <n v="0"/>
    <n v="0"/>
    <n v="0"/>
    <n v="0"/>
    <n v="0"/>
    <n v="0"/>
    <n v="0"/>
    <n v="0"/>
    <n v="0"/>
    <n v="0"/>
    <n v="0"/>
    <n v="0"/>
  </r>
  <r>
    <x v="3"/>
    <x v="10"/>
    <s v="Electricity"/>
    <x v="6"/>
    <n v="333.33333333333337"/>
    <s v="MW"/>
    <n v="2.3310923761559153E-3"/>
    <n v="6.5915623876677973E-2"/>
    <n v="5.2110550808579292E-2"/>
    <n v="7.9720696297219229E-2"/>
    <n v="0"/>
    <n v="0"/>
    <n v="0"/>
    <n v="0"/>
    <n v="0"/>
    <n v="0"/>
    <n v="0"/>
    <n v="0"/>
    <n v="0"/>
    <n v="0"/>
    <n v="0"/>
    <n v="0"/>
    <n v="0"/>
    <n v="0"/>
  </r>
  <r>
    <x v="3"/>
    <x v="11"/>
    <s v="Electricity"/>
    <x v="6"/>
    <n v="400.00000000000006"/>
    <s v="MW"/>
    <n v="2.8364555498137378E-3"/>
    <n v="7.6877419791977583E-2"/>
    <n v="5.9343696269486067E-2"/>
    <n v="9.4411142526526146E-2"/>
    <n v="0"/>
    <n v="0"/>
    <n v="0"/>
    <n v="0"/>
    <n v="0"/>
    <n v="0"/>
    <n v="0"/>
    <n v="0"/>
    <n v="0"/>
    <n v="0"/>
    <n v="0"/>
    <n v="0"/>
    <n v="0"/>
    <n v="0"/>
  </r>
  <r>
    <x v="3"/>
    <x v="12"/>
    <s v="Electricity"/>
    <x v="6"/>
    <n v="466.66666666666674"/>
    <s v="MW"/>
    <n v="3.35486695628044E-3"/>
    <n v="8.6991599909433476E-2"/>
    <n v="6.5382986428501544E-2"/>
    <n v="0.10860021245841223"/>
    <n v="0"/>
    <n v="0"/>
    <n v="0"/>
    <n v="0"/>
    <n v="0"/>
    <n v="0"/>
    <n v="0"/>
    <n v="0"/>
    <n v="0"/>
    <n v="0"/>
    <n v="0"/>
    <n v="0"/>
    <n v="0"/>
    <n v="0"/>
  </r>
  <r>
    <x v="3"/>
    <x v="13"/>
    <s v="Electricity"/>
    <x v="6"/>
    <n v="533.33333333333337"/>
    <s v="MW"/>
    <n v="3.8863265955560214E-3"/>
    <n v="9.621223300997496E-2"/>
    <n v="7.0172335399216523E-2"/>
    <n v="0.12225212954114531"/>
    <n v="0"/>
    <n v="0"/>
    <n v="0"/>
    <n v="0"/>
    <n v="0"/>
    <n v="0"/>
    <n v="0"/>
    <n v="0"/>
    <n v="0"/>
    <n v="0"/>
    <n v="0"/>
    <n v="0"/>
    <n v="0"/>
    <n v="0"/>
  </r>
  <r>
    <x v="3"/>
    <x v="14"/>
    <s v="Electricity"/>
    <x v="6"/>
    <n v="600"/>
    <s v="MW"/>
    <n v="4.4308344676404826E-3"/>
    <n v="0.10449338787453122"/>
    <n v="7.365565729522168E-2"/>
    <n v="0.1353311172229931"/>
    <n v="0"/>
    <n v="0"/>
    <n v="0"/>
    <n v="0"/>
    <n v="0"/>
    <n v="0"/>
    <n v="0"/>
    <n v="0"/>
    <n v="0"/>
    <n v="0"/>
    <n v="0"/>
    <n v="0"/>
    <n v="0"/>
    <n v="0"/>
  </r>
  <r>
    <x v="3"/>
    <x v="15"/>
    <s v="Electricity"/>
    <x v="6"/>
    <n v="666.66666666666663"/>
    <s v="MW"/>
    <n v="4.988390572533823E-3"/>
    <n v="0.11178913328403162"/>
    <n v="7.5776866230107848E-2"/>
    <n v="0.14780139895222344"/>
    <n v="0"/>
    <n v="0"/>
    <n v="0"/>
    <n v="0"/>
    <n v="0"/>
    <n v="0"/>
    <n v="0"/>
    <n v="0"/>
    <n v="0"/>
    <n v="0"/>
    <n v="0"/>
    <n v="0"/>
    <n v="0"/>
    <n v="0"/>
  </r>
  <r>
    <x v="3"/>
    <x v="16"/>
    <s v="Electricity"/>
    <x v="6"/>
    <n v="733.33333333333326"/>
    <s v="MW"/>
    <n v="5.5589949102360431E-3"/>
    <n v="0.11805353801940538"/>
    <n v="7.6479876317465736E-2"/>
    <n v="0.15962719817710413"/>
    <n v="0"/>
    <n v="0"/>
    <n v="0"/>
    <n v="0"/>
    <n v="0"/>
    <n v="0"/>
    <n v="0"/>
    <n v="0"/>
    <n v="0"/>
    <n v="0"/>
    <n v="0"/>
    <n v="0"/>
    <n v="0"/>
    <n v="0"/>
  </r>
  <r>
    <x v="3"/>
    <x v="17"/>
    <s v="Electricity"/>
    <x v="6"/>
    <n v="799.99999999999989"/>
    <s v="MW"/>
    <n v="6.1426474807471437E-3"/>
    <n v="0.12324067086158179"/>
    <n v="7.5708601670886111E-2"/>
    <n v="0.1707727383459029"/>
    <n v="0"/>
    <n v="0"/>
    <n v="0"/>
    <n v="0"/>
    <n v="0"/>
    <n v="0"/>
    <n v="0"/>
    <n v="0"/>
    <n v="0"/>
    <n v="0"/>
    <n v="0"/>
    <n v="0"/>
    <n v="0"/>
    <n v="0"/>
  </r>
  <r>
    <x v="3"/>
    <x v="18"/>
    <s v="Electricity"/>
    <x v="6"/>
    <n v="866.66666666666652"/>
    <s v="MW"/>
    <n v="6.739348284067124E-3"/>
    <n v="0.1273046005914901"/>
    <n v="7.3406956403959708E-2"/>
    <n v="0.18120224290688758"/>
    <n v="0"/>
    <n v="0"/>
    <n v="0"/>
    <n v="0"/>
    <n v="0"/>
    <n v="0"/>
    <n v="0"/>
    <n v="0"/>
    <n v="0"/>
    <n v="0"/>
    <n v="0"/>
    <n v="0"/>
    <n v="0"/>
    <n v="0"/>
  </r>
  <r>
    <x v="3"/>
    <x v="19"/>
    <s v="Electricity"/>
    <x v="6"/>
    <n v="933.33333333333314"/>
    <s v="MW"/>
    <n v="7.3490973201959841E-3"/>
    <n v="0.13019939599005956"/>
    <n v="6.9518854630277294E-2"/>
    <n v="0.19087993530832592"/>
    <n v="0"/>
    <n v="0"/>
    <n v="0"/>
    <n v="0"/>
    <n v="0"/>
    <n v="0"/>
    <n v="0"/>
    <n v="0"/>
    <n v="0"/>
    <n v="0"/>
    <n v="0"/>
    <n v="0"/>
    <n v="0"/>
    <n v="0"/>
  </r>
  <r>
    <x v="3"/>
    <x v="20"/>
    <s v="Electricity"/>
    <x v="6"/>
    <n v="999.99999999999977"/>
    <s v="MW"/>
    <n v="7.9718945891337229E-3"/>
    <n v="0.13187912583821948"/>
    <n v="6.3988210463429632E-2"/>
    <n v="0.19977003899848572"/>
    <n v="0"/>
    <n v="0"/>
    <n v="0"/>
    <n v="0"/>
    <n v="0"/>
    <n v="0"/>
    <n v="0"/>
    <n v="0"/>
    <n v="0"/>
    <n v="0"/>
    <n v="0"/>
    <n v="0"/>
    <n v="0"/>
    <n v="0"/>
  </r>
  <r>
    <x v="3"/>
    <x v="0"/>
    <s v="Biogas"/>
    <x v="7"/>
    <n v="47.61904761904762"/>
    <s v="mcf production/year"/>
    <n v="5.2047619047619045E-5"/>
    <n v="1.192983476190476E-2"/>
    <n v="1.1019521904761903E-2"/>
    <n v="2.1236832545017997E-2"/>
    <n v="0"/>
    <n v="0"/>
    <n v="0"/>
    <n v="0"/>
    <n v="0"/>
    <n v="0"/>
    <n v="0"/>
    <n v="0"/>
    <n v="0"/>
    <n v="0"/>
    <n v="0"/>
    <n v="0"/>
    <n v="0"/>
    <n v="0"/>
  </r>
  <r>
    <x v="3"/>
    <x v="1"/>
    <s v="Biogas"/>
    <x v="7"/>
    <n v="95.238095238095241"/>
    <s v="mcf production/year"/>
    <n v="1.0409523809523809E-4"/>
    <n v="2.385966952380952E-2"/>
    <n v="2.2039043809523807E-2"/>
    <n v="4.2473665090035993E-2"/>
    <n v="0"/>
    <n v="0"/>
    <n v="0"/>
    <n v="0"/>
    <n v="0"/>
    <n v="0"/>
    <n v="0"/>
    <n v="0"/>
    <n v="0"/>
    <n v="0"/>
    <n v="0"/>
    <n v="0"/>
    <n v="0"/>
    <n v="0"/>
  </r>
  <r>
    <x v="3"/>
    <x v="2"/>
    <s v="Biogas"/>
    <x v="7"/>
    <n v="142.85714285714286"/>
    <s v="mcf production/year"/>
    <n v="1.5614285714285714E-4"/>
    <n v="3.5789504285714278E-2"/>
    <n v="3.3058565714285705E-2"/>
    <n v="6.3710497635054E-2"/>
    <n v="0"/>
    <n v="0"/>
    <n v="0"/>
    <n v="0"/>
    <n v="0"/>
    <n v="0"/>
    <n v="0"/>
    <n v="0"/>
    <n v="0"/>
    <n v="0"/>
    <n v="0"/>
    <n v="0"/>
    <n v="0"/>
    <n v="0"/>
  </r>
  <r>
    <x v="3"/>
    <x v="3"/>
    <s v="Biogas"/>
    <x v="7"/>
    <n v="190.47619047619048"/>
    <s v="mcf production/year"/>
    <n v="2.0819047619047618E-4"/>
    <n v="4.771933904761904E-2"/>
    <n v="4.4078087619047614E-2"/>
    <n v="8.4947330180071987E-2"/>
    <n v="0"/>
    <n v="0"/>
    <n v="0"/>
    <n v="0"/>
    <n v="0"/>
    <n v="0"/>
    <n v="0"/>
    <n v="0"/>
    <n v="0"/>
    <n v="0"/>
    <n v="0"/>
    <n v="0"/>
    <n v="0"/>
    <n v="0"/>
  </r>
  <r>
    <x v="3"/>
    <x v="4"/>
    <s v="Biogas"/>
    <x v="7"/>
    <n v="238.0952380952381"/>
    <s v="mcf production/year"/>
    <n v="2.6023809523809523E-4"/>
    <n v="5.9649173809523802E-2"/>
    <n v="5.5097609523809515E-2"/>
    <n v="0.10618416272508999"/>
    <n v="0"/>
    <n v="0"/>
    <n v="0"/>
    <n v="0"/>
    <n v="0"/>
    <n v="0"/>
    <n v="0"/>
    <n v="0"/>
    <n v="0"/>
    <n v="0"/>
    <n v="0"/>
    <n v="0"/>
    <n v="0"/>
    <n v="0"/>
  </r>
  <r>
    <x v="3"/>
    <x v="5"/>
    <s v="Biogas"/>
    <x v="7"/>
    <n v="285.71428571428572"/>
    <s v="mcf production/year"/>
    <n v="3.1228571428571427E-4"/>
    <n v="7.1579008571428557E-2"/>
    <n v="6.611713142857141E-2"/>
    <n v="0.127420995270108"/>
    <n v="0"/>
    <n v="0"/>
    <n v="0"/>
    <n v="0"/>
    <n v="0"/>
    <n v="0"/>
    <n v="0"/>
    <n v="0"/>
    <n v="0"/>
    <n v="0"/>
    <n v="0"/>
    <n v="0"/>
    <n v="0"/>
    <n v="0"/>
  </r>
  <r>
    <x v="3"/>
    <x v="6"/>
    <s v="Biogas"/>
    <x v="7"/>
    <n v="333.33333333333337"/>
    <s v="mcf production/year"/>
    <n v="3.6433333333333337E-4"/>
    <n v="8.3508843333333332E-2"/>
    <n v="7.7136653333333333E-2"/>
    <n v="0.14865782781512601"/>
    <n v="0"/>
    <n v="0"/>
    <n v="0"/>
    <n v="0"/>
    <n v="0"/>
    <n v="0"/>
    <n v="0"/>
    <n v="0"/>
    <n v="0"/>
    <n v="0"/>
    <n v="0"/>
    <n v="0"/>
    <n v="0"/>
    <n v="0"/>
  </r>
  <r>
    <x v="3"/>
    <x v="7"/>
    <s v="Biogas"/>
    <x v="7"/>
    <n v="380.95238095238096"/>
    <s v="mcf production/year"/>
    <n v="4.1638095238095236E-4"/>
    <n v="9.543867809523808E-2"/>
    <n v="8.8156175238095227E-2"/>
    <n v="0.16989466036014397"/>
    <n v="0"/>
    <n v="0"/>
    <n v="0"/>
    <n v="0"/>
    <n v="0"/>
    <n v="0"/>
    <n v="0"/>
    <n v="0"/>
    <n v="0"/>
    <n v="0"/>
    <n v="0"/>
    <n v="0"/>
    <n v="0"/>
    <n v="0"/>
  </r>
  <r>
    <x v="3"/>
    <x v="8"/>
    <s v="Biogas"/>
    <x v="7"/>
    <n v="428.57142857142856"/>
    <s v="mcf production/year"/>
    <n v="4.6842857142857141E-4"/>
    <n v="0.10736851285714284"/>
    <n v="9.9175697142857122E-2"/>
    <n v="0.19113149290516199"/>
    <n v="0"/>
    <n v="0"/>
    <n v="0"/>
    <n v="0"/>
    <n v="0"/>
    <n v="0"/>
    <n v="0"/>
    <n v="0"/>
    <n v="0"/>
    <n v="0"/>
    <n v="0"/>
    <n v="0"/>
    <n v="0"/>
    <n v="0"/>
  </r>
  <r>
    <x v="3"/>
    <x v="9"/>
    <s v="Biogas"/>
    <x v="7"/>
    <n v="476.19047619047615"/>
    <s v="mcf production/year"/>
    <n v="5.2047619047619056E-4"/>
    <n v="0.11929834761904763"/>
    <n v="0.11019521904761904"/>
    <n v="0.21236832545018003"/>
    <n v="0"/>
    <n v="0"/>
    <n v="0"/>
    <n v="0"/>
    <n v="0"/>
    <n v="0"/>
    <n v="0"/>
    <n v="0"/>
    <n v="0"/>
    <n v="0"/>
    <n v="0"/>
    <n v="0"/>
    <n v="0"/>
    <n v="0"/>
  </r>
  <r>
    <x v="3"/>
    <x v="10"/>
    <s v="Biogas"/>
    <x v="7"/>
    <n v="523.80952380952374"/>
    <s v="mcf production/year"/>
    <n v="5.7252380952380955E-4"/>
    <n v="0.13122818238095238"/>
    <n v="0.12121474095238094"/>
    <n v="0.23360515799519802"/>
    <n v="0"/>
    <n v="0"/>
    <n v="0"/>
    <n v="0"/>
    <n v="0"/>
    <n v="0"/>
    <n v="0"/>
    <n v="0"/>
    <n v="0"/>
    <n v="0"/>
    <n v="0"/>
    <n v="0"/>
    <n v="0"/>
    <n v="0"/>
  </r>
  <r>
    <x v="3"/>
    <x v="11"/>
    <s v="Biogas"/>
    <x v="7"/>
    <n v="571.42857142857133"/>
    <s v="mcf production/year"/>
    <n v="6.2457142857142854E-4"/>
    <n v="0.14315801714285711"/>
    <n v="0.13223426285714282"/>
    <n v="0.254841990540216"/>
    <n v="0"/>
    <n v="0"/>
    <n v="0"/>
    <n v="0"/>
    <n v="0"/>
    <n v="0"/>
    <n v="0"/>
    <n v="0"/>
    <n v="0"/>
    <n v="0"/>
    <n v="0"/>
    <n v="0"/>
    <n v="0"/>
    <n v="0"/>
  </r>
  <r>
    <x v="3"/>
    <x v="12"/>
    <s v="Biogas"/>
    <x v="7"/>
    <n v="619.04761904761892"/>
    <s v="mcf production/year"/>
    <n v="6.7661904761904753E-4"/>
    <n v="0.15508785190476188"/>
    <n v="0.14325378476190473"/>
    <n v="0.27607882308523396"/>
    <n v="0"/>
    <n v="0"/>
    <n v="0"/>
    <n v="0"/>
    <n v="0"/>
    <n v="0"/>
    <n v="0"/>
    <n v="0"/>
    <n v="0"/>
    <n v="0"/>
    <n v="0"/>
    <n v="0"/>
    <n v="0"/>
    <n v="0"/>
  </r>
  <r>
    <x v="3"/>
    <x v="13"/>
    <s v="Biogas"/>
    <x v="7"/>
    <n v="666.66666666666652"/>
    <s v="mcf production/year"/>
    <n v="7.2866666666666663E-4"/>
    <n v="0.16701768666666664"/>
    <n v="0.15427330666666664"/>
    <n v="0.29731565563025197"/>
    <n v="0"/>
    <n v="0"/>
    <n v="0"/>
    <n v="0"/>
    <n v="0"/>
    <n v="0"/>
    <n v="0"/>
    <n v="0"/>
    <n v="0"/>
    <n v="0"/>
    <n v="0"/>
    <n v="0"/>
    <n v="0"/>
    <n v="0"/>
  </r>
  <r>
    <x v="3"/>
    <x v="14"/>
    <s v="Biogas"/>
    <x v="7"/>
    <n v="714.28571428571411"/>
    <s v="mcf production/year"/>
    <n v="7.8071428571428562E-4"/>
    <n v="0.1789475214285714"/>
    <n v="0.16529282857142852"/>
    <n v="0.31855248817526993"/>
    <n v="0"/>
    <n v="0"/>
    <n v="0"/>
    <n v="0"/>
    <n v="0"/>
    <n v="0"/>
    <n v="0"/>
    <n v="0"/>
    <n v="0"/>
    <n v="0"/>
    <n v="0"/>
    <n v="0"/>
    <n v="0"/>
    <n v="0"/>
  </r>
  <r>
    <x v="3"/>
    <x v="15"/>
    <s v="Biogas"/>
    <x v="7"/>
    <n v="761.9047619047617"/>
    <s v="mcf production/year"/>
    <n v="8.3276190476190462E-4"/>
    <n v="0.19087735619047613"/>
    <n v="0.17631235047619043"/>
    <n v="0.33978932072028795"/>
    <n v="0"/>
    <n v="0"/>
    <n v="0"/>
    <n v="0"/>
    <n v="0"/>
    <n v="0"/>
    <n v="0"/>
    <n v="0"/>
    <n v="0"/>
    <n v="0"/>
    <n v="0"/>
    <n v="0"/>
    <n v="0"/>
    <n v="0"/>
  </r>
  <r>
    <x v="3"/>
    <x v="16"/>
    <s v="Biogas"/>
    <x v="7"/>
    <n v="809.52380952380929"/>
    <s v="mcf production/year"/>
    <n v="8.8480952380952372E-4"/>
    <n v="0.20280719095238092"/>
    <n v="0.18733187238095234"/>
    <n v="0.36102615326530596"/>
    <n v="0"/>
    <n v="0"/>
    <n v="0"/>
    <n v="0"/>
    <n v="0"/>
    <n v="0"/>
    <n v="0"/>
    <n v="0"/>
    <n v="0"/>
    <n v="0"/>
    <n v="0"/>
    <n v="0"/>
    <n v="0"/>
    <n v="0"/>
  </r>
  <r>
    <x v="3"/>
    <x v="17"/>
    <s v="Biogas"/>
    <x v="7"/>
    <n v="857.14285714285688"/>
    <s v="mcf production/year"/>
    <n v="9.3685714285714271E-4"/>
    <n v="0.21473702571428566"/>
    <n v="0.19835139428571422"/>
    <n v="0.38226298581032392"/>
    <n v="0"/>
    <n v="0"/>
    <n v="0"/>
    <n v="0"/>
    <n v="0"/>
    <n v="0"/>
    <n v="0"/>
    <n v="0"/>
    <n v="0"/>
    <n v="0"/>
    <n v="0"/>
    <n v="0"/>
    <n v="0"/>
    <n v="0"/>
  </r>
  <r>
    <x v="3"/>
    <x v="18"/>
    <s v="Biogas"/>
    <x v="7"/>
    <n v="904.76190476190447"/>
    <s v="mcf production/year"/>
    <n v="9.8890476190476181E-4"/>
    <n v="0.22666686047619045"/>
    <n v="0.20937091619047615"/>
    <n v="0.40349981835534193"/>
    <n v="0"/>
    <n v="0"/>
    <n v="0"/>
    <n v="0"/>
    <n v="0"/>
    <n v="0"/>
    <n v="0"/>
    <n v="0"/>
    <n v="0"/>
    <n v="0"/>
    <n v="0"/>
    <n v="0"/>
    <n v="0"/>
    <n v="0"/>
  </r>
  <r>
    <x v="3"/>
    <x v="19"/>
    <s v="Biogas"/>
    <x v="7"/>
    <n v="952.38095238095207"/>
    <s v="mcf production/year"/>
    <n v="1.0409523809523807E-3"/>
    <n v="0.23859669523809515"/>
    <n v="0.22039043809523801"/>
    <n v="0.42473665090035989"/>
    <n v="0"/>
    <n v="0"/>
    <n v="0"/>
    <n v="0"/>
    <n v="0"/>
    <n v="0"/>
    <n v="0"/>
    <n v="0"/>
    <n v="0"/>
    <n v="0"/>
    <n v="0"/>
    <n v="0"/>
    <n v="0"/>
    <n v="0"/>
  </r>
  <r>
    <x v="3"/>
    <x v="20"/>
    <s v="Biogas"/>
    <x v="7"/>
    <n v="1000"/>
    <s v="mcf production/year"/>
    <n v="1.0930000000000002E-3"/>
    <n v="0.25052653000000003"/>
    <n v="0.23140996000000003"/>
    <n v="0.44597348344537807"/>
    <n v="0"/>
    <n v="0"/>
    <n v="0"/>
    <n v="0"/>
    <n v="0"/>
    <n v="0"/>
    <n v="0"/>
    <n v="0"/>
    <n v="0"/>
    <n v="0"/>
    <n v="0"/>
    <n v="0"/>
    <n v="0"/>
    <n v="0"/>
  </r>
  <r>
    <x v="3"/>
    <x v="0"/>
    <s v="Biogas"/>
    <x v="8"/>
    <n v="3.3333333333333335"/>
    <s v="mcf production/year"/>
    <n v="3.6433333333333333E-6"/>
    <n v="1.2463843333333332E-4"/>
    <n v="1.2463843333333332E-4"/>
    <n v="4.8552881666666663E-4"/>
    <n v="0"/>
    <n v="0"/>
    <n v="0"/>
    <n v="0"/>
    <n v="0"/>
    <n v="0"/>
    <n v="0"/>
    <n v="0"/>
    <n v="0"/>
    <n v="0"/>
    <n v="0"/>
    <n v="0"/>
    <n v="0"/>
    <n v="0"/>
  </r>
  <r>
    <x v="3"/>
    <x v="1"/>
    <s v="Biogas"/>
    <x v="8"/>
    <n v="6.666666666666667"/>
    <s v="mcf production/year"/>
    <n v="7.2866666666666666E-6"/>
    <n v="2.4927686666666664E-4"/>
    <n v="2.4927686666666664E-4"/>
    <n v="9.7105763333333326E-4"/>
    <n v="0"/>
    <n v="0"/>
    <n v="0"/>
    <n v="0"/>
    <n v="0"/>
    <n v="0"/>
    <n v="0"/>
    <n v="0"/>
    <n v="0"/>
    <n v="0"/>
    <n v="0"/>
    <n v="0"/>
    <n v="0"/>
    <n v="0"/>
  </r>
  <r>
    <x v="3"/>
    <x v="2"/>
    <s v="Biogas"/>
    <x v="8"/>
    <n v="10"/>
    <s v="mcf production/year"/>
    <n v="1.0929999999999999E-5"/>
    <n v="3.7391529999999989E-4"/>
    <n v="3.7391529999999989E-4"/>
    <n v="1.4565864499999997E-3"/>
    <n v="0"/>
    <n v="0"/>
    <n v="0"/>
    <n v="0"/>
    <n v="0"/>
    <n v="0"/>
    <n v="0"/>
    <n v="0"/>
    <n v="0"/>
    <n v="0"/>
    <n v="0"/>
    <n v="0"/>
    <n v="0"/>
    <n v="0"/>
  </r>
  <r>
    <x v="3"/>
    <x v="3"/>
    <s v="Biogas"/>
    <x v="8"/>
    <n v="13.333333333333334"/>
    <s v="mcf production/year"/>
    <n v="1.4573333333333333E-5"/>
    <n v="4.9855373333333329E-4"/>
    <n v="4.9855373333333329E-4"/>
    <n v="1.9421152666666665E-3"/>
    <n v="0"/>
    <n v="0"/>
    <n v="0"/>
    <n v="0"/>
    <n v="0"/>
    <n v="0"/>
    <n v="0"/>
    <n v="0"/>
    <n v="0"/>
    <n v="0"/>
    <n v="0"/>
    <n v="0"/>
    <n v="0"/>
    <n v="0"/>
  </r>
  <r>
    <x v="3"/>
    <x v="4"/>
    <s v="Biogas"/>
    <x v="8"/>
    <n v="16.666666666666668"/>
    <s v="mcf production/year"/>
    <n v="1.8216666666666668E-5"/>
    <n v="6.2319216666666664E-4"/>
    <n v="6.2319216666666664E-4"/>
    <n v="2.4276440833333334E-3"/>
    <n v="0"/>
    <n v="0"/>
    <n v="0"/>
    <n v="0"/>
    <n v="0"/>
    <n v="0"/>
    <n v="0"/>
    <n v="0"/>
    <n v="0"/>
    <n v="0"/>
    <n v="0"/>
    <n v="0"/>
    <n v="0"/>
    <n v="0"/>
  </r>
  <r>
    <x v="3"/>
    <x v="5"/>
    <s v="Biogas"/>
    <x v="8"/>
    <n v="20"/>
    <s v="mcf production/year"/>
    <n v="2.1859999999999997E-5"/>
    <n v="7.4783059999999977E-4"/>
    <n v="7.4783059999999977E-4"/>
    <n v="2.9131728999999993E-3"/>
    <n v="0"/>
    <n v="0"/>
    <n v="0"/>
    <n v="0"/>
    <n v="0"/>
    <n v="0"/>
    <n v="0"/>
    <n v="0"/>
    <n v="0"/>
    <n v="0"/>
    <n v="0"/>
    <n v="0"/>
    <n v="0"/>
    <n v="0"/>
  </r>
  <r>
    <x v="3"/>
    <x v="6"/>
    <s v="Biogas"/>
    <x v="8"/>
    <n v="23.333333333333332"/>
    <s v="mcf production/year"/>
    <n v="2.550333333333333E-5"/>
    <n v="8.7246903333333312E-4"/>
    <n v="8.7246903333333312E-4"/>
    <n v="3.3987017166666657E-3"/>
    <n v="0"/>
    <n v="0"/>
    <n v="0"/>
    <n v="0"/>
    <n v="0"/>
    <n v="0"/>
    <n v="0"/>
    <n v="0"/>
    <n v="0"/>
    <n v="0"/>
    <n v="0"/>
    <n v="0"/>
    <n v="0"/>
    <n v="0"/>
  </r>
  <r>
    <x v="3"/>
    <x v="7"/>
    <s v="Biogas"/>
    <x v="8"/>
    <n v="26.666666666666664"/>
    <s v="mcf production/year"/>
    <n v="2.9146666666666663E-5"/>
    <n v="9.9710746666666636E-4"/>
    <n v="9.9710746666666636E-4"/>
    <n v="3.8842305333333326E-3"/>
    <n v="0"/>
    <n v="0"/>
    <n v="0"/>
    <n v="0"/>
    <n v="0"/>
    <n v="0"/>
    <n v="0"/>
    <n v="0"/>
    <n v="0"/>
    <n v="0"/>
    <n v="0"/>
    <n v="0"/>
    <n v="0"/>
    <n v="0"/>
  </r>
  <r>
    <x v="3"/>
    <x v="8"/>
    <s v="Biogas"/>
    <x v="8"/>
    <n v="29.999999999999996"/>
    <s v="mcf production/year"/>
    <n v="3.2789999999999996E-5"/>
    <n v="1.1217458999999996E-3"/>
    <n v="1.1217458999999996E-3"/>
    <n v="4.3697593499999994E-3"/>
    <n v="0"/>
    <n v="0"/>
    <n v="0"/>
    <n v="0"/>
    <n v="0"/>
    <n v="0"/>
    <n v="0"/>
    <n v="0"/>
    <n v="0"/>
    <n v="0"/>
    <n v="0"/>
    <n v="0"/>
    <n v="0"/>
    <n v="0"/>
  </r>
  <r>
    <x v="3"/>
    <x v="9"/>
    <s v="Biogas"/>
    <x v="8"/>
    <n v="33.333333333333329"/>
    <s v="mcf production/year"/>
    <n v="3.6433333333333336E-5"/>
    <n v="1.2463843333333333E-3"/>
    <n v="1.2463843333333333E-3"/>
    <n v="4.8552881666666667E-3"/>
    <n v="0"/>
    <n v="0"/>
    <n v="0"/>
    <n v="0"/>
    <n v="0"/>
    <n v="0"/>
    <n v="0"/>
    <n v="0"/>
    <n v="0"/>
    <n v="0"/>
    <n v="0"/>
    <n v="0"/>
    <n v="0"/>
    <n v="0"/>
  </r>
  <r>
    <x v="3"/>
    <x v="10"/>
    <s v="Biogas"/>
    <x v="8"/>
    <n v="36.666666666666664"/>
    <s v="mcf production/year"/>
    <n v="4.0076666666666669E-5"/>
    <n v="1.3710227666666665E-3"/>
    <n v="1.3710227666666665E-3"/>
    <n v="5.3408169833333331E-3"/>
    <n v="0"/>
    <n v="0"/>
    <n v="0"/>
    <n v="0"/>
    <n v="0"/>
    <n v="0"/>
    <n v="0"/>
    <n v="0"/>
    <n v="0"/>
    <n v="0"/>
    <n v="0"/>
    <n v="0"/>
    <n v="0"/>
    <n v="0"/>
  </r>
  <r>
    <x v="3"/>
    <x v="11"/>
    <s v="Biogas"/>
    <x v="8"/>
    <n v="40"/>
    <s v="mcf production/year"/>
    <n v="4.3720000000000008E-5"/>
    <n v="1.4956612E-3"/>
    <n v="1.4956612E-3"/>
    <n v="5.8263458000000004E-3"/>
    <n v="0"/>
    <n v="0"/>
    <n v="0"/>
    <n v="0"/>
    <n v="0"/>
    <n v="0"/>
    <n v="0"/>
    <n v="0"/>
    <n v="0"/>
    <n v="0"/>
    <n v="0"/>
    <n v="0"/>
    <n v="0"/>
    <n v="0"/>
  </r>
  <r>
    <x v="3"/>
    <x v="12"/>
    <s v="Biogas"/>
    <x v="8"/>
    <n v="43.333333333333336"/>
    <s v="mcf production/year"/>
    <n v="4.7363333333333341E-5"/>
    <n v="1.6202996333333332E-3"/>
    <n v="1.6202996333333332E-3"/>
    <n v="6.3118746166666668E-3"/>
    <n v="0"/>
    <n v="0"/>
    <n v="0"/>
    <n v="0"/>
    <n v="0"/>
    <n v="0"/>
    <n v="0"/>
    <n v="0"/>
    <n v="0"/>
    <n v="0"/>
    <n v="0"/>
    <n v="0"/>
    <n v="0"/>
    <n v="0"/>
  </r>
  <r>
    <x v="3"/>
    <x v="13"/>
    <s v="Biogas"/>
    <x v="8"/>
    <n v="46.666666666666671"/>
    <s v="mcf production/year"/>
    <n v="5.1006666666666681E-5"/>
    <n v="1.7449380666666669E-3"/>
    <n v="1.7449380666666669E-3"/>
    <n v="6.797403433333335E-3"/>
    <n v="0"/>
    <n v="0"/>
    <n v="0"/>
    <n v="0"/>
    <n v="0"/>
    <n v="0"/>
    <n v="0"/>
    <n v="0"/>
    <n v="0"/>
    <n v="0"/>
    <n v="0"/>
    <n v="0"/>
    <n v="0"/>
    <n v="0"/>
  </r>
  <r>
    <x v="3"/>
    <x v="14"/>
    <s v="Biogas"/>
    <x v="8"/>
    <n v="50.000000000000007"/>
    <s v="mcf production/year"/>
    <n v="5.4650000000000014E-5"/>
    <n v="1.8695765000000001E-3"/>
    <n v="1.8695765000000001E-3"/>
    <n v="7.2829322500000014E-3"/>
    <n v="0"/>
    <n v="0"/>
    <n v="0"/>
    <n v="0"/>
    <n v="0"/>
    <n v="0"/>
    <n v="0"/>
    <n v="0"/>
    <n v="0"/>
    <n v="0"/>
    <n v="0"/>
    <n v="0"/>
    <n v="0"/>
    <n v="0"/>
  </r>
  <r>
    <x v="3"/>
    <x v="15"/>
    <s v="Biogas"/>
    <x v="8"/>
    <n v="53.333333333333343"/>
    <s v="mcf production/year"/>
    <n v="5.8293333333333353E-5"/>
    <n v="1.9942149333333336E-3"/>
    <n v="1.9942149333333336E-3"/>
    <n v="7.7684610666666687E-3"/>
    <n v="0"/>
    <n v="0"/>
    <n v="0"/>
    <n v="0"/>
    <n v="0"/>
    <n v="0"/>
    <n v="0"/>
    <n v="0"/>
    <n v="0"/>
    <n v="0"/>
    <n v="0"/>
    <n v="0"/>
    <n v="0"/>
    <n v="0"/>
  </r>
  <r>
    <x v="3"/>
    <x v="16"/>
    <s v="Biogas"/>
    <x v="8"/>
    <n v="56.666666666666679"/>
    <s v="mcf production/year"/>
    <n v="6.1936666666666693E-5"/>
    <n v="2.118853366666667E-3"/>
    <n v="2.118853366666667E-3"/>
    <n v="8.2539898833333368E-3"/>
    <n v="0"/>
    <n v="0"/>
    <n v="0"/>
    <n v="0"/>
    <n v="0"/>
    <n v="0"/>
    <n v="0"/>
    <n v="0"/>
    <n v="0"/>
    <n v="0"/>
    <n v="0"/>
    <n v="0"/>
    <n v="0"/>
    <n v="0"/>
  </r>
  <r>
    <x v="3"/>
    <x v="17"/>
    <s v="Biogas"/>
    <x v="8"/>
    <n v="60.000000000000014"/>
    <s v="mcf production/year"/>
    <n v="6.5580000000000019E-5"/>
    <n v="2.2434918000000001E-3"/>
    <n v="2.2434918000000001E-3"/>
    <n v="8.7395187000000023E-3"/>
    <n v="0"/>
    <n v="0"/>
    <n v="0"/>
    <n v="0"/>
    <n v="0"/>
    <n v="0"/>
    <n v="0"/>
    <n v="0"/>
    <n v="0"/>
    <n v="0"/>
    <n v="0"/>
    <n v="0"/>
    <n v="0"/>
    <n v="0"/>
  </r>
  <r>
    <x v="3"/>
    <x v="18"/>
    <s v="Biogas"/>
    <x v="8"/>
    <n v="63.33333333333335"/>
    <s v="mcf production/year"/>
    <n v="6.9223333333333359E-5"/>
    <n v="2.368130233333334E-3"/>
    <n v="2.368130233333334E-3"/>
    <n v="9.2250475166666696E-3"/>
    <n v="0"/>
    <n v="0"/>
    <n v="0"/>
    <n v="0"/>
    <n v="0"/>
    <n v="0"/>
    <n v="0"/>
    <n v="0"/>
    <n v="0"/>
    <n v="0"/>
    <n v="0"/>
    <n v="0"/>
    <n v="0"/>
    <n v="0"/>
  </r>
  <r>
    <x v="3"/>
    <x v="19"/>
    <s v="Biogas"/>
    <x v="8"/>
    <n v="66.666666666666686"/>
    <s v="mcf production/year"/>
    <n v="7.2866666666666699E-5"/>
    <n v="2.4927686666666674E-3"/>
    <n v="2.4927686666666674E-3"/>
    <n v="9.7105763333333369E-3"/>
    <n v="0"/>
    <n v="0"/>
    <n v="0"/>
    <n v="0"/>
    <n v="0"/>
    <n v="0"/>
    <n v="0"/>
    <n v="0"/>
    <n v="0"/>
    <n v="0"/>
    <n v="0"/>
    <n v="0"/>
    <n v="0"/>
    <n v="0"/>
  </r>
  <r>
    <x v="3"/>
    <x v="20"/>
    <s v="Biogas"/>
    <x v="8"/>
    <n v="70"/>
    <s v="mcf production/year"/>
    <n v="7.6510000000000011E-5"/>
    <n v="2.6174071E-3"/>
    <n v="2.6174071E-3"/>
    <n v="1.0196105150000001E-2"/>
    <n v="0"/>
    <n v="0"/>
    <n v="0"/>
    <n v="0"/>
    <n v="0"/>
    <n v="0"/>
    <n v="0"/>
    <n v="0"/>
    <n v="0"/>
    <n v="0"/>
    <n v="0"/>
    <n v="0"/>
    <n v="0"/>
    <n v="0"/>
  </r>
  <r>
    <x v="3"/>
    <x v="0"/>
    <s v="RJF"/>
    <x v="9"/>
    <n v="2.3809523809523808E-2"/>
    <s v="Millions of Gallons production/year"/>
    <n v="3.3912509464285718E-6"/>
    <n v="5.6430415748571434E-5"/>
    <n v="5.6430415748571434E-5"/>
    <n v="1.327335620432143E-4"/>
    <n v="0"/>
    <n v="0"/>
    <n v="0"/>
    <n v="0"/>
    <n v="0"/>
    <n v="0"/>
    <n v="0"/>
    <n v="0"/>
    <n v="0"/>
    <n v="0"/>
    <n v="0"/>
    <n v="0"/>
    <n v="0"/>
    <n v="0"/>
  </r>
  <r>
    <x v="3"/>
    <x v="1"/>
    <s v="RJF"/>
    <x v="9"/>
    <n v="4.7619047619047616E-2"/>
    <s v="Millions of Gallons production/year"/>
    <n v="6.7825018928571435E-6"/>
    <n v="1.0431487911214284E-4"/>
    <n v="1.0431487911214284E-4"/>
    <n v="2.5692117170142859E-4"/>
    <n v="0"/>
    <n v="0"/>
    <n v="0"/>
    <n v="0"/>
    <n v="0"/>
    <n v="0"/>
    <n v="0"/>
    <n v="0"/>
    <n v="0"/>
    <n v="0"/>
    <n v="0"/>
    <n v="0"/>
    <n v="0"/>
    <n v="0"/>
  </r>
  <r>
    <x v="3"/>
    <x v="2"/>
    <s v="RJF"/>
    <x v="9"/>
    <n v="7.1428571428571425E-2"/>
    <s v="Millions of Gallons production/year"/>
    <n v="1.0173752839285716E-5"/>
    <n v="1.4375512761910712E-4"/>
    <n v="1.4375512761910712E-4"/>
    <n v="3.7266456650303571E-4"/>
    <n v="0"/>
    <n v="0"/>
    <n v="0"/>
    <n v="0"/>
    <n v="0"/>
    <n v="0"/>
    <n v="0"/>
    <n v="0"/>
    <n v="0"/>
    <n v="0"/>
    <n v="0"/>
    <n v="0"/>
    <n v="0"/>
    <n v="0"/>
  </r>
  <r>
    <x v="3"/>
    <x v="3"/>
    <s v="RJF"/>
    <x v="9"/>
    <n v="9.5238095238095233E-2"/>
    <s v="Millions of Gallons production/year"/>
    <n v="1.3565003785714287E-5"/>
    <n v="1.7458159872214292E-4"/>
    <n v="1.7458159872214292E-4"/>
    <n v="4.7979418390071439E-4"/>
    <n v="0"/>
    <n v="0"/>
    <n v="0"/>
    <n v="0"/>
    <n v="0"/>
    <n v="0"/>
    <n v="0"/>
    <n v="0"/>
    <n v="0"/>
    <n v="0"/>
    <n v="0"/>
    <n v="0"/>
    <n v="0"/>
    <n v="0"/>
  </r>
  <r>
    <x v="3"/>
    <x v="4"/>
    <s v="RJF"/>
    <x v="9"/>
    <n v="0.11904761904761904"/>
    <s v="Millions of Gallons production/year"/>
    <n v="1.6956254732142858E-5"/>
    <n v="1.9703167998750008E-4"/>
    <n v="1.9703167998750008E-4"/>
    <n v="5.7854741146071435E-4"/>
    <n v="0"/>
    <n v="0"/>
    <n v="0"/>
    <n v="0"/>
    <n v="0"/>
    <n v="0"/>
    <n v="0"/>
    <n v="0"/>
    <n v="0"/>
    <n v="0"/>
    <n v="0"/>
    <n v="0"/>
    <n v="0"/>
    <n v="0"/>
  </r>
  <r>
    <x v="3"/>
    <x v="5"/>
    <s v="RJF"/>
    <x v="9"/>
    <n v="0.14285714285714285"/>
    <s v="Millions of Gallons production/year"/>
    <n v="2.0347505678571431E-5"/>
    <n v="2.1080015883000002E-4"/>
    <n v="2.1080015883000002E-4"/>
    <n v="6.6861903659785719E-4"/>
    <n v="0"/>
    <n v="0"/>
    <n v="0"/>
    <n v="0"/>
    <n v="0"/>
    <n v="0"/>
    <n v="0"/>
    <n v="0"/>
    <n v="0"/>
    <n v="0"/>
    <n v="0"/>
    <n v="0"/>
    <n v="0"/>
    <n v="0"/>
  </r>
  <r>
    <x v="3"/>
    <x v="6"/>
    <s v="RJF"/>
    <x v="9"/>
    <n v="0.16666666666666666"/>
    <s v="Millions of Gallons production/year"/>
    <n v="2.3738756625000001E-5"/>
    <n v="2.4593351863500001E-4"/>
    <n v="2.4593351863500001E-4"/>
    <n v="7.8005554269749999E-4"/>
    <n v="0"/>
    <n v="0"/>
    <n v="0"/>
    <n v="0"/>
    <n v="0"/>
    <n v="0"/>
    <n v="0"/>
    <n v="0"/>
    <n v="0"/>
    <n v="0"/>
    <n v="0"/>
    <n v="0"/>
    <n v="0"/>
    <n v="0"/>
  </r>
  <r>
    <x v="3"/>
    <x v="7"/>
    <s v="RJF"/>
    <x v="9"/>
    <n v="0.19047619047619047"/>
    <s v="Millions of Gallons production/year"/>
    <n v="2.7130007571428574E-5"/>
    <n v="2.8106687844E-4"/>
    <n v="2.8106687844E-4"/>
    <n v="8.9149204879714289E-4"/>
    <n v="0"/>
    <n v="0"/>
    <n v="0"/>
    <n v="0"/>
    <n v="0"/>
    <n v="0"/>
    <n v="0"/>
    <n v="0"/>
    <n v="0"/>
    <n v="0"/>
    <n v="0"/>
    <n v="0"/>
    <n v="0"/>
    <n v="0"/>
  </r>
  <r>
    <x v="3"/>
    <x v="8"/>
    <s v="RJF"/>
    <x v="9"/>
    <n v="0.21428571428571427"/>
    <s v="Millions of Gallons production/year"/>
    <n v="3.0521258517857147E-5"/>
    <n v="3.1620023824500005E-4"/>
    <n v="3.1620023824500005E-4"/>
    <n v="1.0029285548967858E-3"/>
    <n v="0"/>
    <n v="0"/>
    <n v="0"/>
    <n v="0"/>
    <n v="0"/>
    <n v="0"/>
    <n v="0"/>
    <n v="0"/>
    <n v="0"/>
    <n v="0"/>
    <n v="0"/>
    <n v="0"/>
    <n v="0"/>
    <n v="0"/>
  </r>
  <r>
    <x v="3"/>
    <x v="9"/>
    <s v="RJF"/>
    <x v="9"/>
    <n v="0.23809523809523808"/>
    <s v="Millions of Gallons production/year"/>
    <n v="3.3912509464285717E-5"/>
    <n v="3.5133359804999999E-4"/>
    <n v="3.5133359804999999E-4"/>
    <n v="1.1143650609964286E-3"/>
    <n v="0"/>
    <n v="0"/>
    <n v="0"/>
    <n v="0"/>
    <n v="0"/>
    <n v="0"/>
    <n v="0"/>
    <n v="0"/>
    <n v="0"/>
    <n v="0"/>
    <n v="0"/>
    <n v="0"/>
    <n v="0"/>
    <n v="0"/>
  </r>
  <r>
    <x v="3"/>
    <x v="10"/>
    <s v="RJF"/>
    <x v="9"/>
    <n v="0.26190476190476186"/>
    <s v="Millions of Gallons production/year"/>
    <n v="3.7303760410714286E-5"/>
    <n v="3.8646695785499998E-4"/>
    <n v="3.8646695785499998E-4"/>
    <n v="1.2258015670960714E-3"/>
    <n v="0"/>
    <n v="0"/>
    <n v="0"/>
    <n v="0"/>
    <n v="0"/>
    <n v="0"/>
    <n v="0"/>
    <n v="0"/>
    <n v="0"/>
    <n v="0"/>
    <n v="0"/>
    <n v="0"/>
    <n v="0"/>
    <n v="0"/>
  </r>
  <r>
    <x v="3"/>
    <x v="11"/>
    <s v="RJF"/>
    <x v="9"/>
    <n v="0.2857142857142857"/>
    <s v="Millions of Gallons production/year"/>
    <n v="4.0695011357142863E-5"/>
    <n v="4.2160031766000003E-4"/>
    <n v="4.2160031766000003E-4"/>
    <n v="1.3372380731957144E-3"/>
    <n v="0"/>
    <n v="0"/>
    <n v="0"/>
    <n v="0"/>
    <n v="0"/>
    <n v="0"/>
    <n v="0"/>
    <n v="0"/>
    <n v="0"/>
    <n v="0"/>
    <n v="0"/>
    <n v="0"/>
    <n v="0"/>
    <n v="0"/>
  </r>
  <r>
    <x v="3"/>
    <x v="12"/>
    <s v="RJF"/>
    <x v="9"/>
    <n v="0.30952380952380953"/>
    <s v="Millions of Gallons production/year"/>
    <n v="4.4086262303571439E-5"/>
    <n v="4.5673367746500008E-4"/>
    <n v="4.5673367746500008E-4"/>
    <n v="1.4486745792953574E-3"/>
    <n v="0"/>
    <n v="0"/>
    <n v="0"/>
    <n v="0"/>
    <n v="0"/>
    <n v="0"/>
    <n v="0"/>
    <n v="0"/>
    <n v="0"/>
    <n v="0"/>
    <n v="0"/>
    <n v="0"/>
    <n v="0"/>
    <n v="0"/>
  </r>
  <r>
    <x v="3"/>
    <x v="13"/>
    <s v="RJF"/>
    <x v="9"/>
    <n v="0.33333333333333337"/>
    <s v="Millions of Gallons production/year"/>
    <n v="4.7477513250000009E-5"/>
    <n v="4.9186703727000002E-4"/>
    <n v="4.9186703727000002E-4"/>
    <n v="1.5601110853950002E-3"/>
    <n v="0"/>
    <n v="0"/>
    <n v="0"/>
    <n v="0"/>
    <n v="0"/>
    <n v="0"/>
    <n v="0"/>
    <n v="0"/>
    <n v="0"/>
    <n v="0"/>
    <n v="0"/>
    <n v="0"/>
    <n v="0"/>
    <n v="0"/>
  </r>
  <r>
    <x v="3"/>
    <x v="14"/>
    <s v="RJF"/>
    <x v="9"/>
    <n v="0.35714285714285721"/>
    <s v="Millions of Gallons production/year"/>
    <n v="5.0868764196428585E-5"/>
    <n v="5.2700039707500007E-4"/>
    <n v="5.2700039707500007E-4"/>
    <n v="1.6715475914946432E-3"/>
    <n v="0"/>
    <n v="0"/>
    <n v="0"/>
    <n v="0"/>
    <n v="0"/>
    <n v="0"/>
    <n v="0"/>
    <n v="0"/>
    <n v="0"/>
    <n v="0"/>
    <n v="0"/>
    <n v="0"/>
    <n v="0"/>
    <n v="0"/>
  </r>
  <r>
    <x v="3"/>
    <x v="15"/>
    <s v="RJF"/>
    <x v="9"/>
    <n v="0.38095238095238104"/>
    <s v="Millions of Gallons production/year"/>
    <n v="5.4260015142857162E-5"/>
    <n v="5.6213375688000011E-4"/>
    <n v="5.6213375688000011E-4"/>
    <n v="1.7829840975942862E-3"/>
    <n v="0"/>
    <n v="0"/>
    <n v="0"/>
    <n v="0"/>
    <n v="0"/>
    <n v="0"/>
    <n v="0"/>
    <n v="0"/>
    <n v="0"/>
    <n v="0"/>
    <n v="0"/>
    <n v="0"/>
    <n v="0"/>
    <n v="0"/>
  </r>
  <r>
    <x v="3"/>
    <x v="16"/>
    <s v="RJF"/>
    <x v="9"/>
    <n v="0.40476190476190488"/>
    <s v="Millions of Gallons production/year"/>
    <n v="5.7651266089285738E-5"/>
    <n v="5.9726711668500016E-4"/>
    <n v="5.9726711668500016E-4"/>
    <n v="1.8944206036939292E-3"/>
    <n v="0"/>
    <n v="0"/>
    <n v="0"/>
    <n v="0"/>
    <n v="0"/>
    <n v="0"/>
    <n v="0"/>
    <n v="0"/>
    <n v="0"/>
    <n v="0"/>
    <n v="0"/>
    <n v="0"/>
    <n v="0"/>
    <n v="0"/>
  </r>
  <r>
    <x v="3"/>
    <x v="17"/>
    <s v="RJF"/>
    <x v="9"/>
    <n v="0.42857142857142871"/>
    <s v="Millions of Gallons production/year"/>
    <n v="6.1042517035714321E-5"/>
    <n v="6.3240047649000032E-4"/>
    <n v="6.3240047649000032E-4"/>
    <n v="2.0058571097935725E-3"/>
    <n v="0"/>
    <n v="0"/>
    <n v="0"/>
    <n v="0"/>
    <n v="0"/>
    <n v="0"/>
    <n v="0"/>
    <n v="0"/>
    <n v="0"/>
    <n v="0"/>
    <n v="0"/>
    <n v="0"/>
    <n v="0"/>
    <n v="0"/>
  </r>
  <r>
    <x v="3"/>
    <x v="18"/>
    <s v="RJF"/>
    <x v="9"/>
    <n v="0.45238095238095255"/>
    <s v="Millions of Gallons production/year"/>
    <n v="6.4433767982142884E-5"/>
    <n v="6.6753383629500026E-4"/>
    <n v="6.6753383629500026E-4"/>
    <n v="2.117293615893215E-3"/>
    <n v="0"/>
    <n v="0"/>
    <n v="0"/>
    <n v="0"/>
    <n v="0"/>
    <n v="0"/>
    <n v="0"/>
    <n v="0"/>
    <n v="0"/>
    <n v="0"/>
    <n v="0"/>
    <n v="0"/>
    <n v="0"/>
    <n v="0"/>
  </r>
  <r>
    <x v="3"/>
    <x v="19"/>
    <s v="RJF"/>
    <x v="9"/>
    <n v="0.47619047619047639"/>
    <s v="Millions of Gallons production/year"/>
    <n v="6.782501892857146E-5"/>
    <n v="7.0266719610000031E-4"/>
    <n v="7.0266719610000031E-4"/>
    <n v="2.228730121992858E-3"/>
    <n v="0"/>
    <n v="0"/>
    <n v="0"/>
    <n v="0"/>
    <n v="0"/>
    <n v="0"/>
    <n v="0"/>
    <n v="0"/>
    <n v="0"/>
    <n v="0"/>
    <n v="0"/>
    <n v="0"/>
    <n v="0"/>
    <n v="0"/>
  </r>
  <r>
    <x v="3"/>
    <x v="20"/>
    <s v="RJF"/>
    <x v="9"/>
    <n v="0.5"/>
    <s v="Millions of Gallons production/year"/>
    <n v="7.121626987500001E-5"/>
    <n v="7.3780055590500003E-4"/>
    <n v="7.3780055590500003E-4"/>
    <n v="2.3401666280925002E-3"/>
    <n v="0"/>
    <n v="0"/>
    <n v="0"/>
    <n v="0"/>
    <n v="0"/>
    <n v="0"/>
    <n v="0"/>
    <n v="0"/>
    <n v="0"/>
    <n v="0"/>
    <n v="0"/>
    <n v="0"/>
    <n v="0"/>
    <n v="0"/>
  </r>
  <r>
    <x v="3"/>
    <x v="0"/>
    <s v="RJF"/>
    <x v="10"/>
    <n v="0.35714285714285715"/>
    <s v="Millions of Gallons production/year"/>
    <n v="5.0868764196428578E-5"/>
    <n v="8.4645623622857152E-4"/>
    <n v="8.4645623622857152E-4"/>
    <n v="1.9910034306482144E-3"/>
    <n v="0"/>
    <n v="0"/>
    <n v="0"/>
    <n v="0"/>
    <n v="0"/>
    <n v="0"/>
    <n v="0"/>
    <n v="0"/>
    <n v="0"/>
    <n v="0"/>
    <n v="0"/>
    <n v="0"/>
    <n v="0"/>
    <n v="0"/>
  </r>
  <r>
    <x v="3"/>
    <x v="1"/>
    <s v="RJF"/>
    <x v="10"/>
    <n v="0.7142857142857143"/>
    <s v="Millions of Gallons production/year"/>
    <n v="1.0173752839285716E-4"/>
    <n v="3.7276630403142862E-3"/>
    <n v="3.7276630403142862E-3"/>
    <n v="5.47754852867143E-3"/>
    <n v="0"/>
    <n v="0"/>
    <n v="0"/>
    <n v="0"/>
    <n v="0"/>
    <n v="0"/>
    <n v="0"/>
    <n v="0"/>
    <n v="0"/>
    <n v="0"/>
    <n v="0"/>
    <n v="0"/>
    <n v="0"/>
    <n v="0"/>
  </r>
  <r>
    <x v="3"/>
    <x v="2"/>
    <s v="RJF"/>
    <x v="10"/>
    <n v="1.0714285714285714"/>
    <s v="Millions of Gallons production/year"/>
    <n v="1.5260629258928574E-4"/>
    <n v="5.3992106318089287E-3"/>
    <n v="5.3992106318089287E-3"/>
    <n v="8.0240388643446434E-3"/>
    <n v="0"/>
    <n v="0"/>
    <n v="0"/>
    <n v="0"/>
    <n v="0"/>
    <n v="0"/>
    <n v="0"/>
    <n v="0"/>
    <n v="0"/>
    <n v="0"/>
    <n v="0"/>
    <n v="0"/>
    <n v="0"/>
    <n v="0"/>
  </r>
  <r>
    <x v="3"/>
    <x v="3"/>
    <s v="RJF"/>
    <x v="10"/>
    <n v="1.4285714285714286"/>
    <s v="Millions of Gallons production/year"/>
    <n v="2.0347505678571431E-4"/>
    <n v="6.9446036880964285E-3"/>
    <n v="6.9446036880964285E-3"/>
    <n v="1.0444374664810716E-2"/>
    <n v="0"/>
    <n v="0"/>
    <n v="0"/>
    <n v="0"/>
    <n v="0"/>
    <n v="0"/>
    <n v="0"/>
    <n v="0"/>
    <n v="0"/>
    <n v="0"/>
    <n v="0"/>
    <n v="0"/>
    <n v="0"/>
    <n v="0"/>
  </r>
  <r>
    <x v="3"/>
    <x v="4"/>
    <s v="RJF"/>
    <x v="10"/>
    <n v="1.7857142857142858"/>
    <s v="Millions of Gallons production/year"/>
    <n v="2.5434382098214292E-4"/>
    <n v="8.3602813956830391E-3"/>
    <n v="8.3602813956830391E-3"/>
    <n v="1.2734995116575897E-2"/>
    <n v="0"/>
    <n v="0"/>
    <n v="0"/>
    <n v="0"/>
    <n v="0"/>
    <n v="0"/>
    <n v="0"/>
    <n v="0"/>
    <n v="0"/>
    <n v="0"/>
    <n v="0"/>
    <n v="0"/>
    <n v="0"/>
    <n v="0"/>
  </r>
  <r>
    <x v="3"/>
    <x v="5"/>
    <s v="RJF"/>
    <x v="10"/>
    <n v="2.1428571428571428"/>
    <s v="Millions of Gallons production/year"/>
    <n v="3.0521258517857147E-4"/>
    <n v="9.6508219433464309E-3"/>
    <n v="9.6508219433464309E-3"/>
    <n v="1.4900478408417862E-2"/>
    <n v="0"/>
    <n v="0"/>
    <n v="0"/>
    <n v="0"/>
    <n v="0"/>
    <n v="0"/>
    <n v="0"/>
    <n v="0"/>
    <n v="0"/>
    <n v="0"/>
    <n v="0"/>
    <n v="0"/>
    <n v="0"/>
    <n v="0"/>
  </r>
  <r>
    <x v="3"/>
    <x v="6"/>
    <s v="RJF"/>
    <x v="10"/>
    <n v="2.5"/>
    <s v="Millions of Gallons production/year"/>
    <n v="3.5608134937500002E-4"/>
    <n v="1.0810629767025001E-2"/>
    <n v="1.0810629767025001E-2"/>
    <n v="1.6935228976275002E-2"/>
    <n v="0"/>
    <n v="0"/>
    <n v="0"/>
    <n v="0"/>
    <n v="0"/>
    <n v="0"/>
    <n v="0"/>
    <n v="0"/>
    <n v="0"/>
    <n v="0"/>
    <n v="0"/>
    <n v="0"/>
    <n v="0"/>
    <n v="0"/>
  </r>
  <r>
    <x v="3"/>
    <x v="7"/>
    <s v="RJF"/>
    <x v="10"/>
    <n v="2.8571428571428572"/>
    <s v="Millions of Gallons production/year"/>
    <n v="4.0695011357142863E-4"/>
    <n v="1.2355005448028573E-2"/>
    <n v="1.2355005448028573E-2"/>
    <n v="1.9354547401457145E-2"/>
    <n v="0"/>
    <n v="0"/>
    <n v="0"/>
    <n v="0"/>
    <n v="0"/>
    <n v="0"/>
    <n v="0"/>
    <n v="0"/>
    <n v="0"/>
    <n v="0"/>
    <n v="0"/>
    <n v="0"/>
    <n v="0"/>
    <n v="0"/>
  </r>
  <r>
    <x v="3"/>
    <x v="8"/>
    <s v="RJF"/>
    <x v="10"/>
    <n v="3.2142857142857144"/>
    <s v="Millions of Gallons production/year"/>
    <n v="4.5781887776785723E-4"/>
    <n v="1.3899381129032145E-2"/>
    <n v="1.3899381129032145E-2"/>
    <n v="2.1773865826639292E-2"/>
    <n v="0"/>
    <n v="0"/>
    <n v="0"/>
    <n v="0"/>
    <n v="0"/>
    <n v="0"/>
    <n v="0"/>
    <n v="0"/>
    <n v="0"/>
    <n v="0"/>
    <n v="0"/>
    <n v="0"/>
    <n v="0"/>
    <n v="0"/>
  </r>
  <r>
    <x v="3"/>
    <x v="9"/>
    <s v="RJF"/>
    <x v="10"/>
    <n v="3.5714285714285716"/>
    <s v="Millions of Gallons production/year"/>
    <n v="5.0868764196428584E-4"/>
    <n v="1.5443756810035719E-2"/>
    <n v="1.5443756810035719E-2"/>
    <n v="2.4193184251821435E-2"/>
    <n v="0"/>
    <n v="0"/>
    <n v="0"/>
    <n v="0"/>
    <n v="0"/>
    <n v="0"/>
    <n v="0"/>
    <n v="0"/>
    <n v="0"/>
    <n v="0"/>
    <n v="0"/>
    <n v="0"/>
    <n v="0"/>
    <n v="0"/>
  </r>
  <r>
    <x v="3"/>
    <x v="10"/>
    <s v="RJF"/>
    <x v="10"/>
    <n v="3.9285714285714288"/>
    <s v="Millions of Gallons production/year"/>
    <n v="5.5955640616071444E-4"/>
    <n v="1.6988132491039289E-2"/>
    <n v="1.6988132491039289E-2"/>
    <n v="2.6612502677003581E-2"/>
    <n v="0"/>
    <n v="0"/>
    <n v="0"/>
    <n v="0"/>
    <n v="0"/>
    <n v="0"/>
    <n v="0"/>
    <n v="0"/>
    <n v="0"/>
    <n v="0"/>
    <n v="0"/>
    <n v="0"/>
    <n v="0"/>
    <n v="0"/>
  </r>
  <r>
    <x v="3"/>
    <x v="11"/>
    <s v="RJF"/>
    <x v="10"/>
    <n v="4.2857142857142856"/>
    <s v="Millions of Gallons production/year"/>
    <n v="6.1042517035714294E-4"/>
    <n v="1.8532508172042859E-2"/>
    <n v="1.8532508172042859E-2"/>
    <n v="2.9031821102185721E-2"/>
    <n v="0"/>
    <n v="0"/>
    <n v="0"/>
    <n v="0"/>
    <n v="0"/>
    <n v="0"/>
    <n v="0"/>
    <n v="0"/>
    <n v="0"/>
    <n v="0"/>
    <n v="0"/>
    <n v="0"/>
    <n v="0"/>
    <n v="0"/>
  </r>
  <r>
    <x v="3"/>
    <x v="12"/>
    <s v="RJF"/>
    <x v="10"/>
    <n v="4.6428571428571423"/>
    <s v="Millions of Gallons production/year"/>
    <n v="6.6129393455357144E-4"/>
    <n v="2.0076883853046429E-2"/>
    <n v="2.0076883853046429E-2"/>
    <n v="3.1451139527367861E-2"/>
    <n v="0"/>
    <n v="0"/>
    <n v="0"/>
    <n v="0"/>
    <n v="0"/>
    <n v="0"/>
    <n v="0"/>
    <n v="0"/>
    <n v="0"/>
    <n v="0"/>
    <n v="0"/>
    <n v="0"/>
    <n v="0"/>
    <n v="0"/>
  </r>
  <r>
    <x v="3"/>
    <x v="13"/>
    <s v="RJF"/>
    <x v="10"/>
    <n v="4.9999999999999991"/>
    <s v="Millions of Gallons production/year"/>
    <n v="7.1216269874999993E-4"/>
    <n v="2.1621259534049999E-2"/>
    <n v="2.1621259534049999E-2"/>
    <n v="3.3870457952549997E-2"/>
    <n v="0"/>
    <n v="0"/>
    <n v="0"/>
    <n v="0"/>
    <n v="0"/>
    <n v="0"/>
    <n v="0"/>
    <n v="0"/>
    <n v="0"/>
    <n v="0"/>
    <n v="0"/>
    <n v="0"/>
    <n v="0"/>
    <n v="0"/>
  </r>
  <r>
    <x v="3"/>
    <x v="14"/>
    <s v="RJF"/>
    <x v="10"/>
    <n v="5.3571428571428559"/>
    <s v="Millions of Gallons production/year"/>
    <n v="7.6303146294642854E-4"/>
    <n v="2.3165635215053569E-2"/>
    <n v="2.3165635215053569E-2"/>
    <n v="3.628977637773214E-2"/>
    <n v="0"/>
    <n v="0"/>
    <n v="0"/>
    <n v="0"/>
    <n v="0"/>
    <n v="0"/>
    <n v="0"/>
    <n v="0"/>
    <n v="0"/>
    <n v="0"/>
    <n v="0"/>
    <n v="0"/>
    <n v="0"/>
    <n v="0"/>
  </r>
  <r>
    <x v="3"/>
    <x v="15"/>
    <s v="RJF"/>
    <x v="10"/>
    <n v="5.7142857142857126"/>
    <s v="Millions of Gallons production/year"/>
    <n v="8.1390022714285704E-4"/>
    <n v="2.4710010896057139E-2"/>
    <n v="2.4710010896057139E-2"/>
    <n v="3.8709094802914283E-2"/>
    <n v="0"/>
    <n v="0"/>
    <n v="0"/>
    <n v="0"/>
    <n v="0"/>
    <n v="0"/>
    <n v="0"/>
    <n v="0"/>
    <n v="0"/>
    <n v="0"/>
    <n v="0"/>
    <n v="0"/>
    <n v="0"/>
    <n v="0"/>
  </r>
  <r>
    <x v="3"/>
    <x v="16"/>
    <s v="RJF"/>
    <x v="10"/>
    <n v="6.0714285714285694"/>
    <s v="Millions of Gallons production/year"/>
    <n v="8.6476899133928553E-4"/>
    <n v="2.6254386577060709E-2"/>
    <n v="2.6254386577060709E-2"/>
    <n v="4.1128413228096419E-2"/>
    <n v="0"/>
    <n v="0"/>
    <n v="0"/>
    <n v="0"/>
    <n v="0"/>
    <n v="0"/>
    <n v="0"/>
    <n v="0"/>
    <n v="0"/>
    <n v="0"/>
    <n v="0"/>
    <n v="0"/>
    <n v="0"/>
    <n v="0"/>
  </r>
  <r>
    <x v="3"/>
    <x v="17"/>
    <s v="RJF"/>
    <x v="10"/>
    <n v="6.4285714285714262"/>
    <s v="Millions of Gallons production/year"/>
    <n v="9.1563775553571403E-4"/>
    <n v="2.7798762258064276E-2"/>
    <n v="2.7798762258064276E-2"/>
    <n v="4.3547731653278562E-2"/>
    <n v="0"/>
    <n v="0"/>
    <n v="0"/>
    <n v="0"/>
    <n v="0"/>
    <n v="0"/>
    <n v="0"/>
    <n v="0"/>
    <n v="0"/>
    <n v="0"/>
    <n v="0"/>
    <n v="0"/>
    <n v="0"/>
    <n v="0"/>
  </r>
  <r>
    <x v="3"/>
    <x v="18"/>
    <s v="RJF"/>
    <x v="10"/>
    <n v="6.7857142857142829"/>
    <s v="Millions of Gallons production/year"/>
    <n v="9.6650651973214264E-4"/>
    <n v="2.934313793906785E-2"/>
    <n v="2.934313793906785E-2"/>
    <n v="4.5967050078460706E-2"/>
    <n v="0"/>
    <n v="0"/>
    <n v="0"/>
    <n v="0"/>
    <n v="0"/>
    <n v="0"/>
    <n v="0"/>
    <n v="0"/>
    <n v="0"/>
    <n v="0"/>
    <n v="0"/>
    <n v="0"/>
    <n v="0"/>
    <n v="0"/>
  </r>
  <r>
    <x v="3"/>
    <x v="19"/>
    <s v="RJF"/>
    <x v="10"/>
    <n v="7.1428571428571397"/>
    <s v="Millions of Gallons production/year"/>
    <n v="1.017375283928571E-3"/>
    <n v="3.0887513620071416E-2"/>
    <n v="3.0887513620071416E-2"/>
    <n v="4.8386368503642842E-2"/>
    <n v="0"/>
    <n v="0"/>
    <n v="0"/>
    <n v="0"/>
    <n v="0"/>
    <n v="0"/>
    <n v="0"/>
    <n v="0"/>
    <n v="0"/>
    <n v="0"/>
    <n v="0"/>
    <n v="0"/>
    <n v="0"/>
    <n v="0"/>
  </r>
  <r>
    <x v="3"/>
    <x v="20"/>
    <s v="RJF"/>
    <x v="10"/>
    <n v="7.5"/>
    <s v="Millions of Gallons production/year"/>
    <n v="1.0682440481250002E-3"/>
    <n v="3.2431889301075004E-2"/>
    <n v="3.2431889301075004E-2"/>
    <n v="5.0805686928825013E-2"/>
    <n v="0"/>
    <n v="0"/>
    <n v="0"/>
    <n v="0"/>
    <n v="0"/>
    <n v="0"/>
    <n v="0"/>
    <n v="0"/>
    <n v="0"/>
    <n v="0"/>
    <n v="0"/>
    <n v="0"/>
    <n v="0"/>
    <n v="0"/>
  </r>
  <r>
    <x v="3"/>
    <x v="0"/>
    <s v="Green H2"/>
    <x v="11"/>
    <n v="9.2954990215264193"/>
    <s v="MW"/>
    <m/>
    <m/>
    <m/>
    <m/>
    <n v="32.534246575342465"/>
    <n v="26.027397260273972"/>
    <n v="39.041095890410965"/>
    <n v="0"/>
    <n v="455.47945205479448"/>
    <n v="45.547945205479451"/>
    <n v="8133.5616438356165"/>
    <n v="10.085616438356164"/>
    <n v="0.3216242661448141"/>
    <n v="0.26213307240704503"/>
    <n v="0.3104696673189824"/>
    <n v="5.2240704500978473E-2"/>
    <n v="0.94646771037181998"/>
    <n v="56.788062622309198"/>
  </r>
  <r>
    <x v="3"/>
    <x v="1"/>
    <s v="Green H2"/>
    <x v="11"/>
    <n v="18.590998043052839"/>
    <s v="MW"/>
    <m/>
    <m/>
    <m/>
    <m/>
    <n v="65.06849315068493"/>
    <n v="52.054794520547944"/>
    <n v="78.08219178082193"/>
    <n v="0"/>
    <n v="910.95890410958896"/>
    <n v="91.095890410958901"/>
    <n v="16267.123287671233"/>
    <n v="20.171232876712327"/>
    <n v="0.3216242661448141"/>
    <n v="0.26213307240704503"/>
    <n v="0.3104696673189824"/>
    <n v="5.2240704500978473E-2"/>
    <n v="0.94646771037181998"/>
    <n v="56.788062622309198"/>
  </r>
  <r>
    <x v="3"/>
    <x v="2"/>
    <s v="Green H2"/>
    <x v="11"/>
    <n v="27.88649706457926"/>
    <s v="MW"/>
    <m/>
    <m/>
    <m/>
    <m/>
    <n v="97.602739726027409"/>
    <n v="78.082191780821915"/>
    <n v="117.1232876712329"/>
    <n v="0"/>
    <n v="1366.4383561643838"/>
    <n v="136.64383561643837"/>
    <n v="24400.684931506854"/>
    <n v="30.256849315068497"/>
    <n v="0.32162426614481415"/>
    <n v="0.26213307240704509"/>
    <n v="0.31046966731898246"/>
    <n v="5.2240704500978487E-2"/>
    <n v="0.94646771037182009"/>
    <n v="56.788062622309205"/>
  </r>
  <r>
    <x v="3"/>
    <x v="3"/>
    <s v="Green H2"/>
    <x v="11"/>
    <n v="37.181996086105677"/>
    <s v="MW"/>
    <m/>
    <m/>
    <m/>
    <m/>
    <n v="130.13698630136986"/>
    <n v="104.10958904109589"/>
    <n v="156.16438356164386"/>
    <n v="0"/>
    <n v="1821.9178082191779"/>
    <n v="182.1917808219178"/>
    <n v="32534.246575342466"/>
    <n v="40.342465753424655"/>
    <n v="0.32162426614481404"/>
    <n v="0.26213307240704498"/>
    <n v="0.31046966731898235"/>
    <n v="5.2240704500978466E-2"/>
    <n v="0.94646771037181976"/>
    <n v="56.788062622309184"/>
  </r>
  <r>
    <x v="3"/>
    <x v="4"/>
    <s v="Green H2"/>
    <x v="11"/>
    <n v="46.477495107632087"/>
    <s v="MW"/>
    <m/>
    <m/>
    <m/>
    <m/>
    <n v="162.67123287671231"/>
    <n v="130.13698630136983"/>
    <n v="195.20547945205479"/>
    <n v="0"/>
    <n v="2277.3972602739723"/>
    <n v="227.73972602739721"/>
    <n v="40667.808219178078"/>
    <n v="50.428082191780817"/>
    <n v="0.32162426614481376"/>
    <n v="0.26213307240704475"/>
    <n v="0.31046966731898212"/>
    <n v="5.2240704500978424E-2"/>
    <n v="0.94646771037181909"/>
    <n v="56.788062622309141"/>
  </r>
  <r>
    <x v="3"/>
    <x v="5"/>
    <s v="Green H2"/>
    <x v="11"/>
    <n v="55.772994129158519"/>
    <s v="MW"/>
    <m/>
    <m/>
    <m/>
    <m/>
    <n v="195.20547945205482"/>
    <n v="156.16438356164383"/>
    <n v="234.2465753424658"/>
    <n v="0"/>
    <n v="2732.8767123287676"/>
    <n v="273.28767123287673"/>
    <n v="48801.369863013708"/>
    <n v="60.513698630136993"/>
    <n v="0.32162426614481454"/>
    <n v="0.26213307240704536"/>
    <n v="0.31046966731898279"/>
    <n v="5.2240704500978549E-2"/>
    <n v="0.9464677103718212"/>
    <n v="56.788062622309269"/>
  </r>
  <r>
    <x v="3"/>
    <x v="6"/>
    <s v="Green H2"/>
    <x v="11"/>
    <n v="65.06849315068493"/>
    <s v="MW"/>
    <m/>
    <m/>
    <m/>
    <m/>
    <n v="227.73972602739724"/>
    <n v="182.1917808219178"/>
    <n v="273.28767123287673"/>
    <n v="0"/>
    <n v="3188.3561643835615"/>
    <n v="318.83561643835611"/>
    <n v="56934.931506849309"/>
    <n v="70.599315068493141"/>
    <n v="0.32162426614481376"/>
    <n v="0.26213307240704475"/>
    <n v="0.31046966731898212"/>
    <n v="5.2240704500978424E-2"/>
    <n v="0.94646771037181909"/>
    <n v="56.788062622309141"/>
  </r>
  <r>
    <x v="3"/>
    <x v="7"/>
    <s v="Green H2"/>
    <x v="11"/>
    <n v="74.363992172211354"/>
    <s v="MW"/>
    <m/>
    <m/>
    <m/>
    <m/>
    <n v="260.27397260273972"/>
    <n v="208.21917808219177"/>
    <n v="312.32876712328772"/>
    <n v="0"/>
    <n v="3643.8356164383558"/>
    <n v="364.38356164383561"/>
    <n v="65068.493150684932"/>
    <n v="80.68493150684931"/>
    <n v="0.32162426614481426"/>
    <n v="0.26213307240704514"/>
    <n v="0.31046966731898257"/>
    <n v="5.2240704500978508E-2"/>
    <n v="0.94646771037182054"/>
    <n v="56.788062622309226"/>
  </r>
  <r>
    <x v="3"/>
    <x v="8"/>
    <s v="Green H2"/>
    <x v="11"/>
    <n v="83.659491193737779"/>
    <s v="MW"/>
    <m/>
    <m/>
    <m/>
    <m/>
    <n v="292.80821917808225"/>
    <n v="234.24657534246577"/>
    <n v="351.3698630136987"/>
    <n v="0"/>
    <n v="4099.3150684931516"/>
    <n v="409.93150684931516"/>
    <n v="73202.054794520562"/>
    <n v="90.770547945205493"/>
    <n v="0.32162426614481426"/>
    <n v="0.26213307240704514"/>
    <n v="0.31046966731898257"/>
    <n v="5.2240704500978508E-2"/>
    <n v="0.94646771037182054"/>
    <n v="56.788062622309226"/>
  </r>
  <r>
    <x v="3"/>
    <x v="9"/>
    <s v="Green H2"/>
    <x v="11"/>
    <n v="92.954990215264175"/>
    <s v="MW"/>
    <m/>
    <m/>
    <m/>
    <m/>
    <n v="325.34246575342462"/>
    <n v="260.27397260273966"/>
    <n v="390.41095890410958"/>
    <n v="0"/>
    <n v="4554.7945205479446"/>
    <n v="455.47945205479442"/>
    <n v="81335.616438356155"/>
    <n v="100.85616438356163"/>
    <n v="0.32162426614481332"/>
    <n v="0.26213307240704437"/>
    <n v="0.31046966731898162"/>
    <n v="5.2240704500978348E-2"/>
    <n v="0.94646771037181765"/>
    <n v="56.788062622309056"/>
  </r>
  <r>
    <x v="3"/>
    <x v="10"/>
    <s v="Green H2"/>
    <x v="11"/>
    <n v="102.25048923679061"/>
    <s v="MW"/>
    <m/>
    <m/>
    <m/>
    <m/>
    <n v="357.87671232876716"/>
    <n v="286.30136986301369"/>
    <n v="429.45205479452062"/>
    <n v="0"/>
    <n v="5010.2739726027403"/>
    <n v="501.02739726027397"/>
    <n v="89469.178082191793"/>
    <n v="110.94178082191782"/>
    <n v="0.32162426614481476"/>
    <n v="0.26213307240704559"/>
    <n v="0.31046966731898307"/>
    <n v="5.2240704500978584E-2"/>
    <n v="0.94646771037182198"/>
    <n v="56.788062622309319"/>
  </r>
  <r>
    <x v="3"/>
    <x v="11"/>
    <s v="Green H2"/>
    <x v="11"/>
    <n v="111.54598825831704"/>
    <s v="MW"/>
    <m/>
    <m/>
    <m/>
    <m/>
    <n v="390.41095890410963"/>
    <n v="312.32876712328766"/>
    <n v="468.49315068493161"/>
    <n v="0"/>
    <n v="5465.7534246575351"/>
    <n v="546.57534246575347"/>
    <n v="97602.739726027416"/>
    <n v="121.02739726027399"/>
    <n v="0.32162426614481426"/>
    <n v="0.26213307240704514"/>
    <n v="0.31046966731898257"/>
    <n v="5.2240704500978508E-2"/>
    <n v="0.94646771037182054"/>
    <n v="56.788062622309226"/>
  </r>
  <r>
    <x v="3"/>
    <x v="12"/>
    <s v="Green H2"/>
    <x v="11"/>
    <n v="120.84148727984345"/>
    <s v="MW"/>
    <m/>
    <m/>
    <m/>
    <m/>
    <n v="422.94520547945206"/>
    <n v="338.35616438356163"/>
    <n v="507.53424657534248"/>
    <n v="0"/>
    <n v="5921.232876712329"/>
    <n v="592.12328767123279"/>
    <n v="105736.30136986301"/>
    <n v="131.11301369863014"/>
    <n v="0.32162426614481376"/>
    <n v="0.26213307240704475"/>
    <n v="0.31046966731898212"/>
    <n v="5.2240704500978424E-2"/>
    <n v="0.94646771037181909"/>
    <n v="56.788062622309141"/>
  </r>
  <r>
    <x v="3"/>
    <x v="13"/>
    <s v="Green H2"/>
    <x v="11"/>
    <n v="130.13698630136986"/>
    <s v="MW"/>
    <m/>
    <m/>
    <m/>
    <m/>
    <n v="455.47945205479448"/>
    <n v="364.38356164383561"/>
    <n v="546.57534246575347"/>
    <n v="0"/>
    <n v="6376.7123287671229"/>
    <n v="637.67123287671222"/>
    <n v="113869.86301369862"/>
    <n v="141.19863013698628"/>
    <n v="0.32162426614481376"/>
    <n v="0.26213307240704475"/>
    <n v="0.31046966731898212"/>
    <n v="5.2240704500978424E-2"/>
    <n v="0.94646771037181909"/>
    <n v="56.788062622309141"/>
  </r>
  <r>
    <x v="3"/>
    <x v="14"/>
    <s v="Green H2"/>
    <x v="11"/>
    <n v="139.43248532289627"/>
    <s v="MW"/>
    <m/>
    <m/>
    <m/>
    <m/>
    <n v="488.01369863013696"/>
    <n v="390.41095890410952"/>
    <n v="585.61643835616439"/>
    <n v="0"/>
    <n v="6832.1917808219177"/>
    <n v="683.21917808219166"/>
    <n v="122003.42465753424"/>
    <n v="151.28424657534245"/>
    <n v="0.32162426614481376"/>
    <n v="0.26213307240704475"/>
    <n v="0.31046966731898212"/>
    <n v="5.2240704500978424E-2"/>
    <n v="0.94646771037181909"/>
    <n v="56.788062622309141"/>
  </r>
  <r>
    <x v="3"/>
    <x v="15"/>
    <s v="Green H2"/>
    <x v="11"/>
    <n v="148.72798434442271"/>
    <s v="MW"/>
    <m/>
    <m/>
    <m/>
    <m/>
    <n v="520.54794520547944"/>
    <n v="416.43835616438355"/>
    <n v="624.65753424657544"/>
    <n v="0"/>
    <n v="7287.6712328767117"/>
    <n v="728.76712328767121"/>
    <n v="130136.98630136986"/>
    <n v="161.36986301369862"/>
    <n v="0.32162426614481476"/>
    <n v="0.26213307240704559"/>
    <n v="0.31046966731898307"/>
    <n v="5.2240704500978584E-2"/>
    <n v="0.94646771037182198"/>
    <n v="56.788062622309319"/>
  </r>
  <r>
    <x v="3"/>
    <x v="16"/>
    <s v="Green H2"/>
    <x v="11"/>
    <n v="158.02348336594912"/>
    <s v="MW"/>
    <m/>
    <m/>
    <m/>
    <m/>
    <n v="553.08219178082186"/>
    <n v="442.46575342465752"/>
    <n v="663.69863013698637"/>
    <n v="0"/>
    <n v="7743.1506849315065"/>
    <n v="774.31506849315053"/>
    <n v="138270.54794520547"/>
    <n v="171.45547945205479"/>
    <n v="0.32162426614481376"/>
    <n v="0.26213307240704475"/>
    <n v="0.31046966731898212"/>
    <n v="5.2240704500978424E-2"/>
    <n v="0.94646771037181909"/>
    <n v="56.788062622309141"/>
  </r>
  <r>
    <x v="3"/>
    <x v="17"/>
    <s v="Green H2"/>
    <x v="11"/>
    <n v="167.31898238747556"/>
    <s v="MW"/>
    <m/>
    <m/>
    <m/>
    <m/>
    <n v="585.61643835616451"/>
    <n v="468.49315068493155"/>
    <n v="702.73972602739741"/>
    <n v="0"/>
    <n v="8198.6301369863031"/>
    <n v="819.86301369863031"/>
    <n v="146404.10958904112"/>
    <n v="181.54109589041099"/>
    <n v="0.32162426614481476"/>
    <n v="0.26213307240704559"/>
    <n v="0.31046966731898307"/>
    <n v="5.2240704500978584E-2"/>
    <n v="0.94646771037182198"/>
    <n v="56.788062622309319"/>
  </r>
  <r>
    <x v="3"/>
    <x v="18"/>
    <s v="Green H2"/>
    <x v="11"/>
    <n v="176.61448140900202"/>
    <s v="MW"/>
    <m/>
    <m/>
    <m/>
    <m/>
    <n v="618.15068493150704"/>
    <n v="494.52054794520564"/>
    <n v="741.78082191780857"/>
    <n v="0"/>
    <n v="8654.1095890410979"/>
    <n v="865.41095890410986"/>
    <n v="154537.67123287678"/>
    <n v="191.62671232876718"/>
    <n v="0.32162426614481576"/>
    <n v="0.26213307240704636"/>
    <n v="0.31046966731898401"/>
    <n v="5.2240704500978744E-2"/>
    <n v="0.94646771037182487"/>
    <n v="56.788062622309489"/>
  </r>
  <r>
    <x v="3"/>
    <x v="19"/>
    <s v="Green H2"/>
    <x v="11"/>
    <n v="185.90998043052841"/>
    <s v="MW"/>
    <m/>
    <m/>
    <m/>
    <m/>
    <n v="650.68493150684947"/>
    <n v="520.54794520547955"/>
    <n v="780.82191780821938"/>
    <n v="0"/>
    <n v="9109.5890410958928"/>
    <n v="910.95890410958918"/>
    <n v="162671.23287671237"/>
    <n v="201.71232876712332"/>
    <n v="0.32162426614481282"/>
    <n v="0.26213307240704398"/>
    <n v="0.31046966731898112"/>
    <n v="5.2240704500978265E-2"/>
    <n v="0.94646771037181621"/>
    <n v="56.788062622308971"/>
  </r>
  <r>
    <x v="3"/>
    <x v="20"/>
    <s v="Green H2"/>
    <x v="11"/>
    <n v="195.20547945205479"/>
    <s v="MW"/>
    <m/>
    <m/>
    <m/>
    <m/>
    <n v="683.21917808219177"/>
    <n v="546.57534246575335"/>
    <n v="819.8630136986302"/>
    <n v="0"/>
    <n v="9565.0684931506839"/>
    <n v="956.50684931506839"/>
    <n v="170804.79452054793"/>
    <n v="211.79794520547944"/>
    <n v="0.32162426614481282"/>
    <n v="0.26213307240704398"/>
    <n v="0.31046966731898112"/>
    <n v="5.2240704500978265E-2"/>
    <n v="0.94646771037181621"/>
    <n v="56.7880626223089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D156C-9C44-4E88-A1AA-48F9453F81C1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D26" firstHeaderRow="1" firstDataRow="3" firstDataCol="1" rowPageCount="1" colPageCount="1"/>
  <pivotFields count="10">
    <pivotField axis="axisPage" showAll="0">
      <items count="4">
        <item x="0"/>
        <item x="2"/>
        <item x="1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Col" showAll="0">
      <items count="6">
        <item h="1" x="3"/>
        <item h="1" x="0"/>
        <item x="2"/>
        <item h="1" x="1"/>
        <item h="1" x="4"/>
        <item t="default"/>
      </items>
    </pivotField>
    <pivotField showAll="0"/>
    <pivotField numFmtId="168" showAll="0"/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2">
    <field x="-2"/>
    <field x="2"/>
  </colFields>
  <colItems count="3">
    <i>
      <x/>
      <x v="2"/>
    </i>
    <i i="1">
      <x v="1"/>
      <x v="2"/>
    </i>
    <i i="2">
      <x v="2"/>
      <x v="2"/>
    </i>
  </colItems>
  <pageFields count="1">
    <pageField fld="0" item="2" hier="-1"/>
  </pageFields>
  <dataFields count="3">
    <dataField name="Average of GHG Emissions Avoided (Average) (CO2e million metric ton/year)" fld="7" subtotal="average" baseField="1" baseItem="17"/>
    <dataField name="Average of GHG Emissions Avoided (Minimum) (CO2e million metric ton/year)" fld="8" subtotal="average" baseField="1" baseItem="17"/>
    <dataField name="Average of GHG Emissions Avoided (Maximum) (CO2e million metric ton/year)" fld="9" subtotal="average" baseField="1" baseItem="17"/>
  </dataFields>
  <chartFormats count="25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2"/>
          </reference>
          <reference field="2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8F82C-1B54-436F-AFA3-6D3013B6665A}" name="PivotTable4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3:G26" firstHeaderRow="1" firstDataRow="3" firstDataCol="1" rowPageCount="1" colPageCount="1"/>
  <pivotFields count="24">
    <pivotField axis="axisPage" showAll="0" defaultSubtotal="0">
      <items count="4">
        <item x="0"/>
        <item x="3"/>
        <item x="2"/>
        <item x="1"/>
      </items>
    </pivotField>
    <pivotField axis="axisRow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 defaultSubtotal="0"/>
    <pivotField axis="axisCol" showAll="0" defaultSubtotal="0">
      <items count="12">
        <item h="1" x="7"/>
        <item h="1" x="10"/>
        <item h="1" x="4"/>
        <item h="1" x="8"/>
        <item h="1" x="6"/>
        <item h="1" x="5"/>
        <item h="1" x="1"/>
        <item h="1" x="0"/>
        <item x="2"/>
        <item x="11"/>
        <item h="1" x="9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8" showAll="0" defaultSubtotal="0"/>
    <pivotField numFmtId="168" showAll="0" defaultSubtotal="0"/>
    <pivotField numFmtId="168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8" showAll="0" defaultSubtotal="0"/>
    <pivotField numFmtId="168" showAll="0" defaultSubtotal="0"/>
    <pivotField numFmtId="168" showAll="0" defaultSubtotal="0"/>
    <pivotField numFmtId="168" showAll="0" defaultSubtotal="0"/>
    <pivotField dataField="1" numFmtId="168" showAll="0" defaultSubtotal="0"/>
    <pivotField dataField="1" numFmtId="168" showAll="0" defaultSubtota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2">
    <field x="-2"/>
    <field x="3"/>
  </colFields>
  <colItems count="6">
    <i>
      <x/>
      <x v="8"/>
    </i>
    <i r="1">
      <x v="9"/>
    </i>
    <i r="1">
      <x v="11"/>
    </i>
    <i i="1">
      <x v="1"/>
      <x v="8"/>
    </i>
    <i r="1" i="1">
      <x v="9"/>
    </i>
    <i r="1" i="1">
      <x v="11"/>
    </i>
  </colItems>
  <pageFields count="1">
    <pageField fld="0" item="3" hier="-1"/>
  </pageFields>
  <dataFields count="2">
    <dataField name="Sum of Total Jobs (Lower)" fld="22" baseField="0" baseItem="0"/>
    <dataField name="Sum of Total Jobs (Upper)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A9F7D-3A67-4BDC-957E-639D13C85BDC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81:E102" firstHeaderRow="0" firstDataRow="1" firstDataCol="1" rowPageCount="1" colPageCount="1"/>
  <pivotFields count="24">
    <pivotField axis="axisPage" showAll="0" defaultSubtotal="0">
      <items count="4">
        <item x="0"/>
        <item x="3"/>
        <item x="2"/>
        <item x="1"/>
      </items>
    </pivotField>
    <pivotField axis="axisRow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8" showAll="0" defaultSubtotal="0"/>
    <pivotField numFmtId="168" showAll="0" defaultSubtotal="0"/>
    <pivotField numFmtId="168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8" showAll="0" defaultSubtotal="0"/>
    <pivotField dataField="1" numFmtId="168" showAll="0" defaultSubtotal="0"/>
    <pivotField dataField="1" numFmtId="168" showAll="0" defaultSubtotal="0"/>
    <pivotField dataField="1" numFmtId="168" showAll="0" defaultSubtotal="0"/>
    <pivotField numFmtId="168" showAll="0" defaultSubtotal="0"/>
    <pivotField numFmtId="168" showAll="0" defaultSubtota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Sum of High school diploma or equivalent (None or some training)" fld="18" baseField="0" baseItem="0"/>
    <dataField name="Sum of High school diploma or equivalent (Apprenticeship or long term training)" fld="19" baseField="0" baseItem="0"/>
    <dataField name="Sum of Bachelor's degree (None or some training)" fld="20" baseField="0" baseItem="0"/>
    <dataField name="Sum of Doctoral or professional degree" fld="21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B2944-9DEF-4FD4-873F-25A7CCE6B77E}" name="PivotTable7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46:C67" firstHeaderRow="0" firstDataRow="1" firstDataCol="1" rowPageCount="1" colPageCount="1"/>
  <pivotFields count="24">
    <pivotField axis="axisPage" showAll="0" defaultSubtotal="0">
      <items count="4">
        <item x="0"/>
        <item x="3"/>
        <item x="2"/>
        <item x="1"/>
      </items>
    </pivotField>
    <pivotField axis="axisRow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8" showAll="0" defaultSubtotal="0"/>
    <pivotField numFmtId="168" showAll="0" defaultSubtotal="0"/>
    <pivotField numFmtId="168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8" showAll="0" defaultSubtotal="0"/>
    <pivotField numFmtId="168" showAll="0" defaultSubtotal="0"/>
    <pivotField numFmtId="168" showAll="0" defaultSubtotal="0"/>
    <pivotField numFmtId="168" showAll="0" defaultSubtotal="0"/>
    <pivotField dataField="1" numFmtId="168" showAll="0" defaultSubtotal="0"/>
    <pivotField dataField="1" numFmtId="168" showAll="0" defaultSubtota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-2"/>
  </colFields>
  <colItems count="2">
    <i>
      <x/>
    </i>
    <i i="1">
      <x v="1"/>
    </i>
  </colItems>
  <pageFields count="1">
    <pageField fld="0" item="3" hier="-1"/>
  </pageFields>
  <dataFields count="2">
    <dataField name="Sum of Total Jobs (Lower)" fld="22" baseField="0" baseItem="0"/>
    <dataField name="Sum of Total Jobs (Upper)" fld="23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71466-7780-4814-BA1D-070D3099BCCA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J16:M17" firstHeaderRow="0" firstDataRow="1" firstDataCol="1" rowPageCount="1" colPageCount="1"/>
  <pivotFields count="3">
    <pivotField axis="axisPage" compact="0" outline="0" multipleItemSelectionAllowed="1" showAll="0" defaultSubtotal="0">
      <items count="7">
        <item h="1" x="0"/>
        <item h="1" x="5"/>
        <item h="1" x="1"/>
        <item h="1" x="2"/>
        <item h="1" x="4"/>
        <item x="3"/>
        <item x="6"/>
      </items>
    </pivotField>
    <pivotField axis="axisRow" compact="0" outline="0" showAll="0" sortType="ascending" defaultSubtotal="0">
      <items count="3">
        <item x="2"/>
        <item x="0"/>
        <item x="1"/>
      </items>
    </pivotField>
    <pivotField dataField="1" compact="0" outline="0" showAll="0" defaultSubtotal="0"/>
  </pivotFields>
  <rowFields count="1">
    <field x="1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Average of Current Certified CI (GREET 3.0)" fld="2" subtotal="average" baseField="1" baseItem="1"/>
    <dataField name="Min of Current Certified CI (GREET 3.0)2" fld="2" subtotal="min" baseField="1" baseItem="1"/>
    <dataField name="Max of Current Certified CI (GREET 3.0)3" fld="2" subtotal="max" baseField="1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CCE95-3D8D-4E6A-99E6-EB5992947379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J3:N10" firstHeaderRow="0" firstDataRow="1" firstDataCol="2"/>
  <pivotFields count="3">
    <pivotField axis="axisRow" compact="0" outline="0" showAll="0" defaultSubtotal="0">
      <items count="7">
        <item x="0"/>
        <item x="5"/>
        <item x="1"/>
        <item x="2"/>
        <item x="4"/>
        <item x="3"/>
        <item x="6"/>
      </items>
    </pivotField>
    <pivotField axis="axisRow" compact="0" outline="0" showAll="0" sortType="ascending" defaultSubtotal="0">
      <items count="3">
        <item x="2"/>
        <item x="0"/>
        <item x="1"/>
      </items>
    </pivotField>
    <pivotField dataField="1" compact="0" outline="0" showAll="0" defaultSubtotal="0"/>
  </pivotFields>
  <rowFields count="2">
    <field x="1"/>
    <field x="0"/>
  </rowFields>
  <rowItems count="7">
    <i>
      <x/>
      <x v="1"/>
    </i>
    <i r="1">
      <x v="4"/>
    </i>
    <i r="1">
      <x v="5"/>
    </i>
    <i r="1">
      <x v="6"/>
    </i>
    <i>
      <x v="1"/>
      <x/>
    </i>
    <i r="1">
      <x v="2"/>
    </i>
    <i>
      <x v="2"/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urrent Certified CI (GREET 3.0)" fld="2" subtotal="average" baseField="1" baseItem="1"/>
    <dataField name="Min of Current Certified CI (GREET 3.0)2" fld="2" subtotal="min" baseField="1" baseItem="1"/>
    <dataField name="Max of Current Certified CI (GREET 3.0)3" fld="2" subtotal="max" baseField="1" baseItem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EAE69-C0D8-454C-9DD2-D3791CE7BF8B}" name="H2_Conversion" displayName="H2_Conversion" ref="A2:H12" totalsRowShown="0">
  <autoFilter ref="A2:H12" xr:uid="{47DEAE69-C0D8-454C-9DD2-D3791CE7BF8B}"/>
  <tableColumns count="8">
    <tableColumn id="1" xr3:uid="{9DFF17CD-984C-439B-A367-6447A653C642}" name="Feedstock"/>
    <tableColumn id="2" xr3:uid="{6A62D95C-128B-4153-93E4-2443FB537E95}" name="ConversionTech"/>
    <tableColumn id="3" xr3:uid="{8914C3FA-CE60-40B7-8506-A7CFE0EF0994}" name="Amount to produce 1kg H2"/>
    <tableColumn id="4" xr3:uid="{F383DC72-C3AC-4494-B218-088779C8213A}" name="Unit"/>
    <tableColumn id="5" xr3:uid="{BA4C8ABE-FF1B-4D77-9FFE-D10A79B68C06}" name="Energy content in MJ"/>
    <tableColumn id="6" xr3:uid="{3F4AF3E4-5713-4D0D-B6A9-BE94C3EF8D1C}" name="Production Efficiency in %" dataDxfId="20"/>
    <tableColumn id="7" xr3:uid="{E91D2A6A-C80F-4C7C-B3DD-68D903A8F868}" name="Hydrogen Energy per kg"/>
    <tableColumn id="8" xr3:uid="{5239DCD2-411D-4479-A11D-28F1F5EC3176}" name="unit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049355-692A-4A88-99BA-FB52D6389D7F}" name="EnergyConversion" displayName="EnergyConversion" ref="A14:D24" totalsRowShown="0">
  <autoFilter ref="A14:D24" xr:uid="{DE049355-692A-4A88-99BA-FB52D6389D7F}"/>
  <tableColumns count="4">
    <tableColumn id="1" xr3:uid="{36F40D59-6D46-489C-8DAC-D90E385697C1}" name="Feedstock"/>
    <tableColumn id="2" xr3:uid="{85A9ACFB-2057-4DDB-BDC3-A66466E82FBB}" name="Value"/>
    <tableColumn id="3" xr3:uid="{27F034E4-E5E5-417A-A3D1-44865582F915}" name="Unit"/>
    <tableColumn id="4" xr3:uid="{51913A64-708E-43E1-85AF-9C174B3D4DED}" name="Sour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9F292C-B4CE-49F3-82F3-456821077004}" name="ResourceConstraint" displayName="ResourceConstraint" ref="A27:F29" totalsRowShown="0">
  <autoFilter ref="A27:F29" xr:uid="{D99F292C-B4CE-49F3-82F3-456821077004}"/>
  <tableColumns count="6">
    <tableColumn id="1" xr3:uid="{757E6F35-9702-467A-A18F-8977B7585278}" name="Column1"/>
    <tableColumn id="2" xr3:uid="{A42369B7-38BA-4E9B-931E-50FB48E1D59B}" name="Biomass_BDT"/>
    <tableColumn id="3" xr3:uid="{D7EF040F-FF14-4405-B20F-4DFC8485F3F3}" name="Wind_MW"/>
    <tableColumn id="4" xr3:uid="{A41CCF00-876B-4AEA-AC27-A22BB23D7ED2}" name="Solar_MW"/>
    <tableColumn id="5" xr3:uid="{327D21E4-A246-4606-8EDE-775DE23207D2}" name="LDES_MW"/>
    <tableColumn id="6" xr3:uid="{22CF5C23-F920-47B7-B9FC-A7ADA13599DE}" name="H2_kg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82EF4-0F29-4282-9588-BD1A2751A044}" name="WaterUseH2" displayName="WaterUseH2" ref="A33:C39" totalsRowShown="0">
  <autoFilter ref="A33:C39" xr:uid="{4B782EF4-0F29-4282-9588-BD1A2751A044}"/>
  <tableColumns count="3">
    <tableColumn id="1" xr3:uid="{01660CC6-ED3E-4EDB-B096-42E8E77FB244}" name="Conversion Tech"/>
    <tableColumn id="2" xr3:uid="{E63AABAB-F6D0-4080-920E-8F6A74349D08}" name="Average Direct Water Consumption (Gal/ kg h2)"/>
    <tableColumn id="3" xr3:uid="{0C96EB45-3A8E-4A31-BD89-3344292CC449}" name="Ke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BA4407-43A9-4E42-B1C8-8E7A71196C17}" name="CCS_capture" displayName="CCS_capture" ref="A43:C44" totalsRowShown="0">
  <autoFilter ref="A43:C44" xr:uid="{F7BA4407-43A9-4E42-B1C8-8E7A71196C17}"/>
  <tableColumns count="3">
    <tableColumn id="1" xr3:uid="{B86E471C-624E-44D6-9DAF-F07DB962EA13}" name="Efficiency" dataDxfId="19"/>
    <tableColumn id="2" xr3:uid="{5C02A502-3882-4867-B537-5FE53377C5BB}" name="Description"/>
    <tableColumn id="3" xr3:uid="{4D67A642-2E54-4996-BFDD-4FACF38B91B8}" name="Sourc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BB32188-CCB5-48AE-8201-1E8D3DC38ED3}" name="Construction_Periods" displayName="Construction_Periods" ref="A48:C49" totalsRowShown="0">
  <autoFilter ref="A48:C49" xr:uid="{BBB32188-CCB5-48AE-8201-1E8D3DC38ED3}"/>
  <tableColumns count="3">
    <tableColumn id="1" xr3:uid="{DAFD2703-B144-43C9-BC68-6E9AF805EC0D}" name="Technology"/>
    <tableColumn id="2" xr3:uid="{39597137-B683-496A-B517-0E100E0D2614}" name="Min Period"/>
    <tableColumn id="3" xr3:uid="{FD15F0AE-17DF-42E8-A4D8-B4C9A53CA8E0}" name="Max Peri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116C10-C64B-4EB1-B9CA-9786EA5D3B33}" name="SMR_GHG" displayName="SMR_GHG" ref="A55:H60" totalsRowShown="0">
  <autoFilter ref="A55:H60" xr:uid="{9F116C10-C64B-4EB1-B9CA-9786EA5D3B33}"/>
  <tableColumns count="8">
    <tableColumn id="1" xr3:uid="{1DF67052-EE88-4FD1-A0FA-88270ED43D03}" name="Product"/>
    <tableColumn id="14" xr3:uid="{FA96B1F0-2DCA-425D-90A9-778DF8309830}" name="Conversion Tech"/>
    <tableColumn id="2" xr3:uid="{B528176D-B8C7-4D1B-B77C-B9191058EC74}" name="Production Process"/>
    <tableColumn id="3" xr3:uid="{E6A5E5B8-533E-4398-9633-14383ACA8C0E}" name="Energy to drive SMR"/>
    <tableColumn id="4" xr3:uid="{6D3F414F-CF00-4128-B317-41D6BC30A118}" name="Energy Compressing H2"/>
    <tableColumn id="5" xr3:uid="{B7212892-2E3D-4DB8-B863-01E9D5140C75}" name="Energy to Power CCS" dataDxfId="18"/>
    <tableColumn id="6" xr3:uid="{97850F15-A000-4D59-9870-198FD93AE151}" name="Total Emission" dataDxfId="17">
      <calculatedColumnFormula>SUM(SMR_GHG[[#This Row],[Production Process]:[Energy to Power CCS]])</calculatedColumnFormula>
    </tableColumn>
    <tableColumn id="7" xr3:uid="{6F0EB187-B19F-4468-89B6-602BCCC35DB3}" name="sourc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373B3D2-14A3-462C-B6AD-B8F47FED10E9}" name="Table9" displayName="Table9" ref="A64:B67" totalsRowShown="0">
  <autoFilter ref="A64:B67" xr:uid="{4373B3D2-14A3-462C-B6AD-B8F47FED10E9}"/>
  <tableColumns count="2">
    <tableColumn id="1" xr3:uid="{50074AA2-2912-4A11-A35A-B399EC221DB3}" name="Fuel"/>
    <tableColumn id="2" xr3:uid="{9BD4486A-80EF-4F44-A1A5-418DA93E7D25}" name="EF g CO2e per MJ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DE9293-7C41-4B57-8AE6-9A837AE8863A}" name="Land_Use" displayName="Land_Use" ref="A75:E79" totalsRowShown="0">
  <autoFilter ref="A75:E79" xr:uid="{E5DE9293-7C41-4B57-8AE6-9A837AE8863A}"/>
  <tableColumns count="5">
    <tableColumn id="1" xr3:uid="{D7AA9D37-119F-407D-939C-644AABF534D9}" name="Tech"/>
    <tableColumn id="2" xr3:uid="{9A37DE09-F298-468A-BB36-F3E29675F6DE}" name="AVG"/>
    <tableColumn id="3" xr3:uid="{E560C956-5E9C-4CDA-A2D5-2FD60F350E50}" name="MIN"/>
    <tableColumn id="4" xr3:uid="{0C605889-18A9-45CF-A8DB-5AB3B3DC2E49}" name="MAX"/>
    <tableColumn id="5" xr3:uid="{9D76C406-D3BB-4755-9B99-BE7B6B635D7D}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D211098-0E51-4957-A15C-7CDD75CFF44A}" name="Table11" displayName="Table11" ref="A84:G105" totalsRowShown="0" headerRowDxfId="16">
  <autoFilter ref="A84:G105" xr:uid="{DD211098-0E51-4957-A15C-7CDD75CFF44A}"/>
  <tableColumns count="7">
    <tableColumn id="1" xr3:uid="{8543F7FE-A1E2-4A31-9CFB-636F41869C96}" name="Year"/>
    <tableColumn id="2" xr3:uid="{BE64B038-1E8D-43EB-98E7-AD8B131FD36B}" name="AVG_x000a_CO2e MT per MWh" dataDxfId="15" dataCellStyle="Percent"/>
    <tableColumn id="3" xr3:uid="{289B1F66-CE23-4FCC-9E53-1FBBBABFA31E}" name="MIN_x000a_CO2e MT per MWh" dataDxfId="14"/>
    <tableColumn id="4" xr3:uid="{A342B908-90A4-45F5-A7EF-067B28DADCFD}" name="MAX CO2e MT per MWh" dataDxfId="13"/>
    <tableColumn id="5" xr3:uid="{64E2E8DD-77E0-4DFC-8038-F4EB55877333}" name="AVG_x000a_CO2e MT per MJ" dataDxfId="12">
      <calculatedColumnFormula>Table11[[#This Row],[AVG
CO2e MT per MWh]]*$B$23</calculatedColumnFormula>
    </tableColumn>
    <tableColumn id="6" xr3:uid="{57896532-28DF-49B7-A2F6-E4DE048E1D13}" name="MIN_x000a_CO2e MT per MJ" dataDxfId="11">
      <calculatedColumnFormula>Table11[[#This Row],[MIN
CO2e MT per MWh]]*$B$23</calculatedColumnFormula>
    </tableColumn>
    <tableColumn id="7" xr3:uid="{DB6BF3B2-03FC-4C64-B3B4-740AE841B7EC}" name="MAX CO2e MT per MJ" dataDxfId="10">
      <calculatedColumnFormula>Table11[[#This Row],[MAX CO2e MT per MWh]]*$B$23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566281-D7C9-45FD-AF8C-8E96A19560CA}" name="Table12" displayName="Table12" ref="A109:G114" totalsRowShown="0">
  <autoFilter ref="A109:G114" xr:uid="{EC566281-D7C9-45FD-AF8C-8E96A19560CA}"/>
  <tableColumns count="7">
    <tableColumn id="1" xr3:uid="{3B9DF294-A7CF-4AC8-BBA1-80093F719AF0}" name="Fuel Type"/>
    <tableColumn id="2" xr3:uid="{088F613F-A657-4335-AB29-20A88ECE50BC}" name="key"/>
    <tableColumn id="3" xr3:uid="{F72583BB-E52C-43CF-BC24-8B41406A7D50}" name="Average of Current Certified CI (GREET 3.0)" dataDxfId="9"/>
    <tableColumn id="4" xr3:uid="{D8F8BD80-77A5-4371-9F57-BCFE289D4A52}" name="Min of Current Certified CI (GREET 3.0)" dataDxfId="8"/>
    <tableColumn id="5" xr3:uid="{33F0D573-15E8-4090-9F23-5DAC9620F2A4}" name="Max of Current Certified CI (GREET 3.0)" dataDxfId="7"/>
    <tableColumn id="6" xr3:uid="{CE94DF24-C39D-47EB-8963-B71C6215AC88}" name="Feedstock" dataDxfId="6"/>
    <tableColumn id="7" xr3:uid="{48A57EFB-FE0C-4769-847A-35E527D40EF2}" name="Fossil baseline" dataDxfId="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F102F4-399A-4AC4-AD35-0693C15F5514}" name="Table13" displayName="Table13" ref="A152:D154" totalsRowShown="0" headerRowDxfId="4">
  <autoFilter ref="A152:D154" xr:uid="{53F102F4-399A-4AC4-AD35-0693C15F5514}"/>
  <tableColumns count="4">
    <tableColumn id="1" xr3:uid="{CD4DB084-CFCE-449B-A0F3-783100F80A07}" name="Tech"/>
    <tableColumn id="2" xr3:uid="{364B5029-43DE-4C33-B83A-F374750236B0}" name="High school diploma or equivalent (# of Jobs)"/>
    <tableColumn id="3" xr3:uid="{DF62A8A2-83ED-40F2-9365-42D33072CC48}" name="Bachelor's degree (# of Jobs)"/>
    <tableColumn id="4" xr3:uid="{644B5A7C-7586-40F8-B22F-5121C71A0F93}" name="Doctoral or professional degree (# of Jobs)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962E0C-852F-4A04-B53E-C07FBC449D29}" name="Job_Training" displayName="Job_Training" ref="A160:D166" totalsRowShown="0">
  <autoFilter ref="A160:D166" xr:uid="{E9962E0C-852F-4A04-B53E-C07FBC449D29}"/>
  <tableColumns count="4">
    <tableColumn id="1" xr3:uid="{ACC459C7-5C52-4DB6-9198-7AC48FB22C62}" name="`Typical Entry Level Education`"/>
    <tableColumn id="2" xr3:uid="{FEC16FBC-048C-414C-99E4-2DE73001A9F4}" name="`Typical On-The-Job Training`"/>
    <tableColumn id="3" xr3:uid="{23B0F79F-445C-461B-A837-D156A225AA24}" name="Solar" dataDxfId="3"/>
    <tableColumn id="4" xr3:uid="{99F54C08-91AB-416F-AA58-79A7DEE5DCCB}" name="Win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labusinessjournal.com/featured/california-resources-agrees-to-store-carbon-from-hydrogen-fuel-plant-to-be-built-on-its-oil-field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table" Target="../tables/table7.xml"/><Relationship Id="rId18" Type="http://schemas.openxmlformats.org/officeDocument/2006/relationships/table" Target="../tables/table12.xml"/><Relationship Id="rId3" Type="http://schemas.openxmlformats.org/officeDocument/2006/relationships/hyperlink" Target="https://ww2.arb.ca.gov/sites/default/files/classic/fuels/lcfs/fuelpathways/comments/tier2/2022_elec_update.pdf" TargetMode="External"/><Relationship Id="rId7" Type="http://schemas.openxmlformats.org/officeDocument/2006/relationships/table" Target="../tables/table1.xml"/><Relationship Id="rId12" Type="http://schemas.openxmlformats.org/officeDocument/2006/relationships/table" Target="../tables/table6.xml"/><Relationship Id="rId17" Type="http://schemas.openxmlformats.org/officeDocument/2006/relationships/table" Target="../tables/table11.xml"/><Relationship Id="rId2" Type="http://schemas.openxmlformats.org/officeDocument/2006/relationships/hyperlink" Target="https://onlinelibrary.wiley.com/doi/pdf/10.1002/ese3.956" TargetMode="External"/><Relationship Id="rId16" Type="http://schemas.openxmlformats.org/officeDocument/2006/relationships/table" Target="../tables/table10.xml"/><Relationship Id="rId1" Type="http://schemas.openxmlformats.org/officeDocument/2006/relationships/hyperlink" Target="https://www.llnl.gov/sites/gs/files/2023-06/ca-ccs-economic-study-report-v06.pdf" TargetMode="External"/><Relationship Id="rId6" Type="http://schemas.openxmlformats.org/officeDocument/2006/relationships/drawing" Target="../drawings/drawing3.xml"/><Relationship Id="rId11" Type="http://schemas.openxmlformats.org/officeDocument/2006/relationships/table" Target="../tables/table5.xml"/><Relationship Id="rId5" Type="http://schemas.openxmlformats.org/officeDocument/2006/relationships/hyperlink" Target="https://ww2.arb.ca.gov/sites/default/files/2020-09/basics-notes.pdf" TargetMode="External"/><Relationship Id="rId15" Type="http://schemas.openxmlformats.org/officeDocument/2006/relationships/table" Target="../tables/table9.xml"/><Relationship Id="rId10" Type="http://schemas.openxmlformats.org/officeDocument/2006/relationships/table" Target="../tables/table4.xml"/><Relationship Id="rId19" Type="http://schemas.openxmlformats.org/officeDocument/2006/relationships/table" Target="../tables/table13.xml"/><Relationship Id="rId4" Type="http://schemas.openxmlformats.org/officeDocument/2006/relationships/hyperlink" Target="https://ww2.arb.ca.gov/sites/default/files/classic/fuels/lcfs/ca-greet/lut.pdf?_ga=2.94958684.1139203258.1701039068-1524579603.1683167939" TargetMode="External"/><Relationship Id="rId9" Type="http://schemas.openxmlformats.org/officeDocument/2006/relationships/table" Target="../tables/table3.xml"/><Relationship Id="rId14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2.arb.ca.gov/sites/default/files/2020-09/basics-notes.pdf" TargetMode="Externa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hyperlink" Target="https://ww2.arb.ca.gov/sites/default/files/2020-07/2020_lcfs_fro_oal-approved_unofficial_06302020.pdf" TargetMode="External"/><Relationship Id="rId5" Type="http://schemas.openxmlformats.org/officeDocument/2006/relationships/hyperlink" Target="https://ww2.arb.ca.gov/sites/default/files/classic/fuels/lcfs/ca-greet/lut.pdf?_ga=2.135800371.362042384.1702160960-1524579603.1683167939" TargetMode="External"/><Relationship Id="rId4" Type="http://schemas.openxmlformats.org/officeDocument/2006/relationships/hyperlink" Target="https://ww2.arb.ca.gov/sites/default/files/classic/fuels/lcfs/ca-greet/lut.pdf?_ga=2.135800371.362042384.1702160960-1524579603.1683167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F6C7D-0560-7749-A0A0-7C53C153EB96}">
  <dimension ref="A1:M102"/>
  <sheetViews>
    <sheetView topLeftCell="A29" workbookViewId="0">
      <selection activeCell="A30" sqref="A30:A50"/>
    </sheetView>
  </sheetViews>
  <sheetFormatPr defaultColWidth="11" defaultRowHeight="15.5" x14ac:dyDescent="0.35"/>
  <cols>
    <col min="1" max="1" width="28.08203125" customWidth="1"/>
    <col min="2" max="2" width="32.58203125" customWidth="1"/>
    <col min="3" max="11" width="11.58203125" style="16" customWidth="1"/>
    <col min="12" max="12" width="15.33203125" style="16" customWidth="1"/>
    <col min="13" max="13" width="15.58203125" style="16" customWidth="1"/>
    <col min="15" max="15" width="11.33203125" bestFit="1" customWidth="1"/>
  </cols>
  <sheetData>
    <row r="1" spans="1:13" ht="116.25" customHeight="1" x14ac:dyDescent="0.35">
      <c r="A1" t="s">
        <v>0</v>
      </c>
      <c r="B1" t="s">
        <v>1</v>
      </c>
      <c r="C1" s="79" t="s">
        <v>2</v>
      </c>
      <c r="D1" s="80" t="s">
        <v>3</v>
      </c>
      <c r="E1" s="73" t="s">
        <v>4</v>
      </c>
      <c r="F1" s="73" t="s">
        <v>5</v>
      </c>
      <c r="G1" s="73" t="s">
        <v>6</v>
      </c>
      <c r="H1" s="73" t="s">
        <v>7</v>
      </c>
      <c r="I1" s="73" t="s">
        <v>8</v>
      </c>
      <c r="J1" s="79" t="s">
        <v>9</v>
      </c>
      <c r="K1" s="80" t="s">
        <v>10</v>
      </c>
      <c r="L1" s="79" t="s">
        <v>11</v>
      </c>
      <c r="M1" s="80" t="s">
        <v>12</v>
      </c>
    </row>
    <row r="2" spans="1:13" x14ac:dyDescent="0.35">
      <c r="A2">
        <v>2025</v>
      </c>
      <c r="B2" s="20" t="s">
        <v>13</v>
      </c>
      <c r="C2" s="93">
        <v>0</v>
      </c>
      <c r="D2" s="94">
        <v>0</v>
      </c>
      <c r="E2" s="124">
        <v>24.90909090909091</v>
      </c>
      <c r="F2" s="124">
        <v>1210.909090909091</v>
      </c>
      <c r="G2" s="124">
        <v>670.90909090909088</v>
      </c>
      <c r="H2" s="95">
        <v>0</v>
      </c>
      <c r="I2" s="95">
        <v>0</v>
      </c>
      <c r="J2" s="93">
        <v>0</v>
      </c>
      <c r="K2" s="94">
        <v>0</v>
      </c>
      <c r="L2" s="93">
        <v>0</v>
      </c>
      <c r="M2" s="94">
        <v>0</v>
      </c>
    </row>
    <row r="3" spans="1:13" x14ac:dyDescent="0.35">
      <c r="A3">
        <v>2026</v>
      </c>
      <c r="B3" s="20" t="s">
        <v>13</v>
      </c>
      <c r="C3" s="93">
        <v>10950</v>
      </c>
      <c r="D3" s="94">
        <v>0</v>
      </c>
      <c r="E3" s="124">
        <v>49.81818181818182</v>
      </c>
      <c r="F3" s="124">
        <v>2421.818181818182</v>
      </c>
      <c r="G3" s="124">
        <v>1341.8181818181818</v>
      </c>
      <c r="H3" s="95">
        <v>5</v>
      </c>
      <c r="I3" s="95">
        <v>0</v>
      </c>
      <c r="J3" s="93">
        <v>0</v>
      </c>
      <c r="K3" s="94">
        <v>0</v>
      </c>
      <c r="L3" s="93">
        <v>0</v>
      </c>
      <c r="M3" s="94">
        <v>0</v>
      </c>
    </row>
    <row r="4" spans="1:13" x14ac:dyDescent="0.35">
      <c r="A4">
        <v>2027</v>
      </c>
      <c r="B4" s="20" t="s">
        <v>13</v>
      </c>
      <c r="C4" s="93">
        <v>10950</v>
      </c>
      <c r="D4" s="94">
        <v>0</v>
      </c>
      <c r="E4" s="124">
        <v>74.727272727272734</v>
      </c>
      <c r="F4" s="124">
        <v>3632.727272727273</v>
      </c>
      <c r="G4" s="124">
        <v>2012.7272727272725</v>
      </c>
      <c r="H4" s="95">
        <v>5</v>
      </c>
      <c r="I4" s="95">
        <v>0</v>
      </c>
      <c r="J4" s="93">
        <v>0</v>
      </c>
      <c r="K4" s="94">
        <v>0</v>
      </c>
      <c r="L4" s="93">
        <v>0</v>
      </c>
      <c r="M4" s="94">
        <v>0</v>
      </c>
    </row>
    <row r="5" spans="1:13" x14ac:dyDescent="0.35">
      <c r="A5">
        <v>2028</v>
      </c>
      <c r="B5" s="20" t="s">
        <v>13</v>
      </c>
      <c r="C5" s="93">
        <v>10950</v>
      </c>
      <c r="D5" s="94">
        <v>0</v>
      </c>
      <c r="E5" s="124">
        <v>99.63636363636364</v>
      </c>
      <c r="F5" s="124">
        <v>4843.636363636364</v>
      </c>
      <c r="G5" s="124">
        <v>2683.6363636363635</v>
      </c>
      <c r="H5" s="95">
        <v>5</v>
      </c>
      <c r="I5" s="95">
        <v>0</v>
      </c>
      <c r="J5" s="93">
        <v>0</v>
      </c>
      <c r="K5" s="94">
        <v>0</v>
      </c>
      <c r="L5" s="93">
        <v>0</v>
      </c>
      <c r="M5" s="94">
        <v>0</v>
      </c>
    </row>
    <row r="6" spans="1:13" x14ac:dyDescent="0.35">
      <c r="A6">
        <v>2029</v>
      </c>
      <c r="B6" s="20" t="s">
        <v>13</v>
      </c>
      <c r="C6" s="93">
        <v>10950</v>
      </c>
      <c r="D6" s="94">
        <v>0</v>
      </c>
      <c r="E6" s="124">
        <v>124.54545454545455</v>
      </c>
      <c r="F6" s="124">
        <v>6054.545454545455</v>
      </c>
      <c r="G6" s="124">
        <v>3354.5454545454545</v>
      </c>
      <c r="H6" s="95">
        <v>5</v>
      </c>
      <c r="I6" s="95">
        <v>0</v>
      </c>
      <c r="J6" s="93">
        <v>0</v>
      </c>
      <c r="K6" s="94">
        <v>0</v>
      </c>
      <c r="L6" s="93">
        <v>0</v>
      </c>
      <c r="M6" s="94">
        <v>0</v>
      </c>
    </row>
    <row r="7" spans="1:13" x14ac:dyDescent="0.35">
      <c r="A7">
        <v>2030</v>
      </c>
      <c r="B7" s="20" t="s">
        <v>13</v>
      </c>
      <c r="C7" s="93">
        <v>10950</v>
      </c>
      <c r="D7" s="94">
        <v>96000</v>
      </c>
      <c r="E7" s="124">
        <v>149.45454545454547</v>
      </c>
      <c r="F7" s="124">
        <v>7265.454545454546</v>
      </c>
      <c r="G7" s="124">
        <v>4025.4545454545455</v>
      </c>
      <c r="H7" s="95">
        <v>10</v>
      </c>
      <c r="I7" s="95">
        <v>0</v>
      </c>
      <c r="J7" s="93">
        <v>0</v>
      </c>
      <c r="K7" s="94">
        <v>0</v>
      </c>
      <c r="L7" s="93">
        <v>0</v>
      </c>
      <c r="M7" s="94">
        <v>0</v>
      </c>
    </row>
    <row r="8" spans="1:13" x14ac:dyDescent="0.35">
      <c r="A8">
        <v>2031</v>
      </c>
      <c r="B8" s="20" t="s">
        <v>13</v>
      </c>
      <c r="C8" s="93">
        <v>10950</v>
      </c>
      <c r="D8" s="94">
        <v>96000</v>
      </c>
      <c r="E8" s="124">
        <v>174.36363636363637</v>
      </c>
      <c r="F8" s="124">
        <v>8476.363636363636</v>
      </c>
      <c r="G8" s="124">
        <v>4696.363636363636</v>
      </c>
      <c r="H8" s="95">
        <v>10</v>
      </c>
      <c r="I8" s="95">
        <v>0</v>
      </c>
      <c r="J8" s="93">
        <v>0</v>
      </c>
      <c r="K8" s="94">
        <v>0</v>
      </c>
      <c r="L8" s="93">
        <v>0</v>
      </c>
      <c r="M8" s="94">
        <v>0</v>
      </c>
    </row>
    <row r="9" spans="1:13" x14ac:dyDescent="0.35">
      <c r="A9">
        <v>2032</v>
      </c>
      <c r="B9" s="20" t="s">
        <v>13</v>
      </c>
      <c r="C9" s="93">
        <v>10950</v>
      </c>
      <c r="D9" s="94">
        <v>96000</v>
      </c>
      <c r="E9" s="124">
        <v>199.27272727272728</v>
      </c>
      <c r="F9" s="124">
        <v>9687.2727272727279</v>
      </c>
      <c r="G9" s="124">
        <v>5367.272727272727</v>
      </c>
      <c r="H9" s="95">
        <v>15</v>
      </c>
      <c r="I9" s="95">
        <v>0</v>
      </c>
      <c r="J9" s="93">
        <v>0</v>
      </c>
      <c r="K9" s="94">
        <v>0</v>
      </c>
      <c r="L9" s="93">
        <v>0</v>
      </c>
      <c r="M9" s="94">
        <v>0</v>
      </c>
    </row>
    <row r="10" spans="1:13" x14ac:dyDescent="0.35">
      <c r="A10">
        <v>2033</v>
      </c>
      <c r="B10" s="20" t="s">
        <v>13</v>
      </c>
      <c r="C10" s="93">
        <v>10950</v>
      </c>
      <c r="D10" s="94">
        <v>96000</v>
      </c>
      <c r="E10" s="124">
        <v>224.18181818181819</v>
      </c>
      <c r="F10" s="124">
        <v>10898.18181818182</v>
      </c>
      <c r="G10" s="124">
        <v>6038.181818181818</v>
      </c>
      <c r="H10" s="95">
        <v>15</v>
      </c>
      <c r="I10" s="95">
        <v>0</v>
      </c>
      <c r="J10" s="93">
        <v>0</v>
      </c>
      <c r="K10" s="94">
        <v>0</v>
      </c>
      <c r="L10" s="93">
        <v>0</v>
      </c>
      <c r="M10" s="94">
        <v>0</v>
      </c>
    </row>
    <row r="11" spans="1:13" x14ac:dyDescent="0.35">
      <c r="A11">
        <v>2034</v>
      </c>
      <c r="B11" s="20" t="s">
        <v>13</v>
      </c>
      <c r="C11" s="93">
        <v>10950</v>
      </c>
      <c r="D11" s="94">
        <v>96000</v>
      </c>
      <c r="E11" s="124">
        <v>249.09090909090909</v>
      </c>
      <c r="F11" s="124">
        <v>12109.090909090912</v>
      </c>
      <c r="G11" s="124">
        <v>6709.090909090909</v>
      </c>
      <c r="H11" s="95">
        <v>15</v>
      </c>
      <c r="I11" s="95">
        <v>1000</v>
      </c>
      <c r="J11" s="93">
        <v>0</v>
      </c>
      <c r="K11" s="94">
        <v>0</v>
      </c>
      <c r="L11" s="93">
        <v>0</v>
      </c>
      <c r="M11" s="94">
        <v>0</v>
      </c>
    </row>
    <row r="12" spans="1:13" x14ac:dyDescent="0.35">
      <c r="A12">
        <v>2035</v>
      </c>
      <c r="B12" s="20" t="s">
        <v>13</v>
      </c>
      <c r="C12" s="93">
        <v>10950</v>
      </c>
      <c r="D12" s="94">
        <v>96000</v>
      </c>
      <c r="E12" s="124">
        <v>274</v>
      </c>
      <c r="F12" s="124">
        <v>13320.000000000004</v>
      </c>
      <c r="G12" s="124">
        <v>7380</v>
      </c>
      <c r="H12" s="95">
        <v>19</v>
      </c>
      <c r="I12" s="95">
        <v>1000</v>
      </c>
      <c r="J12" s="93">
        <v>0</v>
      </c>
      <c r="K12" s="94">
        <v>0</v>
      </c>
      <c r="L12" s="93">
        <v>0</v>
      </c>
      <c r="M12" s="94">
        <v>0</v>
      </c>
    </row>
    <row r="13" spans="1:13" x14ac:dyDescent="0.35">
      <c r="A13">
        <v>2036</v>
      </c>
      <c r="B13" s="20" t="s">
        <v>13</v>
      </c>
      <c r="C13" s="93">
        <v>10950</v>
      </c>
      <c r="D13" s="94">
        <v>96000</v>
      </c>
      <c r="E13" s="96">
        <v>274</v>
      </c>
      <c r="F13" s="96">
        <v>13320</v>
      </c>
      <c r="G13" s="96">
        <v>7380</v>
      </c>
      <c r="H13" s="96">
        <v>19</v>
      </c>
      <c r="I13" s="96">
        <v>1000</v>
      </c>
      <c r="J13" s="93">
        <v>0</v>
      </c>
      <c r="K13" s="94">
        <v>0</v>
      </c>
      <c r="L13" s="93">
        <v>0</v>
      </c>
      <c r="M13" s="94">
        <v>0</v>
      </c>
    </row>
    <row r="14" spans="1:13" x14ac:dyDescent="0.35">
      <c r="A14">
        <v>2037</v>
      </c>
      <c r="B14" s="20" t="s">
        <v>13</v>
      </c>
      <c r="C14" s="93">
        <v>10950</v>
      </c>
      <c r="D14" s="94">
        <v>96000</v>
      </c>
      <c r="E14" s="96">
        <v>274</v>
      </c>
      <c r="F14" s="96">
        <v>13320</v>
      </c>
      <c r="G14" s="96">
        <v>7380</v>
      </c>
      <c r="H14" s="96">
        <v>19</v>
      </c>
      <c r="I14" s="96">
        <v>1000</v>
      </c>
      <c r="J14" s="93">
        <v>0</v>
      </c>
      <c r="K14" s="94">
        <v>0</v>
      </c>
      <c r="L14" s="93">
        <v>0</v>
      </c>
      <c r="M14" s="94">
        <v>0</v>
      </c>
    </row>
    <row r="15" spans="1:13" x14ac:dyDescent="0.35">
      <c r="A15">
        <v>2038</v>
      </c>
      <c r="B15" s="20" t="s">
        <v>13</v>
      </c>
      <c r="C15" s="93">
        <v>10950</v>
      </c>
      <c r="D15" s="94">
        <v>96000</v>
      </c>
      <c r="E15" s="96">
        <v>274</v>
      </c>
      <c r="F15" s="96">
        <v>13320</v>
      </c>
      <c r="G15" s="96">
        <v>7380</v>
      </c>
      <c r="H15" s="96">
        <v>19</v>
      </c>
      <c r="I15" s="96">
        <v>1000</v>
      </c>
      <c r="J15" s="93">
        <v>0</v>
      </c>
      <c r="K15" s="94">
        <v>0</v>
      </c>
      <c r="L15" s="93">
        <v>0</v>
      </c>
      <c r="M15" s="94">
        <v>0</v>
      </c>
    </row>
    <row r="16" spans="1:13" x14ac:dyDescent="0.35">
      <c r="A16">
        <v>2039</v>
      </c>
      <c r="B16" s="20" t="s">
        <v>13</v>
      </c>
      <c r="C16" s="93">
        <v>10950</v>
      </c>
      <c r="D16" s="94">
        <v>96000</v>
      </c>
      <c r="E16" s="96">
        <v>274</v>
      </c>
      <c r="F16" s="96">
        <v>13320</v>
      </c>
      <c r="G16" s="96">
        <v>7380</v>
      </c>
      <c r="H16" s="96">
        <v>19</v>
      </c>
      <c r="I16" s="96">
        <v>1000</v>
      </c>
      <c r="J16" s="93">
        <v>0</v>
      </c>
      <c r="K16" s="94">
        <v>0</v>
      </c>
      <c r="L16" s="93">
        <v>0</v>
      </c>
      <c r="M16" s="94">
        <v>0</v>
      </c>
    </row>
    <row r="17" spans="1:13" x14ac:dyDescent="0.35">
      <c r="A17">
        <v>2040</v>
      </c>
      <c r="B17" s="20" t="s">
        <v>13</v>
      </c>
      <c r="C17" s="93">
        <v>10950</v>
      </c>
      <c r="D17" s="94">
        <v>96000</v>
      </c>
      <c r="E17" s="96">
        <v>274</v>
      </c>
      <c r="F17" s="96">
        <v>13320</v>
      </c>
      <c r="G17" s="96">
        <v>7380</v>
      </c>
      <c r="H17" s="96">
        <v>19</v>
      </c>
      <c r="I17" s="96">
        <v>1000</v>
      </c>
      <c r="J17" s="93">
        <v>0</v>
      </c>
      <c r="K17" s="94">
        <v>0</v>
      </c>
      <c r="L17" s="93">
        <v>0</v>
      </c>
      <c r="M17" s="94">
        <v>0</v>
      </c>
    </row>
    <row r="18" spans="1:13" x14ac:dyDescent="0.35">
      <c r="A18">
        <v>2041</v>
      </c>
      <c r="B18" s="20" t="s">
        <v>13</v>
      </c>
      <c r="C18" s="93">
        <v>10950</v>
      </c>
      <c r="D18" s="94">
        <v>96000</v>
      </c>
      <c r="E18" s="96">
        <v>274</v>
      </c>
      <c r="F18" s="96">
        <v>13320</v>
      </c>
      <c r="G18" s="96">
        <v>7380</v>
      </c>
      <c r="H18" s="96">
        <v>19</v>
      </c>
      <c r="I18" s="96">
        <v>1000</v>
      </c>
      <c r="J18" s="93">
        <v>0</v>
      </c>
      <c r="K18" s="94">
        <v>0</v>
      </c>
      <c r="L18" s="93">
        <v>0</v>
      </c>
      <c r="M18" s="94">
        <v>0</v>
      </c>
    </row>
    <row r="19" spans="1:13" x14ac:dyDescent="0.35">
      <c r="A19">
        <v>2042</v>
      </c>
      <c r="B19" s="20" t="s">
        <v>13</v>
      </c>
      <c r="C19" s="93">
        <v>10950</v>
      </c>
      <c r="D19" s="94">
        <v>96000</v>
      </c>
      <c r="E19" s="96">
        <v>274</v>
      </c>
      <c r="F19" s="96">
        <v>13320</v>
      </c>
      <c r="G19" s="96">
        <v>7380</v>
      </c>
      <c r="H19" s="96">
        <v>19</v>
      </c>
      <c r="I19" s="96">
        <v>1000</v>
      </c>
      <c r="J19" s="93">
        <v>0</v>
      </c>
      <c r="K19" s="94">
        <v>0</v>
      </c>
      <c r="L19" s="93">
        <v>0</v>
      </c>
      <c r="M19" s="94">
        <v>0</v>
      </c>
    </row>
    <row r="20" spans="1:13" x14ac:dyDescent="0.35">
      <c r="A20">
        <v>2043</v>
      </c>
      <c r="B20" s="20" t="s">
        <v>13</v>
      </c>
      <c r="C20" s="93">
        <v>10950</v>
      </c>
      <c r="D20" s="94">
        <v>96000</v>
      </c>
      <c r="E20" s="96">
        <v>274</v>
      </c>
      <c r="F20" s="96">
        <v>13320</v>
      </c>
      <c r="G20" s="96">
        <v>7380</v>
      </c>
      <c r="H20" s="96">
        <v>19</v>
      </c>
      <c r="I20" s="96">
        <v>1000</v>
      </c>
      <c r="J20" s="93">
        <v>0</v>
      </c>
      <c r="K20" s="94">
        <v>0</v>
      </c>
      <c r="L20" s="93">
        <v>0</v>
      </c>
      <c r="M20" s="94">
        <v>0</v>
      </c>
    </row>
    <row r="21" spans="1:13" x14ac:dyDescent="0.35">
      <c r="A21">
        <v>2044</v>
      </c>
      <c r="B21" s="20" t="s">
        <v>13</v>
      </c>
      <c r="C21" s="93">
        <v>10950</v>
      </c>
      <c r="D21" s="94">
        <v>96000</v>
      </c>
      <c r="E21" s="96">
        <v>274</v>
      </c>
      <c r="F21" s="96">
        <v>13320</v>
      </c>
      <c r="G21" s="96">
        <v>7380</v>
      </c>
      <c r="H21" s="96">
        <v>19</v>
      </c>
      <c r="I21" s="96">
        <v>1000</v>
      </c>
      <c r="J21" s="93">
        <v>0</v>
      </c>
      <c r="K21" s="94">
        <v>0</v>
      </c>
      <c r="L21" s="93">
        <v>0</v>
      </c>
      <c r="M21" s="94">
        <v>0</v>
      </c>
    </row>
    <row r="22" spans="1:13" x14ac:dyDescent="0.35">
      <c r="A22">
        <v>2045</v>
      </c>
      <c r="B22" s="20" t="s">
        <v>13</v>
      </c>
      <c r="C22" s="93">
        <v>10950</v>
      </c>
      <c r="D22" s="94">
        <v>96000</v>
      </c>
      <c r="E22" s="96">
        <v>274</v>
      </c>
      <c r="F22" s="96">
        <v>13320</v>
      </c>
      <c r="G22" s="96">
        <v>7380</v>
      </c>
      <c r="H22" s="96">
        <v>19</v>
      </c>
      <c r="I22" s="96">
        <v>1000</v>
      </c>
      <c r="J22" s="93">
        <v>0</v>
      </c>
      <c r="K22" s="94">
        <v>0</v>
      </c>
      <c r="L22" s="93">
        <v>0</v>
      </c>
      <c r="M22" s="94">
        <v>0</v>
      </c>
    </row>
    <row r="23" spans="1:13" x14ac:dyDescent="0.35">
      <c r="B23" s="71" t="s">
        <v>14</v>
      </c>
      <c r="C23" s="128">
        <v>1900000</v>
      </c>
      <c r="D23" s="129"/>
      <c r="E23" s="28">
        <v>8200</v>
      </c>
      <c r="F23" s="28">
        <v>69400</v>
      </c>
      <c r="G23" s="28">
        <v>48800</v>
      </c>
      <c r="H23" s="28">
        <v>0</v>
      </c>
      <c r="I23" s="28">
        <v>4000</v>
      </c>
      <c r="J23" s="77">
        <v>33600</v>
      </c>
      <c r="K23" s="78">
        <v>16800</v>
      </c>
      <c r="L23" s="132">
        <v>420</v>
      </c>
      <c r="M23" s="133"/>
    </row>
    <row r="24" spans="1:13" ht="63" customHeight="1" x14ac:dyDescent="0.35">
      <c r="B24" s="71" t="s">
        <v>15</v>
      </c>
      <c r="C24" s="130" t="s">
        <v>16</v>
      </c>
      <c r="D24" s="131"/>
      <c r="E24" s="81" t="s">
        <v>17</v>
      </c>
      <c r="F24" s="81" t="s">
        <v>18</v>
      </c>
      <c r="G24" s="81" t="s">
        <v>18</v>
      </c>
      <c r="H24" s="81" t="s">
        <v>18</v>
      </c>
      <c r="I24" s="81" t="s">
        <v>18</v>
      </c>
      <c r="J24" s="121" t="s">
        <v>19</v>
      </c>
      <c r="K24" s="122" t="s">
        <v>19</v>
      </c>
      <c r="L24" s="130" t="s">
        <v>16</v>
      </c>
      <c r="M24" s="131"/>
    </row>
    <row r="25" spans="1:13" hidden="1" x14ac:dyDescent="0.35">
      <c r="B25" s="86" t="s">
        <v>20</v>
      </c>
      <c r="C25" s="85" t="str">
        <f>LEFT(C1,3)</f>
        <v>Blu</v>
      </c>
      <c r="D25" s="85" t="str">
        <f t="shared" ref="D25" si="0">LEFT(D1,3)</f>
        <v>Gre</v>
      </c>
      <c r="E25" s="85" t="s">
        <v>21</v>
      </c>
      <c r="F25" s="85" t="s">
        <v>22</v>
      </c>
      <c r="G25" s="85" t="s">
        <v>23</v>
      </c>
      <c r="H25" s="85" t="s">
        <v>24</v>
      </c>
      <c r="I25" s="85" t="s">
        <v>25</v>
      </c>
      <c r="J25" s="85" t="s">
        <v>26</v>
      </c>
      <c r="K25" s="85" t="s">
        <v>27</v>
      </c>
      <c r="L25" s="85" t="s">
        <v>28</v>
      </c>
      <c r="M25" s="85" t="s">
        <v>29</v>
      </c>
    </row>
    <row r="29" spans="1:13" ht="93" x14ac:dyDescent="0.35">
      <c r="A29" t="s">
        <v>0</v>
      </c>
      <c r="B29" t="s">
        <v>1</v>
      </c>
      <c r="C29" s="79" t="s">
        <v>2</v>
      </c>
      <c r="D29" s="80" t="s">
        <v>3</v>
      </c>
      <c r="E29" s="73" t="s">
        <v>4</v>
      </c>
      <c r="F29" s="73" t="s">
        <v>5</v>
      </c>
      <c r="G29" s="73" t="s">
        <v>6</v>
      </c>
      <c r="H29" s="73" t="s">
        <v>7</v>
      </c>
      <c r="I29" s="73" t="s">
        <v>8</v>
      </c>
      <c r="J29" s="79" t="s">
        <v>9</v>
      </c>
      <c r="K29" s="80" t="s">
        <v>10</v>
      </c>
      <c r="L29" s="79" t="s">
        <v>11</v>
      </c>
      <c r="M29" s="80" t="s">
        <v>12</v>
      </c>
    </row>
    <row r="30" spans="1:13" x14ac:dyDescent="0.35">
      <c r="A30">
        <v>2025</v>
      </c>
      <c r="B30" s="92" t="s">
        <v>30</v>
      </c>
      <c r="C30" s="97">
        <v>0</v>
      </c>
      <c r="D30" s="99">
        <v>0</v>
      </c>
      <c r="E30" s="93">
        <v>99</v>
      </c>
      <c r="F30" s="95">
        <v>1171</v>
      </c>
      <c r="G30" s="95">
        <v>588</v>
      </c>
      <c r="H30" s="95">
        <v>0</v>
      </c>
      <c r="I30" s="94">
        <v>0</v>
      </c>
      <c r="J30" s="93">
        <v>3736</v>
      </c>
      <c r="K30" s="94">
        <v>659</v>
      </c>
      <c r="L30" s="93">
        <v>0</v>
      </c>
      <c r="M30" s="94">
        <v>0</v>
      </c>
    </row>
    <row r="31" spans="1:13" x14ac:dyDescent="0.35">
      <c r="A31">
        <v>2026</v>
      </c>
      <c r="B31" s="92" t="s">
        <v>30</v>
      </c>
      <c r="C31" s="97">
        <v>10950</v>
      </c>
      <c r="D31" s="99">
        <v>0</v>
      </c>
      <c r="E31" s="93">
        <v>212</v>
      </c>
      <c r="F31" s="95">
        <v>2342</v>
      </c>
      <c r="G31" s="95">
        <v>1176</v>
      </c>
      <c r="H31" s="95">
        <v>5</v>
      </c>
      <c r="I31" s="94">
        <v>0</v>
      </c>
      <c r="J31" s="93">
        <v>4299</v>
      </c>
      <c r="K31" s="94">
        <v>758</v>
      </c>
      <c r="L31" s="93">
        <v>0</v>
      </c>
      <c r="M31" s="94">
        <v>0</v>
      </c>
    </row>
    <row r="32" spans="1:13" x14ac:dyDescent="0.35">
      <c r="A32">
        <v>2027</v>
      </c>
      <c r="B32" s="92" t="s">
        <v>30</v>
      </c>
      <c r="C32" s="97">
        <v>16373.684210526317</v>
      </c>
      <c r="D32" s="99">
        <v>0</v>
      </c>
      <c r="E32" s="93">
        <v>325</v>
      </c>
      <c r="F32" s="95">
        <v>3513</v>
      </c>
      <c r="G32" s="95">
        <v>1764</v>
      </c>
      <c r="H32" s="95">
        <v>5</v>
      </c>
      <c r="I32" s="94">
        <v>0</v>
      </c>
      <c r="J32" s="93">
        <v>4862</v>
      </c>
      <c r="K32" s="94">
        <v>858</v>
      </c>
      <c r="L32" s="93">
        <v>0</v>
      </c>
      <c r="M32" s="94">
        <v>0</v>
      </c>
    </row>
    <row r="33" spans="1:13" x14ac:dyDescent="0.35">
      <c r="A33">
        <v>2028</v>
      </c>
      <c r="B33" s="92" t="s">
        <v>30</v>
      </c>
      <c r="C33" s="97">
        <v>21797.368421052633</v>
      </c>
      <c r="D33" s="99">
        <v>0</v>
      </c>
      <c r="E33" s="93">
        <v>438</v>
      </c>
      <c r="F33" s="95">
        <v>4684</v>
      </c>
      <c r="G33" s="95">
        <v>2353</v>
      </c>
      <c r="H33" s="95">
        <v>5</v>
      </c>
      <c r="I33" s="94">
        <v>0</v>
      </c>
      <c r="J33" s="93">
        <v>5425</v>
      </c>
      <c r="K33" s="94">
        <v>957</v>
      </c>
      <c r="L33" s="93">
        <v>0</v>
      </c>
      <c r="M33" s="94">
        <v>0</v>
      </c>
    </row>
    <row r="34" spans="1:13" x14ac:dyDescent="0.35">
      <c r="A34">
        <v>2029</v>
      </c>
      <c r="B34" s="92" t="s">
        <v>30</v>
      </c>
      <c r="C34" s="97">
        <v>27221.05263157895</v>
      </c>
      <c r="D34" s="99">
        <v>0</v>
      </c>
      <c r="E34" s="93">
        <v>551</v>
      </c>
      <c r="F34" s="95">
        <v>5854</v>
      </c>
      <c r="G34" s="95">
        <v>2941</v>
      </c>
      <c r="H34" s="95">
        <v>5</v>
      </c>
      <c r="I34" s="94">
        <v>0</v>
      </c>
      <c r="J34" s="93">
        <v>5989</v>
      </c>
      <c r="K34" s="94">
        <v>1057</v>
      </c>
      <c r="L34" s="93">
        <v>0</v>
      </c>
      <c r="M34" s="94">
        <v>0</v>
      </c>
    </row>
    <row r="35" spans="1:13" x14ac:dyDescent="0.35">
      <c r="A35">
        <v>2030</v>
      </c>
      <c r="B35" s="92" t="s">
        <v>30</v>
      </c>
      <c r="C35" s="97">
        <v>32644.736842105267</v>
      </c>
      <c r="D35" s="99">
        <v>117306</v>
      </c>
      <c r="E35" s="93">
        <v>664</v>
      </c>
      <c r="F35" s="95">
        <v>7025</v>
      </c>
      <c r="G35" s="95">
        <v>3529</v>
      </c>
      <c r="H35" s="95">
        <v>10</v>
      </c>
      <c r="I35" s="94">
        <v>0</v>
      </c>
      <c r="J35" s="93">
        <v>6552</v>
      </c>
      <c r="K35" s="94">
        <v>1156</v>
      </c>
      <c r="L35" s="93">
        <v>0</v>
      </c>
      <c r="M35" s="94">
        <v>0</v>
      </c>
    </row>
    <row r="36" spans="1:13" x14ac:dyDescent="0.35">
      <c r="A36">
        <v>2031</v>
      </c>
      <c r="B36" s="92" t="s">
        <v>30</v>
      </c>
      <c r="C36" s="97">
        <v>38068.42105263158</v>
      </c>
      <c r="D36" s="99">
        <v>132285.6</v>
      </c>
      <c r="E36" s="93">
        <v>777</v>
      </c>
      <c r="F36" s="95">
        <v>8196</v>
      </c>
      <c r="G36" s="95">
        <v>4117</v>
      </c>
      <c r="H36" s="95">
        <v>10</v>
      </c>
      <c r="I36" s="94">
        <v>0</v>
      </c>
      <c r="J36" s="93">
        <v>7115</v>
      </c>
      <c r="K36" s="94">
        <v>1255</v>
      </c>
      <c r="L36" s="98">
        <v>0.7</v>
      </c>
      <c r="M36" s="100">
        <v>6.4</v>
      </c>
    </row>
    <row r="37" spans="1:13" x14ac:dyDescent="0.35">
      <c r="A37">
        <v>2032</v>
      </c>
      <c r="B37" s="92" t="s">
        <v>30</v>
      </c>
      <c r="C37" s="97">
        <v>43492.105263157893</v>
      </c>
      <c r="D37" s="99">
        <v>147265.20000000001</v>
      </c>
      <c r="E37" s="93">
        <v>890</v>
      </c>
      <c r="F37" s="95">
        <v>9367</v>
      </c>
      <c r="G37" s="95">
        <v>4705</v>
      </c>
      <c r="H37" s="95">
        <v>15</v>
      </c>
      <c r="I37" s="94">
        <v>0</v>
      </c>
      <c r="J37" s="93">
        <v>7678</v>
      </c>
      <c r="K37" s="94">
        <v>1355</v>
      </c>
      <c r="L37" s="98">
        <v>0.68571428571428572</v>
      </c>
      <c r="M37" s="100">
        <v>6.6571428571428575</v>
      </c>
    </row>
    <row r="38" spans="1:13" x14ac:dyDescent="0.35">
      <c r="A38">
        <v>2033</v>
      </c>
      <c r="B38" s="92" t="s">
        <v>30</v>
      </c>
      <c r="C38" s="97">
        <v>48915.789473684206</v>
      </c>
      <c r="D38" s="99">
        <v>162244.80000000002</v>
      </c>
      <c r="E38" s="93">
        <v>1003</v>
      </c>
      <c r="F38" s="95">
        <v>10538</v>
      </c>
      <c r="G38" s="95">
        <v>5293</v>
      </c>
      <c r="H38" s="95">
        <v>15</v>
      </c>
      <c r="I38" s="94">
        <v>0</v>
      </c>
      <c r="J38" s="93">
        <v>8241</v>
      </c>
      <c r="K38" s="94">
        <v>1454</v>
      </c>
      <c r="L38" s="98">
        <v>0.67142857142857149</v>
      </c>
      <c r="M38" s="100">
        <v>6.9142857142857146</v>
      </c>
    </row>
    <row r="39" spans="1:13" x14ac:dyDescent="0.35">
      <c r="A39">
        <v>2034</v>
      </c>
      <c r="B39" s="92" t="s">
        <v>30</v>
      </c>
      <c r="C39" s="97">
        <v>54339.473684210519</v>
      </c>
      <c r="D39" s="99">
        <v>177224.40000000002</v>
      </c>
      <c r="E39" s="93">
        <v>1116</v>
      </c>
      <c r="F39" s="95">
        <v>11709</v>
      </c>
      <c r="G39" s="95">
        <v>5881</v>
      </c>
      <c r="H39" s="95">
        <v>15</v>
      </c>
      <c r="I39" s="94">
        <v>1000</v>
      </c>
      <c r="J39" s="93">
        <v>8804</v>
      </c>
      <c r="K39" s="94">
        <v>1553</v>
      </c>
      <c r="L39" s="98">
        <v>0.65714285714285725</v>
      </c>
      <c r="M39" s="100">
        <v>7.1714285714285717</v>
      </c>
    </row>
    <row r="40" spans="1:13" x14ac:dyDescent="0.35">
      <c r="A40">
        <v>2035</v>
      </c>
      <c r="B40" s="92" t="s">
        <v>30</v>
      </c>
      <c r="C40" s="97">
        <v>59763.157894736833</v>
      </c>
      <c r="D40" s="99">
        <v>192204.00000000003</v>
      </c>
      <c r="E40" s="93">
        <v>1229</v>
      </c>
      <c r="F40" s="95">
        <v>12880</v>
      </c>
      <c r="G40" s="95">
        <v>6470</v>
      </c>
      <c r="H40" s="95">
        <v>15</v>
      </c>
      <c r="I40" s="94">
        <v>1000</v>
      </c>
      <c r="J40" s="93">
        <v>9367</v>
      </c>
      <c r="K40" s="94">
        <v>1653</v>
      </c>
      <c r="L40" s="98">
        <v>0.64285714285714302</v>
      </c>
      <c r="M40" s="100">
        <v>7.4285714285714288</v>
      </c>
    </row>
    <row r="41" spans="1:13" x14ac:dyDescent="0.35">
      <c r="A41">
        <v>2036</v>
      </c>
      <c r="B41" s="92" t="s">
        <v>30</v>
      </c>
      <c r="C41" s="97">
        <v>65186.842105263146</v>
      </c>
      <c r="D41" s="99">
        <v>207183.60000000003</v>
      </c>
      <c r="E41" s="93">
        <v>1342</v>
      </c>
      <c r="F41" s="95">
        <v>14051</v>
      </c>
      <c r="G41" s="95">
        <v>7058</v>
      </c>
      <c r="H41" s="95">
        <v>15</v>
      </c>
      <c r="I41" s="94">
        <v>1000</v>
      </c>
      <c r="J41" s="93">
        <v>9931</v>
      </c>
      <c r="K41" s="94">
        <v>1752</v>
      </c>
      <c r="L41" s="98">
        <v>0.62857142857142878</v>
      </c>
      <c r="M41" s="100">
        <v>7.6857142857142859</v>
      </c>
    </row>
    <row r="42" spans="1:13" x14ac:dyDescent="0.35">
      <c r="A42">
        <v>2037</v>
      </c>
      <c r="B42" s="92" t="s">
        <v>30</v>
      </c>
      <c r="C42" s="97">
        <v>70610.526315789466</v>
      </c>
      <c r="D42" s="99">
        <v>222163.20000000004</v>
      </c>
      <c r="E42" s="93">
        <v>1455</v>
      </c>
      <c r="F42" s="95">
        <v>15221</v>
      </c>
      <c r="G42" s="95">
        <v>7646</v>
      </c>
      <c r="H42" s="95">
        <v>15</v>
      </c>
      <c r="I42" s="94">
        <v>1000</v>
      </c>
      <c r="J42" s="93">
        <v>10494</v>
      </c>
      <c r="K42" s="94">
        <v>1852</v>
      </c>
      <c r="L42" s="98">
        <v>0.61428571428571455</v>
      </c>
      <c r="M42" s="100">
        <v>7.9428571428571431</v>
      </c>
    </row>
    <row r="43" spans="1:13" x14ac:dyDescent="0.35">
      <c r="A43">
        <v>2038</v>
      </c>
      <c r="B43" s="92" t="s">
        <v>30</v>
      </c>
      <c r="C43" s="97">
        <v>76034.210526315786</v>
      </c>
      <c r="D43" s="99">
        <v>237142.80000000005</v>
      </c>
      <c r="E43" s="93">
        <v>1568</v>
      </c>
      <c r="F43" s="95">
        <v>16392</v>
      </c>
      <c r="G43" s="95">
        <v>8234</v>
      </c>
      <c r="H43" s="95">
        <v>15</v>
      </c>
      <c r="I43" s="94">
        <v>1000</v>
      </c>
      <c r="J43" s="93">
        <v>11057</v>
      </c>
      <c r="K43" s="94">
        <v>1951</v>
      </c>
      <c r="L43" s="98">
        <v>0.60000000000000031</v>
      </c>
      <c r="M43" s="100">
        <v>8.1999999999999993</v>
      </c>
    </row>
    <row r="44" spans="1:13" x14ac:dyDescent="0.35">
      <c r="A44">
        <v>2039</v>
      </c>
      <c r="B44" s="92" t="s">
        <v>30</v>
      </c>
      <c r="C44" s="97">
        <v>81457.894736842107</v>
      </c>
      <c r="D44" s="99">
        <v>252122.40000000005</v>
      </c>
      <c r="E44" s="93">
        <v>1681</v>
      </c>
      <c r="F44" s="95">
        <v>17563</v>
      </c>
      <c r="G44" s="95">
        <v>8822</v>
      </c>
      <c r="H44" s="95">
        <v>15</v>
      </c>
      <c r="I44" s="94">
        <v>1000</v>
      </c>
      <c r="J44" s="93">
        <v>11620</v>
      </c>
      <c r="K44" s="94">
        <v>2050</v>
      </c>
      <c r="L44" s="98">
        <v>0.58571428571428608</v>
      </c>
      <c r="M44" s="100">
        <v>8.4571428571428555</v>
      </c>
    </row>
    <row r="45" spans="1:13" x14ac:dyDescent="0.35">
      <c r="A45">
        <v>2040</v>
      </c>
      <c r="B45" s="92" t="s">
        <v>30</v>
      </c>
      <c r="C45" s="97">
        <v>86881.578947368427</v>
      </c>
      <c r="D45" s="99">
        <v>267102.00000000006</v>
      </c>
      <c r="E45" s="93">
        <v>1794</v>
      </c>
      <c r="F45" s="95">
        <v>18734</v>
      </c>
      <c r="G45" s="95">
        <v>9410</v>
      </c>
      <c r="H45" s="95">
        <v>15</v>
      </c>
      <c r="I45" s="94">
        <v>1000</v>
      </c>
      <c r="J45" s="93">
        <v>12183</v>
      </c>
      <c r="K45" s="94">
        <v>2150</v>
      </c>
      <c r="L45" s="98">
        <v>0.57142857142857184</v>
      </c>
      <c r="M45" s="100">
        <v>8.7142857142857117</v>
      </c>
    </row>
    <row r="46" spans="1:13" x14ac:dyDescent="0.35">
      <c r="A46">
        <v>2041</v>
      </c>
      <c r="B46" s="92" t="s">
        <v>30</v>
      </c>
      <c r="C46" s="97">
        <v>92305.263157894748</v>
      </c>
      <c r="D46" s="99">
        <v>282081.60000000003</v>
      </c>
      <c r="E46" s="93">
        <v>1907</v>
      </c>
      <c r="F46" s="95">
        <v>19905</v>
      </c>
      <c r="G46" s="95">
        <v>9998</v>
      </c>
      <c r="H46" s="95">
        <v>15</v>
      </c>
      <c r="I46" s="94">
        <v>1000</v>
      </c>
      <c r="J46" s="93">
        <v>12746</v>
      </c>
      <c r="K46" s="94">
        <v>2249</v>
      </c>
      <c r="L46" s="98">
        <v>0.55714285714285761</v>
      </c>
      <c r="M46" s="100">
        <v>8.971428571428568</v>
      </c>
    </row>
    <row r="47" spans="1:13" x14ac:dyDescent="0.35">
      <c r="A47">
        <v>2042</v>
      </c>
      <c r="B47" s="92" t="s">
        <v>30</v>
      </c>
      <c r="C47" s="97">
        <v>97728.947368421068</v>
      </c>
      <c r="D47" s="99">
        <v>297061.2</v>
      </c>
      <c r="E47" s="93">
        <v>2020</v>
      </c>
      <c r="F47" s="95">
        <v>21076</v>
      </c>
      <c r="G47" s="95">
        <v>10586</v>
      </c>
      <c r="H47" s="95">
        <v>15</v>
      </c>
      <c r="I47" s="94">
        <v>1000</v>
      </c>
      <c r="J47" s="93">
        <v>13309</v>
      </c>
      <c r="K47" s="94">
        <v>2348</v>
      </c>
      <c r="L47" s="98">
        <v>0.54285714285714337</v>
      </c>
      <c r="M47" s="100">
        <v>9.2285714285714242</v>
      </c>
    </row>
    <row r="48" spans="1:13" x14ac:dyDescent="0.35">
      <c r="A48">
        <v>2043</v>
      </c>
      <c r="B48" s="92" t="s">
        <v>30</v>
      </c>
      <c r="C48" s="97">
        <v>103152.63157894739</v>
      </c>
      <c r="D48" s="99">
        <v>312040.8</v>
      </c>
      <c r="E48" s="93">
        <v>2132</v>
      </c>
      <c r="F48" s="95">
        <v>22247</v>
      </c>
      <c r="G48" s="95">
        <v>11175</v>
      </c>
      <c r="H48" s="95">
        <v>15</v>
      </c>
      <c r="I48" s="94">
        <v>1000</v>
      </c>
      <c r="J48" s="93">
        <v>13873</v>
      </c>
      <c r="K48" s="94">
        <v>2448</v>
      </c>
      <c r="L48" s="98">
        <v>0.52857142857142914</v>
      </c>
      <c r="M48" s="100">
        <v>9.4857142857142804</v>
      </c>
    </row>
    <row r="49" spans="1:13" x14ac:dyDescent="0.35">
      <c r="A49">
        <v>2044</v>
      </c>
      <c r="B49" s="92" t="s">
        <v>30</v>
      </c>
      <c r="C49" s="97">
        <v>108576.31578947371</v>
      </c>
      <c r="D49" s="99">
        <v>327020.39999999997</v>
      </c>
      <c r="E49" s="93">
        <v>2245</v>
      </c>
      <c r="F49" s="95">
        <v>23418</v>
      </c>
      <c r="G49" s="95">
        <v>11763</v>
      </c>
      <c r="H49" s="95">
        <v>15</v>
      </c>
      <c r="I49" s="94">
        <v>2000</v>
      </c>
      <c r="J49" s="93">
        <v>14436</v>
      </c>
      <c r="K49" s="94">
        <v>2547</v>
      </c>
      <c r="L49" s="98">
        <v>0.5142857142857149</v>
      </c>
      <c r="M49" s="100">
        <v>9.7428571428571367</v>
      </c>
    </row>
    <row r="50" spans="1:13" x14ac:dyDescent="0.35">
      <c r="A50">
        <v>2045</v>
      </c>
      <c r="B50" s="92" t="s">
        <v>30</v>
      </c>
      <c r="C50" s="97">
        <v>114000.00000000003</v>
      </c>
      <c r="D50" s="99">
        <v>341999.99999999994</v>
      </c>
      <c r="E50" s="93">
        <v>2358</v>
      </c>
      <c r="F50" s="95">
        <v>24589</v>
      </c>
      <c r="G50" s="95">
        <v>12351</v>
      </c>
      <c r="H50" s="95">
        <v>15</v>
      </c>
      <c r="I50" s="94">
        <v>2000</v>
      </c>
      <c r="J50" s="93">
        <v>14999</v>
      </c>
      <c r="K50" s="94">
        <v>2647</v>
      </c>
      <c r="L50" s="98">
        <v>0.50000000000000067</v>
      </c>
      <c r="M50" s="100">
        <v>9.9999999999999929</v>
      </c>
    </row>
    <row r="51" spans="1:13" hidden="1" x14ac:dyDescent="0.35">
      <c r="B51" s="86" t="s">
        <v>20</v>
      </c>
      <c r="C51" s="85" t="str">
        <f>LEFT(C29,3)</f>
        <v>Blu</v>
      </c>
      <c r="D51" s="85" t="str">
        <f>LEFT(D29,3)</f>
        <v>Gre</v>
      </c>
      <c r="E51" s="85" t="s">
        <v>21</v>
      </c>
      <c r="F51" s="85" t="s">
        <v>22</v>
      </c>
      <c r="G51" s="85" t="s">
        <v>23</v>
      </c>
      <c r="H51" s="85" t="s">
        <v>24</v>
      </c>
      <c r="I51" s="85" t="s">
        <v>25</v>
      </c>
      <c r="J51" s="85" t="s">
        <v>26</v>
      </c>
      <c r="K51" s="85">
        <v>2746</v>
      </c>
      <c r="L51" s="85" t="s">
        <v>28</v>
      </c>
      <c r="M51" s="85" t="s">
        <v>29</v>
      </c>
    </row>
    <row r="54" spans="1:13" x14ac:dyDescent="0.35">
      <c r="D54" s="127"/>
    </row>
    <row r="55" spans="1:13" ht="93" x14ac:dyDescent="0.35">
      <c r="A55" t="s">
        <v>0</v>
      </c>
      <c r="B55" t="s">
        <v>1</v>
      </c>
      <c r="C55" s="79" t="s">
        <v>2</v>
      </c>
      <c r="D55" s="80" t="s">
        <v>3</v>
      </c>
      <c r="E55" s="73" t="s">
        <v>4</v>
      </c>
      <c r="F55" s="73" t="s">
        <v>5</v>
      </c>
      <c r="G55" s="73" t="s">
        <v>6</v>
      </c>
      <c r="H55" s="73" t="s">
        <v>7</v>
      </c>
      <c r="I55" s="73" t="s">
        <v>8</v>
      </c>
      <c r="J55" s="79" t="s">
        <v>9</v>
      </c>
      <c r="K55" s="80" t="s">
        <v>10</v>
      </c>
      <c r="L55" s="79" t="s">
        <v>11</v>
      </c>
      <c r="M55" s="80" t="s">
        <v>12</v>
      </c>
    </row>
    <row r="56" spans="1:13" x14ac:dyDescent="0.35">
      <c r="A56">
        <v>2025</v>
      </c>
      <c r="B56" s="92" t="s">
        <v>31</v>
      </c>
      <c r="C56" s="93">
        <v>0</v>
      </c>
      <c r="D56" s="94">
        <v>0</v>
      </c>
      <c r="E56" s="95">
        <v>99</v>
      </c>
      <c r="F56" s="95">
        <v>1171</v>
      </c>
      <c r="G56" s="95">
        <v>588</v>
      </c>
      <c r="H56" s="95">
        <v>0</v>
      </c>
      <c r="I56" s="95">
        <v>0</v>
      </c>
      <c r="J56" s="93">
        <v>6857</v>
      </c>
      <c r="K56" s="94">
        <v>444</v>
      </c>
      <c r="L56" s="93">
        <v>0</v>
      </c>
      <c r="M56" s="94">
        <v>0</v>
      </c>
    </row>
    <row r="57" spans="1:13" x14ac:dyDescent="0.35">
      <c r="A57">
        <v>2026</v>
      </c>
      <c r="B57" s="92" t="s">
        <v>31</v>
      </c>
      <c r="C57" s="93">
        <v>4380</v>
      </c>
      <c r="D57" s="94">
        <v>0</v>
      </c>
      <c r="E57" s="95">
        <v>212</v>
      </c>
      <c r="F57" s="95">
        <v>2342</v>
      </c>
      <c r="G57" s="95">
        <v>1176</v>
      </c>
      <c r="H57" s="95">
        <v>5</v>
      </c>
      <c r="I57" s="95">
        <v>0</v>
      </c>
      <c r="J57" s="93">
        <v>7942.15</v>
      </c>
      <c r="K57" s="94">
        <v>514.20000000000005</v>
      </c>
      <c r="L57" s="93">
        <v>0</v>
      </c>
      <c r="M57" s="94">
        <v>0</v>
      </c>
    </row>
    <row r="58" spans="1:13" x14ac:dyDescent="0.35">
      <c r="A58">
        <v>2027</v>
      </c>
      <c r="B58" s="92" t="s">
        <v>31</v>
      </c>
      <c r="C58" s="93">
        <v>8760</v>
      </c>
      <c r="D58" s="94">
        <v>0</v>
      </c>
      <c r="E58" s="95">
        <v>325</v>
      </c>
      <c r="F58" s="95">
        <v>3513</v>
      </c>
      <c r="G58" s="95">
        <v>1764</v>
      </c>
      <c r="H58" s="95">
        <v>5</v>
      </c>
      <c r="I58" s="95">
        <v>0</v>
      </c>
      <c r="J58" s="93">
        <v>9027.2999999999993</v>
      </c>
      <c r="K58" s="94">
        <v>584.40000000000009</v>
      </c>
      <c r="L58" s="93">
        <v>0</v>
      </c>
      <c r="M58" s="94">
        <v>0</v>
      </c>
    </row>
    <row r="59" spans="1:13" x14ac:dyDescent="0.35">
      <c r="A59">
        <v>2028</v>
      </c>
      <c r="B59" s="92" t="s">
        <v>31</v>
      </c>
      <c r="C59" s="93">
        <v>13140</v>
      </c>
      <c r="D59" s="94">
        <v>0</v>
      </c>
      <c r="E59" s="95">
        <v>438</v>
      </c>
      <c r="F59" s="95">
        <v>4684</v>
      </c>
      <c r="G59" s="95">
        <v>2353</v>
      </c>
      <c r="H59" s="95">
        <v>5</v>
      </c>
      <c r="I59" s="95">
        <v>0</v>
      </c>
      <c r="J59" s="93">
        <v>10112.449999999999</v>
      </c>
      <c r="K59" s="94">
        <v>654.60000000000014</v>
      </c>
      <c r="L59" s="93">
        <v>0</v>
      </c>
      <c r="M59" s="94">
        <v>0</v>
      </c>
    </row>
    <row r="60" spans="1:13" x14ac:dyDescent="0.35">
      <c r="A60">
        <v>2029</v>
      </c>
      <c r="B60" s="92" t="s">
        <v>31</v>
      </c>
      <c r="C60" s="93">
        <v>17520</v>
      </c>
      <c r="D60" s="94">
        <v>0</v>
      </c>
      <c r="E60" s="95">
        <v>551</v>
      </c>
      <c r="F60" s="95">
        <v>5854</v>
      </c>
      <c r="G60" s="95">
        <v>2941</v>
      </c>
      <c r="H60" s="95">
        <v>5</v>
      </c>
      <c r="I60" s="95">
        <v>0</v>
      </c>
      <c r="J60" s="93">
        <v>11197.599999999999</v>
      </c>
      <c r="K60" s="94">
        <v>724.80000000000018</v>
      </c>
      <c r="L60" s="93">
        <v>0</v>
      </c>
      <c r="M60" s="94">
        <v>0</v>
      </c>
    </row>
    <row r="61" spans="1:13" x14ac:dyDescent="0.35">
      <c r="A61">
        <v>2030</v>
      </c>
      <c r="B61" s="92" t="s">
        <v>31</v>
      </c>
      <c r="C61" s="93">
        <v>21900</v>
      </c>
      <c r="D61" s="94">
        <v>16425</v>
      </c>
      <c r="E61" s="95">
        <v>664</v>
      </c>
      <c r="F61" s="95">
        <v>7025</v>
      </c>
      <c r="G61" s="95">
        <v>3529</v>
      </c>
      <c r="H61" s="95">
        <v>10</v>
      </c>
      <c r="I61" s="95">
        <v>0</v>
      </c>
      <c r="J61" s="93">
        <v>12282.749999999998</v>
      </c>
      <c r="K61" s="94">
        <v>795.00000000000023</v>
      </c>
      <c r="L61" s="93">
        <v>50</v>
      </c>
      <c r="M61" s="94">
        <v>10</v>
      </c>
    </row>
    <row r="62" spans="1:13" x14ac:dyDescent="0.35">
      <c r="A62">
        <v>2031</v>
      </c>
      <c r="B62" s="92" t="s">
        <v>31</v>
      </c>
      <c r="C62" s="93">
        <v>26280</v>
      </c>
      <c r="D62" s="94">
        <v>32850</v>
      </c>
      <c r="E62" s="95">
        <v>777</v>
      </c>
      <c r="F62" s="95">
        <v>8196</v>
      </c>
      <c r="G62" s="95">
        <v>4117</v>
      </c>
      <c r="H62" s="95">
        <v>10</v>
      </c>
      <c r="I62" s="95">
        <v>0</v>
      </c>
      <c r="J62" s="93">
        <v>13367.899999999998</v>
      </c>
      <c r="K62" s="94">
        <v>865.20000000000027</v>
      </c>
      <c r="L62" s="93">
        <v>60</v>
      </c>
      <c r="M62" s="94">
        <v>16</v>
      </c>
    </row>
    <row r="63" spans="1:13" x14ac:dyDescent="0.35">
      <c r="A63">
        <v>2032</v>
      </c>
      <c r="B63" s="92" t="s">
        <v>31</v>
      </c>
      <c r="C63" s="93">
        <v>30660</v>
      </c>
      <c r="D63" s="94">
        <v>49275</v>
      </c>
      <c r="E63" s="95">
        <v>890</v>
      </c>
      <c r="F63" s="95">
        <v>9367</v>
      </c>
      <c r="G63" s="95">
        <v>4705</v>
      </c>
      <c r="H63" s="95">
        <v>15</v>
      </c>
      <c r="I63" s="95">
        <v>0</v>
      </c>
      <c r="J63" s="93">
        <v>14453.049999999997</v>
      </c>
      <c r="K63" s="94">
        <v>935.40000000000032</v>
      </c>
      <c r="L63" s="93">
        <v>70</v>
      </c>
      <c r="M63" s="94">
        <v>22</v>
      </c>
    </row>
    <row r="64" spans="1:13" x14ac:dyDescent="0.35">
      <c r="A64">
        <v>2033</v>
      </c>
      <c r="B64" s="92" t="s">
        <v>31</v>
      </c>
      <c r="C64" s="93">
        <v>35040</v>
      </c>
      <c r="D64" s="94">
        <v>65700</v>
      </c>
      <c r="E64" s="95">
        <v>1003</v>
      </c>
      <c r="F64" s="95">
        <v>10538</v>
      </c>
      <c r="G64" s="95">
        <v>5293</v>
      </c>
      <c r="H64" s="95">
        <v>15</v>
      </c>
      <c r="I64" s="95">
        <v>0</v>
      </c>
      <c r="J64" s="93">
        <v>15538.199999999997</v>
      </c>
      <c r="K64" s="94">
        <v>1005.6000000000004</v>
      </c>
      <c r="L64" s="93">
        <v>80</v>
      </c>
      <c r="M64" s="94">
        <v>28</v>
      </c>
    </row>
    <row r="65" spans="1:13" x14ac:dyDescent="0.35">
      <c r="A65">
        <v>2034</v>
      </c>
      <c r="B65" s="92" t="s">
        <v>31</v>
      </c>
      <c r="C65" s="93">
        <v>39420</v>
      </c>
      <c r="D65" s="94">
        <v>82125</v>
      </c>
      <c r="E65" s="95">
        <v>1116</v>
      </c>
      <c r="F65" s="95">
        <v>11709</v>
      </c>
      <c r="G65" s="95">
        <v>5881</v>
      </c>
      <c r="H65" s="95">
        <v>15</v>
      </c>
      <c r="I65" s="95">
        <v>1000</v>
      </c>
      <c r="J65" s="93">
        <v>16623.349999999999</v>
      </c>
      <c r="K65" s="94">
        <v>1075.8000000000004</v>
      </c>
      <c r="L65" s="93">
        <v>90</v>
      </c>
      <c r="M65" s="94">
        <v>34</v>
      </c>
    </row>
    <row r="66" spans="1:13" x14ac:dyDescent="0.35">
      <c r="A66">
        <v>2035</v>
      </c>
      <c r="B66" s="92" t="s">
        <v>31</v>
      </c>
      <c r="C66" s="93">
        <v>43800</v>
      </c>
      <c r="D66" s="94">
        <v>98550</v>
      </c>
      <c r="E66" s="95">
        <v>1229</v>
      </c>
      <c r="F66" s="95">
        <v>12880</v>
      </c>
      <c r="G66" s="95">
        <v>6470</v>
      </c>
      <c r="H66" s="95">
        <v>15</v>
      </c>
      <c r="I66" s="95">
        <v>1000</v>
      </c>
      <c r="J66" s="93">
        <v>17708.5</v>
      </c>
      <c r="K66" s="94">
        <v>1146.0000000000005</v>
      </c>
      <c r="L66" s="93">
        <v>100</v>
      </c>
      <c r="M66" s="94">
        <v>40</v>
      </c>
    </row>
    <row r="67" spans="1:13" x14ac:dyDescent="0.35">
      <c r="A67">
        <v>2036</v>
      </c>
      <c r="B67" s="92" t="s">
        <v>31</v>
      </c>
      <c r="C67" s="93">
        <v>48180</v>
      </c>
      <c r="D67" s="94">
        <v>114975</v>
      </c>
      <c r="E67" s="95">
        <v>1342</v>
      </c>
      <c r="F67" s="95">
        <v>14051</v>
      </c>
      <c r="G67" s="95">
        <v>7058</v>
      </c>
      <c r="H67" s="95">
        <v>15</v>
      </c>
      <c r="I67" s="95">
        <v>1000</v>
      </c>
      <c r="J67" s="93">
        <v>18793.650000000001</v>
      </c>
      <c r="K67" s="94">
        <v>1216.2000000000005</v>
      </c>
      <c r="L67" s="93">
        <v>90</v>
      </c>
      <c r="M67" s="94">
        <v>46</v>
      </c>
    </row>
    <row r="68" spans="1:13" x14ac:dyDescent="0.35">
      <c r="A68">
        <v>2037</v>
      </c>
      <c r="B68" s="92" t="s">
        <v>31</v>
      </c>
      <c r="C68" s="93">
        <v>52560</v>
      </c>
      <c r="D68" s="94">
        <v>131400</v>
      </c>
      <c r="E68" s="95">
        <v>1455</v>
      </c>
      <c r="F68" s="95">
        <v>15221</v>
      </c>
      <c r="G68" s="95">
        <v>7646</v>
      </c>
      <c r="H68" s="95">
        <v>15</v>
      </c>
      <c r="I68" s="95">
        <v>1000</v>
      </c>
      <c r="J68" s="93">
        <v>19878.800000000003</v>
      </c>
      <c r="K68" s="94">
        <v>1286.4000000000005</v>
      </c>
      <c r="L68" s="93">
        <v>80</v>
      </c>
      <c r="M68" s="94">
        <v>52</v>
      </c>
    </row>
    <row r="69" spans="1:13" x14ac:dyDescent="0.35">
      <c r="A69">
        <v>2038</v>
      </c>
      <c r="B69" s="92" t="s">
        <v>31</v>
      </c>
      <c r="C69" s="93">
        <v>56940</v>
      </c>
      <c r="D69" s="94">
        <v>147825</v>
      </c>
      <c r="E69" s="95">
        <v>1568</v>
      </c>
      <c r="F69" s="95">
        <v>16392</v>
      </c>
      <c r="G69" s="95">
        <v>8234</v>
      </c>
      <c r="H69" s="95">
        <v>15</v>
      </c>
      <c r="I69" s="95">
        <v>1000</v>
      </c>
      <c r="J69" s="93">
        <v>20963.950000000004</v>
      </c>
      <c r="K69" s="94">
        <v>1356.6000000000006</v>
      </c>
      <c r="L69" s="93">
        <v>70</v>
      </c>
      <c r="M69" s="94">
        <v>58</v>
      </c>
    </row>
    <row r="70" spans="1:13" x14ac:dyDescent="0.35">
      <c r="A70">
        <v>2039</v>
      </c>
      <c r="B70" s="92" t="s">
        <v>31</v>
      </c>
      <c r="C70" s="93">
        <v>61320</v>
      </c>
      <c r="D70" s="94">
        <v>164250</v>
      </c>
      <c r="E70" s="95">
        <v>1681</v>
      </c>
      <c r="F70" s="95">
        <v>17563</v>
      </c>
      <c r="G70" s="95">
        <v>8822</v>
      </c>
      <c r="H70" s="95">
        <v>15</v>
      </c>
      <c r="I70" s="95">
        <v>1000</v>
      </c>
      <c r="J70" s="93">
        <v>22049.100000000006</v>
      </c>
      <c r="K70" s="94">
        <v>1426.8000000000006</v>
      </c>
      <c r="L70" s="93">
        <v>60</v>
      </c>
      <c r="M70" s="94">
        <v>64</v>
      </c>
    </row>
    <row r="71" spans="1:13" x14ac:dyDescent="0.35">
      <c r="A71">
        <v>2040</v>
      </c>
      <c r="B71" s="92" t="s">
        <v>31</v>
      </c>
      <c r="C71" s="93">
        <v>65700</v>
      </c>
      <c r="D71" s="94">
        <v>180675</v>
      </c>
      <c r="E71" s="95">
        <v>1794</v>
      </c>
      <c r="F71" s="95">
        <v>18734</v>
      </c>
      <c r="G71" s="95">
        <v>9410</v>
      </c>
      <c r="H71" s="95">
        <v>15</v>
      </c>
      <c r="I71" s="95">
        <v>1000</v>
      </c>
      <c r="J71" s="93">
        <v>23134.250000000007</v>
      </c>
      <c r="K71" s="94">
        <v>1497.0000000000007</v>
      </c>
      <c r="L71" s="93">
        <v>50</v>
      </c>
      <c r="M71" s="94">
        <v>70</v>
      </c>
    </row>
    <row r="72" spans="1:13" x14ac:dyDescent="0.35">
      <c r="A72">
        <v>2041</v>
      </c>
      <c r="B72" s="92" t="s">
        <v>31</v>
      </c>
      <c r="C72" s="93">
        <v>70080</v>
      </c>
      <c r="D72" s="94">
        <v>197100</v>
      </c>
      <c r="E72" s="95">
        <v>1907</v>
      </c>
      <c r="F72" s="95">
        <v>19905</v>
      </c>
      <c r="G72" s="95">
        <v>9998</v>
      </c>
      <c r="H72" s="95">
        <v>15</v>
      </c>
      <c r="I72" s="95">
        <v>1000</v>
      </c>
      <c r="J72" s="93">
        <v>24219.400000000009</v>
      </c>
      <c r="K72" s="94">
        <v>1567.2000000000007</v>
      </c>
      <c r="L72" s="93">
        <v>40</v>
      </c>
      <c r="M72" s="94">
        <v>76</v>
      </c>
    </row>
    <row r="73" spans="1:13" x14ac:dyDescent="0.35">
      <c r="A73">
        <v>2042</v>
      </c>
      <c r="B73" s="92" t="s">
        <v>31</v>
      </c>
      <c r="C73" s="93">
        <v>74460</v>
      </c>
      <c r="D73" s="94">
        <v>213525</v>
      </c>
      <c r="E73" s="95">
        <v>2020</v>
      </c>
      <c r="F73" s="95">
        <v>21076</v>
      </c>
      <c r="G73" s="95">
        <v>10586</v>
      </c>
      <c r="H73" s="95">
        <v>15</v>
      </c>
      <c r="I73" s="95">
        <v>1000</v>
      </c>
      <c r="J73" s="93">
        <v>25304.55000000001</v>
      </c>
      <c r="K73" s="94">
        <v>1637.4000000000008</v>
      </c>
      <c r="L73" s="93">
        <v>30</v>
      </c>
      <c r="M73" s="94">
        <v>82</v>
      </c>
    </row>
    <row r="74" spans="1:13" x14ac:dyDescent="0.35">
      <c r="A74">
        <v>2043</v>
      </c>
      <c r="B74" s="92" t="s">
        <v>31</v>
      </c>
      <c r="C74" s="93">
        <v>78840</v>
      </c>
      <c r="D74" s="94">
        <v>229950</v>
      </c>
      <c r="E74" s="95">
        <v>2132</v>
      </c>
      <c r="F74" s="95">
        <v>22247</v>
      </c>
      <c r="G74" s="95">
        <v>11175</v>
      </c>
      <c r="H74" s="95">
        <v>15</v>
      </c>
      <c r="I74" s="95">
        <v>1000</v>
      </c>
      <c r="J74" s="93">
        <v>26389.700000000012</v>
      </c>
      <c r="K74" s="94">
        <v>1707.6000000000008</v>
      </c>
      <c r="L74" s="93">
        <v>20</v>
      </c>
      <c r="M74" s="94">
        <v>88</v>
      </c>
    </row>
    <row r="75" spans="1:13" x14ac:dyDescent="0.35">
      <c r="A75">
        <v>2044</v>
      </c>
      <c r="B75" s="92" t="s">
        <v>31</v>
      </c>
      <c r="C75" s="93">
        <v>83220</v>
      </c>
      <c r="D75" s="94">
        <v>246375</v>
      </c>
      <c r="E75" s="95">
        <v>2245</v>
      </c>
      <c r="F75" s="95">
        <v>23418</v>
      </c>
      <c r="G75" s="95">
        <v>11763</v>
      </c>
      <c r="H75" s="95">
        <v>15</v>
      </c>
      <c r="I75" s="95">
        <v>2000</v>
      </c>
      <c r="J75" s="93">
        <v>27474.850000000013</v>
      </c>
      <c r="K75" s="94">
        <v>1777.8000000000009</v>
      </c>
      <c r="L75" s="93">
        <v>10</v>
      </c>
      <c r="M75" s="94">
        <v>94</v>
      </c>
    </row>
    <row r="76" spans="1:13" x14ac:dyDescent="0.35">
      <c r="A76">
        <v>2045</v>
      </c>
      <c r="B76" s="92" t="s">
        <v>31</v>
      </c>
      <c r="C76" s="93">
        <v>87600</v>
      </c>
      <c r="D76" s="94">
        <v>262800</v>
      </c>
      <c r="E76" s="95">
        <v>2358</v>
      </c>
      <c r="F76" s="95">
        <v>24589</v>
      </c>
      <c r="G76" s="95">
        <v>12351</v>
      </c>
      <c r="H76" s="95">
        <v>15</v>
      </c>
      <c r="I76" s="95">
        <v>2000</v>
      </c>
      <c r="J76" s="93">
        <v>28560.000000000015</v>
      </c>
      <c r="K76" s="94">
        <v>1848.0000000000009</v>
      </c>
      <c r="L76" s="93">
        <v>0</v>
      </c>
      <c r="M76" s="94">
        <v>100</v>
      </c>
    </row>
    <row r="77" spans="1:13" hidden="1" x14ac:dyDescent="0.35">
      <c r="B77" s="86" t="s">
        <v>20</v>
      </c>
      <c r="C77" s="85" t="str">
        <f>LEFT(C55,3)</f>
        <v>Blu</v>
      </c>
      <c r="D77" s="85" t="str">
        <f t="shared" ref="D77" si="1">LEFT(D55,3)</f>
        <v>Gre</v>
      </c>
      <c r="E77" s="85" t="s">
        <v>21</v>
      </c>
      <c r="F77" s="85" t="s">
        <v>22</v>
      </c>
      <c r="G77" s="85" t="s">
        <v>23</v>
      </c>
      <c r="H77" s="85" t="s">
        <v>24</v>
      </c>
      <c r="I77" s="85" t="s">
        <v>25</v>
      </c>
      <c r="J77" s="85" t="s">
        <v>26</v>
      </c>
      <c r="K77" s="85" t="s">
        <v>27</v>
      </c>
      <c r="L77" s="85" t="s">
        <v>28</v>
      </c>
      <c r="M77" s="85" t="s">
        <v>29</v>
      </c>
    </row>
    <row r="81" spans="1:13" ht="93" x14ac:dyDescent="0.35">
      <c r="A81" t="s">
        <v>0</v>
      </c>
      <c r="B81" t="s">
        <v>1</v>
      </c>
      <c r="C81" s="79" t="s">
        <v>2</v>
      </c>
      <c r="D81" s="80" t="s">
        <v>3</v>
      </c>
      <c r="E81" s="73" t="s">
        <v>4</v>
      </c>
      <c r="F81" s="73" t="s">
        <v>5</v>
      </c>
      <c r="G81" s="73" t="s">
        <v>6</v>
      </c>
      <c r="H81" s="73" t="s">
        <v>7</v>
      </c>
      <c r="I81" s="73" t="s">
        <v>8</v>
      </c>
      <c r="J81" s="79" t="s">
        <v>9</v>
      </c>
      <c r="K81" s="80" t="s">
        <v>10</v>
      </c>
      <c r="L81" s="79" t="s">
        <v>11</v>
      </c>
      <c r="M81" s="80" t="s">
        <v>12</v>
      </c>
    </row>
    <row r="82" spans="1:13" x14ac:dyDescent="0.35">
      <c r="A82">
        <v>2025</v>
      </c>
      <c r="B82" s="92" t="s">
        <v>32</v>
      </c>
      <c r="C82" s="114">
        <f>C102/21</f>
        <v>476.1904761904762</v>
      </c>
      <c r="D82" s="114">
        <f t="shared" ref="D82:M82" si="2">D102/21</f>
        <v>476.1904761904762</v>
      </c>
      <c r="E82" s="114">
        <f t="shared" si="2"/>
        <v>9.5238095238095237</v>
      </c>
      <c r="F82" s="114">
        <f t="shared" si="2"/>
        <v>47.61904761904762</v>
      </c>
      <c r="G82" s="114">
        <f t="shared" si="2"/>
        <v>23.80952380952381</v>
      </c>
      <c r="H82" s="114">
        <f>5/21</f>
        <v>0.23809523809523808</v>
      </c>
      <c r="I82" s="114">
        <v>0</v>
      </c>
      <c r="J82" s="114">
        <f t="shared" si="2"/>
        <v>47.61904761904762</v>
      </c>
      <c r="K82" s="114">
        <f t="shared" si="2"/>
        <v>3.3333333333333335</v>
      </c>
      <c r="L82" s="114">
        <f t="shared" si="2"/>
        <v>2.3809523809523808E-2</v>
      </c>
      <c r="M82" s="114">
        <f t="shared" si="2"/>
        <v>0.35714285714285715</v>
      </c>
    </row>
    <row r="83" spans="1:13" x14ac:dyDescent="0.35">
      <c r="A83">
        <v>2026</v>
      </c>
      <c r="B83" s="92" t="s">
        <v>32</v>
      </c>
      <c r="C83" s="116">
        <f>C$82+C82</f>
        <v>952.38095238095241</v>
      </c>
      <c r="D83" s="116">
        <f t="shared" ref="D83:M98" si="3">D$82+D82</f>
        <v>952.38095238095241</v>
      </c>
      <c r="E83" s="114">
        <f t="shared" si="3"/>
        <v>19.047619047619047</v>
      </c>
      <c r="F83" s="115">
        <f t="shared" si="3"/>
        <v>95.238095238095241</v>
      </c>
      <c r="G83" s="115">
        <f t="shared" si="3"/>
        <v>47.61904761904762</v>
      </c>
      <c r="H83" s="115">
        <f t="shared" ref="H83:H102" si="4">5/21+H82</f>
        <v>0.47619047619047616</v>
      </c>
      <c r="I83" s="115">
        <v>0</v>
      </c>
      <c r="J83" s="116">
        <f t="shared" si="3"/>
        <v>95.238095238095241</v>
      </c>
      <c r="K83" s="116">
        <f t="shared" si="3"/>
        <v>6.666666666666667</v>
      </c>
      <c r="L83" s="115">
        <f t="shared" si="3"/>
        <v>4.7619047619047616E-2</v>
      </c>
      <c r="M83" s="115">
        <f t="shared" si="3"/>
        <v>0.7142857142857143</v>
      </c>
    </row>
    <row r="84" spans="1:13" x14ac:dyDescent="0.35">
      <c r="A84">
        <v>2027</v>
      </c>
      <c r="B84" s="92" t="s">
        <v>32</v>
      </c>
      <c r="C84" s="116">
        <f t="shared" ref="C84:C101" si="5">C$82+C83</f>
        <v>1428.5714285714287</v>
      </c>
      <c r="D84" s="116">
        <f t="shared" si="3"/>
        <v>1428.5714285714287</v>
      </c>
      <c r="E84" s="114">
        <f t="shared" si="3"/>
        <v>28.571428571428569</v>
      </c>
      <c r="F84" s="115">
        <f t="shared" si="3"/>
        <v>142.85714285714286</v>
      </c>
      <c r="G84" s="115">
        <f t="shared" si="3"/>
        <v>71.428571428571431</v>
      </c>
      <c r="H84" s="115">
        <f t="shared" si="4"/>
        <v>0.71428571428571419</v>
      </c>
      <c r="I84" s="115">
        <v>0</v>
      </c>
      <c r="J84" s="116">
        <f t="shared" si="3"/>
        <v>142.85714285714286</v>
      </c>
      <c r="K84" s="116">
        <f t="shared" si="3"/>
        <v>10</v>
      </c>
      <c r="L84" s="115">
        <f t="shared" si="3"/>
        <v>7.1428571428571425E-2</v>
      </c>
      <c r="M84" s="115">
        <f t="shared" si="3"/>
        <v>1.0714285714285714</v>
      </c>
    </row>
    <row r="85" spans="1:13" x14ac:dyDescent="0.35">
      <c r="A85">
        <v>2028</v>
      </c>
      <c r="B85" s="92" t="s">
        <v>32</v>
      </c>
      <c r="C85" s="116">
        <f t="shared" si="5"/>
        <v>1904.7619047619048</v>
      </c>
      <c r="D85" s="116">
        <f t="shared" si="3"/>
        <v>1904.7619047619048</v>
      </c>
      <c r="E85" s="114">
        <f t="shared" si="3"/>
        <v>38.095238095238095</v>
      </c>
      <c r="F85" s="115">
        <f t="shared" si="3"/>
        <v>190.47619047619048</v>
      </c>
      <c r="G85" s="115">
        <f t="shared" si="3"/>
        <v>95.238095238095241</v>
      </c>
      <c r="H85" s="115">
        <f t="shared" si="4"/>
        <v>0.95238095238095233</v>
      </c>
      <c r="I85" s="115">
        <v>0</v>
      </c>
      <c r="J85" s="116">
        <f t="shared" si="3"/>
        <v>190.47619047619048</v>
      </c>
      <c r="K85" s="116">
        <f t="shared" si="3"/>
        <v>13.333333333333334</v>
      </c>
      <c r="L85" s="115">
        <f t="shared" si="3"/>
        <v>9.5238095238095233E-2</v>
      </c>
      <c r="M85" s="115">
        <f t="shared" si="3"/>
        <v>1.4285714285714286</v>
      </c>
    </row>
    <row r="86" spans="1:13" x14ac:dyDescent="0.35">
      <c r="A86">
        <v>2029</v>
      </c>
      <c r="B86" s="92" t="s">
        <v>32</v>
      </c>
      <c r="C86" s="116">
        <f t="shared" si="5"/>
        <v>2380.9523809523812</v>
      </c>
      <c r="D86" s="116">
        <f t="shared" si="3"/>
        <v>2380.9523809523812</v>
      </c>
      <c r="E86" s="114">
        <f t="shared" si="3"/>
        <v>47.61904761904762</v>
      </c>
      <c r="F86" s="115">
        <f t="shared" si="3"/>
        <v>238.0952380952381</v>
      </c>
      <c r="G86" s="115">
        <f t="shared" si="3"/>
        <v>119.04761904761905</v>
      </c>
      <c r="H86" s="115">
        <f t="shared" si="4"/>
        <v>1.1904761904761905</v>
      </c>
      <c r="I86" s="115">
        <v>0</v>
      </c>
      <c r="J86" s="116">
        <f t="shared" si="3"/>
        <v>238.0952380952381</v>
      </c>
      <c r="K86" s="116">
        <f t="shared" si="3"/>
        <v>16.666666666666668</v>
      </c>
      <c r="L86" s="115">
        <f t="shared" si="3"/>
        <v>0.11904761904761904</v>
      </c>
      <c r="M86" s="115">
        <f t="shared" si="3"/>
        <v>1.7857142857142858</v>
      </c>
    </row>
    <row r="87" spans="1:13" x14ac:dyDescent="0.35">
      <c r="A87">
        <v>2030</v>
      </c>
      <c r="B87" s="92" t="s">
        <v>32</v>
      </c>
      <c r="C87" s="116">
        <f t="shared" si="5"/>
        <v>2857.1428571428573</v>
      </c>
      <c r="D87" s="116">
        <f t="shared" si="3"/>
        <v>2857.1428571428573</v>
      </c>
      <c r="E87" s="114">
        <f t="shared" si="3"/>
        <v>57.142857142857146</v>
      </c>
      <c r="F87" s="115">
        <f t="shared" si="3"/>
        <v>285.71428571428572</v>
      </c>
      <c r="G87" s="115">
        <f t="shared" si="3"/>
        <v>142.85714285714286</v>
      </c>
      <c r="H87" s="115">
        <f t="shared" si="4"/>
        <v>1.4285714285714286</v>
      </c>
      <c r="I87" s="115">
        <v>0</v>
      </c>
      <c r="J87" s="116">
        <f t="shared" si="3"/>
        <v>285.71428571428572</v>
      </c>
      <c r="K87" s="116">
        <f t="shared" si="3"/>
        <v>20</v>
      </c>
      <c r="L87" s="115">
        <f t="shared" si="3"/>
        <v>0.14285714285714285</v>
      </c>
      <c r="M87" s="115">
        <f t="shared" si="3"/>
        <v>2.1428571428571428</v>
      </c>
    </row>
    <row r="88" spans="1:13" x14ac:dyDescent="0.35">
      <c r="A88">
        <v>2031</v>
      </c>
      <c r="B88" s="92" t="s">
        <v>32</v>
      </c>
      <c r="C88" s="116">
        <f t="shared" si="5"/>
        <v>3333.3333333333335</v>
      </c>
      <c r="D88" s="116">
        <f t="shared" si="3"/>
        <v>3333.3333333333335</v>
      </c>
      <c r="E88" s="114">
        <f t="shared" si="3"/>
        <v>66.666666666666671</v>
      </c>
      <c r="F88" s="115">
        <f t="shared" si="3"/>
        <v>333.33333333333337</v>
      </c>
      <c r="G88" s="115">
        <f t="shared" si="3"/>
        <v>166.66666666666669</v>
      </c>
      <c r="H88" s="115">
        <f t="shared" si="4"/>
        <v>1.6666666666666667</v>
      </c>
      <c r="I88" s="115">
        <f>1000/15</f>
        <v>66.666666666666671</v>
      </c>
      <c r="J88" s="116">
        <f t="shared" si="3"/>
        <v>333.33333333333337</v>
      </c>
      <c r="K88" s="116">
        <f t="shared" si="3"/>
        <v>23.333333333333332</v>
      </c>
      <c r="L88" s="115">
        <f t="shared" si="3"/>
        <v>0.16666666666666666</v>
      </c>
      <c r="M88" s="115">
        <f t="shared" si="3"/>
        <v>2.5</v>
      </c>
    </row>
    <row r="89" spans="1:13" x14ac:dyDescent="0.35">
      <c r="A89">
        <v>2032</v>
      </c>
      <c r="B89" s="92" t="s">
        <v>32</v>
      </c>
      <c r="C89" s="116">
        <f t="shared" si="5"/>
        <v>3809.5238095238096</v>
      </c>
      <c r="D89" s="116">
        <f t="shared" si="3"/>
        <v>3809.5238095238096</v>
      </c>
      <c r="E89" s="114">
        <f t="shared" si="3"/>
        <v>76.19047619047619</v>
      </c>
      <c r="F89" s="115">
        <f t="shared" si="3"/>
        <v>380.95238095238096</v>
      </c>
      <c r="G89" s="115">
        <f t="shared" si="3"/>
        <v>190.47619047619048</v>
      </c>
      <c r="H89" s="115">
        <f t="shared" si="4"/>
        <v>1.9047619047619049</v>
      </c>
      <c r="I89" s="115">
        <f>1000/15+I88</f>
        <v>133.33333333333334</v>
      </c>
      <c r="J89" s="116">
        <f t="shared" si="3"/>
        <v>380.95238095238096</v>
      </c>
      <c r="K89" s="116">
        <f t="shared" si="3"/>
        <v>26.666666666666664</v>
      </c>
      <c r="L89" s="115">
        <f t="shared" si="3"/>
        <v>0.19047619047619047</v>
      </c>
      <c r="M89" s="115">
        <f t="shared" si="3"/>
        <v>2.8571428571428572</v>
      </c>
    </row>
    <row r="90" spans="1:13" x14ac:dyDescent="0.35">
      <c r="A90">
        <v>2033</v>
      </c>
      <c r="B90" s="92" t="s">
        <v>32</v>
      </c>
      <c r="C90" s="116">
        <f t="shared" si="5"/>
        <v>4285.7142857142862</v>
      </c>
      <c r="D90" s="116">
        <f t="shared" si="3"/>
        <v>4285.7142857142862</v>
      </c>
      <c r="E90" s="114">
        <f t="shared" si="3"/>
        <v>85.714285714285708</v>
      </c>
      <c r="F90" s="115">
        <f t="shared" si="3"/>
        <v>428.57142857142856</v>
      </c>
      <c r="G90" s="115">
        <f t="shared" si="3"/>
        <v>214.28571428571428</v>
      </c>
      <c r="H90" s="115">
        <f t="shared" si="4"/>
        <v>2.1428571428571428</v>
      </c>
      <c r="I90" s="115">
        <f t="shared" ref="I90:I102" si="6">1000/15+I89</f>
        <v>200</v>
      </c>
      <c r="J90" s="116">
        <f t="shared" si="3"/>
        <v>428.57142857142856</v>
      </c>
      <c r="K90" s="116">
        <f t="shared" si="3"/>
        <v>29.999999999999996</v>
      </c>
      <c r="L90" s="115">
        <f t="shared" si="3"/>
        <v>0.21428571428571427</v>
      </c>
      <c r="M90" s="115">
        <f t="shared" si="3"/>
        <v>3.2142857142857144</v>
      </c>
    </row>
    <row r="91" spans="1:13" x14ac:dyDescent="0.35">
      <c r="A91">
        <v>2034</v>
      </c>
      <c r="B91" s="92" t="s">
        <v>32</v>
      </c>
      <c r="C91" s="116">
        <f t="shared" si="5"/>
        <v>4761.9047619047624</v>
      </c>
      <c r="D91" s="116">
        <f t="shared" si="3"/>
        <v>4761.9047619047624</v>
      </c>
      <c r="E91" s="114">
        <f t="shared" si="3"/>
        <v>95.238095238095227</v>
      </c>
      <c r="F91" s="115">
        <f t="shared" si="3"/>
        <v>476.19047619047615</v>
      </c>
      <c r="G91" s="115">
        <f t="shared" si="3"/>
        <v>238.09523809523807</v>
      </c>
      <c r="H91" s="115">
        <f t="shared" si="4"/>
        <v>2.3809523809523809</v>
      </c>
      <c r="I91" s="115">
        <f t="shared" si="6"/>
        <v>266.66666666666669</v>
      </c>
      <c r="J91" s="116">
        <f t="shared" si="3"/>
        <v>476.19047619047615</v>
      </c>
      <c r="K91" s="116">
        <f t="shared" si="3"/>
        <v>33.333333333333329</v>
      </c>
      <c r="L91" s="115">
        <f t="shared" si="3"/>
        <v>0.23809523809523808</v>
      </c>
      <c r="M91" s="115">
        <f t="shared" si="3"/>
        <v>3.5714285714285716</v>
      </c>
    </row>
    <row r="92" spans="1:13" x14ac:dyDescent="0.35">
      <c r="A92">
        <v>2035</v>
      </c>
      <c r="B92" s="92" t="s">
        <v>32</v>
      </c>
      <c r="C92" s="116">
        <f t="shared" si="5"/>
        <v>5238.0952380952385</v>
      </c>
      <c r="D92" s="116">
        <f t="shared" si="3"/>
        <v>5238.0952380952385</v>
      </c>
      <c r="E92" s="114">
        <f t="shared" si="3"/>
        <v>104.76190476190474</v>
      </c>
      <c r="F92" s="115">
        <f t="shared" si="3"/>
        <v>523.80952380952374</v>
      </c>
      <c r="G92" s="115">
        <f t="shared" si="3"/>
        <v>261.90476190476187</v>
      </c>
      <c r="H92" s="115">
        <f t="shared" si="4"/>
        <v>2.6190476190476191</v>
      </c>
      <c r="I92" s="115">
        <f t="shared" si="6"/>
        <v>333.33333333333337</v>
      </c>
      <c r="J92" s="116">
        <f t="shared" si="3"/>
        <v>523.80952380952374</v>
      </c>
      <c r="K92" s="116">
        <f t="shared" si="3"/>
        <v>36.666666666666664</v>
      </c>
      <c r="L92" s="115">
        <f t="shared" si="3"/>
        <v>0.26190476190476186</v>
      </c>
      <c r="M92" s="115">
        <f t="shared" si="3"/>
        <v>3.9285714285714288</v>
      </c>
    </row>
    <row r="93" spans="1:13" x14ac:dyDescent="0.35">
      <c r="A93">
        <v>2036</v>
      </c>
      <c r="B93" s="92" t="s">
        <v>32</v>
      </c>
      <c r="C93" s="116">
        <f t="shared" si="5"/>
        <v>5714.2857142857147</v>
      </c>
      <c r="D93" s="116">
        <f t="shared" si="3"/>
        <v>5714.2857142857147</v>
      </c>
      <c r="E93" s="114">
        <f t="shared" si="3"/>
        <v>114.28571428571426</v>
      </c>
      <c r="F93" s="115">
        <f t="shared" si="3"/>
        <v>571.42857142857133</v>
      </c>
      <c r="G93" s="115">
        <f t="shared" si="3"/>
        <v>285.71428571428567</v>
      </c>
      <c r="H93" s="115">
        <f t="shared" si="4"/>
        <v>2.8571428571428572</v>
      </c>
      <c r="I93" s="115">
        <f t="shared" si="6"/>
        <v>400.00000000000006</v>
      </c>
      <c r="J93" s="116">
        <f t="shared" si="3"/>
        <v>571.42857142857133</v>
      </c>
      <c r="K93" s="116">
        <f t="shared" si="3"/>
        <v>40</v>
      </c>
      <c r="L93" s="115">
        <f t="shared" si="3"/>
        <v>0.2857142857142857</v>
      </c>
      <c r="M93" s="115">
        <f t="shared" si="3"/>
        <v>4.2857142857142856</v>
      </c>
    </row>
    <row r="94" spans="1:13" x14ac:dyDescent="0.35">
      <c r="A94">
        <v>2037</v>
      </c>
      <c r="B94" s="92" t="s">
        <v>32</v>
      </c>
      <c r="C94" s="116">
        <f t="shared" si="5"/>
        <v>6190.4761904761908</v>
      </c>
      <c r="D94" s="116">
        <f t="shared" si="3"/>
        <v>6190.4761904761908</v>
      </c>
      <c r="E94" s="114">
        <f t="shared" si="3"/>
        <v>123.80952380952378</v>
      </c>
      <c r="F94" s="115">
        <f t="shared" si="3"/>
        <v>619.04761904761892</v>
      </c>
      <c r="G94" s="115">
        <f t="shared" si="3"/>
        <v>309.52380952380946</v>
      </c>
      <c r="H94" s="115">
        <f t="shared" si="4"/>
        <v>3.0952380952380953</v>
      </c>
      <c r="I94" s="115">
        <f t="shared" si="6"/>
        <v>466.66666666666674</v>
      </c>
      <c r="J94" s="116">
        <f t="shared" si="3"/>
        <v>619.04761904761892</v>
      </c>
      <c r="K94" s="116">
        <f t="shared" si="3"/>
        <v>43.333333333333336</v>
      </c>
      <c r="L94" s="115">
        <f t="shared" si="3"/>
        <v>0.30952380952380953</v>
      </c>
      <c r="M94" s="115">
        <f t="shared" si="3"/>
        <v>4.6428571428571423</v>
      </c>
    </row>
    <row r="95" spans="1:13" x14ac:dyDescent="0.35">
      <c r="A95">
        <v>2038</v>
      </c>
      <c r="B95" s="92" t="s">
        <v>32</v>
      </c>
      <c r="C95" s="116">
        <f t="shared" si="5"/>
        <v>6666.666666666667</v>
      </c>
      <c r="D95" s="116">
        <f t="shared" si="3"/>
        <v>6666.666666666667</v>
      </c>
      <c r="E95" s="114">
        <f t="shared" si="3"/>
        <v>133.33333333333331</v>
      </c>
      <c r="F95" s="115">
        <f t="shared" si="3"/>
        <v>666.66666666666652</v>
      </c>
      <c r="G95" s="115">
        <f t="shared" si="3"/>
        <v>333.33333333333326</v>
      </c>
      <c r="H95" s="115">
        <f t="shared" si="4"/>
        <v>3.3333333333333335</v>
      </c>
      <c r="I95" s="115">
        <f t="shared" si="6"/>
        <v>533.33333333333337</v>
      </c>
      <c r="J95" s="116">
        <f t="shared" si="3"/>
        <v>666.66666666666652</v>
      </c>
      <c r="K95" s="116">
        <f t="shared" si="3"/>
        <v>46.666666666666671</v>
      </c>
      <c r="L95" s="115">
        <f t="shared" si="3"/>
        <v>0.33333333333333337</v>
      </c>
      <c r="M95" s="115">
        <f t="shared" si="3"/>
        <v>4.9999999999999991</v>
      </c>
    </row>
    <row r="96" spans="1:13" x14ac:dyDescent="0.35">
      <c r="A96">
        <v>2039</v>
      </c>
      <c r="B96" s="92" t="s">
        <v>32</v>
      </c>
      <c r="C96" s="116">
        <f t="shared" si="5"/>
        <v>7142.8571428571431</v>
      </c>
      <c r="D96" s="116">
        <f t="shared" si="3"/>
        <v>7142.8571428571431</v>
      </c>
      <c r="E96" s="114">
        <f t="shared" si="3"/>
        <v>142.85714285714283</v>
      </c>
      <c r="F96" s="115">
        <f t="shared" si="3"/>
        <v>714.28571428571411</v>
      </c>
      <c r="G96" s="115">
        <f t="shared" si="3"/>
        <v>357.14285714285705</v>
      </c>
      <c r="H96" s="115">
        <f t="shared" si="4"/>
        <v>3.5714285714285716</v>
      </c>
      <c r="I96" s="115">
        <f t="shared" si="6"/>
        <v>600</v>
      </c>
      <c r="J96" s="116">
        <f t="shared" si="3"/>
        <v>714.28571428571411</v>
      </c>
      <c r="K96" s="116">
        <f t="shared" si="3"/>
        <v>50.000000000000007</v>
      </c>
      <c r="L96" s="115">
        <f t="shared" si="3"/>
        <v>0.35714285714285721</v>
      </c>
      <c r="M96" s="115">
        <f t="shared" si="3"/>
        <v>5.3571428571428559</v>
      </c>
    </row>
    <row r="97" spans="1:13" x14ac:dyDescent="0.35">
      <c r="A97">
        <v>2040</v>
      </c>
      <c r="B97" s="92" t="s">
        <v>32</v>
      </c>
      <c r="C97" s="116">
        <f t="shared" si="5"/>
        <v>7619.0476190476193</v>
      </c>
      <c r="D97" s="116">
        <f t="shared" si="3"/>
        <v>7619.0476190476193</v>
      </c>
      <c r="E97" s="114">
        <f t="shared" si="3"/>
        <v>152.38095238095235</v>
      </c>
      <c r="F97" s="115">
        <f t="shared" si="3"/>
        <v>761.9047619047617</v>
      </c>
      <c r="G97" s="115">
        <f t="shared" si="3"/>
        <v>380.95238095238085</v>
      </c>
      <c r="H97" s="115">
        <f t="shared" si="4"/>
        <v>3.8095238095238098</v>
      </c>
      <c r="I97" s="115">
        <f t="shared" si="6"/>
        <v>666.66666666666663</v>
      </c>
      <c r="J97" s="116">
        <f t="shared" si="3"/>
        <v>761.9047619047617</v>
      </c>
      <c r="K97" s="116">
        <f t="shared" si="3"/>
        <v>53.333333333333343</v>
      </c>
      <c r="L97" s="115">
        <f t="shared" si="3"/>
        <v>0.38095238095238104</v>
      </c>
      <c r="M97" s="115">
        <f t="shared" si="3"/>
        <v>5.7142857142857126</v>
      </c>
    </row>
    <row r="98" spans="1:13" x14ac:dyDescent="0.35">
      <c r="A98">
        <v>2041</v>
      </c>
      <c r="B98" s="92" t="s">
        <v>32</v>
      </c>
      <c r="C98" s="116">
        <f t="shared" si="5"/>
        <v>8095.2380952380954</v>
      </c>
      <c r="D98" s="116">
        <f t="shared" si="3"/>
        <v>8095.2380952380954</v>
      </c>
      <c r="E98" s="114">
        <f t="shared" si="3"/>
        <v>161.90476190476187</v>
      </c>
      <c r="F98" s="115">
        <f t="shared" si="3"/>
        <v>809.52380952380929</v>
      </c>
      <c r="G98" s="115">
        <f t="shared" si="3"/>
        <v>404.76190476190465</v>
      </c>
      <c r="H98" s="115">
        <f t="shared" si="4"/>
        <v>4.0476190476190474</v>
      </c>
      <c r="I98" s="115">
        <f t="shared" si="6"/>
        <v>733.33333333333326</v>
      </c>
      <c r="J98" s="116">
        <f t="shared" si="3"/>
        <v>809.52380952380929</v>
      </c>
      <c r="K98" s="116">
        <f t="shared" si="3"/>
        <v>56.666666666666679</v>
      </c>
      <c r="L98" s="115">
        <f t="shared" si="3"/>
        <v>0.40476190476190488</v>
      </c>
      <c r="M98" s="115">
        <f t="shared" si="3"/>
        <v>6.0714285714285694</v>
      </c>
    </row>
    <row r="99" spans="1:13" x14ac:dyDescent="0.35">
      <c r="A99">
        <v>2042</v>
      </c>
      <c r="B99" s="92" t="s">
        <v>32</v>
      </c>
      <c r="C99" s="116">
        <f t="shared" si="5"/>
        <v>8571.4285714285725</v>
      </c>
      <c r="D99" s="116">
        <f t="shared" ref="D99:D101" si="7">D$82+D98</f>
        <v>8571.4285714285725</v>
      </c>
      <c r="E99" s="114">
        <f t="shared" ref="E99:E101" si="8">E$82+E98</f>
        <v>171.42857142857139</v>
      </c>
      <c r="F99" s="115">
        <f t="shared" ref="F99:F101" si="9">F$82+F98</f>
        <v>857.14285714285688</v>
      </c>
      <c r="G99" s="115">
        <f t="shared" ref="G99:G101" si="10">G$82+G98</f>
        <v>428.57142857142844</v>
      </c>
      <c r="H99" s="115">
        <f t="shared" si="4"/>
        <v>4.2857142857142856</v>
      </c>
      <c r="I99" s="115">
        <f t="shared" si="6"/>
        <v>799.99999999999989</v>
      </c>
      <c r="J99" s="116">
        <f t="shared" ref="J99:J101" si="11">J$82+J98</f>
        <v>857.14285714285688</v>
      </c>
      <c r="K99" s="116">
        <f t="shared" ref="K99:K101" si="12">K$82+K98</f>
        <v>60.000000000000014</v>
      </c>
      <c r="L99" s="115">
        <f t="shared" ref="L99:L101" si="13">L$82+L98</f>
        <v>0.42857142857142871</v>
      </c>
      <c r="M99" s="115">
        <f t="shared" ref="M99:M101" si="14">M$82+M98</f>
        <v>6.4285714285714262</v>
      </c>
    </row>
    <row r="100" spans="1:13" x14ac:dyDescent="0.35">
      <c r="A100">
        <v>2043</v>
      </c>
      <c r="B100" s="92" t="s">
        <v>32</v>
      </c>
      <c r="C100" s="116">
        <f t="shared" si="5"/>
        <v>9047.6190476190495</v>
      </c>
      <c r="D100" s="116">
        <f t="shared" si="7"/>
        <v>9047.6190476190495</v>
      </c>
      <c r="E100" s="114">
        <f t="shared" si="8"/>
        <v>180.95238095238091</v>
      </c>
      <c r="F100" s="115">
        <f t="shared" si="9"/>
        <v>904.76190476190447</v>
      </c>
      <c r="G100" s="115">
        <f t="shared" si="10"/>
        <v>452.38095238095224</v>
      </c>
      <c r="H100" s="115">
        <f t="shared" si="4"/>
        <v>4.5238095238095237</v>
      </c>
      <c r="I100" s="115">
        <f t="shared" si="6"/>
        <v>866.66666666666652</v>
      </c>
      <c r="J100" s="116">
        <f t="shared" si="11"/>
        <v>904.76190476190447</v>
      </c>
      <c r="K100" s="116">
        <f t="shared" si="12"/>
        <v>63.33333333333335</v>
      </c>
      <c r="L100" s="115">
        <f t="shared" si="13"/>
        <v>0.45238095238095255</v>
      </c>
      <c r="M100" s="115">
        <f t="shared" si="14"/>
        <v>6.7857142857142829</v>
      </c>
    </row>
    <row r="101" spans="1:13" x14ac:dyDescent="0.35">
      <c r="A101">
        <v>2044</v>
      </c>
      <c r="B101" s="92" t="s">
        <v>32</v>
      </c>
      <c r="C101" s="116">
        <f t="shared" si="5"/>
        <v>9523.8095238095266</v>
      </c>
      <c r="D101" s="116">
        <f t="shared" si="7"/>
        <v>9523.8095238095266</v>
      </c>
      <c r="E101" s="114">
        <f t="shared" si="8"/>
        <v>190.47619047619042</v>
      </c>
      <c r="F101" s="115">
        <f t="shared" si="9"/>
        <v>952.38095238095207</v>
      </c>
      <c r="G101" s="115">
        <f t="shared" si="10"/>
        <v>476.19047619047603</v>
      </c>
      <c r="H101" s="115">
        <f t="shared" si="4"/>
        <v>4.7619047619047619</v>
      </c>
      <c r="I101" s="115">
        <f t="shared" si="6"/>
        <v>933.33333333333314</v>
      </c>
      <c r="J101" s="116">
        <f t="shared" si="11"/>
        <v>952.38095238095207</v>
      </c>
      <c r="K101" s="116">
        <f t="shared" si="12"/>
        <v>66.666666666666686</v>
      </c>
      <c r="L101" s="115">
        <f t="shared" si="13"/>
        <v>0.47619047619047639</v>
      </c>
      <c r="M101" s="115">
        <f t="shared" si="14"/>
        <v>7.1428571428571397</v>
      </c>
    </row>
    <row r="102" spans="1:13" x14ac:dyDescent="0.35">
      <c r="A102">
        <v>2045</v>
      </c>
      <c r="B102" s="92" t="s">
        <v>32</v>
      </c>
      <c r="C102" s="113">
        <v>10000</v>
      </c>
      <c r="D102" s="113">
        <v>10000</v>
      </c>
      <c r="E102" s="25">
        <v>200</v>
      </c>
      <c r="F102" s="25">
        <v>1000</v>
      </c>
      <c r="G102" s="25">
        <v>500</v>
      </c>
      <c r="H102" s="115">
        <f t="shared" si="4"/>
        <v>5</v>
      </c>
      <c r="I102" s="115">
        <f t="shared" si="6"/>
        <v>999.99999999999977</v>
      </c>
      <c r="J102" s="25">
        <v>1000</v>
      </c>
      <c r="K102" s="25">
        <v>70</v>
      </c>
      <c r="L102" s="25">
        <v>0.5</v>
      </c>
      <c r="M102" s="25">
        <v>7.5</v>
      </c>
    </row>
  </sheetData>
  <mergeCells count="4">
    <mergeCell ref="C23:D23"/>
    <mergeCell ref="C24:D24"/>
    <mergeCell ref="L23:M23"/>
    <mergeCell ref="L24:M24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6B74-5483-954B-A2A7-3BB6F53E8993}">
  <dimension ref="A1:M22"/>
  <sheetViews>
    <sheetView zoomScale="81" zoomScaleNormal="81" workbookViewId="0">
      <selection sqref="A1:C22"/>
    </sheetView>
  </sheetViews>
  <sheetFormatPr defaultColWidth="11" defaultRowHeight="15.5" x14ac:dyDescent="0.35"/>
  <cols>
    <col min="12" max="13" width="12.83203125" customWidth="1"/>
  </cols>
  <sheetData>
    <row r="1" spans="1:13" ht="108.5" x14ac:dyDescent="0.35">
      <c r="A1" t="s">
        <v>0</v>
      </c>
      <c r="B1" t="s">
        <v>1</v>
      </c>
      <c r="C1" s="79" t="s">
        <v>2</v>
      </c>
      <c r="D1" s="80" t="s">
        <v>3</v>
      </c>
      <c r="E1" s="73" t="s">
        <v>4</v>
      </c>
      <c r="F1" s="73" t="s">
        <v>5</v>
      </c>
      <c r="G1" s="73" t="s">
        <v>6</v>
      </c>
      <c r="H1" s="73" t="s">
        <v>7</v>
      </c>
      <c r="I1" s="73" t="s">
        <v>8</v>
      </c>
      <c r="J1" s="79" t="s">
        <v>9</v>
      </c>
      <c r="K1" s="80" t="s">
        <v>10</v>
      </c>
      <c r="L1" s="79" t="s">
        <v>11</v>
      </c>
      <c r="M1" s="80" t="s">
        <v>12</v>
      </c>
    </row>
    <row r="2" spans="1:13" x14ac:dyDescent="0.35">
      <c r="A2">
        <v>2025</v>
      </c>
      <c r="B2" s="92" t="s">
        <v>33</v>
      </c>
      <c r="C2" s="93">
        <v>0</v>
      </c>
      <c r="D2" s="94">
        <v>0</v>
      </c>
      <c r="E2" s="95">
        <v>100</v>
      </c>
      <c r="F2" s="95">
        <v>1100</v>
      </c>
      <c r="G2" s="95">
        <v>590</v>
      </c>
      <c r="H2" s="95">
        <v>0</v>
      </c>
      <c r="I2" s="95">
        <v>0</v>
      </c>
      <c r="J2" s="93">
        <v>6000</v>
      </c>
      <c r="K2" s="94">
        <v>1500</v>
      </c>
      <c r="L2" s="93">
        <v>10</v>
      </c>
      <c r="M2" s="94">
        <v>100</v>
      </c>
    </row>
    <row r="3" spans="1:13" x14ac:dyDescent="0.35">
      <c r="A3">
        <v>2026</v>
      </c>
      <c r="B3" s="92" t="s">
        <v>33</v>
      </c>
      <c r="C3" s="93">
        <v>10950</v>
      </c>
      <c r="D3" s="94">
        <v>0</v>
      </c>
      <c r="E3" s="95">
        <v>200</v>
      </c>
      <c r="F3" s="95">
        <v>2270</v>
      </c>
      <c r="G3" s="95">
        <v>1180</v>
      </c>
      <c r="H3" s="95">
        <v>5</v>
      </c>
      <c r="I3" s="95">
        <v>0</v>
      </c>
      <c r="J3" s="93">
        <v>6000</v>
      </c>
      <c r="K3" s="94">
        <v>1500</v>
      </c>
      <c r="L3" s="93">
        <v>10</v>
      </c>
      <c r="M3" s="94">
        <v>100</v>
      </c>
    </row>
    <row r="4" spans="1:13" x14ac:dyDescent="0.35">
      <c r="A4">
        <v>2027</v>
      </c>
      <c r="B4" s="92" t="s">
        <v>33</v>
      </c>
      <c r="C4" s="93">
        <v>10950</v>
      </c>
      <c r="D4" s="94">
        <v>0</v>
      </c>
      <c r="E4" s="95">
        <v>300</v>
      </c>
      <c r="F4" s="95">
        <v>3440</v>
      </c>
      <c r="G4" s="95">
        <v>1770</v>
      </c>
      <c r="H4" s="95">
        <v>5</v>
      </c>
      <c r="I4" s="95">
        <v>0</v>
      </c>
      <c r="J4" s="93">
        <v>6000</v>
      </c>
      <c r="K4" s="94">
        <v>1500</v>
      </c>
      <c r="L4" s="93">
        <v>10</v>
      </c>
      <c r="M4" s="94">
        <v>100</v>
      </c>
    </row>
    <row r="5" spans="1:13" x14ac:dyDescent="0.35">
      <c r="A5">
        <v>2028</v>
      </c>
      <c r="B5" s="92" t="s">
        <v>33</v>
      </c>
      <c r="C5" s="93">
        <v>10950</v>
      </c>
      <c r="D5" s="94">
        <v>0</v>
      </c>
      <c r="E5" s="95">
        <v>400</v>
      </c>
      <c r="F5" s="95">
        <v>4610</v>
      </c>
      <c r="G5" s="95">
        <v>2360</v>
      </c>
      <c r="H5" s="95">
        <v>5</v>
      </c>
      <c r="I5" s="95">
        <v>0</v>
      </c>
      <c r="J5" s="93">
        <v>6000</v>
      </c>
      <c r="K5" s="94">
        <v>1500</v>
      </c>
      <c r="L5" s="93">
        <v>10</v>
      </c>
      <c r="M5" s="94">
        <v>100</v>
      </c>
    </row>
    <row r="6" spans="1:13" x14ac:dyDescent="0.35">
      <c r="A6">
        <v>2029</v>
      </c>
      <c r="B6" s="92" t="s">
        <v>33</v>
      </c>
      <c r="C6" s="93">
        <v>10950</v>
      </c>
      <c r="D6" s="94">
        <v>0</v>
      </c>
      <c r="E6" s="95">
        <v>500</v>
      </c>
      <c r="F6" s="95">
        <v>5780</v>
      </c>
      <c r="G6" s="95">
        <v>2950</v>
      </c>
      <c r="H6" s="95">
        <v>5</v>
      </c>
      <c r="I6" s="95">
        <v>0</v>
      </c>
      <c r="J6" s="93">
        <v>6000</v>
      </c>
      <c r="K6" s="94">
        <v>1500</v>
      </c>
      <c r="L6" s="93">
        <v>10</v>
      </c>
      <c r="M6" s="94">
        <v>100</v>
      </c>
    </row>
    <row r="7" spans="1:13" x14ac:dyDescent="0.35">
      <c r="A7">
        <v>2030</v>
      </c>
      <c r="B7" s="92" t="s">
        <v>33</v>
      </c>
      <c r="C7" s="93">
        <v>10950</v>
      </c>
      <c r="D7" s="94">
        <v>96000</v>
      </c>
      <c r="E7" s="95">
        <v>600</v>
      </c>
      <c r="F7" s="95">
        <v>6950</v>
      </c>
      <c r="G7" s="95">
        <v>3540</v>
      </c>
      <c r="H7" s="95">
        <v>10</v>
      </c>
      <c r="I7" s="95">
        <v>0</v>
      </c>
      <c r="J7" s="93">
        <v>6000</v>
      </c>
      <c r="K7" s="94">
        <v>1500</v>
      </c>
      <c r="L7" s="93">
        <v>10</v>
      </c>
      <c r="M7" s="94">
        <v>100</v>
      </c>
    </row>
    <row r="8" spans="1:13" x14ac:dyDescent="0.35">
      <c r="A8">
        <v>2031</v>
      </c>
      <c r="B8" s="92" t="s">
        <v>33</v>
      </c>
      <c r="C8" s="93">
        <v>10950</v>
      </c>
      <c r="D8" s="94">
        <v>96000</v>
      </c>
      <c r="E8" s="95">
        <v>700</v>
      </c>
      <c r="F8" s="95">
        <v>8120</v>
      </c>
      <c r="G8" s="95">
        <v>4130</v>
      </c>
      <c r="H8" s="95">
        <v>10</v>
      </c>
      <c r="I8" s="95">
        <v>0</v>
      </c>
      <c r="J8" s="93">
        <v>6000</v>
      </c>
      <c r="K8" s="94">
        <v>1500</v>
      </c>
      <c r="L8" s="93">
        <v>10</v>
      </c>
      <c r="M8" s="94">
        <v>100</v>
      </c>
    </row>
    <row r="9" spans="1:13" x14ac:dyDescent="0.35">
      <c r="A9">
        <v>2032</v>
      </c>
      <c r="B9" s="92" t="s">
        <v>33</v>
      </c>
      <c r="C9" s="93">
        <v>10950</v>
      </c>
      <c r="D9" s="94">
        <v>96000</v>
      </c>
      <c r="E9" s="95">
        <v>800</v>
      </c>
      <c r="F9" s="95">
        <v>9290</v>
      </c>
      <c r="G9" s="95">
        <v>4720</v>
      </c>
      <c r="H9" s="95">
        <v>15</v>
      </c>
      <c r="I9" s="95">
        <v>0</v>
      </c>
      <c r="J9" s="93">
        <v>6000</v>
      </c>
      <c r="K9" s="94">
        <v>1500</v>
      </c>
      <c r="L9" s="93">
        <v>10</v>
      </c>
      <c r="M9" s="94">
        <v>100</v>
      </c>
    </row>
    <row r="10" spans="1:13" x14ac:dyDescent="0.35">
      <c r="A10">
        <v>2033</v>
      </c>
      <c r="B10" s="92" t="s">
        <v>33</v>
      </c>
      <c r="C10" s="93">
        <v>10950</v>
      </c>
      <c r="D10" s="94">
        <v>96000</v>
      </c>
      <c r="E10" s="95">
        <v>900</v>
      </c>
      <c r="F10" s="95">
        <v>10460</v>
      </c>
      <c r="G10" s="95">
        <v>5310</v>
      </c>
      <c r="H10" s="95">
        <v>15</v>
      </c>
      <c r="I10" s="95">
        <v>0</v>
      </c>
      <c r="J10" s="93">
        <v>6000</v>
      </c>
      <c r="K10" s="94">
        <v>1500</v>
      </c>
      <c r="L10" s="93">
        <v>10</v>
      </c>
      <c r="M10" s="94">
        <v>100</v>
      </c>
    </row>
    <row r="11" spans="1:13" x14ac:dyDescent="0.35">
      <c r="A11">
        <v>2034</v>
      </c>
      <c r="B11" s="92" t="s">
        <v>33</v>
      </c>
      <c r="C11" s="93">
        <v>10950</v>
      </c>
      <c r="D11" s="94">
        <v>96000</v>
      </c>
      <c r="E11" s="95">
        <v>1000</v>
      </c>
      <c r="F11" s="95">
        <v>11630</v>
      </c>
      <c r="G11" s="95">
        <v>5900</v>
      </c>
      <c r="H11" s="95">
        <v>15</v>
      </c>
      <c r="I11" s="95">
        <v>0</v>
      </c>
      <c r="J11" s="93">
        <v>6000</v>
      </c>
      <c r="K11" s="94">
        <v>1500</v>
      </c>
      <c r="L11" s="93">
        <v>10</v>
      </c>
      <c r="M11" s="94">
        <v>100</v>
      </c>
    </row>
    <row r="12" spans="1:13" x14ac:dyDescent="0.35">
      <c r="A12">
        <v>2035</v>
      </c>
      <c r="B12" s="92" t="s">
        <v>33</v>
      </c>
      <c r="C12" s="93">
        <v>10950</v>
      </c>
      <c r="D12" s="94">
        <v>96000</v>
      </c>
      <c r="E12" s="95">
        <v>1100</v>
      </c>
      <c r="F12" s="95">
        <v>12800</v>
      </c>
      <c r="G12" s="95">
        <v>6490</v>
      </c>
      <c r="H12" s="95">
        <v>15</v>
      </c>
      <c r="I12" s="95">
        <v>0</v>
      </c>
      <c r="J12" s="93">
        <v>6000</v>
      </c>
      <c r="K12" s="94">
        <v>1500</v>
      </c>
      <c r="L12" s="93">
        <v>10</v>
      </c>
      <c r="M12" s="94">
        <v>100</v>
      </c>
    </row>
    <row r="13" spans="1:13" x14ac:dyDescent="0.35">
      <c r="A13">
        <v>2036</v>
      </c>
      <c r="B13" s="92" t="s">
        <v>33</v>
      </c>
      <c r="C13" s="93">
        <v>10950</v>
      </c>
      <c r="D13" s="94">
        <v>96000</v>
      </c>
      <c r="E13" s="95">
        <v>1200</v>
      </c>
      <c r="F13" s="95">
        <v>13970</v>
      </c>
      <c r="G13" s="95">
        <v>7080</v>
      </c>
      <c r="H13" s="95">
        <v>15</v>
      </c>
      <c r="I13" s="95">
        <v>0</v>
      </c>
      <c r="J13" s="93">
        <v>6000</v>
      </c>
      <c r="K13" s="94">
        <v>1500</v>
      </c>
      <c r="L13" s="93">
        <v>10</v>
      </c>
      <c r="M13" s="94">
        <v>100</v>
      </c>
    </row>
    <row r="14" spans="1:13" x14ac:dyDescent="0.35">
      <c r="A14">
        <v>2037</v>
      </c>
      <c r="B14" s="92" t="s">
        <v>33</v>
      </c>
      <c r="C14" s="93">
        <v>10950</v>
      </c>
      <c r="D14" s="94">
        <v>96000</v>
      </c>
      <c r="E14" s="95">
        <v>1300</v>
      </c>
      <c r="F14" s="95">
        <v>15140</v>
      </c>
      <c r="G14" s="95">
        <v>7670</v>
      </c>
      <c r="H14" s="95">
        <v>15</v>
      </c>
      <c r="I14" s="95">
        <v>0</v>
      </c>
      <c r="J14" s="93">
        <v>6000</v>
      </c>
      <c r="K14" s="94">
        <v>1500</v>
      </c>
      <c r="L14" s="93">
        <v>10</v>
      </c>
      <c r="M14" s="94">
        <v>100</v>
      </c>
    </row>
    <row r="15" spans="1:13" x14ac:dyDescent="0.35">
      <c r="A15">
        <v>2038</v>
      </c>
      <c r="B15" s="92" t="s">
        <v>33</v>
      </c>
      <c r="C15" s="93">
        <v>10950</v>
      </c>
      <c r="D15" s="94">
        <v>96000</v>
      </c>
      <c r="E15" s="95">
        <v>1400</v>
      </c>
      <c r="F15" s="95">
        <v>16310</v>
      </c>
      <c r="G15" s="95">
        <v>8260</v>
      </c>
      <c r="H15" s="95">
        <v>15</v>
      </c>
      <c r="I15" s="95">
        <v>0</v>
      </c>
      <c r="J15" s="93">
        <v>6000</v>
      </c>
      <c r="K15" s="94">
        <v>1500</v>
      </c>
      <c r="L15" s="93">
        <v>10</v>
      </c>
      <c r="M15" s="94">
        <v>100</v>
      </c>
    </row>
    <row r="16" spans="1:13" x14ac:dyDescent="0.35">
      <c r="A16">
        <v>2039</v>
      </c>
      <c r="B16" s="92" t="s">
        <v>33</v>
      </c>
      <c r="C16" s="93">
        <v>10950</v>
      </c>
      <c r="D16" s="94">
        <v>96000</v>
      </c>
      <c r="E16" s="95">
        <v>1500</v>
      </c>
      <c r="F16" s="95">
        <v>17480</v>
      </c>
      <c r="G16" s="95">
        <v>8850</v>
      </c>
      <c r="H16" s="95">
        <v>15</v>
      </c>
      <c r="I16" s="95">
        <v>0</v>
      </c>
      <c r="J16" s="93">
        <v>6000</v>
      </c>
      <c r="K16" s="94">
        <v>1500</v>
      </c>
      <c r="L16" s="93">
        <v>10</v>
      </c>
      <c r="M16" s="94">
        <v>100</v>
      </c>
    </row>
    <row r="17" spans="1:13" x14ac:dyDescent="0.35">
      <c r="A17">
        <v>2040</v>
      </c>
      <c r="B17" s="92" t="s">
        <v>33</v>
      </c>
      <c r="C17" s="93">
        <v>10950</v>
      </c>
      <c r="D17" s="94">
        <v>96000</v>
      </c>
      <c r="E17" s="95">
        <v>1600</v>
      </c>
      <c r="F17" s="95">
        <v>18650</v>
      </c>
      <c r="G17" s="95">
        <v>9440</v>
      </c>
      <c r="H17" s="95">
        <v>15</v>
      </c>
      <c r="I17" s="95">
        <v>0</v>
      </c>
      <c r="J17" s="93">
        <v>6000</v>
      </c>
      <c r="K17" s="94">
        <v>1500</v>
      </c>
      <c r="L17" s="93">
        <v>10</v>
      </c>
      <c r="M17" s="94">
        <v>100</v>
      </c>
    </row>
    <row r="18" spans="1:13" x14ac:dyDescent="0.35">
      <c r="A18">
        <v>2041</v>
      </c>
      <c r="B18" s="92" t="s">
        <v>33</v>
      </c>
      <c r="C18" s="93">
        <v>10950</v>
      </c>
      <c r="D18" s="94">
        <v>96000</v>
      </c>
      <c r="E18" s="95">
        <v>1700</v>
      </c>
      <c r="F18" s="95">
        <v>19820</v>
      </c>
      <c r="G18" s="95">
        <v>10030</v>
      </c>
      <c r="H18" s="95">
        <v>15</v>
      </c>
      <c r="I18" s="95">
        <v>0</v>
      </c>
      <c r="J18" s="93">
        <v>6000</v>
      </c>
      <c r="K18" s="94">
        <v>1500</v>
      </c>
      <c r="L18" s="93">
        <v>10</v>
      </c>
      <c r="M18" s="94">
        <v>100</v>
      </c>
    </row>
    <row r="19" spans="1:13" x14ac:dyDescent="0.35">
      <c r="A19">
        <v>2042</v>
      </c>
      <c r="B19" s="92" t="s">
        <v>33</v>
      </c>
      <c r="C19" s="93">
        <v>10950</v>
      </c>
      <c r="D19" s="94">
        <v>96000</v>
      </c>
      <c r="E19" s="95">
        <v>1800</v>
      </c>
      <c r="F19" s="95">
        <v>20990</v>
      </c>
      <c r="G19" s="95">
        <v>10620</v>
      </c>
      <c r="H19" s="95">
        <v>15</v>
      </c>
      <c r="I19" s="95">
        <v>0</v>
      </c>
      <c r="J19" s="93">
        <v>6000</v>
      </c>
      <c r="K19" s="94">
        <v>1500</v>
      </c>
      <c r="L19" s="93">
        <v>10</v>
      </c>
      <c r="M19" s="94">
        <v>100</v>
      </c>
    </row>
    <row r="20" spans="1:13" x14ac:dyDescent="0.35">
      <c r="A20">
        <v>2043</v>
      </c>
      <c r="B20" s="92" t="s">
        <v>33</v>
      </c>
      <c r="C20" s="93">
        <v>10950</v>
      </c>
      <c r="D20" s="94">
        <v>96000</v>
      </c>
      <c r="E20" s="95">
        <v>1900</v>
      </c>
      <c r="F20" s="95">
        <v>22160</v>
      </c>
      <c r="G20" s="95">
        <v>11210</v>
      </c>
      <c r="H20" s="95">
        <v>15</v>
      </c>
      <c r="I20" s="95">
        <v>0</v>
      </c>
      <c r="J20" s="93">
        <v>6000</v>
      </c>
      <c r="K20" s="94">
        <v>1500</v>
      </c>
      <c r="L20" s="93">
        <v>10</v>
      </c>
      <c r="M20" s="94">
        <v>100</v>
      </c>
    </row>
    <row r="21" spans="1:13" x14ac:dyDescent="0.35">
      <c r="A21">
        <v>2044</v>
      </c>
      <c r="B21" s="92" t="s">
        <v>33</v>
      </c>
      <c r="C21" s="93">
        <v>10950</v>
      </c>
      <c r="D21" s="94">
        <v>96000</v>
      </c>
      <c r="E21" s="95">
        <v>2000</v>
      </c>
      <c r="F21" s="95">
        <v>23330</v>
      </c>
      <c r="G21" s="95">
        <v>11800</v>
      </c>
      <c r="H21" s="95">
        <v>15</v>
      </c>
      <c r="I21" s="95">
        <v>0</v>
      </c>
      <c r="J21" s="93">
        <v>6000</v>
      </c>
      <c r="K21" s="94">
        <v>1500</v>
      </c>
      <c r="L21" s="93">
        <v>10</v>
      </c>
      <c r="M21" s="94">
        <v>100</v>
      </c>
    </row>
    <row r="22" spans="1:13" x14ac:dyDescent="0.35">
      <c r="A22">
        <v>2045</v>
      </c>
      <c r="B22" s="92" t="s">
        <v>33</v>
      </c>
      <c r="C22" s="93">
        <v>10950</v>
      </c>
      <c r="D22" s="94">
        <v>96000</v>
      </c>
      <c r="E22" s="95">
        <v>2100</v>
      </c>
      <c r="F22" s="95">
        <v>24500</v>
      </c>
      <c r="G22" s="95">
        <v>12390</v>
      </c>
      <c r="H22" s="95">
        <v>15</v>
      </c>
      <c r="I22" s="95">
        <v>0</v>
      </c>
      <c r="J22" s="93">
        <v>6000</v>
      </c>
      <c r="K22" s="94">
        <v>1500</v>
      </c>
      <c r="L22" s="93">
        <v>10</v>
      </c>
      <c r="M22" s="94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B1A0D-9B2C-204C-8966-060F0810873B}">
  <dimension ref="A1:M22"/>
  <sheetViews>
    <sheetView workbookViewId="0">
      <selection activeCell="D24" sqref="D24"/>
    </sheetView>
  </sheetViews>
  <sheetFormatPr defaultColWidth="11" defaultRowHeight="15.5" x14ac:dyDescent="0.35"/>
  <cols>
    <col min="2" max="2" width="37.33203125" customWidth="1"/>
  </cols>
  <sheetData>
    <row r="1" spans="1:13" ht="139.5" x14ac:dyDescent="0.35">
      <c r="A1" t="s">
        <v>0</v>
      </c>
      <c r="B1" t="s">
        <v>1</v>
      </c>
      <c r="C1" s="79" t="s">
        <v>2</v>
      </c>
      <c r="D1" s="80" t="s">
        <v>3</v>
      </c>
      <c r="E1" s="73" t="s">
        <v>4</v>
      </c>
      <c r="F1" s="73" t="s">
        <v>5</v>
      </c>
      <c r="G1" s="73" t="s">
        <v>6</v>
      </c>
      <c r="H1" s="73" t="s">
        <v>7</v>
      </c>
      <c r="I1" s="73" t="s">
        <v>8</v>
      </c>
      <c r="J1" s="79" t="s">
        <v>9</v>
      </c>
      <c r="K1" s="80" t="s">
        <v>10</v>
      </c>
      <c r="L1" s="79" t="s">
        <v>11</v>
      </c>
      <c r="M1" s="80" t="s">
        <v>12</v>
      </c>
    </row>
    <row r="2" spans="1:13" x14ac:dyDescent="0.35">
      <c r="A2">
        <v>2025</v>
      </c>
      <c r="B2" s="92" t="s">
        <v>30</v>
      </c>
      <c r="C2" s="93">
        <v>0</v>
      </c>
      <c r="D2" s="94">
        <v>0</v>
      </c>
      <c r="E2" s="93">
        <v>99</v>
      </c>
      <c r="F2" s="95">
        <v>1171</v>
      </c>
      <c r="G2" s="95">
        <v>588</v>
      </c>
      <c r="H2" s="95">
        <v>0</v>
      </c>
      <c r="I2" s="94">
        <v>0</v>
      </c>
      <c r="J2" s="93">
        <v>3736</v>
      </c>
      <c r="K2" s="94">
        <v>659</v>
      </c>
      <c r="L2" s="93">
        <v>0</v>
      </c>
      <c r="M2" s="94">
        <v>0</v>
      </c>
    </row>
    <row r="3" spans="1:13" x14ac:dyDescent="0.35">
      <c r="A3">
        <v>2026</v>
      </c>
      <c r="B3" s="92" t="s">
        <v>30</v>
      </c>
      <c r="C3" s="93">
        <v>10950</v>
      </c>
      <c r="D3" s="94">
        <v>0</v>
      </c>
      <c r="E3" s="93">
        <v>212</v>
      </c>
      <c r="F3" s="95">
        <v>2342</v>
      </c>
      <c r="G3" s="95">
        <v>1176</v>
      </c>
      <c r="H3" s="95">
        <v>5</v>
      </c>
      <c r="I3" s="94">
        <v>0</v>
      </c>
      <c r="J3" s="93">
        <v>5338</v>
      </c>
      <c r="K3" s="94">
        <v>942</v>
      </c>
      <c r="L3" s="93">
        <v>0</v>
      </c>
      <c r="M3" s="94">
        <v>0</v>
      </c>
    </row>
    <row r="4" spans="1:13" x14ac:dyDescent="0.35">
      <c r="A4">
        <v>2027</v>
      </c>
      <c r="B4" s="92" t="s">
        <v>30</v>
      </c>
      <c r="C4" s="93">
        <v>10950</v>
      </c>
      <c r="D4" s="94">
        <v>0</v>
      </c>
      <c r="E4" s="93">
        <v>325</v>
      </c>
      <c r="F4" s="95">
        <v>3513</v>
      </c>
      <c r="G4" s="95">
        <v>1764</v>
      </c>
      <c r="H4" s="95">
        <v>5</v>
      </c>
      <c r="I4" s="94">
        <v>0</v>
      </c>
      <c r="J4" s="93">
        <v>5338</v>
      </c>
      <c r="K4" s="94">
        <v>942</v>
      </c>
      <c r="L4" s="93">
        <v>0</v>
      </c>
      <c r="M4" s="94">
        <v>0</v>
      </c>
    </row>
    <row r="5" spans="1:13" x14ac:dyDescent="0.35">
      <c r="A5">
        <v>2028</v>
      </c>
      <c r="B5" s="92" t="s">
        <v>30</v>
      </c>
      <c r="C5" s="93">
        <v>39102</v>
      </c>
      <c r="D5" s="94">
        <v>0</v>
      </c>
      <c r="E5" s="93">
        <v>438</v>
      </c>
      <c r="F5" s="95">
        <v>4684</v>
      </c>
      <c r="G5" s="95">
        <v>2353</v>
      </c>
      <c r="H5" s="95">
        <v>5</v>
      </c>
      <c r="I5" s="94">
        <v>0</v>
      </c>
      <c r="J5" s="93">
        <v>5338</v>
      </c>
      <c r="K5" s="94">
        <v>942</v>
      </c>
      <c r="L5" s="93">
        <v>0</v>
      </c>
      <c r="M5" s="94">
        <v>0</v>
      </c>
    </row>
    <row r="6" spans="1:13" x14ac:dyDescent="0.35">
      <c r="A6">
        <v>2029</v>
      </c>
      <c r="B6" s="92" t="s">
        <v>30</v>
      </c>
      <c r="C6" s="93">
        <v>39102</v>
      </c>
      <c r="D6" s="94">
        <v>0</v>
      </c>
      <c r="E6" s="93">
        <v>551</v>
      </c>
      <c r="F6" s="95">
        <v>5854</v>
      </c>
      <c r="G6" s="95">
        <v>2941</v>
      </c>
      <c r="H6" s="95">
        <v>5</v>
      </c>
      <c r="I6" s="94">
        <v>0</v>
      </c>
      <c r="J6" s="93">
        <v>5338</v>
      </c>
      <c r="K6" s="94">
        <v>942</v>
      </c>
      <c r="L6" s="93">
        <v>0</v>
      </c>
      <c r="M6" s="94">
        <v>0</v>
      </c>
    </row>
    <row r="7" spans="1:13" x14ac:dyDescent="0.35">
      <c r="A7">
        <v>2030</v>
      </c>
      <c r="B7" s="92" t="s">
        <v>30</v>
      </c>
      <c r="C7" s="93">
        <v>39102</v>
      </c>
      <c r="D7" s="94">
        <v>117306</v>
      </c>
      <c r="E7" s="93">
        <v>664</v>
      </c>
      <c r="F7" s="95">
        <v>7025</v>
      </c>
      <c r="G7" s="95">
        <v>3529</v>
      </c>
      <c r="H7" s="95">
        <v>10</v>
      </c>
      <c r="I7" s="94">
        <v>0</v>
      </c>
      <c r="J7" s="93">
        <v>5338</v>
      </c>
      <c r="K7" s="94">
        <v>942</v>
      </c>
      <c r="L7" s="93">
        <v>0</v>
      </c>
      <c r="M7" s="94">
        <v>0</v>
      </c>
    </row>
    <row r="8" spans="1:13" x14ac:dyDescent="0.35">
      <c r="A8">
        <v>2031</v>
      </c>
      <c r="B8" s="92" t="s">
        <v>30</v>
      </c>
      <c r="C8" s="93">
        <v>55860</v>
      </c>
      <c r="D8" s="94">
        <v>167580</v>
      </c>
      <c r="E8" s="93">
        <v>777</v>
      </c>
      <c r="F8" s="95">
        <v>8196</v>
      </c>
      <c r="G8" s="95">
        <v>4117</v>
      </c>
      <c r="H8" s="95">
        <v>10</v>
      </c>
      <c r="I8" s="94">
        <v>0</v>
      </c>
      <c r="J8" s="93">
        <v>7625</v>
      </c>
      <c r="K8" s="94">
        <v>1346</v>
      </c>
      <c r="L8" s="93">
        <v>0.7</v>
      </c>
      <c r="M8" s="94">
        <v>6.4</v>
      </c>
    </row>
    <row r="9" spans="1:13" x14ac:dyDescent="0.35">
      <c r="A9">
        <v>2032</v>
      </c>
      <c r="B9" s="92" t="s">
        <v>30</v>
      </c>
      <c r="C9" s="93">
        <v>55860</v>
      </c>
      <c r="D9" s="94">
        <v>167580</v>
      </c>
      <c r="E9" s="93">
        <v>890</v>
      </c>
      <c r="F9" s="95">
        <v>9367</v>
      </c>
      <c r="G9" s="95">
        <v>4705</v>
      </c>
      <c r="H9" s="95">
        <v>15</v>
      </c>
      <c r="I9" s="94">
        <v>0</v>
      </c>
      <c r="J9" s="93">
        <v>7625</v>
      </c>
      <c r="K9" s="94">
        <v>1346</v>
      </c>
      <c r="L9" s="93">
        <v>0.7</v>
      </c>
      <c r="M9" s="94">
        <v>6.4</v>
      </c>
    </row>
    <row r="10" spans="1:13" x14ac:dyDescent="0.35">
      <c r="A10">
        <v>2033</v>
      </c>
      <c r="B10" s="92" t="s">
        <v>30</v>
      </c>
      <c r="C10" s="93">
        <v>55860</v>
      </c>
      <c r="D10" s="94">
        <v>167580</v>
      </c>
      <c r="E10" s="93">
        <v>1003</v>
      </c>
      <c r="F10" s="95">
        <v>10538</v>
      </c>
      <c r="G10" s="95">
        <v>5293</v>
      </c>
      <c r="H10" s="95">
        <v>15</v>
      </c>
      <c r="I10" s="94">
        <v>0</v>
      </c>
      <c r="J10" s="93">
        <v>7625</v>
      </c>
      <c r="K10" s="94">
        <v>1346</v>
      </c>
      <c r="L10" s="93">
        <v>0.7</v>
      </c>
      <c r="M10" s="94">
        <v>6.4</v>
      </c>
    </row>
    <row r="11" spans="1:13" x14ac:dyDescent="0.35">
      <c r="A11">
        <v>2034</v>
      </c>
      <c r="B11" s="92" t="s">
        <v>30</v>
      </c>
      <c r="C11" s="93">
        <v>55860</v>
      </c>
      <c r="D11" s="94">
        <v>167580</v>
      </c>
      <c r="E11" s="93">
        <v>1116</v>
      </c>
      <c r="F11" s="95">
        <v>11709</v>
      </c>
      <c r="G11" s="95">
        <v>5881</v>
      </c>
      <c r="H11" s="95">
        <v>15</v>
      </c>
      <c r="I11" s="94">
        <v>1000</v>
      </c>
      <c r="J11" s="93">
        <v>7625</v>
      </c>
      <c r="K11" s="94">
        <v>1346</v>
      </c>
      <c r="L11" s="93">
        <v>0.7</v>
      </c>
      <c r="M11" s="94">
        <v>6.4</v>
      </c>
    </row>
    <row r="12" spans="1:13" x14ac:dyDescent="0.35">
      <c r="A12">
        <v>2035</v>
      </c>
      <c r="B12" s="92" t="s">
        <v>30</v>
      </c>
      <c r="C12" s="93">
        <v>55860</v>
      </c>
      <c r="D12" s="94">
        <v>167580</v>
      </c>
      <c r="E12" s="93">
        <v>1229</v>
      </c>
      <c r="F12" s="95">
        <v>12880</v>
      </c>
      <c r="G12" s="95">
        <v>6470</v>
      </c>
      <c r="H12" s="95">
        <v>15</v>
      </c>
      <c r="I12" s="94">
        <v>1000</v>
      </c>
      <c r="J12" s="93">
        <v>7625</v>
      </c>
      <c r="K12" s="94">
        <v>1346</v>
      </c>
      <c r="L12" s="93">
        <v>0.7</v>
      </c>
      <c r="M12" s="94">
        <v>6.4</v>
      </c>
    </row>
    <row r="13" spans="1:13" x14ac:dyDescent="0.35">
      <c r="A13">
        <v>2036</v>
      </c>
      <c r="B13" s="92" t="s">
        <v>30</v>
      </c>
      <c r="C13" s="93">
        <v>79800</v>
      </c>
      <c r="D13" s="94">
        <v>239400</v>
      </c>
      <c r="E13" s="93">
        <v>1342</v>
      </c>
      <c r="F13" s="95">
        <v>14051</v>
      </c>
      <c r="G13" s="95">
        <v>7058</v>
      </c>
      <c r="H13" s="95">
        <v>15</v>
      </c>
      <c r="I13" s="94">
        <v>1000</v>
      </c>
      <c r="J13" s="93">
        <v>10893</v>
      </c>
      <c r="K13" s="94">
        <v>1922</v>
      </c>
      <c r="L13" s="93">
        <v>0.6</v>
      </c>
      <c r="M13" s="94">
        <v>8</v>
      </c>
    </row>
    <row r="14" spans="1:13" x14ac:dyDescent="0.35">
      <c r="A14">
        <v>2037</v>
      </c>
      <c r="B14" s="92" t="s">
        <v>30</v>
      </c>
      <c r="C14" s="93">
        <v>79800</v>
      </c>
      <c r="D14" s="94">
        <v>239400</v>
      </c>
      <c r="E14" s="93">
        <v>1455</v>
      </c>
      <c r="F14" s="95">
        <v>15221</v>
      </c>
      <c r="G14" s="95">
        <v>7646</v>
      </c>
      <c r="H14" s="95">
        <v>15</v>
      </c>
      <c r="I14" s="94">
        <v>1000</v>
      </c>
      <c r="J14" s="93">
        <v>10893</v>
      </c>
      <c r="K14" s="94">
        <v>1922</v>
      </c>
      <c r="L14" s="93">
        <v>0.6</v>
      </c>
      <c r="M14" s="94">
        <v>8</v>
      </c>
    </row>
    <row r="15" spans="1:13" x14ac:dyDescent="0.35">
      <c r="A15">
        <v>2038</v>
      </c>
      <c r="B15" s="92" t="s">
        <v>30</v>
      </c>
      <c r="C15" s="93">
        <v>79800</v>
      </c>
      <c r="D15" s="94">
        <v>239400</v>
      </c>
      <c r="E15" s="93">
        <v>1568</v>
      </c>
      <c r="F15" s="95">
        <v>16392</v>
      </c>
      <c r="G15" s="95">
        <v>8234</v>
      </c>
      <c r="H15" s="95">
        <v>15</v>
      </c>
      <c r="I15" s="94">
        <v>1000</v>
      </c>
      <c r="J15" s="93">
        <v>10893</v>
      </c>
      <c r="K15" s="94">
        <v>1922</v>
      </c>
      <c r="L15" s="93">
        <v>0.6</v>
      </c>
      <c r="M15" s="94">
        <v>8</v>
      </c>
    </row>
    <row r="16" spans="1:13" x14ac:dyDescent="0.35">
      <c r="A16">
        <v>2039</v>
      </c>
      <c r="B16" s="92" t="s">
        <v>30</v>
      </c>
      <c r="C16" s="93">
        <v>79800</v>
      </c>
      <c r="D16" s="94">
        <v>239400</v>
      </c>
      <c r="E16" s="93">
        <v>1681</v>
      </c>
      <c r="F16" s="95">
        <v>17563</v>
      </c>
      <c r="G16" s="95">
        <v>8822</v>
      </c>
      <c r="H16" s="95">
        <v>15</v>
      </c>
      <c r="I16" s="94">
        <v>1000</v>
      </c>
      <c r="J16" s="93">
        <v>10893</v>
      </c>
      <c r="K16" s="94">
        <v>1922</v>
      </c>
      <c r="L16" s="93">
        <v>0.6</v>
      </c>
      <c r="M16" s="94">
        <v>8</v>
      </c>
    </row>
    <row r="17" spans="1:13" x14ac:dyDescent="0.35">
      <c r="A17">
        <v>2040</v>
      </c>
      <c r="B17" s="92" t="s">
        <v>30</v>
      </c>
      <c r="C17" s="93">
        <v>79800</v>
      </c>
      <c r="D17" s="94">
        <v>239400</v>
      </c>
      <c r="E17" s="93">
        <v>1794</v>
      </c>
      <c r="F17" s="95">
        <v>18734</v>
      </c>
      <c r="G17" s="95">
        <v>9410</v>
      </c>
      <c r="H17" s="95">
        <v>15</v>
      </c>
      <c r="I17" s="94">
        <v>1000</v>
      </c>
      <c r="J17" s="93">
        <v>10893</v>
      </c>
      <c r="K17" s="94">
        <v>1922</v>
      </c>
      <c r="L17" s="93">
        <v>0.6</v>
      </c>
      <c r="M17" s="94">
        <v>8</v>
      </c>
    </row>
    <row r="18" spans="1:13" x14ac:dyDescent="0.35">
      <c r="A18">
        <v>2041</v>
      </c>
      <c r="B18" s="92" t="s">
        <v>30</v>
      </c>
      <c r="C18" s="93">
        <v>114000</v>
      </c>
      <c r="D18" s="94">
        <v>342000</v>
      </c>
      <c r="E18" s="93">
        <v>1907</v>
      </c>
      <c r="F18" s="95">
        <v>19905</v>
      </c>
      <c r="G18" s="95">
        <v>9998</v>
      </c>
      <c r="H18" s="95">
        <v>15</v>
      </c>
      <c r="I18" s="94">
        <v>1000</v>
      </c>
      <c r="J18" s="93">
        <v>15562</v>
      </c>
      <c r="K18" s="94">
        <v>2746</v>
      </c>
      <c r="L18" s="93">
        <v>0.5</v>
      </c>
      <c r="M18" s="94">
        <v>10</v>
      </c>
    </row>
    <row r="19" spans="1:13" x14ac:dyDescent="0.35">
      <c r="A19">
        <v>2042</v>
      </c>
      <c r="B19" s="92" t="s">
        <v>30</v>
      </c>
      <c r="C19" s="93">
        <v>114000</v>
      </c>
      <c r="D19" s="94">
        <v>342000</v>
      </c>
      <c r="E19" s="93">
        <v>2020</v>
      </c>
      <c r="F19" s="95">
        <v>21076</v>
      </c>
      <c r="G19" s="95">
        <v>10586</v>
      </c>
      <c r="H19" s="95">
        <v>15</v>
      </c>
      <c r="I19" s="94">
        <v>1000</v>
      </c>
      <c r="J19" s="93">
        <v>15562</v>
      </c>
      <c r="K19" s="94">
        <v>2746</v>
      </c>
      <c r="L19" s="93">
        <v>0.5</v>
      </c>
      <c r="M19" s="94">
        <v>10</v>
      </c>
    </row>
    <row r="20" spans="1:13" x14ac:dyDescent="0.35">
      <c r="A20">
        <v>2043</v>
      </c>
      <c r="B20" s="92" t="s">
        <v>30</v>
      </c>
      <c r="C20" s="93">
        <v>114000</v>
      </c>
      <c r="D20" s="94">
        <v>342000</v>
      </c>
      <c r="E20" s="93">
        <v>2132</v>
      </c>
      <c r="F20" s="95">
        <v>22247</v>
      </c>
      <c r="G20" s="95">
        <v>11175</v>
      </c>
      <c r="H20" s="95">
        <v>15</v>
      </c>
      <c r="I20" s="94">
        <v>1000</v>
      </c>
      <c r="J20" s="93">
        <v>15562</v>
      </c>
      <c r="K20" s="94">
        <v>2746</v>
      </c>
      <c r="L20" s="93">
        <v>0.5</v>
      </c>
      <c r="M20" s="94">
        <v>10</v>
      </c>
    </row>
    <row r="21" spans="1:13" x14ac:dyDescent="0.35">
      <c r="A21">
        <v>2044</v>
      </c>
      <c r="B21" s="92" t="s">
        <v>30</v>
      </c>
      <c r="C21" s="93">
        <v>114000</v>
      </c>
      <c r="D21" s="94">
        <v>342000</v>
      </c>
      <c r="E21" s="93">
        <v>2245</v>
      </c>
      <c r="F21" s="95">
        <v>23418</v>
      </c>
      <c r="G21" s="95">
        <v>11763</v>
      </c>
      <c r="H21" s="95">
        <v>15</v>
      </c>
      <c r="I21" s="94">
        <v>2000</v>
      </c>
      <c r="J21" s="93">
        <v>15562</v>
      </c>
      <c r="K21" s="94">
        <v>2746</v>
      </c>
      <c r="L21" s="93">
        <v>0.5</v>
      </c>
      <c r="M21" s="94">
        <v>10</v>
      </c>
    </row>
    <row r="22" spans="1:13" x14ac:dyDescent="0.35">
      <c r="A22">
        <v>2045</v>
      </c>
      <c r="B22" s="92" t="s">
        <v>30</v>
      </c>
      <c r="C22" s="93">
        <v>114000</v>
      </c>
      <c r="D22" s="94">
        <v>342000</v>
      </c>
      <c r="E22" s="93">
        <v>2358</v>
      </c>
      <c r="F22" s="95">
        <v>24589</v>
      </c>
      <c r="G22" s="95">
        <v>12351</v>
      </c>
      <c r="H22" s="95">
        <v>15</v>
      </c>
      <c r="I22" s="94">
        <v>2000</v>
      </c>
      <c r="J22" s="93">
        <v>15562</v>
      </c>
      <c r="K22" s="94">
        <v>2746</v>
      </c>
      <c r="L22" s="93">
        <v>0.5</v>
      </c>
      <c r="M22" s="94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50E5C-07ED-064D-A1CF-55169AD08DC7}">
  <dimension ref="A1:M22"/>
  <sheetViews>
    <sheetView workbookViewId="0">
      <selection activeCell="B2" sqref="B2:M22"/>
    </sheetView>
  </sheetViews>
  <sheetFormatPr defaultColWidth="11" defaultRowHeight="15.5" x14ac:dyDescent="0.35"/>
  <sheetData>
    <row r="1" spans="1:13" ht="124" x14ac:dyDescent="0.35">
      <c r="A1" s="88" t="s">
        <v>0</v>
      </c>
      <c r="B1" s="88" t="s">
        <v>1</v>
      </c>
      <c r="C1" s="89" t="s">
        <v>2</v>
      </c>
      <c r="D1" s="90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89" t="s">
        <v>9</v>
      </c>
      <c r="K1" s="90" t="s">
        <v>10</v>
      </c>
      <c r="L1" s="89" t="s">
        <v>34</v>
      </c>
      <c r="M1" s="90" t="s">
        <v>35</v>
      </c>
    </row>
    <row r="2" spans="1:13" x14ac:dyDescent="0.35">
      <c r="A2" s="88">
        <v>2025</v>
      </c>
      <c r="B2" s="92" t="s">
        <v>31</v>
      </c>
      <c r="C2" s="93">
        <v>0</v>
      </c>
      <c r="D2" s="94">
        <v>0</v>
      </c>
      <c r="E2" s="95">
        <v>99</v>
      </c>
      <c r="F2" s="95">
        <v>1171</v>
      </c>
      <c r="G2" s="95">
        <v>588</v>
      </c>
      <c r="H2" s="95">
        <v>0</v>
      </c>
      <c r="I2" s="95">
        <v>0</v>
      </c>
      <c r="J2" s="93">
        <v>6857</v>
      </c>
      <c r="K2" s="94">
        <v>444</v>
      </c>
      <c r="L2" s="93">
        <v>0</v>
      </c>
      <c r="M2" s="94">
        <v>0</v>
      </c>
    </row>
    <row r="3" spans="1:13" x14ac:dyDescent="0.35">
      <c r="A3" s="88">
        <v>2026</v>
      </c>
      <c r="B3" s="92" t="s">
        <v>31</v>
      </c>
      <c r="C3" s="93">
        <v>10950</v>
      </c>
      <c r="D3" s="94">
        <v>0</v>
      </c>
      <c r="E3" s="95">
        <v>212</v>
      </c>
      <c r="F3" s="95">
        <v>2342</v>
      </c>
      <c r="G3" s="95">
        <v>1176</v>
      </c>
      <c r="H3" s="95">
        <v>5</v>
      </c>
      <c r="I3" s="95">
        <v>0</v>
      </c>
      <c r="J3" s="93">
        <v>9796</v>
      </c>
      <c r="K3" s="94">
        <v>634</v>
      </c>
      <c r="L3" s="93">
        <v>0</v>
      </c>
      <c r="M3" s="94">
        <v>0</v>
      </c>
    </row>
    <row r="4" spans="1:13" x14ac:dyDescent="0.35">
      <c r="A4" s="88">
        <v>2027</v>
      </c>
      <c r="B4" s="92" t="s">
        <v>31</v>
      </c>
      <c r="C4" s="93">
        <v>10950</v>
      </c>
      <c r="D4" s="94">
        <v>0</v>
      </c>
      <c r="E4" s="95">
        <v>325</v>
      </c>
      <c r="F4" s="95">
        <v>3513</v>
      </c>
      <c r="G4" s="95">
        <v>1764</v>
      </c>
      <c r="H4" s="95">
        <v>5</v>
      </c>
      <c r="I4" s="95">
        <v>0</v>
      </c>
      <c r="J4" s="93">
        <v>9796</v>
      </c>
      <c r="K4" s="94">
        <v>634</v>
      </c>
      <c r="L4" s="93">
        <v>0</v>
      </c>
      <c r="M4" s="94">
        <v>0</v>
      </c>
    </row>
    <row r="5" spans="1:13" x14ac:dyDescent="0.35">
      <c r="A5" s="88">
        <v>2028</v>
      </c>
      <c r="B5" s="92" t="s">
        <v>31</v>
      </c>
      <c r="C5" s="93">
        <v>10950</v>
      </c>
      <c r="D5" s="94">
        <v>0</v>
      </c>
      <c r="E5" s="95">
        <v>438</v>
      </c>
      <c r="F5" s="95">
        <v>4684</v>
      </c>
      <c r="G5" s="95">
        <v>2353</v>
      </c>
      <c r="H5" s="95">
        <v>5</v>
      </c>
      <c r="I5" s="95">
        <v>0</v>
      </c>
      <c r="J5" s="93">
        <v>9796</v>
      </c>
      <c r="K5" s="94">
        <v>634</v>
      </c>
      <c r="L5" s="93">
        <v>0</v>
      </c>
      <c r="M5" s="94">
        <v>0</v>
      </c>
    </row>
    <row r="6" spans="1:13" x14ac:dyDescent="0.35">
      <c r="A6" s="88">
        <v>2029</v>
      </c>
      <c r="B6" s="92" t="s">
        <v>31</v>
      </c>
      <c r="C6" s="93">
        <v>10950</v>
      </c>
      <c r="D6" s="94">
        <v>0</v>
      </c>
      <c r="E6" s="95">
        <v>551</v>
      </c>
      <c r="F6" s="95">
        <v>5854</v>
      </c>
      <c r="G6" s="95">
        <v>2941</v>
      </c>
      <c r="H6" s="95">
        <v>5</v>
      </c>
      <c r="I6" s="95">
        <v>0</v>
      </c>
      <c r="J6" s="93">
        <v>9796</v>
      </c>
      <c r="K6" s="94">
        <v>634</v>
      </c>
      <c r="L6" s="93"/>
      <c r="M6" s="94">
        <v>0</v>
      </c>
    </row>
    <row r="7" spans="1:13" x14ac:dyDescent="0.35">
      <c r="A7" s="88">
        <v>2030</v>
      </c>
      <c r="B7" s="92" t="s">
        <v>31</v>
      </c>
      <c r="C7" s="93">
        <v>10950</v>
      </c>
      <c r="D7" s="94">
        <v>32850</v>
      </c>
      <c r="E7" s="95">
        <v>664</v>
      </c>
      <c r="F7" s="95">
        <v>7025</v>
      </c>
      <c r="G7" s="95">
        <v>3529</v>
      </c>
      <c r="H7" s="95">
        <v>10</v>
      </c>
      <c r="I7" s="95">
        <v>0</v>
      </c>
      <c r="J7" s="93">
        <v>9796</v>
      </c>
      <c r="K7" s="94">
        <v>634</v>
      </c>
      <c r="L7" s="93">
        <v>50</v>
      </c>
      <c r="M7" s="94">
        <v>10</v>
      </c>
    </row>
    <row r="8" spans="1:13" x14ac:dyDescent="0.35">
      <c r="A8" s="88">
        <v>2031</v>
      </c>
      <c r="B8" s="92" t="s">
        <v>31</v>
      </c>
      <c r="C8" s="93">
        <v>21900</v>
      </c>
      <c r="D8" s="94">
        <v>65700</v>
      </c>
      <c r="E8" s="95">
        <v>777</v>
      </c>
      <c r="F8" s="95">
        <v>8196</v>
      </c>
      <c r="G8" s="95">
        <v>4117</v>
      </c>
      <c r="H8" s="95">
        <v>10</v>
      </c>
      <c r="I8" s="95">
        <v>0</v>
      </c>
      <c r="J8" s="93">
        <v>13994</v>
      </c>
      <c r="K8" s="94">
        <v>906</v>
      </c>
      <c r="L8" s="93">
        <v>50</v>
      </c>
      <c r="M8" s="94">
        <v>10</v>
      </c>
    </row>
    <row r="9" spans="1:13" x14ac:dyDescent="0.35">
      <c r="A9" s="88">
        <v>2032</v>
      </c>
      <c r="B9" s="92" t="s">
        <v>31</v>
      </c>
      <c r="C9" s="93">
        <v>21900</v>
      </c>
      <c r="D9" s="94">
        <v>65700</v>
      </c>
      <c r="E9" s="95">
        <v>890</v>
      </c>
      <c r="F9" s="95">
        <v>9367</v>
      </c>
      <c r="G9" s="95">
        <v>4705</v>
      </c>
      <c r="H9" s="95">
        <v>15</v>
      </c>
      <c r="I9" s="95">
        <v>0</v>
      </c>
      <c r="J9" s="93">
        <v>13994</v>
      </c>
      <c r="K9" s="94">
        <v>906</v>
      </c>
      <c r="L9" s="93">
        <v>50</v>
      </c>
      <c r="M9" s="94">
        <v>10</v>
      </c>
    </row>
    <row r="10" spans="1:13" x14ac:dyDescent="0.35">
      <c r="A10" s="88">
        <v>2033</v>
      </c>
      <c r="B10" s="92" t="s">
        <v>31</v>
      </c>
      <c r="C10" s="93">
        <v>21900</v>
      </c>
      <c r="D10" s="94">
        <v>65700</v>
      </c>
      <c r="E10" s="95">
        <v>1003</v>
      </c>
      <c r="F10" s="95">
        <v>10538</v>
      </c>
      <c r="G10" s="95">
        <v>5293</v>
      </c>
      <c r="H10" s="95">
        <v>15</v>
      </c>
      <c r="I10" s="95">
        <v>0</v>
      </c>
      <c r="J10" s="93">
        <v>13994</v>
      </c>
      <c r="K10" s="94">
        <v>906</v>
      </c>
      <c r="L10" s="93">
        <v>50</v>
      </c>
      <c r="M10" s="94">
        <v>10</v>
      </c>
    </row>
    <row r="11" spans="1:13" x14ac:dyDescent="0.35">
      <c r="A11" s="88">
        <v>2034</v>
      </c>
      <c r="B11" s="92" t="s">
        <v>31</v>
      </c>
      <c r="C11" s="93">
        <v>21900</v>
      </c>
      <c r="D11" s="94">
        <v>65700</v>
      </c>
      <c r="E11" s="95">
        <v>1116</v>
      </c>
      <c r="F11" s="95">
        <v>11709</v>
      </c>
      <c r="G11" s="95">
        <v>5881</v>
      </c>
      <c r="H11" s="95">
        <v>15</v>
      </c>
      <c r="I11" s="95">
        <v>1000</v>
      </c>
      <c r="J11" s="93">
        <v>13994</v>
      </c>
      <c r="K11" s="94">
        <v>906</v>
      </c>
      <c r="L11" s="93">
        <v>50</v>
      </c>
      <c r="M11" s="94">
        <v>10</v>
      </c>
    </row>
    <row r="12" spans="1:13" x14ac:dyDescent="0.35">
      <c r="A12" s="88">
        <v>2035</v>
      </c>
      <c r="B12" s="92" t="s">
        <v>31</v>
      </c>
      <c r="C12" s="93">
        <v>21900</v>
      </c>
      <c r="D12" s="94">
        <v>65700</v>
      </c>
      <c r="E12" s="95">
        <v>1229</v>
      </c>
      <c r="F12" s="95">
        <v>12880</v>
      </c>
      <c r="G12" s="95">
        <v>6470</v>
      </c>
      <c r="H12" s="95">
        <v>15</v>
      </c>
      <c r="I12" s="95">
        <v>1000</v>
      </c>
      <c r="J12" s="93">
        <v>13994</v>
      </c>
      <c r="K12" s="94">
        <v>906</v>
      </c>
      <c r="L12" s="93">
        <v>100</v>
      </c>
      <c r="M12" s="94">
        <v>20</v>
      </c>
    </row>
    <row r="13" spans="1:13" x14ac:dyDescent="0.35">
      <c r="A13" s="88">
        <v>2036</v>
      </c>
      <c r="B13" s="92" t="s">
        <v>31</v>
      </c>
      <c r="C13" s="93">
        <v>43800</v>
      </c>
      <c r="D13" s="94">
        <v>131400</v>
      </c>
      <c r="E13" s="95">
        <v>1342</v>
      </c>
      <c r="F13" s="95">
        <v>14051</v>
      </c>
      <c r="G13" s="95">
        <v>7058</v>
      </c>
      <c r="H13" s="95">
        <v>15</v>
      </c>
      <c r="I13" s="95">
        <v>1000</v>
      </c>
      <c r="J13" s="93">
        <v>19992</v>
      </c>
      <c r="K13" s="94">
        <v>1294</v>
      </c>
      <c r="L13" s="93">
        <v>100</v>
      </c>
      <c r="M13" s="94">
        <v>20</v>
      </c>
    </row>
    <row r="14" spans="1:13" x14ac:dyDescent="0.35">
      <c r="A14" s="88">
        <v>2037</v>
      </c>
      <c r="B14" s="92" t="s">
        <v>31</v>
      </c>
      <c r="C14" s="93">
        <v>43800</v>
      </c>
      <c r="D14" s="94">
        <v>131400</v>
      </c>
      <c r="E14" s="95">
        <v>1455</v>
      </c>
      <c r="F14" s="95">
        <v>15221</v>
      </c>
      <c r="G14" s="95">
        <v>7646</v>
      </c>
      <c r="H14" s="95">
        <v>15</v>
      </c>
      <c r="I14" s="95">
        <v>1000</v>
      </c>
      <c r="J14" s="93">
        <v>19992</v>
      </c>
      <c r="K14" s="94">
        <v>1294</v>
      </c>
      <c r="L14" s="93">
        <v>100</v>
      </c>
      <c r="M14" s="94">
        <v>20</v>
      </c>
    </row>
    <row r="15" spans="1:13" x14ac:dyDescent="0.35">
      <c r="A15" s="88">
        <v>2038</v>
      </c>
      <c r="B15" s="92" t="s">
        <v>31</v>
      </c>
      <c r="C15" s="93">
        <v>43800</v>
      </c>
      <c r="D15" s="94">
        <v>131400</v>
      </c>
      <c r="E15" s="95">
        <v>1568</v>
      </c>
      <c r="F15" s="95">
        <v>16392</v>
      </c>
      <c r="G15" s="95">
        <v>8234</v>
      </c>
      <c r="H15" s="95">
        <v>15</v>
      </c>
      <c r="I15" s="95">
        <v>1000</v>
      </c>
      <c r="J15" s="93">
        <v>19992</v>
      </c>
      <c r="K15" s="94">
        <v>1294</v>
      </c>
      <c r="L15" s="93">
        <v>100</v>
      </c>
      <c r="M15" s="94">
        <v>20</v>
      </c>
    </row>
    <row r="16" spans="1:13" x14ac:dyDescent="0.35">
      <c r="A16" s="88">
        <v>2039</v>
      </c>
      <c r="B16" s="92" t="s">
        <v>31</v>
      </c>
      <c r="C16" s="93">
        <v>43800</v>
      </c>
      <c r="D16" s="94">
        <v>131400</v>
      </c>
      <c r="E16" s="95">
        <v>1681</v>
      </c>
      <c r="F16" s="95">
        <v>17563</v>
      </c>
      <c r="G16" s="95">
        <v>8822</v>
      </c>
      <c r="H16" s="95">
        <v>15</v>
      </c>
      <c r="I16" s="95">
        <v>1000</v>
      </c>
      <c r="J16" s="93">
        <v>19992</v>
      </c>
      <c r="K16" s="94">
        <v>1294</v>
      </c>
      <c r="L16" s="93">
        <v>100</v>
      </c>
      <c r="M16" s="94">
        <v>20</v>
      </c>
    </row>
    <row r="17" spans="1:13" x14ac:dyDescent="0.35">
      <c r="A17" s="88">
        <v>2040</v>
      </c>
      <c r="B17" s="92" t="s">
        <v>31</v>
      </c>
      <c r="C17" s="93">
        <v>43800</v>
      </c>
      <c r="D17" s="94">
        <v>131400</v>
      </c>
      <c r="E17" s="95">
        <v>1794</v>
      </c>
      <c r="F17" s="95">
        <v>18734</v>
      </c>
      <c r="G17" s="95">
        <v>9410</v>
      </c>
      <c r="H17" s="95">
        <v>15</v>
      </c>
      <c r="I17" s="95">
        <v>1000</v>
      </c>
      <c r="J17" s="93">
        <v>19992</v>
      </c>
      <c r="K17" s="94">
        <v>1294</v>
      </c>
      <c r="L17" s="93">
        <v>40</v>
      </c>
      <c r="M17" s="94">
        <v>100</v>
      </c>
    </row>
    <row r="18" spans="1:13" x14ac:dyDescent="0.35">
      <c r="A18" s="88">
        <v>2041</v>
      </c>
      <c r="B18" s="92" t="s">
        <v>31</v>
      </c>
      <c r="C18" s="93">
        <v>87600</v>
      </c>
      <c r="D18" s="94">
        <v>262800</v>
      </c>
      <c r="E18" s="95">
        <v>1907</v>
      </c>
      <c r="F18" s="95">
        <v>19905</v>
      </c>
      <c r="G18" s="95">
        <v>9998</v>
      </c>
      <c r="H18" s="95">
        <v>15</v>
      </c>
      <c r="I18" s="95">
        <v>1000</v>
      </c>
      <c r="J18" s="93">
        <v>28560</v>
      </c>
      <c r="K18" s="94">
        <v>1848</v>
      </c>
      <c r="L18" s="93">
        <v>40</v>
      </c>
      <c r="M18" s="94">
        <v>100</v>
      </c>
    </row>
    <row r="19" spans="1:13" x14ac:dyDescent="0.35">
      <c r="A19" s="88">
        <v>2042</v>
      </c>
      <c r="B19" s="92" t="s">
        <v>31</v>
      </c>
      <c r="C19" s="93">
        <v>87600</v>
      </c>
      <c r="D19" s="94">
        <v>262800</v>
      </c>
      <c r="E19" s="95">
        <v>2020</v>
      </c>
      <c r="F19" s="95">
        <v>21076</v>
      </c>
      <c r="G19" s="95">
        <v>10586</v>
      </c>
      <c r="H19" s="95">
        <v>15</v>
      </c>
      <c r="I19" s="95">
        <v>1000</v>
      </c>
      <c r="J19" s="93">
        <v>28560</v>
      </c>
      <c r="K19" s="94">
        <v>1848</v>
      </c>
      <c r="L19" s="93">
        <v>40</v>
      </c>
      <c r="M19" s="94">
        <v>100</v>
      </c>
    </row>
    <row r="20" spans="1:13" x14ac:dyDescent="0.35">
      <c r="A20" s="88">
        <v>2043</v>
      </c>
      <c r="B20" s="92" t="s">
        <v>31</v>
      </c>
      <c r="C20" s="93">
        <v>87600</v>
      </c>
      <c r="D20" s="94">
        <v>262800</v>
      </c>
      <c r="E20" s="95">
        <v>2132</v>
      </c>
      <c r="F20" s="95">
        <v>22247</v>
      </c>
      <c r="G20" s="95">
        <v>11175</v>
      </c>
      <c r="H20" s="95">
        <v>15</v>
      </c>
      <c r="I20" s="95">
        <v>1000</v>
      </c>
      <c r="J20" s="93">
        <v>28560</v>
      </c>
      <c r="K20" s="94">
        <v>1848</v>
      </c>
      <c r="L20" s="93">
        <v>40</v>
      </c>
      <c r="M20" s="94">
        <v>100</v>
      </c>
    </row>
    <row r="21" spans="1:13" x14ac:dyDescent="0.35">
      <c r="A21" s="88">
        <v>2044</v>
      </c>
      <c r="B21" s="92" t="s">
        <v>31</v>
      </c>
      <c r="C21" s="93">
        <v>87600</v>
      </c>
      <c r="D21" s="94">
        <v>262800</v>
      </c>
      <c r="E21" s="95">
        <v>2245</v>
      </c>
      <c r="F21" s="95">
        <v>23418</v>
      </c>
      <c r="G21" s="95">
        <v>11763</v>
      </c>
      <c r="H21" s="95">
        <v>15</v>
      </c>
      <c r="I21" s="95">
        <v>2000</v>
      </c>
      <c r="J21" s="93">
        <v>28560</v>
      </c>
      <c r="K21" s="94">
        <v>1848</v>
      </c>
      <c r="L21" s="93">
        <v>40</v>
      </c>
      <c r="M21" s="94">
        <v>100</v>
      </c>
    </row>
    <row r="22" spans="1:13" x14ac:dyDescent="0.35">
      <c r="A22" s="88">
        <v>2045</v>
      </c>
      <c r="B22" s="92" t="s">
        <v>31</v>
      </c>
      <c r="C22" s="93">
        <v>87600</v>
      </c>
      <c r="D22" s="94">
        <v>262800</v>
      </c>
      <c r="E22" s="95">
        <v>2358</v>
      </c>
      <c r="F22" s="95">
        <v>24589</v>
      </c>
      <c r="G22" s="95">
        <v>12351</v>
      </c>
      <c r="H22" s="95">
        <v>15</v>
      </c>
      <c r="I22" s="95">
        <v>2000</v>
      </c>
      <c r="J22" s="93">
        <v>28560</v>
      </c>
      <c r="K22" s="94">
        <v>1848</v>
      </c>
      <c r="L22" s="93">
        <v>40</v>
      </c>
      <c r="M22" s="94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A4D6-9B4C-8741-A0DE-7FCA84D40C64}">
  <dimension ref="A1:M22"/>
  <sheetViews>
    <sheetView workbookViewId="0">
      <selection activeCell="H25" sqref="H25"/>
    </sheetView>
  </sheetViews>
  <sheetFormatPr defaultColWidth="11" defaultRowHeight="15.5" x14ac:dyDescent="0.35"/>
  <cols>
    <col min="2" max="2" width="23" customWidth="1"/>
  </cols>
  <sheetData>
    <row r="1" spans="1:13" ht="124" x14ac:dyDescent="0.35">
      <c r="A1" t="s">
        <v>0</v>
      </c>
      <c r="B1" t="s">
        <v>1</v>
      </c>
      <c r="C1" s="79" t="s">
        <v>2</v>
      </c>
      <c r="D1" s="80" t="s">
        <v>3</v>
      </c>
      <c r="E1" s="73" t="s">
        <v>4</v>
      </c>
      <c r="F1" s="73" t="s">
        <v>5</v>
      </c>
      <c r="G1" s="73" t="s">
        <v>6</v>
      </c>
      <c r="H1" s="73" t="s">
        <v>7</v>
      </c>
      <c r="I1" s="73" t="s">
        <v>8</v>
      </c>
      <c r="J1" s="79" t="s">
        <v>9</v>
      </c>
      <c r="K1" s="80" t="s">
        <v>10</v>
      </c>
      <c r="L1" s="79" t="s">
        <v>34</v>
      </c>
      <c r="M1" s="80" t="s">
        <v>35</v>
      </c>
    </row>
    <row r="2" spans="1:13" x14ac:dyDescent="0.35">
      <c r="A2">
        <v>2025</v>
      </c>
      <c r="B2" s="92" t="s">
        <v>13</v>
      </c>
      <c r="C2" s="93">
        <v>0</v>
      </c>
      <c r="D2" s="94">
        <v>0</v>
      </c>
      <c r="E2" s="95">
        <v>25</v>
      </c>
      <c r="F2" s="95">
        <v>1211</v>
      </c>
      <c r="G2" s="95">
        <v>671</v>
      </c>
      <c r="H2" s="95">
        <v>0</v>
      </c>
      <c r="I2" s="95">
        <v>0</v>
      </c>
      <c r="J2" s="93">
        <v>0</v>
      </c>
      <c r="K2" s="94">
        <v>0</v>
      </c>
      <c r="L2" s="93">
        <v>0</v>
      </c>
      <c r="M2" s="94">
        <v>0</v>
      </c>
    </row>
    <row r="3" spans="1:13" x14ac:dyDescent="0.35">
      <c r="A3">
        <v>2026</v>
      </c>
      <c r="B3" s="92" t="s">
        <v>13</v>
      </c>
      <c r="C3" s="93">
        <v>10950</v>
      </c>
      <c r="D3" s="94">
        <v>0</v>
      </c>
      <c r="E3" s="95">
        <v>50</v>
      </c>
      <c r="F3" s="95">
        <v>2422</v>
      </c>
      <c r="G3" s="95">
        <v>1342</v>
      </c>
      <c r="H3" s="95">
        <v>5</v>
      </c>
      <c r="I3" s="95">
        <v>0</v>
      </c>
      <c r="J3" s="93">
        <v>7311</v>
      </c>
      <c r="K3" s="94">
        <v>645</v>
      </c>
      <c r="L3" s="93">
        <v>0</v>
      </c>
      <c r="M3" s="94">
        <v>0</v>
      </c>
    </row>
    <row r="4" spans="1:13" x14ac:dyDescent="0.35">
      <c r="A4">
        <v>2027</v>
      </c>
      <c r="B4" s="92" t="s">
        <v>13</v>
      </c>
      <c r="C4" s="93">
        <v>10950</v>
      </c>
      <c r="D4" s="94">
        <v>0</v>
      </c>
      <c r="E4" s="95">
        <v>75</v>
      </c>
      <c r="F4" s="95">
        <v>3513</v>
      </c>
      <c r="G4" s="95">
        <v>1764</v>
      </c>
      <c r="H4" s="95">
        <v>5</v>
      </c>
      <c r="I4" s="95">
        <v>0</v>
      </c>
      <c r="J4" s="93">
        <v>7311</v>
      </c>
      <c r="K4" s="94">
        <v>645</v>
      </c>
      <c r="L4" s="93">
        <v>0</v>
      </c>
      <c r="M4" s="94">
        <v>0</v>
      </c>
    </row>
    <row r="5" spans="1:13" x14ac:dyDescent="0.35">
      <c r="A5">
        <v>2028</v>
      </c>
      <c r="B5" s="92" t="s">
        <v>13</v>
      </c>
      <c r="C5" s="93">
        <v>10950</v>
      </c>
      <c r="D5" s="94">
        <v>0</v>
      </c>
      <c r="E5" s="95">
        <v>100</v>
      </c>
      <c r="F5" s="95">
        <v>4684</v>
      </c>
      <c r="G5" s="95">
        <v>2353</v>
      </c>
      <c r="H5" s="95">
        <v>5</v>
      </c>
      <c r="I5" s="95">
        <v>0</v>
      </c>
      <c r="J5" s="93">
        <v>7311</v>
      </c>
      <c r="K5" s="94">
        <v>645</v>
      </c>
      <c r="L5" s="93">
        <v>0</v>
      </c>
      <c r="M5" s="94">
        <v>0</v>
      </c>
    </row>
    <row r="6" spans="1:13" x14ac:dyDescent="0.35">
      <c r="A6">
        <v>2029</v>
      </c>
      <c r="B6" s="92" t="s">
        <v>13</v>
      </c>
      <c r="C6" s="93">
        <v>10950</v>
      </c>
      <c r="D6" s="94">
        <v>0</v>
      </c>
      <c r="E6" s="95">
        <v>125</v>
      </c>
      <c r="F6" s="95">
        <v>5854</v>
      </c>
      <c r="G6" s="95">
        <v>2941</v>
      </c>
      <c r="H6" s="95">
        <v>5</v>
      </c>
      <c r="I6" s="95">
        <v>0</v>
      </c>
      <c r="J6" s="93">
        <v>7311</v>
      </c>
      <c r="K6" s="94">
        <v>645</v>
      </c>
      <c r="L6" s="93">
        <v>0</v>
      </c>
      <c r="M6" s="94">
        <v>0</v>
      </c>
    </row>
    <row r="7" spans="1:13" x14ac:dyDescent="0.35">
      <c r="A7">
        <v>2030</v>
      </c>
      <c r="B7" s="92" t="s">
        <v>13</v>
      </c>
      <c r="C7" s="93">
        <v>10950</v>
      </c>
      <c r="D7" s="94">
        <v>96000</v>
      </c>
      <c r="E7" s="95">
        <v>149</v>
      </c>
      <c r="F7" s="95">
        <v>7025</v>
      </c>
      <c r="G7" s="95">
        <v>3529</v>
      </c>
      <c r="H7" s="95">
        <v>10</v>
      </c>
      <c r="I7" s="95">
        <v>0</v>
      </c>
      <c r="J7" s="93">
        <v>7311</v>
      </c>
      <c r="K7" s="94">
        <v>645</v>
      </c>
      <c r="L7" s="93">
        <v>0</v>
      </c>
      <c r="M7" s="94">
        <v>0</v>
      </c>
    </row>
    <row r="8" spans="1:13" x14ac:dyDescent="0.35">
      <c r="A8">
        <v>2031</v>
      </c>
      <c r="B8" s="92" t="s">
        <v>13</v>
      </c>
      <c r="C8" s="93">
        <v>10950</v>
      </c>
      <c r="D8" s="94">
        <v>96000</v>
      </c>
      <c r="E8" s="95">
        <v>174</v>
      </c>
      <c r="F8" s="95">
        <v>8196</v>
      </c>
      <c r="G8" s="95">
        <v>4117</v>
      </c>
      <c r="H8" s="95">
        <v>10</v>
      </c>
      <c r="I8" s="95">
        <v>0</v>
      </c>
      <c r="J8" s="93">
        <v>9139</v>
      </c>
      <c r="K8" s="94">
        <v>806</v>
      </c>
      <c r="L8" s="93">
        <v>0</v>
      </c>
      <c r="M8" s="94">
        <v>0</v>
      </c>
    </row>
    <row r="9" spans="1:13" x14ac:dyDescent="0.35">
      <c r="A9">
        <v>2032</v>
      </c>
      <c r="B9" s="92" t="s">
        <v>13</v>
      </c>
      <c r="C9" s="93">
        <v>10950</v>
      </c>
      <c r="D9" s="94">
        <v>96000</v>
      </c>
      <c r="E9" s="95">
        <v>199</v>
      </c>
      <c r="F9" s="95">
        <v>9367</v>
      </c>
      <c r="G9" s="95">
        <v>4705</v>
      </c>
      <c r="H9" s="95">
        <v>15</v>
      </c>
      <c r="I9" s="95">
        <v>0</v>
      </c>
      <c r="J9" s="93">
        <v>9139</v>
      </c>
      <c r="K9" s="94">
        <v>806</v>
      </c>
      <c r="L9" s="93">
        <v>0</v>
      </c>
      <c r="M9" s="94">
        <v>0</v>
      </c>
    </row>
    <row r="10" spans="1:13" x14ac:dyDescent="0.35">
      <c r="A10">
        <v>2033</v>
      </c>
      <c r="B10" s="92" t="s">
        <v>13</v>
      </c>
      <c r="C10" s="93">
        <v>10950</v>
      </c>
      <c r="D10" s="94">
        <v>96000</v>
      </c>
      <c r="E10" s="95">
        <v>224</v>
      </c>
      <c r="F10" s="95">
        <v>10538</v>
      </c>
      <c r="G10" s="95">
        <v>5293</v>
      </c>
      <c r="H10" s="95">
        <v>15</v>
      </c>
      <c r="I10" s="95">
        <v>0</v>
      </c>
      <c r="J10" s="93">
        <v>9139</v>
      </c>
      <c r="K10" s="94">
        <v>806</v>
      </c>
      <c r="L10" s="93">
        <v>0</v>
      </c>
      <c r="M10" s="94">
        <v>0</v>
      </c>
    </row>
    <row r="11" spans="1:13" x14ac:dyDescent="0.35">
      <c r="A11">
        <v>2034</v>
      </c>
      <c r="B11" s="92" t="s">
        <v>13</v>
      </c>
      <c r="C11" s="93">
        <v>10950</v>
      </c>
      <c r="D11" s="94">
        <v>96000</v>
      </c>
      <c r="E11" s="95">
        <v>249</v>
      </c>
      <c r="F11" s="95">
        <v>11709</v>
      </c>
      <c r="G11" s="95">
        <v>5881</v>
      </c>
      <c r="H11" s="95">
        <v>15</v>
      </c>
      <c r="I11" s="95">
        <v>1000</v>
      </c>
      <c r="J11" s="93">
        <v>9139</v>
      </c>
      <c r="K11" s="94">
        <v>806</v>
      </c>
      <c r="L11" s="93">
        <v>0</v>
      </c>
      <c r="M11" s="94">
        <v>0</v>
      </c>
    </row>
    <row r="12" spans="1:13" x14ac:dyDescent="0.35">
      <c r="A12">
        <v>2035</v>
      </c>
      <c r="B12" s="92" t="s">
        <v>13</v>
      </c>
      <c r="C12" s="93">
        <v>10950</v>
      </c>
      <c r="D12" s="94">
        <v>96000</v>
      </c>
      <c r="E12" s="95">
        <v>274</v>
      </c>
      <c r="F12" s="95">
        <v>13320</v>
      </c>
      <c r="G12" s="95">
        <v>7380</v>
      </c>
      <c r="H12" s="95">
        <v>19</v>
      </c>
      <c r="I12" s="95">
        <v>1000</v>
      </c>
      <c r="J12" s="93">
        <v>9139</v>
      </c>
      <c r="K12" s="94">
        <v>806</v>
      </c>
      <c r="L12" s="93">
        <v>0</v>
      </c>
      <c r="M12" s="94">
        <v>0</v>
      </c>
    </row>
    <row r="13" spans="1:13" x14ac:dyDescent="0.35">
      <c r="A13">
        <v>2036</v>
      </c>
      <c r="B13" s="92" t="s">
        <v>13</v>
      </c>
      <c r="C13" s="93">
        <v>10950</v>
      </c>
      <c r="D13" s="94">
        <v>96000</v>
      </c>
      <c r="E13" s="96">
        <v>274</v>
      </c>
      <c r="F13" s="96">
        <v>13320</v>
      </c>
      <c r="G13" s="96">
        <v>7380</v>
      </c>
      <c r="H13" s="96">
        <v>19</v>
      </c>
      <c r="I13" s="96">
        <v>1000</v>
      </c>
      <c r="J13" s="93">
        <v>11424</v>
      </c>
      <c r="K13" s="94">
        <v>1008</v>
      </c>
      <c r="L13" s="93">
        <v>0</v>
      </c>
      <c r="M13" s="94">
        <v>0</v>
      </c>
    </row>
    <row r="14" spans="1:13" x14ac:dyDescent="0.35">
      <c r="A14">
        <v>2037</v>
      </c>
      <c r="B14" s="92" t="s">
        <v>13</v>
      </c>
      <c r="C14" s="93">
        <v>10950</v>
      </c>
      <c r="D14" s="94">
        <v>96000</v>
      </c>
      <c r="E14" s="96">
        <v>274</v>
      </c>
      <c r="F14" s="96">
        <v>13320</v>
      </c>
      <c r="G14" s="96">
        <v>7380</v>
      </c>
      <c r="H14" s="96">
        <v>19</v>
      </c>
      <c r="I14" s="96">
        <v>1000</v>
      </c>
      <c r="J14" s="93">
        <v>11424</v>
      </c>
      <c r="K14" s="94">
        <v>1008</v>
      </c>
      <c r="L14" s="93">
        <v>0</v>
      </c>
      <c r="M14" s="94">
        <v>0</v>
      </c>
    </row>
    <row r="15" spans="1:13" x14ac:dyDescent="0.35">
      <c r="A15">
        <v>2038</v>
      </c>
      <c r="B15" s="92" t="s">
        <v>13</v>
      </c>
      <c r="C15" s="93">
        <v>10950</v>
      </c>
      <c r="D15" s="94">
        <v>96000</v>
      </c>
      <c r="E15" s="96">
        <v>274</v>
      </c>
      <c r="F15" s="96">
        <v>13320</v>
      </c>
      <c r="G15" s="96">
        <v>7380</v>
      </c>
      <c r="H15" s="96">
        <v>19</v>
      </c>
      <c r="I15" s="96">
        <v>1000</v>
      </c>
      <c r="J15" s="93">
        <v>11424</v>
      </c>
      <c r="K15" s="94">
        <v>1008</v>
      </c>
      <c r="L15" s="93">
        <v>0</v>
      </c>
      <c r="M15" s="94">
        <v>0</v>
      </c>
    </row>
    <row r="16" spans="1:13" x14ac:dyDescent="0.35">
      <c r="A16">
        <v>2039</v>
      </c>
      <c r="B16" s="92" t="s">
        <v>13</v>
      </c>
      <c r="C16" s="93">
        <v>10950</v>
      </c>
      <c r="D16" s="94">
        <v>96000</v>
      </c>
      <c r="E16" s="96">
        <v>274</v>
      </c>
      <c r="F16" s="96">
        <v>13320</v>
      </c>
      <c r="G16" s="96">
        <v>7380</v>
      </c>
      <c r="H16" s="96">
        <v>19</v>
      </c>
      <c r="I16" s="96">
        <v>1000</v>
      </c>
      <c r="J16" s="93">
        <v>11424</v>
      </c>
      <c r="K16" s="94">
        <v>1008</v>
      </c>
      <c r="L16" s="93">
        <v>0</v>
      </c>
      <c r="M16" s="94">
        <v>0</v>
      </c>
    </row>
    <row r="17" spans="1:13" x14ac:dyDescent="0.35">
      <c r="A17">
        <v>2040</v>
      </c>
      <c r="B17" s="92" t="s">
        <v>13</v>
      </c>
      <c r="C17" s="93">
        <v>10950</v>
      </c>
      <c r="D17" s="94">
        <v>96000</v>
      </c>
      <c r="E17" s="96">
        <v>274</v>
      </c>
      <c r="F17" s="96">
        <v>13320</v>
      </c>
      <c r="G17" s="96">
        <v>7380</v>
      </c>
      <c r="H17" s="96">
        <v>19</v>
      </c>
      <c r="I17" s="96">
        <v>1000</v>
      </c>
      <c r="J17" s="93">
        <v>11424</v>
      </c>
      <c r="K17" s="94">
        <v>1008</v>
      </c>
      <c r="L17" s="93">
        <v>0</v>
      </c>
      <c r="M17" s="94">
        <v>0</v>
      </c>
    </row>
    <row r="18" spans="1:13" x14ac:dyDescent="0.35">
      <c r="A18">
        <v>2041</v>
      </c>
      <c r="B18" s="92" t="s">
        <v>13</v>
      </c>
      <c r="C18" s="93">
        <v>10950</v>
      </c>
      <c r="D18" s="94">
        <v>96000</v>
      </c>
      <c r="E18" s="96">
        <v>274</v>
      </c>
      <c r="F18" s="96">
        <v>13320</v>
      </c>
      <c r="G18" s="96">
        <v>7380</v>
      </c>
      <c r="H18" s="96">
        <v>19</v>
      </c>
      <c r="I18" s="96">
        <v>1000</v>
      </c>
      <c r="J18" s="93">
        <v>14280</v>
      </c>
      <c r="K18" s="94">
        <v>1260</v>
      </c>
      <c r="L18" s="93">
        <v>0</v>
      </c>
      <c r="M18" s="94">
        <v>0</v>
      </c>
    </row>
    <row r="19" spans="1:13" x14ac:dyDescent="0.35">
      <c r="A19">
        <v>2042</v>
      </c>
      <c r="B19" s="92" t="s">
        <v>13</v>
      </c>
      <c r="C19" s="93">
        <v>10950</v>
      </c>
      <c r="D19" s="94">
        <v>96000</v>
      </c>
      <c r="E19" s="96">
        <v>274</v>
      </c>
      <c r="F19" s="96">
        <v>13320</v>
      </c>
      <c r="G19" s="96">
        <v>7380</v>
      </c>
      <c r="H19" s="96">
        <v>19</v>
      </c>
      <c r="I19" s="96">
        <v>1000</v>
      </c>
      <c r="J19" s="93">
        <v>14280</v>
      </c>
      <c r="K19" s="94">
        <v>1260</v>
      </c>
      <c r="L19" s="93">
        <v>0</v>
      </c>
      <c r="M19" s="94">
        <v>0</v>
      </c>
    </row>
    <row r="20" spans="1:13" x14ac:dyDescent="0.35">
      <c r="A20">
        <v>2043</v>
      </c>
      <c r="B20" s="92" t="s">
        <v>13</v>
      </c>
      <c r="C20" s="93">
        <v>10950</v>
      </c>
      <c r="D20" s="94">
        <v>96000</v>
      </c>
      <c r="E20" s="96">
        <v>274</v>
      </c>
      <c r="F20" s="96">
        <v>13320</v>
      </c>
      <c r="G20" s="96">
        <v>7380</v>
      </c>
      <c r="H20" s="96">
        <v>19</v>
      </c>
      <c r="I20" s="96">
        <v>1000</v>
      </c>
      <c r="J20" s="93">
        <v>14280</v>
      </c>
      <c r="K20" s="94">
        <v>1260</v>
      </c>
      <c r="L20" s="93">
        <v>0</v>
      </c>
      <c r="M20" s="94">
        <v>0</v>
      </c>
    </row>
    <row r="21" spans="1:13" x14ac:dyDescent="0.35">
      <c r="A21">
        <v>2044</v>
      </c>
      <c r="B21" s="92" t="s">
        <v>13</v>
      </c>
      <c r="C21" s="93">
        <v>10950</v>
      </c>
      <c r="D21" s="94">
        <v>96000</v>
      </c>
      <c r="E21" s="96">
        <v>274</v>
      </c>
      <c r="F21" s="96">
        <v>13320</v>
      </c>
      <c r="G21" s="96">
        <v>7380</v>
      </c>
      <c r="H21" s="96">
        <v>19</v>
      </c>
      <c r="I21" s="96">
        <v>1000</v>
      </c>
      <c r="J21" s="93">
        <v>14280</v>
      </c>
      <c r="K21" s="94">
        <v>1260</v>
      </c>
      <c r="L21" s="93">
        <v>0</v>
      </c>
      <c r="M21" s="94">
        <v>0</v>
      </c>
    </row>
    <row r="22" spans="1:13" x14ac:dyDescent="0.35">
      <c r="A22">
        <v>2045</v>
      </c>
      <c r="B22" s="92" t="s">
        <v>13</v>
      </c>
      <c r="C22" s="93">
        <v>10950</v>
      </c>
      <c r="D22" s="94">
        <v>96000</v>
      </c>
      <c r="E22" s="96">
        <v>274</v>
      </c>
      <c r="F22" s="96">
        <v>13320</v>
      </c>
      <c r="G22" s="96">
        <v>7380</v>
      </c>
      <c r="H22" s="96">
        <v>19</v>
      </c>
      <c r="I22" s="96">
        <v>1000</v>
      </c>
      <c r="J22" s="93">
        <v>14280</v>
      </c>
      <c r="K22" s="94">
        <v>1260</v>
      </c>
      <c r="L22" s="93">
        <v>0</v>
      </c>
      <c r="M22" s="9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618F-91F9-483F-B619-AA101974AB59}">
  <dimension ref="A1:D26"/>
  <sheetViews>
    <sheetView topLeftCell="D1" workbookViewId="0">
      <selection activeCell="D14" sqref="D14"/>
    </sheetView>
  </sheetViews>
  <sheetFormatPr defaultColWidth="8.83203125" defaultRowHeight="15.5" x14ac:dyDescent="0.35"/>
  <cols>
    <col min="1" max="1" width="13.08203125" bestFit="1" customWidth="1"/>
    <col min="2" max="2" width="67.75" bestFit="1" customWidth="1"/>
    <col min="3" max="3" width="69" bestFit="1" customWidth="1"/>
    <col min="4" max="4" width="69.25" bestFit="1" customWidth="1"/>
    <col min="5" max="5" width="72.58203125" bestFit="1" customWidth="1"/>
    <col min="6" max="6" width="74" bestFit="1" customWidth="1"/>
    <col min="7" max="7" width="74.08203125" bestFit="1" customWidth="1"/>
    <col min="8" max="10" width="11.83203125" bestFit="1" customWidth="1"/>
    <col min="11" max="11" width="3.5" bestFit="1" customWidth="1"/>
    <col min="12" max="12" width="65.83203125" bestFit="1" customWidth="1"/>
    <col min="13" max="14" width="11.83203125" bestFit="1" customWidth="1"/>
    <col min="15" max="15" width="10.83203125" bestFit="1" customWidth="1"/>
    <col min="16" max="16" width="3.5" bestFit="1" customWidth="1"/>
    <col min="17" max="17" width="69.33203125" bestFit="1" customWidth="1"/>
    <col min="18" max="18" width="70.58203125" bestFit="1" customWidth="1"/>
    <col min="19" max="19" width="71" bestFit="1" customWidth="1"/>
  </cols>
  <sheetData>
    <row r="1" spans="1:4" x14ac:dyDescent="0.35">
      <c r="A1" s="57" t="s">
        <v>1</v>
      </c>
      <c r="B1" t="s">
        <v>30</v>
      </c>
    </row>
    <row r="3" spans="1:4" x14ac:dyDescent="0.35">
      <c r="B3" s="57" t="s">
        <v>36</v>
      </c>
    </row>
    <row r="4" spans="1:4" x14ac:dyDescent="0.35">
      <c r="B4" t="s">
        <v>37</v>
      </c>
      <c r="C4" t="s">
        <v>38</v>
      </c>
      <c r="D4" t="s">
        <v>39</v>
      </c>
    </row>
    <row r="5" spans="1:4" x14ac:dyDescent="0.35">
      <c r="A5" s="57" t="s">
        <v>40</v>
      </c>
      <c r="B5" t="s">
        <v>41</v>
      </c>
      <c r="C5" t="s">
        <v>41</v>
      </c>
      <c r="D5" t="s">
        <v>41</v>
      </c>
    </row>
    <row r="6" spans="1:4" x14ac:dyDescent="0.35">
      <c r="A6" s="119">
        <v>2025</v>
      </c>
      <c r="B6">
        <v>0.10435576607649907</v>
      </c>
      <c r="C6">
        <v>9.5675595590707083E-2</v>
      </c>
      <c r="D6">
        <v>0.11303593583775111</v>
      </c>
    </row>
    <row r="7" spans="1:4" x14ac:dyDescent="0.35">
      <c r="A7" s="119">
        <v>2026</v>
      </c>
      <c r="B7">
        <v>0.20076126556564361</v>
      </c>
      <c r="C7">
        <v>0.18221670127416764</v>
      </c>
      <c r="D7">
        <v>0.21930582842112539</v>
      </c>
    </row>
    <row r="8" spans="1:4" x14ac:dyDescent="0.35">
      <c r="A8" s="119">
        <v>2027</v>
      </c>
      <c r="B8">
        <v>0.2867939784282264</v>
      </c>
      <c r="C8">
        <v>0.25750182101589403</v>
      </c>
      <c r="D8">
        <v>0.31608613372528649</v>
      </c>
    </row>
    <row r="9" spans="1:4" x14ac:dyDescent="0.35">
      <c r="A9" s="119">
        <v>2028</v>
      </c>
      <c r="B9">
        <v>0.36368516122743155</v>
      </c>
      <c r="C9">
        <v>0.32275968239866709</v>
      </c>
      <c r="D9">
        <v>0.4046106372875527</v>
      </c>
    </row>
    <row r="10" spans="1:4" x14ac:dyDescent="0.35">
      <c r="A10" s="119">
        <v>2029</v>
      </c>
      <c r="B10">
        <v>0.43165069441376974</v>
      </c>
      <c r="C10">
        <v>0.37829263965402216</v>
      </c>
      <c r="D10">
        <v>0.48500874577829378</v>
      </c>
    </row>
    <row r="11" spans="1:4" x14ac:dyDescent="0.35">
      <c r="A11" s="119">
        <v>2030</v>
      </c>
      <c r="B11">
        <v>0.49187732237489074</v>
      </c>
      <c r="C11">
        <v>0.42524772407566258</v>
      </c>
      <c r="D11">
        <v>0.55850691667221319</v>
      </c>
    </row>
    <row r="12" spans="1:4" x14ac:dyDescent="0.35">
      <c r="A12" s="119">
        <v>2031</v>
      </c>
      <c r="B12">
        <v>0.54318062185390004</v>
      </c>
      <c r="C12">
        <v>0.46270908169473846</v>
      </c>
      <c r="D12">
        <v>0.62365215743647529</v>
      </c>
    </row>
    <row r="13" spans="1:4" x14ac:dyDescent="0.35">
      <c r="A13" s="119">
        <v>2032</v>
      </c>
      <c r="B13">
        <v>0.58729273877510413</v>
      </c>
      <c r="C13">
        <v>0.49228389739740896</v>
      </c>
      <c r="D13">
        <v>0.68230157502194422</v>
      </c>
    </row>
    <row r="14" spans="1:4" x14ac:dyDescent="0.35">
      <c r="A14" s="119">
        <v>2033</v>
      </c>
      <c r="B14">
        <v>0.62320427373437859</v>
      </c>
      <c r="C14">
        <v>0.51324369500410183</v>
      </c>
      <c r="D14">
        <v>0.73316484681144534</v>
      </c>
    </row>
    <row r="15" spans="1:4" x14ac:dyDescent="0.35">
      <c r="A15" s="119">
        <v>2034</v>
      </c>
      <c r="B15">
        <v>0.69254579030748276</v>
      </c>
      <c r="C15">
        <v>0.5593813807220539</v>
      </c>
      <c r="D15">
        <v>0.82571019336039053</v>
      </c>
    </row>
    <row r="16" spans="1:4" x14ac:dyDescent="0.35">
      <c r="A16" s="119">
        <v>2035</v>
      </c>
      <c r="B16">
        <v>0.71337943577240159</v>
      </c>
      <c r="C16">
        <v>0.56397244154380732</v>
      </c>
      <c r="D16">
        <v>0.86278642299273078</v>
      </c>
    </row>
    <row r="17" spans="1:4" x14ac:dyDescent="0.35">
      <c r="A17" s="119">
        <v>2036</v>
      </c>
      <c r="B17">
        <v>0.72762070143494584</v>
      </c>
      <c r="C17">
        <v>0.56166949960320822</v>
      </c>
      <c r="D17">
        <v>0.89357189580905005</v>
      </c>
    </row>
    <row r="18" spans="1:4" x14ac:dyDescent="0.35">
      <c r="A18" s="119">
        <v>2037</v>
      </c>
      <c r="B18">
        <v>0.73559491498364338</v>
      </c>
      <c r="C18">
        <v>0.55287398315839886</v>
      </c>
      <c r="D18">
        <v>0.91831583892835655</v>
      </c>
    </row>
    <row r="19" spans="1:4" x14ac:dyDescent="0.35">
      <c r="A19" s="119">
        <v>2038</v>
      </c>
      <c r="B19">
        <v>0.73769719697282565</v>
      </c>
      <c r="C19">
        <v>0.538039015513465</v>
      </c>
      <c r="D19">
        <v>0.93735537015455817</v>
      </c>
    </row>
    <row r="20" spans="1:4" x14ac:dyDescent="0.35">
      <c r="A20" s="119">
        <v>2039</v>
      </c>
      <c r="B20">
        <v>0.73422560117490554</v>
      </c>
      <c r="C20">
        <v>0.5175434576056861</v>
      </c>
      <c r="D20">
        <v>0.95090773609554069</v>
      </c>
    </row>
    <row r="21" spans="1:4" x14ac:dyDescent="0.35">
      <c r="A21" s="119">
        <v>2040</v>
      </c>
      <c r="B21">
        <v>0.72551138166613849</v>
      </c>
      <c r="C21">
        <v>0.49179179855747945</v>
      </c>
      <c r="D21">
        <v>0.9592309557813985</v>
      </c>
    </row>
    <row r="22" spans="1:4" x14ac:dyDescent="0.35">
      <c r="A22" s="119">
        <v>2041</v>
      </c>
      <c r="B22">
        <v>0.71188579252278006</v>
      </c>
      <c r="C22">
        <v>0.46118852749126216</v>
      </c>
      <c r="D22">
        <v>0.96258304824222507</v>
      </c>
    </row>
    <row r="23" spans="1:4" x14ac:dyDescent="0.35">
      <c r="A23" s="119">
        <v>2042</v>
      </c>
      <c r="B23">
        <v>0.69368008782108559</v>
      </c>
      <c r="C23">
        <v>0.42613813352945107</v>
      </c>
      <c r="D23">
        <v>0.96122203250811444</v>
      </c>
    </row>
    <row r="24" spans="1:4" x14ac:dyDescent="0.35">
      <c r="A24" s="119">
        <v>2043</v>
      </c>
      <c r="B24">
        <v>0.67121231660053982</v>
      </c>
      <c r="C24">
        <v>0.38703749144624616</v>
      </c>
      <c r="D24">
        <v>0.95538713188403024</v>
      </c>
    </row>
    <row r="25" spans="1:4" x14ac:dyDescent="0.35">
      <c r="A25" s="119">
        <v>2044</v>
      </c>
      <c r="B25">
        <v>0.67274108946784406</v>
      </c>
      <c r="C25">
        <v>0.35920435457396505</v>
      </c>
      <c r="D25">
        <v>0.9862778138131979</v>
      </c>
    </row>
    <row r="26" spans="1:4" x14ac:dyDescent="0.35">
      <c r="A26" s="119">
        <v>2045</v>
      </c>
      <c r="B26">
        <v>0.64125955917300581</v>
      </c>
      <c r="C26">
        <v>0.31114136807659021</v>
      </c>
      <c r="D26">
        <v>0.97137773950134565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B0A07-FB42-4C6F-AE64-45A36CCCF322}">
  <dimension ref="A1:O102"/>
  <sheetViews>
    <sheetView topLeftCell="D1" workbookViewId="0">
      <selection activeCell="I85" sqref="I85"/>
    </sheetView>
  </sheetViews>
  <sheetFormatPr defaultRowHeight="15.5" x14ac:dyDescent="0.35"/>
  <cols>
    <col min="1" max="1" width="13.08203125" bestFit="1" customWidth="1"/>
    <col min="2" max="2" width="23.25" bestFit="1" customWidth="1"/>
    <col min="3" max="3" width="14" bestFit="1" customWidth="1"/>
    <col min="4" max="4" width="7.83203125" bestFit="1" customWidth="1"/>
    <col min="5" max="5" width="23.25" bestFit="1" customWidth="1"/>
    <col min="6" max="6" width="14" bestFit="1" customWidth="1"/>
    <col min="7" max="7" width="8.83203125" bestFit="1" customWidth="1"/>
    <col min="8" max="8" width="44.5" bestFit="1" customWidth="1"/>
    <col min="9" max="9" width="35.08203125" bestFit="1" customWidth="1"/>
    <col min="10" max="10" width="59.25" bestFit="1" customWidth="1"/>
    <col min="11" max="11" width="71.83203125" bestFit="1" customWidth="1"/>
    <col min="12" max="12" width="44.5" bestFit="1" customWidth="1"/>
    <col min="13" max="13" width="35.08203125" bestFit="1" customWidth="1"/>
    <col min="14" max="14" width="23.25" bestFit="1" customWidth="1"/>
    <col min="15" max="15" width="22.83203125" bestFit="1" customWidth="1"/>
    <col min="16" max="16" width="7.75" bestFit="1" customWidth="1"/>
    <col min="17" max="17" width="11" bestFit="1" customWidth="1"/>
    <col min="18" max="18" width="5" bestFit="1" customWidth="1"/>
    <col min="19" max="19" width="9.58203125" bestFit="1" customWidth="1"/>
    <col min="20" max="20" width="18" bestFit="1" customWidth="1"/>
    <col min="21" max="21" width="9.58203125" bestFit="1" customWidth="1"/>
    <col min="22" max="22" width="11.83203125" bestFit="1" customWidth="1"/>
    <col min="23" max="23" width="14" bestFit="1" customWidth="1"/>
    <col min="24" max="24" width="22.58203125" bestFit="1" customWidth="1"/>
    <col min="25" max="25" width="11.83203125" bestFit="1" customWidth="1"/>
    <col min="26" max="27" width="28.25" bestFit="1" customWidth="1"/>
  </cols>
  <sheetData>
    <row r="1" spans="1:15" x14ac:dyDescent="0.35">
      <c r="A1" s="57" t="s">
        <v>1</v>
      </c>
      <c r="B1" t="s">
        <v>30</v>
      </c>
    </row>
    <row r="3" spans="1:15" x14ac:dyDescent="0.35">
      <c r="B3" s="57" t="s">
        <v>36</v>
      </c>
    </row>
    <row r="4" spans="1:15" x14ac:dyDescent="0.35">
      <c r="B4" t="s">
        <v>482</v>
      </c>
      <c r="E4" t="s">
        <v>483</v>
      </c>
      <c r="J4" s="134" t="s">
        <v>484</v>
      </c>
      <c r="K4" s="134"/>
      <c r="L4" s="134"/>
      <c r="M4" s="134" t="s">
        <v>485</v>
      </c>
      <c r="N4" s="134"/>
      <c r="O4" s="134"/>
    </row>
    <row r="5" spans="1:15" x14ac:dyDescent="0.35">
      <c r="A5" s="57" t="s">
        <v>40</v>
      </c>
      <c r="B5" t="s">
        <v>80</v>
      </c>
      <c r="C5" t="s">
        <v>97</v>
      </c>
      <c r="D5" t="s">
        <v>83</v>
      </c>
      <c r="E5" t="s">
        <v>80</v>
      </c>
      <c r="F5" t="s">
        <v>97</v>
      </c>
      <c r="G5" t="s">
        <v>83</v>
      </c>
      <c r="I5" t="s">
        <v>40</v>
      </c>
      <c r="J5" t="s">
        <v>80</v>
      </c>
      <c r="K5" t="s">
        <v>97</v>
      </c>
      <c r="L5" t="s">
        <v>83</v>
      </c>
      <c r="M5" t="s">
        <v>80</v>
      </c>
      <c r="N5" t="s">
        <v>97</v>
      </c>
      <c r="O5" t="s">
        <v>83</v>
      </c>
    </row>
    <row r="6" spans="1:15" x14ac:dyDescent="0.35">
      <c r="A6" s="119">
        <v>2025</v>
      </c>
      <c r="B6">
        <v>119.23121999999999</v>
      </c>
      <c r="C6">
        <v>0</v>
      </c>
      <c r="D6">
        <v>8.4773700000000005</v>
      </c>
      <c r="E6">
        <v>7153.8731999999991</v>
      </c>
      <c r="F6">
        <v>0</v>
      </c>
      <c r="G6">
        <v>67.818960000000004</v>
      </c>
      <c r="I6">
        <v>2025</v>
      </c>
      <c r="J6">
        <v>123.30401999999999</v>
      </c>
      <c r="L6">
        <v>2.1407500000000002</v>
      </c>
      <c r="M6">
        <v>7398.2411999999995</v>
      </c>
      <c r="O6">
        <v>17.126000000000001</v>
      </c>
    </row>
    <row r="7" spans="1:15" x14ac:dyDescent="0.35">
      <c r="A7" s="119">
        <v>2026</v>
      </c>
      <c r="B7">
        <v>119.23121999999999</v>
      </c>
      <c r="C7">
        <v>0</v>
      </c>
      <c r="D7">
        <v>9.6761900000000018</v>
      </c>
      <c r="E7">
        <v>7153.8731999999991</v>
      </c>
      <c r="F7">
        <v>0</v>
      </c>
      <c r="G7">
        <v>77.409520000000015</v>
      </c>
      <c r="I7">
        <v>2026</v>
      </c>
      <c r="J7">
        <v>246.60803999999999</v>
      </c>
      <c r="L7">
        <v>4.2815000000000003</v>
      </c>
      <c r="M7">
        <v>14796.482399999999</v>
      </c>
      <c r="O7">
        <v>34.252000000000002</v>
      </c>
    </row>
    <row r="8" spans="1:15" x14ac:dyDescent="0.35">
      <c r="A8" s="119">
        <v>2027</v>
      </c>
      <c r="B8">
        <v>119.23121999999999</v>
      </c>
      <c r="C8">
        <v>0</v>
      </c>
      <c r="D8">
        <v>9.6761900000000018</v>
      </c>
      <c r="E8">
        <v>7153.8731999999991</v>
      </c>
      <c r="F8">
        <v>0</v>
      </c>
      <c r="G8">
        <v>77.409520000000015</v>
      </c>
      <c r="I8">
        <v>2027</v>
      </c>
      <c r="J8">
        <v>357.69365999999997</v>
      </c>
      <c r="L8">
        <v>6.4222500000000009</v>
      </c>
      <c r="M8">
        <v>21461.619599999998</v>
      </c>
      <c r="O8">
        <v>51.378000000000007</v>
      </c>
    </row>
    <row r="9" spans="1:15" x14ac:dyDescent="0.35">
      <c r="A9" s="119">
        <v>2028</v>
      </c>
      <c r="B9">
        <v>119.23121999999999</v>
      </c>
      <c r="C9">
        <v>0</v>
      </c>
      <c r="D9">
        <v>9.6761900000000018</v>
      </c>
      <c r="E9">
        <v>7153.8731999999991</v>
      </c>
      <c r="F9">
        <v>0</v>
      </c>
      <c r="G9">
        <v>77.409520000000015</v>
      </c>
      <c r="I9">
        <v>2028</v>
      </c>
      <c r="J9">
        <v>476.92487999999997</v>
      </c>
      <c r="L9">
        <v>8.5630000000000006</v>
      </c>
      <c r="M9">
        <v>28615.492799999996</v>
      </c>
      <c r="O9">
        <v>68.504000000000005</v>
      </c>
    </row>
    <row r="10" spans="1:15" x14ac:dyDescent="0.35">
      <c r="A10" s="119">
        <v>2029</v>
      </c>
      <c r="B10">
        <v>119.12939999999999</v>
      </c>
      <c r="C10">
        <v>0</v>
      </c>
      <c r="D10">
        <v>9.6761900000000018</v>
      </c>
      <c r="E10">
        <v>7147.7639999999992</v>
      </c>
      <c r="F10">
        <v>0</v>
      </c>
      <c r="G10">
        <v>77.409520000000015</v>
      </c>
      <c r="I10">
        <v>2029</v>
      </c>
      <c r="J10">
        <v>596.05427999999995</v>
      </c>
      <c r="L10">
        <v>10.703750000000001</v>
      </c>
      <c r="M10">
        <v>35763.256799999996</v>
      </c>
      <c r="O10">
        <v>85.63000000000001</v>
      </c>
    </row>
    <row r="11" spans="1:15" x14ac:dyDescent="0.35">
      <c r="A11" s="119">
        <v>2030</v>
      </c>
      <c r="B11">
        <v>119.23121999999999</v>
      </c>
      <c r="C11">
        <v>233.15531658904112</v>
      </c>
      <c r="D11">
        <v>9.6761900000000018</v>
      </c>
      <c r="E11">
        <v>7153.8731999999991</v>
      </c>
      <c r="F11">
        <v>13989.318995342468</v>
      </c>
      <c r="G11">
        <v>77.409520000000015</v>
      </c>
      <c r="I11">
        <v>2030</v>
      </c>
      <c r="J11">
        <v>715.28549999999996</v>
      </c>
      <c r="K11">
        <v>190.80789041095892</v>
      </c>
      <c r="L11">
        <v>12.758870000000002</v>
      </c>
      <c r="M11">
        <v>42917.13</v>
      </c>
      <c r="N11">
        <v>11448.473424657534</v>
      </c>
      <c r="O11">
        <v>102.07096000000001</v>
      </c>
    </row>
    <row r="12" spans="1:15" x14ac:dyDescent="0.35">
      <c r="A12" s="119">
        <v>2031</v>
      </c>
      <c r="B12">
        <v>119.23121999999999</v>
      </c>
      <c r="C12">
        <v>29.773186199999984</v>
      </c>
      <c r="D12">
        <v>9.6761900000000018</v>
      </c>
      <c r="E12">
        <v>7153.8731999999991</v>
      </c>
      <c r="F12">
        <v>1786.391171999999</v>
      </c>
      <c r="G12">
        <v>77.409520000000015</v>
      </c>
      <c r="I12">
        <v>2031</v>
      </c>
      <c r="J12">
        <v>834.51671999999996</v>
      </c>
      <c r="L12">
        <v>14.899620000000002</v>
      </c>
      <c r="M12">
        <v>50071.003199999999</v>
      </c>
      <c r="O12">
        <v>119.19696000000002</v>
      </c>
    </row>
    <row r="13" spans="1:15" x14ac:dyDescent="0.35">
      <c r="A13" s="119">
        <v>2032</v>
      </c>
      <c r="B13">
        <v>119.23121999999999</v>
      </c>
      <c r="C13">
        <v>29.773186199999984</v>
      </c>
      <c r="D13">
        <v>9.6761900000000018</v>
      </c>
      <c r="E13">
        <v>7153.8731999999991</v>
      </c>
      <c r="F13">
        <v>1786.391171999999</v>
      </c>
      <c r="G13">
        <v>77.409520000000015</v>
      </c>
      <c r="I13">
        <v>2032</v>
      </c>
      <c r="J13">
        <v>953.74793999999997</v>
      </c>
      <c r="L13">
        <v>17.040370000000003</v>
      </c>
      <c r="M13">
        <v>57224.876399999994</v>
      </c>
      <c r="O13">
        <v>136.32296000000002</v>
      </c>
    </row>
    <row r="14" spans="1:15" x14ac:dyDescent="0.35">
      <c r="A14" s="119">
        <v>2033</v>
      </c>
      <c r="B14">
        <v>119.23121999999999</v>
      </c>
      <c r="C14">
        <v>29.77318620000003</v>
      </c>
      <c r="D14">
        <v>9.6761900000000018</v>
      </c>
      <c r="E14">
        <v>7153.8731999999991</v>
      </c>
      <c r="F14">
        <v>1786.3911720000017</v>
      </c>
      <c r="G14">
        <v>77.409520000000015</v>
      </c>
      <c r="I14">
        <v>2033</v>
      </c>
      <c r="J14">
        <v>1072.9791599999999</v>
      </c>
      <c r="L14">
        <v>19.181120000000004</v>
      </c>
      <c r="M14">
        <v>64378.749599999996</v>
      </c>
      <c r="O14">
        <v>153.44896000000003</v>
      </c>
    </row>
    <row r="15" spans="1:15" x14ac:dyDescent="0.35">
      <c r="A15" s="119">
        <v>2034</v>
      </c>
      <c r="B15">
        <v>119.23121999999999</v>
      </c>
      <c r="C15">
        <v>29.773186200000076</v>
      </c>
      <c r="D15">
        <v>9.6761900000000018</v>
      </c>
      <c r="E15">
        <v>7153.8731999999991</v>
      </c>
      <c r="F15">
        <v>1786.3911720000044</v>
      </c>
      <c r="G15">
        <v>77.409520000000015</v>
      </c>
      <c r="I15">
        <v>2034</v>
      </c>
      <c r="J15">
        <v>1192.21038</v>
      </c>
      <c r="L15">
        <v>21.321870000000004</v>
      </c>
      <c r="M15">
        <v>71532.622799999997</v>
      </c>
      <c r="O15">
        <v>170.57496000000003</v>
      </c>
    </row>
    <row r="16" spans="1:15" x14ac:dyDescent="0.35">
      <c r="A16" s="119">
        <v>2035</v>
      </c>
      <c r="B16">
        <v>119.23121999999999</v>
      </c>
      <c r="C16">
        <v>29.773186199999891</v>
      </c>
      <c r="D16">
        <v>9.6761900000000018</v>
      </c>
      <c r="E16">
        <v>7153.8731999999991</v>
      </c>
      <c r="F16">
        <v>1786.3911719999935</v>
      </c>
      <c r="G16">
        <v>77.409520000000015</v>
      </c>
      <c r="I16">
        <v>2035</v>
      </c>
      <c r="J16">
        <v>1356.2423999999999</v>
      </c>
      <c r="L16">
        <v>23.462620000000005</v>
      </c>
      <c r="M16">
        <v>81374.543999999994</v>
      </c>
      <c r="O16">
        <v>187.70096000000004</v>
      </c>
    </row>
    <row r="17" spans="1:9" x14ac:dyDescent="0.35">
      <c r="A17" s="119">
        <v>2036</v>
      </c>
      <c r="B17">
        <v>119.23121999999999</v>
      </c>
      <c r="C17">
        <v>29.773186199999984</v>
      </c>
      <c r="D17">
        <v>9.6761900000000018</v>
      </c>
      <c r="E17">
        <v>7153.8731999999991</v>
      </c>
      <c r="F17">
        <v>1786.391171999999</v>
      </c>
      <c r="G17">
        <v>77.409520000000015</v>
      </c>
      <c r="I17">
        <v>2036</v>
      </c>
    </row>
    <row r="18" spans="1:9" x14ac:dyDescent="0.35">
      <c r="A18" s="119">
        <v>2037</v>
      </c>
      <c r="B18">
        <v>119.12939999999999</v>
      </c>
      <c r="C18">
        <v>29.773186199999984</v>
      </c>
      <c r="D18">
        <v>9.6761900000000018</v>
      </c>
      <c r="E18">
        <v>7147.7639999999992</v>
      </c>
      <c r="F18">
        <v>1786.391171999999</v>
      </c>
      <c r="G18">
        <v>77.409520000000015</v>
      </c>
      <c r="I18">
        <v>2037</v>
      </c>
    </row>
    <row r="19" spans="1:9" x14ac:dyDescent="0.35">
      <c r="A19" s="119">
        <v>2038</v>
      </c>
      <c r="B19">
        <v>119.23121999999999</v>
      </c>
      <c r="C19">
        <v>29.773186200000168</v>
      </c>
      <c r="D19">
        <v>9.6761900000000018</v>
      </c>
      <c r="E19">
        <v>7153.8731999999991</v>
      </c>
      <c r="F19">
        <v>1786.3911720000101</v>
      </c>
      <c r="G19">
        <v>77.409520000000015</v>
      </c>
      <c r="I19">
        <v>2038</v>
      </c>
    </row>
    <row r="20" spans="1:9" x14ac:dyDescent="0.35">
      <c r="A20" s="119">
        <v>2039</v>
      </c>
      <c r="B20">
        <v>119.23121999999999</v>
      </c>
      <c r="C20">
        <v>29.773186199999891</v>
      </c>
      <c r="D20">
        <v>9.6761900000000018</v>
      </c>
      <c r="E20">
        <v>7153.8731999999991</v>
      </c>
      <c r="F20">
        <v>1786.3911719999935</v>
      </c>
      <c r="G20">
        <v>77.409520000000015</v>
      </c>
      <c r="I20">
        <v>2039</v>
      </c>
    </row>
    <row r="21" spans="1:9" x14ac:dyDescent="0.35">
      <c r="A21" s="119">
        <v>2040</v>
      </c>
      <c r="B21">
        <v>119.23121999999999</v>
      </c>
      <c r="C21">
        <v>29.773186200000076</v>
      </c>
      <c r="D21">
        <v>9.6761900000000018</v>
      </c>
      <c r="E21">
        <v>7153.8731999999991</v>
      </c>
      <c r="F21">
        <v>1786.3911720000044</v>
      </c>
      <c r="G21">
        <v>77.409520000000015</v>
      </c>
      <c r="I21">
        <v>2040</v>
      </c>
    </row>
    <row r="22" spans="1:9" x14ac:dyDescent="0.35">
      <c r="A22" s="119">
        <v>2041</v>
      </c>
      <c r="B22">
        <v>119.23121999999999</v>
      </c>
      <c r="C22">
        <v>29.773186199999984</v>
      </c>
      <c r="D22">
        <v>9.6761900000000018</v>
      </c>
      <c r="E22">
        <v>7153.8731999999991</v>
      </c>
      <c r="F22">
        <v>1786.391171999999</v>
      </c>
      <c r="G22">
        <v>77.409520000000015</v>
      </c>
      <c r="I22">
        <v>2041</v>
      </c>
    </row>
    <row r="23" spans="1:9" x14ac:dyDescent="0.35">
      <c r="A23" s="119">
        <v>2042</v>
      </c>
      <c r="B23">
        <v>119.23121999999999</v>
      </c>
      <c r="C23">
        <v>29.773186199999891</v>
      </c>
      <c r="D23">
        <v>9.6761900000000018</v>
      </c>
      <c r="E23">
        <v>7153.8731999999991</v>
      </c>
      <c r="F23">
        <v>1786.3911719999935</v>
      </c>
      <c r="G23">
        <v>77.409520000000015</v>
      </c>
      <c r="I23">
        <v>2042</v>
      </c>
    </row>
    <row r="24" spans="1:9" x14ac:dyDescent="0.35">
      <c r="A24" s="119">
        <v>2043</v>
      </c>
      <c r="B24">
        <v>119.23121999999999</v>
      </c>
      <c r="C24">
        <v>29.773186199999984</v>
      </c>
      <c r="D24">
        <v>9.5905600000000018</v>
      </c>
      <c r="E24">
        <v>7153.8731999999991</v>
      </c>
      <c r="F24">
        <v>1786.391171999999</v>
      </c>
      <c r="G24">
        <v>76.724480000000014</v>
      </c>
      <c r="I24">
        <v>2043</v>
      </c>
    </row>
    <row r="25" spans="1:9" x14ac:dyDescent="0.35">
      <c r="A25" s="119">
        <v>2044</v>
      </c>
      <c r="B25">
        <v>119.23121999999999</v>
      </c>
      <c r="C25">
        <v>29.773186199999799</v>
      </c>
      <c r="D25">
        <v>9.6761900000000018</v>
      </c>
      <c r="E25">
        <v>7153.8731999999991</v>
      </c>
      <c r="F25">
        <v>1786.3911719999878</v>
      </c>
      <c r="G25">
        <v>77.409520000000015</v>
      </c>
      <c r="I25">
        <v>2044</v>
      </c>
    </row>
    <row r="26" spans="1:9" x14ac:dyDescent="0.35">
      <c r="A26" s="119">
        <v>2045</v>
      </c>
      <c r="B26">
        <v>119.23121999999999</v>
      </c>
      <c r="C26">
        <v>29.773186200000076</v>
      </c>
      <c r="D26">
        <v>9.6761900000000018</v>
      </c>
      <c r="E26">
        <v>7153.8731999999991</v>
      </c>
      <c r="F26">
        <v>1786.3911720000044</v>
      </c>
      <c r="G26">
        <v>77.409520000000015</v>
      </c>
      <c r="I26">
        <v>2045</v>
      </c>
    </row>
    <row r="44" spans="1:3" x14ac:dyDescent="0.35">
      <c r="A44" s="57" t="s">
        <v>1</v>
      </c>
      <c r="B44" t="s">
        <v>30</v>
      </c>
    </row>
    <row r="46" spans="1:3" x14ac:dyDescent="0.35">
      <c r="A46" s="57" t="s">
        <v>40</v>
      </c>
      <c r="B46" t="s">
        <v>482</v>
      </c>
      <c r="C46" t="s">
        <v>483</v>
      </c>
    </row>
    <row r="47" spans="1:3" x14ac:dyDescent="0.35">
      <c r="A47" s="119">
        <v>2025</v>
      </c>
      <c r="B47">
        <v>127.70858999999999</v>
      </c>
      <c r="C47">
        <v>7221.6921599999987</v>
      </c>
    </row>
    <row r="48" spans="1:3" x14ac:dyDescent="0.35">
      <c r="A48" s="119">
        <v>2026</v>
      </c>
      <c r="B48">
        <v>128.90741</v>
      </c>
      <c r="C48">
        <v>7231.2827199999992</v>
      </c>
    </row>
    <row r="49" spans="1:3" x14ac:dyDescent="0.35">
      <c r="A49" s="119">
        <v>2027</v>
      </c>
      <c r="B49">
        <v>128.90741</v>
      </c>
      <c r="C49">
        <v>7231.2827199999992</v>
      </c>
    </row>
    <row r="50" spans="1:3" x14ac:dyDescent="0.35">
      <c r="A50" s="119">
        <v>2028</v>
      </c>
      <c r="B50">
        <v>128.90741</v>
      </c>
      <c r="C50">
        <v>7231.2827199999992</v>
      </c>
    </row>
    <row r="51" spans="1:3" x14ac:dyDescent="0.35">
      <c r="A51" s="119">
        <v>2029</v>
      </c>
      <c r="B51">
        <v>128.80559</v>
      </c>
      <c r="C51">
        <v>7225.1735199999994</v>
      </c>
    </row>
    <row r="52" spans="1:3" x14ac:dyDescent="0.35">
      <c r="A52" s="119">
        <v>2030</v>
      </c>
      <c r="B52">
        <v>362.06272658904112</v>
      </c>
      <c r="C52">
        <v>21220.601715342465</v>
      </c>
    </row>
    <row r="53" spans="1:3" x14ac:dyDescent="0.35">
      <c r="A53" s="119">
        <v>2031</v>
      </c>
      <c r="B53">
        <v>158.68059619999997</v>
      </c>
      <c r="C53">
        <v>9017.6738919999989</v>
      </c>
    </row>
    <row r="54" spans="1:3" x14ac:dyDescent="0.35">
      <c r="A54" s="119">
        <v>2032</v>
      </c>
      <c r="B54">
        <v>158.68059619999997</v>
      </c>
      <c r="C54">
        <v>9017.6738919999989</v>
      </c>
    </row>
    <row r="55" spans="1:3" x14ac:dyDescent="0.35">
      <c r="A55" s="119">
        <v>2033</v>
      </c>
      <c r="B55">
        <v>158.68059620000002</v>
      </c>
      <c r="C55">
        <v>9017.6738920000007</v>
      </c>
    </row>
    <row r="56" spans="1:3" x14ac:dyDescent="0.35">
      <c r="A56" s="119">
        <v>2034</v>
      </c>
      <c r="B56">
        <v>158.68059620000008</v>
      </c>
      <c r="C56">
        <v>9017.6738920000025</v>
      </c>
    </row>
    <row r="57" spans="1:3" x14ac:dyDescent="0.35">
      <c r="A57" s="119">
        <v>2035</v>
      </c>
      <c r="B57">
        <v>158.68059619999988</v>
      </c>
      <c r="C57">
        <v>9017.6738919999916</v>
      </c>
    </row>
    <row r="58" spans="1:3" x14ac:dyDescent="0.35">
      <c r="A58" s="119">
        <v>2036</v>
      </c>
      <c r="B58">
        <v>158.68059619999997</v>
      </c>
      <c r="C58">
        <v>9017.6738919999989</v>
      </c>
    </row>
    <row r="59" spans="1:3" x14ac:dyDescent="0.35">
      <c r="A59" s="119">
        <v>2037</v>
      </c>
      <c r="B59">
        <v>158.57877619999999</v>
      </c>
      <c r="C59">
        <v>9011.5646919999981</v>
      </c>
    </row>
    <row r="60" spans="1:3" x14ac:dyDescent="0.35">
      <c r="A60" s="119">
        <v>2038</v>
      </c>
      <c r="B60">
        <v>158.68059620000017</v>
      </c>
      <c r="C60">
        <v>9017.6738920000098</v>
      </c>
    </row>
    <row r="61" spans="1:3" x14ac:dyDescent="0.35">
      <c r="A61" s="119">
        <v>2039</v>
      </c>
      <c r="B61">
        <v>158.68059619999988</v>
      </c>
      <c r="C61">
        <v>9017.6738919999916</v>
      </c>
    </row>
    <row r="62" spans="1:3" x14ac:dyDescent="0.35">
      <c r="A62" s="119">
        <v>2040</v>
      </c>
      <c r="B62">
        <v>158.68059620000008</v>
      </c>
      <c r="C62">
        <v>9017.6738920000025</v>
      </c>
    </row>
    <row r="63" spans="1:3" x14ac:dyDescent="0.35">
      <c r="A63" s="119">
        <v>2041</v>
      </c>
      <c r="B63">
        <v>158.68059619999997</v>
      </c>
      <c r="C63">
        <v>9017.6738919999989</v>
      </c>
    </row>
    <row r="64" spans="1:3" x14ac:dyDescent="0.35">
      <c r="A64" s="119">
        <v>2042</v>
      </c>
      <c r="B64">
        <v>158.68059619999988</v>
      </c>
      <c r="C64">
        <v>9017.6738919999916</v>
      </c>
    </row>
    <row r="65" spans="1:3" x14ac:dyDescent="0.35">
      <c r="A65" s="119">
        <v>2043</v>
      </c>
      <c r="B65">
        <v>158.59496619999999</v>
      </c>
      <c r="C65">
        <v>9016.9888519999986</v>
      </c>
    </row>
    <row r="66" spans="1:3" x14ac:dyDescent="0.35">
      <c r="A66" s="119">
        <v>2044</v>
      </c>
      <c r="B66">
        <v>158.6805961999998</v>
      </c>
      <c r="C66">
        <v>9017.6738919999862</v>
      </c>
    </row>
    <row r="67" spans="1:3" x14ac:dyDescent="0.35">
      <c r="A67" s="119">
        <v>2045</v>
      </c>
      <c r="B67">
        <v>158.68059620000008</v>
      </c>
      <c r="C67">
        <v>9017.6738920000025</v>
      </c>
    </row>
    <row r="79" spans="1:3" x14ac:dyDescent="0.35">
      <c r="A79" s="57" t="s">
        <v>1</v>
      </c>
      <c r="B79" t="s">
        <v>30</v>
      </c>
    </row>
    <row r="81" spans="1:5" x14ac:dyDescent="0.35">
      <c r="A81" s="57" t="s">
        <v>40</v>
      </c>
      <c r="B81" t="s">
        <v>486</v>
      </c>
      <c r="C81" t="s">
        <v>487</v>
      </c>
      <c r="D81" t="s">
        <v>488</v>
      </c>
      <c r="E81" t="s">
        <v>489</v>
      </c>
    </row>
    <row r="82" spans="1:5" x14ac:dyDescent="0.35">
      <c r="A82" s="119">
        <v>2025</v>
      </c>
      <c r="B82">
        <v>42.852999999999994</v>
      </c>
      <c r="C82">
        <v>37.071300000000001</v>
      </c>
      <c r="D82">
        <v>41.091399999999993</v>
      </c>
      <c r="E82">
        <v>6.6928899999999993</v>
      </c>
    </row>
    <row r="83" spans="1:5" x14ac:dyDescent="0.35">
      <c r="A83" s="119">
        <v>2026</v>
      </c>
      <c r="B83">
        <v>43.183399999999999</v>
      </c>
      <c r="C83">
        <v>37.643899999999995</v>
      </c>
      <c r="D83">
        <v>41.371399999999994</v>
      </c>
      <c r="E83">
        <v>6.70871</v>
      </c>
    </row>
    <row r="84" spans="1:5" x14ac:dyDescent="0.35">
      <c r="A84" s="119">
        <v>2027</v>
      </c>
      <c r="B84">
        <v>43.183399999999999</v>
      </c>
      <c r="C84">
        <v>37.643899999999995</v>
      </c>
      <c r="D84">
        <v>41.371399999999994</v>
      </c>
      <c r="E84">
        <v>6.70871</v>
      </c>
    </row>
    <row r="85" spans="1:5" x14ac:dyDescent="0.35">
      <c r="A85" s="119">
        <v>2028</v>
      </c>
      <c r="B85">
        <v>43.183399999999999</v>
      </c>
      <c r="C85">
        <v>37.643899999999995</v>
      </c>
      <c r="D85">
        <v>41.371399999999994</v>
      </c>
      <c r="E85">
        <v>6.70871</v>
      </c>
    </row>
    <row r="86" spans="1:5" x14ac:dyDescent="0.35">
      <c r="A86" s="119">
        <v>2029</v>
      </c>
      <c r="B86">
        <v>43.148800000000001</v>
      </c>
      <c r="C86">
        <v>37.615699999999997</v>
      </c>
      <c r="D86">
        <v>41.337999999999994</v>
      </c>
      <c r="E86">
        <v>6.7030900000000004</v>
      </c>
    </row>
    <row r="87" spans="1:5" x14ac:dyDescent="0.35">
      <c r="A87" s="119">
        <v>2030</v>
      </c>
      <c r="B87">
        <v>122.41315794520548</v>
      </c>
      <c r="C87">
        <v>102.21844260273974</v>
      </c>
      <c r="D87">
        <v>117.85330506849317</v>
      </c>
      <c r="E87">
        <v>19.577820972602741</v>
      </c>
    </row>
    <row r="88" spans="1:5" x14ac:dyDescent="0.35">
      <c r="A88" s="119">
        <v>2031</v>
      </c>
      <c r="B88">
        <v>53.300785999999988</v>
      </c>
      <c r="C88">
        <v>45.889861999999994</v>
      </c>
      <c r="D88">
        <v>51.137893999999989</v>
      </c>
      <c r="E88">
        <v>8.3520541999999995</v>
      </c>
    </row>
    <row r="89" spans="1:5" x14ac:dyDescent="0.35">
      <c r="A89" s="119">
        <v>2032</v>
      </c>
      <c r="B89">
        <v>53.300785999999988</v>
      </c>
      <c r="C89">
        <v>45.889861999999994</v>
      </c>
      <c r="D89">
        <v>51.137893999999989</v>
      </c>
      <c r="E89">
        <v>8.3520541999999995</v>
      </c>
    </row>
    <row r="90" spans="1:5" x14ac:dyDescent="0.35">
      <c r="A90" s="119">
        <v>2033</v>
      </c>
      <c r="B90">
        <v>53.300786000000009</v>
      </c>
      <c r="C90">
        <v>45.889862000000008</v>
      </c>
      <c r="D90">
        <v>51.137894000000003</v>
      </c>
      <c r="E90">
        <v>8.3520542000000013</v>
      </c>
    </row>
    <row r="91" spans="1:5" x14ac:dyDescent="0.35">
      <c r="A91" s="119">
        <v>2034</v>
      </c>
      <c r="B91">
        <v>53.300786000000024</v>
      </c>
      <c r="C91">
        <v>45.889862000000022</v>
      </c>
      <c r="D91">
        <v>51.137894000000017</v>
      </c>
      <c r="E91">
        <v>8.3520542000000049</v>
      </c>
    </row>
    <row r="92" spans="1:5" x14ac:dyDescent="0.35">
      <c r="A92" s="119">
        <v>2035</v>
      </c>
      <c r="B92">
        <v>53.30078599999996</v>
      </c>
      <c r="C92">
        <v>45.889861999999965</v>
      </c>
      <c r="D92">
        <v>51.13789399999996</v>
      </c>
      <c r="E92">
        <v>8.3520541999999942</v>
      </c>
    </row>
    <row r="93" spans="1:5" x14ac:dyDescent="0.35">
      <c r="A93" s="119">
        <v>2036</v>
      </c>
      <c r="B93">
        <v>53.300785999999988</v>
      </c>
      <c r="C93">
        <v>45.889861999999994</v>
      </c>
      <c r="D93">
        <v>51.137893999999989</v>
      </c>
      <c r="E93">
        <v>8.3520541999999995</v>
      </c>
    </row>
    <row r="94" spans="1:5" x14ac:dyDescent="0.35">
      <c r="A94" s="119">
        <v>2037</v>
      </c>
      <c r="B94">
        <v>53.26618599999999</v>
      </c>
      <c r="C94">
        <v>45.861661999999995</v>
      </c>
      <c r="D94">
        <v>51.104493999999988</v>
      </c>
      <c r="E94">
        <v>8.3464341999999991</v>
      </c>
    </row>
    <row r="95" spans="1:5" x14ac:dyDescent="0.35">
      <c r="A95" s="119">
        <v>2038</v>
      </c>
      <c r="B95">
        <v>53.300786000000059</v>
      </c>
      <c r="C95">
        <v>45.889862000000043</v>
      </c>
      <c r="D95">
        <v>51.137894000000053</v>
      </c>
      <c r="E95">
        <v>8.3520542000000084</v>
      </c>
    </row>
    <row r="96" spans="1:5" x14ac:dyDescent="0.35">
      <c r="A96" s="119">
        <v>2039</v>
      </c>
      <c r="B96">
        <v>53.30078599999996</v>
      </c>
      <c r="C96">
        <v>45.889861999999965</v>
      </c>
      <c r="D96">
        <v>51.13789399999996</v>
      </c>
      <c r="E96">
        <v>8.3520541999999942</v>
      </c>
    </row>
    <row r="97" spans="1:5" x14ac:dyDescent="0.35">
      <c r="A97" s="119">
        <v>2040</v>
      </c>
      <c r="B97">
        <v>53.300786000000024</v>
      </c>
      <c r="C97">
        <v>45.889862000000022</v>
      </c>
      <c r="D97">
        <v>51.137894000000017</v>
      </c>
      <c r="E97">
        <v>8.3520542000000049</v>
      </c>
    </row>
    <row r="98" spans="1:5" x14ac:dyDescent="0.35">
      <c r="A98" s="119">
        <v>2041</v>
      </c>
      <c r="B98">
        <v>53.300785999999988</v>
      </c>
      <c r="C98">
        <v>45.889861999999994</v>
      </c>
      <c r="D98">
        <v>51.137893999999989</v>
      </c>
      <c r="E98">
        <v>8.3520541999999995</v>
      </c>
    </row>
    <row r="99" spans="1:5" x14ac:dyDescent="0.35">
      <c r="A99" s="119">
        <v>2042</v>
      </c>
      <c r="B99">
        <v>53.30078599999996</v>
      </c>
      <c r="C99">
        <v>45.889861999999965</v>
      </c>
      <c r="D99">
        <v>51.13789399999996</v>
      </c>
      <c r="E99">
        <v>8.3520541999999942</v>
      </c>
    </row>
    <row r="100" spans="1:5" x14ac:dyDescent="0.35">
      <c r="A100" s="119">
        <v>2043</v>
      </c>
      <c r="B100">
        <v>53.277185999999993</v>
      </c>
      <c r="C100">
        <v>45.848961999999993</v>
      </c>
      <c r="D100">
        <v>51.117893999999993</v>
      </c>
      <c r="E100">
        <v>8.3509241999999979</v>
      </c>
    </row>
    <row r="101" spans="1:5" x14ac:dyDescent="0.35">
      <c r="A101" s="119">
        <v>2044</v>
      </c>
      <c r="B101">
        <v>53.300785999999931</v>
      </c>
      <c r="C101">
        <v>45.889861999999937</v>
      </c>
      <c r="D101">
        <v>51.137893999999932</v>
      </c>
      <c r="E101">
        <v>8.3520541999999889</v>
      </c>
    </row>
    <row r="102" spans="1:5" x14ac:dyDescent="0.35">
      <c r="A102" s="119">
        <v>2045</v>
      </c>
      <c r="B102">
        <v>53.300786000000024</v>
      </c>
      <c r="C102">
        <v>45.889862000000022</v>
      </c>
      <c r="D102">
        <v>51.137894000000017</v>
      </c>
      <c r="E102">
        <v>8.3520542000000049</v>
      </c>
    </row>
  </sheetData>
  <mergeCells count="2">
    <mergeCell ref="J4:L4"/>
    <mergeCell ref="M4:O4"/>
  </mergeCells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0496-DAB9-4AFC-95A6-7D74F8F7E847}">
  <sheetPr filterMode="1">
    <tabColor theme="7"/>
  </sheetPr>
  <dimension ref="A1:AR1015"/>
  <sheetViews>
    <sheetView tabSelected="1" zoomScale="70" zoomScaleNormal="70" workbookViewId="0">
      <pane xSplit="1" ySplit="1" topLeftCell="E27" activePane="bottomRight" state="frozen"/>
      <selection pane="topRight" activeCell="B1" sqref="B1"/>
      <selection pane="bottomLeft" activeCell="A2" sqref="A2"/>
      <selection pane="bottomRight" activeCell="N27" sqref="N27"/>
    </sheetView>
  </sheetViews>
  <sheetFormatPr defaultColWidth="8.83203125" defaultRowHeight="15.5" x14ac:dyDescent="0.35"/>
  <cols>
    <col min="1" max="1" width="20.08203125" customWidth="1"/>
    <col min="3" max="3" width="17.5" customWidth="1"/>
    <col min="4" max="4" width="24.83203125" customWidth="1"/>
    <col min="5" max="5" width="23.08203125" customWidth="1"/>
    <col min="6" max="6" width="23.08203125" bestFit="1" customWidth="1"/>
    <col min="7" max="7" width="14.83203125" customWidth="1"/>
    <col min="8" max="10" width="19" customWidth="1"/>
    <col min="11" max="13" width="14.83203125" customWidth="1"/>
    <col min="14" max="14" width="17.5" customWidth="1"/>
    <col min="15" max="15" width="19.5" customWidth="1"/>
    <col min="16" max="25" width="17.5" customWidth="1"/>
    <col min="26" max="26" width="9" customWidth="1"/>
    <col min="27" max="27" width="15.83203125" style="13" customWidth="1"/>
    <col min="28" max="28" width="15.83203125" customWidth="1"/>
    <col min="29" max="29" width="13.58203125" customWidth="1"/>
    <col min="30" max="32" width="9.33203125" customWidth="1"/>
    <col min="33" max="33" width="12.58203125" customWidth="1"/>
    <col min="34" max="34" width="20.33203125" customWidth="1"/>
    <col min="35" max="35" width="19.08203125" customWidth="1"/>
    <col min="36" max="36" width="19.58203125" customWidth="1"/>
    <col min="37" max="37" width="21.58203125" customWidth="1"/>
    <col min="38" max="39" width="13.58203125" customWidth="1"/>
    <col min="40" max="41" width="16.58203125" customWidth="1"/>
    <col min="43" max="43" width="11.75" bestFit="1" customWidth="1"/>
  </cols>
  <sheetData>
    <row r="1" spans="1:44" ht="93" x14ac:dyDescent="0.35">
      <c r="A1" t="s">
        <v>1</v>
      </c>
      <c r="B1" t="s">
        <v>0</v>
      </c>
      <c r="C1" t="s">
        <v>42</v>
      </c>
      <c r="D1" t="s">
        <v>43</v>
      </c>
      <c r="E1" s="74" t="s">
        <v>44</v>
      </c>
      <c r="F1" s="74" t="s">
        <v>45</v>
      </c>
      <c r="G1" s="74" t="s">
        <v>46</v>
      </c>
      <c r="H1" s="82" t="s">
        <v>47</v>
      </c>
      <c r="I1" s="82" t="s">
        <v>48</v>
      </c>
      <c r="J1" s="82" t="s">
        <v>49</v>
      </c>
      <c r="K1" s="83" t="s">
        <v>50</v>
      </c>
      <c r="L1" s="83" t="s">
        <v>51</v>
      </c>
      <c r="M1" s="83" t="s">
        <v>52</v>
      </c>
      <c r="N1" s="84" t="s">
        <v>53</v>
      </c>
      <c r="O1" s="75" t="s">
        <v>54</v>
      </c>
      <c r="P1" s="75" t="s">
        <v>55</v>
      </c>
      <c r="Q1" s="75" t="s">
        <v>56</v>
      </c>
      <c r="R1" s="75" t="s">
        <v>57</v>
      </c>
      <c r="S1" s="87" t="s">
        <v>58</v>
      </c>
      <c r="T1" s="87" t="s">
        <v>59</v>
      </c>
      <c r="U1" s="87" t="s">
        <v>60</v>
      </c>
      <c r="V1" s="87" t="s">
        <v>61</v>
      </c>
      <c r="W1" s="87" t="s">
        <v>477</v>
      </c>
      <c r="X1" s="87" t="s">
        <v>478</v>
      </c>
      <c r="Z1" s="23" t="s">
        <v>62</v>
      </c>
      <c r="AA1" s="70" t="s">
        <v>63</v>
      </c>
      <c r="AB1" s="27" t="s">
        <v>64</v>
      </c>
      <c r="AC1" s="27" t="s">
        <v>45</v>
      </c>
      <c r="AD1" s="27" t="s">
        <v>65</v>
      </c>
      <c r="AE1" s="27" t="s">
        <v>66</v>
      </c>
      <c r="AF1" s="27" t="s">
        <v>67</v>
      </c>
      <c r="AG1" s="27" t="s">
        <v>68</v>
      </c>
      <c r="AH1" s="16" t="s">
        <v>69</v>
      </c>
      <c r="AI1" s="16" t="s">
        <v>70</v>
      </c>
      <c r="AJ1" s="16" t="s">
        <v>71</v>
      </c>
      <c r="AK1" s="16" t="s">
        <v>72</v>
      </c>
      <c r="AL1" s="72" t="s">
        <v>58</v>
      </c>
      <c r="AM1" s="72" t="s">
        <v>59</v>
      </c>
      <c r="AN1" s="72" t="s">
        <v>60</v>
      </c>
      <c r="AO1" s="72" t="s">
        <v>61</v>
      </c>
      <c r="AP1" s="87" t="s">
        <v>481</v>
      </c>
      <c r="AQ1" s="87" t="s">
        <v>479</v>
      </c>
      <c r="AR1" s="87" t="s">
        <v>480</v>
      </c>
    </row>
    <row r="2" spans="1:44" x14ac:dyDescent="0.35">
      <c r="A2" t="str">
        <f>UserInput!$B$2</f>
        <v>Current Projects</v>
      </c>
      <c r="B2">
        <v>2025</v>
      </c>
      <c r="C2" s="16" t="s">
        <v>73</v>
      </c>
      <c r="D2" t="s">
        <v>74</v>
      </c>
      <c r="E2" s="66">
        <f>INDEX(UserInput!$C$2:$M$22,MATCH(UserMade_Scenario!B2,UserInput!$A$2:$A$22,0),MATCH(LEFT(IF(RIGHT(C2,2)="H2",UserMade_Scenario!C2,D2),3),UserInput!$C$25:$M$25,0))</f>
        <v>0</v>
      </c>
      <c r="F2" s="14" t="s">
        <v>75</v>
      </c>
      <c r="G2" s="14">
        <f t="shared" ref="G2:G3" si="0">E2*AB2</f>
        <v>0</v>
      </c>
      <c r="H2" s="63">
        <f>IF($C2="Electricity",$AA2/1000000,$G2)*AD2*-1</f>
        <v>0</v>
      </c>
      <c r="I2" s="63">
        <f>IF($C2="Electricity",$AA2/1000000,$G2)*AE2*-1</f>
        <v>0</v>
      </c>
      <c r="J2" s="63">
        <f>IF($C2="Electricity",$AA2/1000000,$G2)*AF2*-1</f>
        <v>0</v>
      </c>
      <c r="K2" s="30">
        <f>IF(OR(LEFT($D2,5)="Solar",$D2="Wind"),INDEX(Land_Use[AVG],MATCH(LEFT($D2,5),Land_Use[Tech],0)),0)*$E2</f>
        <v>0</v>
      </c>
      <c r="L2" s="30">
        <f>IF(OR(LEFT($D2,5)="Solar",$D2="Wind"),INDEX(Land_Use[MIN],MATCH(LEFT($D2,5),Land_Use[Tech],0)),0)*$E2</f>
        <v>0</v>
      </c>
      <c r="M2" s="30">
        <f>IF(OR(LEFT($D2,5)="Solar",$D2="Wind"),INDEX(Land_Use[MAX],MATCH(LEFT($D2,5),Land_Use[Tech],0)),0)*$E2</f>
        <v>0</v>
      </c>
      <c r="N2" s="11">
        <f>E2*AG2*1000/1000000</f>
        <v>0</v>
      </c>
      <c r="O2" s="11">
        <f t="shared" ref="O2:O33" si="1">$K2*AH$2</f>
        <v>0</v>
      </c>
      <c r="P2" s="11">
        <f t="shared" ref="P2:P33" si="2">$K2*AI$2</f>
        <v>0</v>
      </c>
      <c r="Q2" s="11">
        <f t="shared" ref="Q2:Q33" si="3">$K2*AJ$2</f>
        <v>0</v>
      </c>
      <c r="R2" s="11">
        <f t="shared" ref="R2:R33" si="4">$K2*AK$2</f>
        <v>0</v>
      </c>
      <c r="S2" s="30">
        <f>MAX($AP2*AL2,0)</f>
        <v>0</v>
      </c>
      <c r="T2" s="30">
        <f t="shared" ref="T2:U2" si="5">MAX($AP2*AM2,0)</f>
        <v>0</v>
      </c>
      <c r="U2" s="30">
        <f t="shared" si="5"/>
        <v>0</v>
      </c>
      <c r="V2" s="30">
        <f>MAX($AP2*AO2,0)</f>
        <v>0</v>
      </c>
      <c r="W2" s="30">
        <f>$AP2*AQ2</f>
        <v>0</v>
      </c>
      <c r="X2" s="30">
        <f>$AP2*AR2</f>
        <v>0</v>
      </c>
      <c r="Z2" s="23" t="s">
        <v>76</v>
      </c>
      <c r="AA2" s="40" t="str">
        <f>IF(C2="Electricity",E2*SUMIFS(Electricity!S:S,Electricity!P:P,UserMade_Scenario!B2,Electricity!M:M,UserMade_Scenario!Z2,Electricity!O:O,UserMade_Scenario!D2),"")</f>
        <v/>
      </c>
      <c r="AB2" s="76">
        <f>1000*Assumptions!$B$17/1000000000000</f>
        <v>1.1999999999999999E-7</v>
      </c>
      <c r="AC2" s="67" t="s">
        <v>77</v>
      </c>
      <c r="AD2" s="39">
        <f>SUMIFS(Hydrogen!AK:AK,Hydrogen!$AA:$AA,UserMade_Scenario!$Z2,Hydrogen!$Y:$Y,UserMade_Scenario!$D2,Hydrogen!$AB:$AB,UserMade_Scenario!$B2,Hydrogen!$Z:$Z,UserMade_Scenario!$C2)</f>
        <v>-25.962263497910243</v>
      </c>
      <c r="AE2" s="39">
        <f>SUMIFS(Hydrogen!AL:AL,Hydrogen!$AA:$AA,UserMade_Scenario!$Z2,Hydrogen!$Y:$Y,UserMade_Scenario!$D2,Hydrogen!$AB:$AB,UserMade_Scenario!$B2,Hydrogen!$Z:$Z,UserMade_Scenario!$C2)</f>
        <v>-24.871817180742241</v>
      </c>
      <c r="AF2" s="39">
        <f>SUMIFS(Hydrogen!AM:AM,Hydrogen!$AA:$AA,UserMade_Scenario!$Z2,Hydrogen!$Y:$Y,UserMade_Scenario!$D2,Hydrogen!$AB:$AB,UserMade_Scenario!$B2,Hydrogen!$Z:$Z,UserMade_Scenario!$C2)</f>
        <v>-27.052709815078245</v>
      </c>
      <c r="AG2" s="68">
        <f>IFERROR(INDEX(WaterUseH2[Average Direct Water Consumption (Gal/ kg h2)],MATCH(LEFT(D2,3),WaterUseH2[Key],0)),0)</f>
        <v>2.8</v>
      </c>
      <c r="AH2">
        <v>14</v>
      </c>
      <c r="AI2">
        <v>1.4</v>
      </c>
      <c r="AJ2">
        <v>250</v>
      </c>
      <c r="AK2">
        <v>0.31</v>
      </c>
      <c r="AL2" s="63">
        <f>IFERROR(INDEX(Job_Training[[Solar]:[Wind]],MATCH(AL$1,Job_Training[[`Typical Entry Level Education`]:[`Typical Entry Level Education`]],0),MATCH(LEFT($D2,5),Job_Training[[#Headers],[Solar]:[Wind]],0)),0)</f>
        <v>0</v>
      </c>
      <c r="AM2" s="63">
        <f>IFERROR(INDEX(Job_Training[[Solar]:[Wind]],MATCH(AM$1,Job_Training[[`Typical Entry Level Education`]:[`Typical Entry Level Education`]],0),MATCH(LEFT($D2,5),Job_Training[[#Headers],[Solar]:[Wind]],0)),0)</f>
        <v>0</v>
      </c>
      <c r="AN2" s="63">
        <f>IFERROR(INDEX(Job_Training[[Solar]:[Wind]],MATCH(AN$1,Job_Training[[`Typical Entry Level Education`]:[`Typical Entry Level Education`]],0),MATCH(LEFT($D2,5),Job_Training[[#Headers],[Solar]:[Wind]],0)),0)</f>
        <v>0</v>
      </c>
      <c r="AO2" s="63">
        <f>IFERROR(INDEX(Job_Training[[Solar]:[Wind]],MATCH(AO$1,Job_Training[[`Typical Entry Level Education`]:[`Typical Entry Level Education`]],0),MATCH(LEFT($D2,5),Job_Training[[#Headers],[Solar]:[Wind]],0)),0)</f>
        <v>0</v>
      </c>
      <c r="AP2">
        <f>IF(OR($C2="Electricity",$D2="Solar (Off-Grid)"),IF($B2=2025,$E2,$E2-$E1),0)</f>
        <v>0</v>
      </c>
      <c r="AQ2" s="63">
        <f>IF(AP2&gt;0,IFERROR(INDEX(Assumptions!$C$165:$D$165,MATCH(LEFT($D2,5),Job_Training[[#Headers],[Solar]:[Wind]],0)),0),0)</f>
        <v>0</v>
      </c>
      <c r="AR2">
        <f>IF(AP2&gt;0,IFERROR(INDEX(Assumptions!$C$166:$D$166,MATCH(LEFT($D2,5),Job_Training[[#Headers],[Solar]:[Wind]],0)),0),0)</f>
        <v>0</v>
      </c>
    </row>
    <row r="3" spans="1:44" x14ac:dyDescent="0.35">
      <c r="A3" t="str">
        <f>UserInput!$B$2</f>
        <v>Current Projects</v>
      </c>
      <c r="B3">
        <v>2026</v>
      </c>
      <c r="C3" s="16" t="s">
        <v>73</v>
      </c>
      <c r="D3" t="s">
        <v>74</v>
      </c>
      <c r="E3" s="66">
        <f>INDEX(UserInput!$C$2:$M$22,MATCH(UserMade_Scenario!B3,UserInput!$A$2:$A$22,0),MATCH(LEFT(IF(RIGHT(C3,2)="H2",UserMade_Scenario!C3,D3),3),UserInput!$C$25:$M$25,0))</f>
        <v>10950</v>
      </c>
      <c r="F3" s="14" t="s">
        <v>75</v>
      </c>
      <c r="G3" s="14">
        <f t="shared" si="0"/>
        <v>1.3139999999999998E-3</v>
      </c>
      <c r="H3" s="63">
        <f t="shared" ref="H3:H66" si="6">IF($C3="Electricity",$AA3/1000000,$G3)*AD3*-1</f>
        <v>3.3642995397322573E-2</v>
      </c>
      <c r="I3" s="63">
        <f t="shared" ref="I3:I66" si="7">IF($C3="Electricity",$AA3/1000000,$G3)*AE3*-1</f>
        <v>3.1738730097632332E-2</v>
      </c>
      <c r="J3" s="63">
        <f t="shared" ref="J3:J66" si="8">IF($C3="Electricity",$AA3/1000000,$G3)*AF3*-1</f>
        <v>3.5547260697012813E-2</v>
      </c>
      <c r="K3" s="30">
        <f>IF(OR(LEFT($D3,5)="Solar",$D3="Wind"),INDEX(Land_Use[AVG],MATCH(LEFT($D3,5),Land_Use[Tech],0)),0)*$E3</f>
        <v>0</v>
      </c>
      <c r="L3" s="30">
        <f>IF(OR(LEFT($D3,5)="Solar",$D3="Wind"),INDEX(Land_Use[MIN],MATCH(LEFT($D3,5),Land_Use[Tech],0)),0)*$E3</f>
        <v>0</v>
      </c>
      <c r="M3" s="30">
        <f>IF(OR(LEFT($D3,5)="Solar",$D3="Wind"),INDEX(Land_Use[MAX],MATCH(LEFT($D3,5),Land_Use[Tech],0)),0)*$E3</f>
        <v>0</v>
      </c>
      <c r="N3" s="15">
        <f t="shared" ref="N3:N33" si="9">E3*AG3*1000/1000000</f>
        <v>30.659999999999997</v>
      </c>
      <c r="O3" s="11">
        <f t="shared" si="1"/>
        <v>0</v>
      </c>
      <c r="P3" s="11">
        <f t="shared" si="2"/>
        <v>0</v>
      </c>
      <c r="Q3" s="11">
        <f t="shared" si="3"/>
        <v>0</v>
      </c>
      <c r="R3" s="11">
        <f t="shared" si="4"/>
        <v>0</v>
      </c>
      <c r="S3" s="30">
        <f t="shared" ref="S3:S66" si="10">MAX($AP3*AL3,0)</f>
        <v>0</v>
      </c>
      <c r="T3" s="30">
        <f t="shared" ref="T3:T66" si="11">MAX($AP3*AM3,0)</f>
        <v>0</v>
      </c>
      <c r="U3" s="30">
        <f t="shared" ref="U3:U66" si="12">MAX($AP3*AN3,0)</f>
        <v>0</v>
      </c>
      <c r="V3" s="30">
        <f t="shared" ref="V3:V66" si="13">MAX($AP3*AO3,0)</f>
        <v>0</v>
      </c>
      <c r="W3" s="30">
        <f t="shared" ref="W3:W66" si="14">$AP3*AQ3</f>
        <v>0</v>
      </c>
      <c r="X3" s="30">
        <f t="shared" ref="X3:X66" si="15">$AP3*AR3</f>
        <v>0</v>
      </c>
      <c r="Z3" s="23" t="s">
        <v>76</v>
      </c>
      <c r="AA3" s="40" t="str">
        <f>IF(C3="Electricity",E3*SUMIFS(Electricity!S:S,Electricity!P:P,UserMade_Scenario!B3,Electricity!M:M,UserMade_Scenario!Z3,Electricity!O:O,UserMade_Scenario!D3),"")</f>
        <v/>
      </c>
      <c r="AB3" s="76">
        <f>1000*Assumptions!$B$17/1000000000000</f>
        <v>1.1999999999999999E-7</v>
      </c>
      <c r="AC3" s="67" t="s">
        <v>77</v>
      </c>
      <c r="AD3" s="39">
        <f>SUMIFS(Hydrogen!AK:AK,Hydrogen!$AA:$AA,UserMade_Scenario!$Z3,Hydrogen!$Y:$Y,UserMade_Scenario!$D3,Hydrogen!$AB:$AB,UserMade_Scenario!$B3,Hydrogen!$Z:$Z,UserMade_Scenario!$C3)</f>
        <v>-25.603497258236359</v>
      </c>
      <c r="AE3" s="39">
        <f>SUMIFS(Hydrogen!AL:AL,Hydrogen!$AA:$AA,UserMade_Scenario!$Z3,Hydrogen!$Y:$Y,UserMade_Scenario!$D3,Hydrogen!$AB:$AB,UserMade_Scenario!$B3,Hydrogen!$Z:$Z,UserMade_Scenario!$C3)</f>
        <v>-24.154284701394474</v>
      </c>
      <c r="AF3" s="39">
        <f>SUMIFS(Hydrogen!AM:AM,Hydrogen!$AA:$AA,UserMade_Scenario!$Z3,Hydrogen!$Y:$Y,UserMade_Scenario!$D3,Hydrogen!$AB:$AB,UserMade_Scenario!$B3,Hydrogen!$Z:$Z,UserMade_Scenario!$C3)</f>
        <v>-27.052709815078245</v>
      </c>
      <c r="AG3" s="68">
        <f>IFERROR(INDEX(WaterUseH2[Average Direct Water Consumption (Gal/ kg h2)],MATCH(LEFT(D3,3),WaterUseH2[Key],0)),0)</f>
        <v>2.8</v>
      </c>
      <c r="AH3">
        <v>14</v>
      </c>
      <c r="AI3">
        <v>1.4</v>
      </c>
      <c r="AJ3">
        <v>250</v>
      </c>
      <c r="AK3">
        <v>0.31</v>
      </c>
      <c r="AL3" s="63">
        <f>IFERROR(INDEX(Job_Training[[Solar]:[Wind]],MATCH(AL$1,Job_Training[[`Typical Entry Level Education`]:[`Typical Entry Level Education`]],0),MATCH(LEFT($D3,5),Job_Training[[#Headers],[Solar]:[Wind]],0)),0)</f>
        <v>0</v>
      </c>
      <c r="AM3" s="63">
        <f>IFERROR(INDEX(Job_Training[[Solar]:[Wind]],MATCH(AM$1,Job_Training[[`Typical Entry Level Education`]:[`Typical Entry Level Education`]],0),MATCH(LEFT($D3,5),Job_Training[[#Headers],[Solar]:[Wind]],0)),0)</f>
        <v>0</v>
      </c>
      <c r="AN3" s="63">
        <f>IFERROR(INDEX(Job_Training[[Solar]:[Wind]],MATCH(AN$1,Job_Training[[`Typical Entry Level Education`]:[`Typical Entry Level Education`]],0),MATCH(LEFT($D3,5),Job_Training[[#Headers],[Solar]:[Wind]],0)),0)</f>
        <v>0</v>
      </c>
      <c r="AO3" s="63">
        <f>IFERROR(INDEX(Job_Training[[Solar]:[Wind]],MATCH(AO$1,Job_Training[[`Typical Entry Level Education`]:[`Typical Entry Level Education`]],0),MATCH(LEFT($D3,5),Job_Training[[#Headers],[Solar]:[Wind]],0)),0)</f>
        <v>0</v>
      </c>
      <c r="AP3">
        <f t="shared" ref="AP3:AP66" si="16">IF(OR($C3="Electricity",$D3="Solar (Off-Grid)"),IF($B3=2025,$E3,$E3-$E2),0)</f>
        <v>0</v>
      </c>
      <c r="AQ3" s="63">
        <f>IF(AP3&gt;0,IFERROR(INDEX(Assumptions!$C$165:$D$165,MATCH(LEFT($D3,5),Job_Training[[#Headers],[Solar]:[Wind]],0)),0),0)</f>
        <v>0</v>
      </c>
      <c r="AR3">
        <f>IF(AP3&gt;0,IFERROR(INDEX(Assumptions!$C$166:$D$166,MATCH(LEFT($D3,5),Job_Training[[#Headers],[Solar]:[Wind]],0)),0),0)</f>
        <v>0</v>
      </c>
    </row>
    <row r="4" spans="1:44" x14ac:dyDescent="0.35">
      <c r="A4" t="str">
        <f>UserInput!$B$2</f>
        <v>Current Projects</v>
      </c>
      <c r="B4">
        <v>2027</v>
      </c>
      <c r="C4" s="16" t="s">
        <v>73</v>
      </c>
      <c r="D4" t="s">
        <v>74</v>
      </c>
      <c r="E4" s="66">
        <f>INDEX(UserInput!$C$2:$M$22,MATCH(UserMade_Scenario!B4,UserInput!$A$2:$A$22,0),MATCH(LEFT(IF(RIGHT(C4,2)="H2",UserMade_Scenario!C4,D4),3),UserInput!$C$25:$M$25,0))</f>
        <v>10950</v>
      </c>
      <c r="F4" s="14" t="s">
        <v>75</v>
      </c>
      <c r="G4" s="14">
        <f t="shared" ref="G4:G35" si="17">E4*AB4</f>
        <v>1.3139999999999998E-3</v>
      </c>
      <c r="H4" s="63">
        <f t="shared" si="6"/>
        <v>3.3067002811679964E-2</v>
      </c>
      <c r="I4" s="63">
        <f t="shared" si="7"/>
        <v>3.0586744926347116E-2</v>
      </c>
      <c r="J4" s="63">
        <f t="shared" si="8"/>
        <v>3.5547260697012813E-2</v>
      </c>
      <c r="K4" s="30">
        <f>IF(OR(LEFT($D4,5)="Solar",$D4="Wind"),INDEX(Land_Use[AVG],MATCH(LEFT($D4,5),Land_Use[Tech],0)),0)*$E4</f>
        <v>0</v>
      </c>
      <c r="L4" s="30">
        <f>IF(OR(LEFT($D4,5)="Solar",$D4="Wind"),INDEX(Land_Use[MIN],MATCH(LEFT($D4,5),Land_Use[Tech],0)),0)*$E4</f>
        <v>0</v>
      </c>
      <c r="M4" s="30">
        <f>IF(OR(LEFT($D4,5)="Solar",$D4="Wind"),INDEX(Land_Use[MAX],MATCH(LEFT($D4,5),Land_Use[Tech],0)),0)*$E4</f>
        <v>0</v>
      </c>
      <c r="N4" s="15">
        <f t="shared" si="9"/>
        <v>30.659999999999997</v>
      </c>
      <c r="O4" s="11">
        <f t="shared" si="1"/>
        <v>0</v>
      </c>
      <c r="P4" s="11">
        <f t="shared" si="2"/>
        <v>0</v>
      </c>
      <c r="Q4" s="11">
        <f t="shared" si="3"/>
        <v>0</v>
      </c>
      <c r="R4" s="11">
        <f t="shared" si="4"/>
        <v>0</v>
      </c>
      <c r="S4" s="30">
        <f t="shared" si="10"/>
        <v>0</v>
      </c>
      <c r="T4" s="30">
        <f t="shared" si="11"/>
        <v>0</v>
      </c>
      <c r="U4" s="30">
        <f t="shared" si="12"/>
        <v>0</v>
      </c>
      <c r="V4" s="30">
        <f t="shared" si="13"/>
        <v>0</v>
      </c>
      <c r="W4" s="30">
        <f t="shared" si="14"/>
        <v>0</v>
      </c>
      <c r="X4" s="30">
        <f t="shared" si="15"/>
        <v>0</v>
      </c>
      <c r="Z4" s="23" t="s">
        <v>76</v>
      </c>
      <c r="AA4" s="40" t="str">
        <f>IF(C4="Electricity",E4*SUMIFS(Electricity!S:S,Electricity!P:P,UserMade_Scenario!B4,Electricity!M:M,UserMade_Scenario!Z4,Electricity!O:O,UserMade_Scenario!D4),"")</f>
        <v/>
      </c>
      <c r="AB4" s="76">
        <f>1000*Assumptions!$B$17/1000000000000</f>
        <v>1.1999999999999999E-7</v>
      </c>
      <c r="AC4" s="67" t="s">
        <v>77</v>
      </c>
      <c r="AD4" s="39">
        <f>SUMIFS(Hydrogen!AK:AK,Hydrogen!$AA:$AA,UserMade_Scenario!$Z4,Hydrogen!$Y:$Y,UserMade_Scenario!$D4,Hydrogen!$AB:$AB,UserMade_Scenario!$B4,Hydrogen!$Z:$Z,UserMade_Scenario!$C4)</f>
        <v>-25.165146736438331</v>
      </c>
      <c r="AE4" s="39">
        <f>SUMIFS(Hydrogen!AL:AL,Hydrogen!$AA:$AA,UserMade_Scenario!$Z4,Hydrogen!$Y:$Y,UserMade_Scenario!$D4,Hydrogen!$AB:$AB,UserMade_Scenario!$B4,Hydrogen!$Z:$Z,UserMade_Scenario!$C4)</f>
        <v>-23.277583657798417</v>
      </c>
      <c r="AF4" s="39">
        <f>SUMIFS(Hydrogen!AM:AM,Hydrogen!$AA:$AA,UserMade_Scenario!$Z4,Hydrogen!$Y:$Y,UserMade_Scenario!$D4,Hydrogen!$AB:$AB,UserMade_Scenario!$B4,Hydrogen!$Z:$Z,UserMade_Scenario!$C4)</f>
        <v>-27.052709815078245</v>
      </c>
      <c r="AG4" s="68">
        <f>IFERROR(INDEX(WaterUseH2[Average Direct Water Consumption (Gal/ kg h2)],MATCH(LEFT(D4,3),WaterUseH2[Key],0)),0)</f>
        <v>2.8</v>
      </c>
      <c r="AH4">
        <v>14</v>
      </c>
      <c r="AI4">
        <v>1.4</v>
      </c>
      <c r="AJ4">
        <v>250</v>
      </c>
      <c r="AK4">
        <v>0.31</v>
      </c>
      <c r="AL4" s="63">
        <f>IFERROR(INDEX(Job_Training[[Solar]:[Wind]],MATCH(AL$1,Job_Training[[`Typical Entry Level Education`]:[`Typical Entry Level Education`]],0),MATCH(LEFT($D4,5),Job_Training[[#Headers],[Solar]:[Wind]],0)),0)</f>
        <v>0</v>
      </c>
      <c r="AM4" s="63">
        <f>IFERROR(INDEX(Job_Training[[Solar]:[Wind]],MATCH(AM$1,Job_Training[[`Typical Entry Level Education`]:[`Typical Entry Level Education`]],0),MATCH(LEFT($D4,5),Job_Training[[#Headers],[Solar]:[Wind]],0)),0)</f>
        <v>0</v>
      </c>
      <c r="AN4" s="63">
        <f>IFERROR(INDEX(Job_Training[[Solar]:[Wind]],MATCH(AN$1,Job_Training[[`Typical Entry Level Education`]:[`Typical Entry Level Education`]],0),MATCH(LEFT($D4,5),Job_Training[[#Headers],[Solar]:[Wind]],0)),0)</f>
        <v>0</v>
      </c>
      <c r="AO4" s="63">
        <f>IFERROR(INDEX(Job_Training[[Solar]:[Wind]],MATCH(AO$1,Job_Training[[`Typical Entry Level Education`]:[`Typical Entry Level Education`]],0),MATCH(LEFT($D4,5),Job_Training[[#Headers],[Solar]:[Wind]],0)),0)</f>
        <v>0</v>
      </c>
      <c r="AP4">
        <f t="shared" si="16"/>
        <v>0</v>
      </c>
      <c r="AQ4" s="63">
        <f>IF(AP4&gt;0,IFERROR(INDEX(Assumptions!$C$165:$D$165,MATCH(LEFT($D4,5),Job_Training[[#Headers],[Solar]:[Wind]],0)),0),0)</f>
        <v>0</v>
      </c>
      <c r="AR4">
        <f>IF(AP4&gt;0,IFERROR(INDEX(Assumptions!$C$166:$D$166,MATCH(LEFT($D4,5),Job_Training[[#Headers],[Solar]:[Wind]],0)),0),0)</f>
        <v>0</v>
      </c>
    </row>
    <row r="5" spans="1:44" x14ac:dyDescent="0.35">
      <c r="A5" t="str">
        <f>UserInput!$B$2</f>
        <v>Current Projects</v>
      </c>
      <c r="B5">
        <v>2028</v>
      </c>
      <c r="C5" s="16" t="s">
        <v>73</v>
      </c>
      <c r="D5" t="s">
        <v>74</v>
      </c>
      <c r="E5" s="66">
        <f>INDEX(UserInput!$C$2:$M$22,MATCH(UserMade_Scenario!B5,UserInput!$A$2:$A$22,0),MATCH(LEFT(IF(RIGHT(C5,2)="H2",UserMade_Scenario!C5,D5),3),UserInput!$C$25:$M$25,0))</f>
        <v>10950</v>
      </c>
      <c r="F5" s="14" t="s">
        <v>75</v>
      </c>
      <c r="G5" s="14">
        <f t="shared" si="17"/>
        <v>1.3139999999999998E-3</v>
      </c>
      <c r="H5" s="63">
        <f t="shared" si="6"/>
        <v>3.2444741256886019E-2</v>
      </c>
      <c r="I5" s="63">
        <f t="shared" si="7"/>
        <v>2.9342221816759228E-2</v>
      </c>
      <c r="J5" s="63">
        <f t="shared" si="8"/>
        <v>3.5547260697012813E-2</v>
      </c>
      <c r="K5" s="30">
        <f>IF(OR(LEFT($D5,5)="Solar",$D5="Wind"),INDEX(Land_Use[AVG],MATCH(LEFT($D5,5),Land_Use[Tech],0)),0)*$E5</f>
        <v>0</v>
      </c>
      <c r="L5" s="30">
        <f>IF(OR(LEFT($D5,5)="Solar",$D5="Wind"),INDEX(Land_Use[MIN],MATCH(LEFT($D5,5),Land_Use[Tech],0)),0)*$E5</f>
        <v>0</v>
      </c>
      <c r="M5" s="30">
        <f>IF(OR(LEFT($D5,5)="Solar",$D5="Wind"),INDEX(Land_Use[MAX],MATCH(LEFT($D5,5),Land_Use[Tech],0)),0)*$E5</f>
        <v>0</v>
      </c>
      <c r="N5" s="15">
        <f t="shared" si="9"/>
        <v>30.659999999999997</v>
      </c>
      <c r="O5" s="11">
        <f t="shared" si="1"/>
        <v>0</v>
      </c>
      <c r="P5" s="11">
        <f t="shared" si="2"/>
        <v>0</v>
      </c>
      <c r="Q5" s="11">
        <f t="shared" si="3"/>
        <v>0</v>
      </c>
      <c r="R5" s="11">
        <f t="shared" si="4"/>
        <v>0</v>
      </c>
      <c r="S5" s="30">
        <f t="shared" si="10"/>
        <v>0</v>
      </c>
      <c r="T5" s="30">
        <f t="shared" si="11"/>
        <v>0</v>
      </c>
      <c r="U5" s="30">
        <f t="shared" si="12"/>
        <v>0</v>
      </c>
      <c r="V5" s="30">
        <f t="shared" si="13"/>
        <v>0</v>
      </c>
      <c r="W5" s="30">
        <f t="shared" si="14"/>
        <v>0</v>
      </c>
      <c r="X5" s="30">
        <f t="shared" si="15"/>
        <v>0</v>
      </c>
      <c r="Z5" s="23" t="s">
        <v>76</v>
      </c>
      <c r="AA5" s="40" t="str">
        <f>IF(C5="Electricity",E5*SUMIFS(Electricity!S:S,Electricity!P:P,UserMade_Scenario!B5,Electricity!M:M,UserMade_Scenario!Z5,Electricity!O:O,UserMade_Scenario!D5),"")</f>
        <v/>
      </c>
      <c r="AB5" s="76">
        <f>1000*Assumptions!$B$17/1000000000000</f>
        <v>1.1999999999999999E-7</v>
      </c>
      <c r="AC5" s="67" t="s">
        <v>77</v>
      </c>
      <c r="AD5" s="39">
        <f>SUMIFS(Hydrogen!AK:AK,Hydrogen!$AA:$AA,UserMade_Scenario!$Z5,Hydrogen!$Y:$Y,UserMade_Scenario!$D5,Hydrogen!$AB:$AB,UserMade_Scenario!$B5,Hydrogen!$Z:$Z,UserMade_Scenario!$C5)</f>
        <v>-24.691583909350094</v>
      </c>
      <c r="AE5" s="39">
        <f>SUMIFS(Hydrogen!AL:AL,Hydrogen!$AA:$AA,UserMade_Scenario!$Z5,Hydrogen!$Y:$Y,UserMade_Scenario!$D5,Hydrogen!$AB:$AB,UserMade_Scenario!$B5,Hydrogen!$Z:$Z,UserMade_Scenario!$C5)</f>
        <v>-22.330458003621942</v>
      </c>
      <c r="AF5" s="39">
        <f>SUMIFS(Hydrogen!AM:AM,Hydrogen!$AA:$AA,UserMade_Scenario!$Z5,Hydrogen!$Y:$Y,UserMade_Scenario!$D5,Hydrogen!$AB:$AB,UserMade_Scenario!$B5,Hydrogen!$Z:$Z,UserMade_Scenario!$C5)</f>
        <v>-27.052709815078245</v>
      </c>
      <c r="AG5" s="68">
        <f>IFERROR(INDEX(WaterUseH2[Average Direct Water Consumption (Gal/ kg h2)],MATCH(LEFT(D5,3),WaterUseH2[Key],0)),0)</f>
        <v>2.8</v>
      </c>
      <c r="AH5">
        <v>14</v>
      </c>
      <c r="AI5">
        <v>1.4</v>
      </c>
      <c r="AJ5">
        <v>250</v>
      </c>
      <c r="AK5">
        <v>0.31</v>
      </c>
      <c r="AL5" s="63">
        <f>IFERROR(INDEX(Job_Training[[Solar]:[Wind]],MATCH(AL$1,Job_Training[[`Typical Entry Level Education`]:[`Typical Entry Level Education`]],0),MATCH(LEFT($D5,5),Job_Training[[#Headers],[Solar]:[Wind]],0)),0)</f>
        <v>0</v>
      </c>
      <c r="AM5" s="63">
        <f>IFERROR(INDEX(Job_Training[[Solar]:[Wind]],MATCH(AM$1,Job_Training[[`Typical Entry Level Education`]:[`Typical Entry Level Education`]],0),MATCH(LEFT($D5,5),Job_Training[[#Headers],[Solar]:[Wind]],0)),0)</f>
        <v>0</v>
      </c>
      <c r="AN5" s="63">
        <f>IFERROR(INDEX(Job_Training[[Solar]:[Wind]],MATCH(AN$1,Job_Training[[`Typical Entry Level Education`]:[`Typical Entry Level Education`]],0),MATCH(LEFT($D5,5),Job_Training[[#Headers],[Solar]:[Wind]],0)),0)</f>
        <v>0</v>
      </c>
      <c r="AO5" s="63">
        <f>IFERROR(INDEX(Job_Training[[Solar]:[Wind]],MATCH(AO$1,Job_Training[[`Typical Entry Level Education`]:[`Typical Entry Level Education`]],0),MATCH(LEFT($D5,5),Job_Training[[#Headers],[Solar]:[Wind]],0)),0)</f>
        <v>0</v>
      </c>
      <c r="AP5">
        <f t="shared" si="16"/>
        <v>0</v>
      </c>
      <c r="AQ5" s="63">
        <f>IF(AP5&gt;0,IFERROR(INDEX(Assumptions!$C$165:$D$165,MATCH(LEFT($D5,5),Job_Training[[#Headers],[Solar]:[Wind]],0)),0),0)</f>
        <v>0</v>
      </c>
      <c r="AR5">
        <f>IF(AP5&gt;0,IFERROR(INDEX(Assumptions!$C$166:$D$166,MATCH(LEFT($D5,5),Job_Training[[#Headers],[Solar]:[Wind]],0)),0),0)</f>
        <v>0</v>
      </c>
    </row>
    <row r="6" spans="1:44" x14ac:dyDescent="0.35">
      <c r="A6" t="str">
        <f>UserInput!$B$2</f>
        <v>Current Projects</v>
      </c>
      <c r="B6">
        <v>2029</v>
      </c>
      <c r="C6" s="16" t="s">
        <v>73</v>
      </c>
      <c r="D6" t="s">
        <v>74</v>
      </c>
      <c r="E6" s="66">
        <f>INDEX(UserInput!$C$2:$M$22,MATCH(UserMade_Scenario!B6,UserInput!$A$2:$A$22,0),MATCH(LEFT(IF(RIGHT(C6,2)="H2",UserMade_Scenario!C6,D6),3),UserInput!$C$25:$M$25,0))</f>
        <v>10950</v>
      </c>
      <c r="F6" s="14" t="s">
        <v>75</v>
      </c>
      <c r="G6" s="14">
        <f t="shared" si="17"/>
        <v>1.3139999999999998E-3</v>
      </c>
      <c r="H6" s="63">
        <f t="shared" si="6"/>
        <v>3.1729917090649325E-2</v>
      </c>
      <c r="I6" s="63">
        <f t="shared" si="7"/>
        <v>2.7912573484285837E-2</v>
      </c>
      <c r="J6" s="63">
        <f t="shared" si="8"/>
        <v>3.5547260697012813E-2</v>
      </c>
      <c r="K6" s="30">
        <f>IF(OR(LEFT($D6,5)="Solar",$D6="Wind"),INDEX(Land_Use[AVG],MATCH(LEFT($D6,5),Land_Use[Tech],0)),0)*$E6</f>
        <v>0</v>
      </c>
      <c r="L6" s="30">
        <f>IF(OR(LEFT($D6,5)="Solar",$D6="Wind"),INDEX(Land_Use[MIN],MATCH(LEFT($D6,5),Land_Use[Tech],0)),0)*$E6</f>
        <v>0</v>
      </c>
      <c r="M6" s="30">
        <f>IF(OR(LEFT($D6,5)="Solar",$D6="Wind"),INDEX(Land_Use[MAX],MATCH(LEFT($D6,5),Land_Use[Tech],0)),0)*$E6</f>
        <v>0</v>
      </c>
      <c r="N6" s="15">
        <f t="shared" si="9"/>
        <v>30.659999999999997</v>
      </c>
      <c r="O6" s="11">
        <f t="shared" si="1"/>
        <v>0</v>
      </c>
      <c r="P6" s="11">
        <f t="shared" si="2"/>
        <v>0</v>
      </c>
      <c r="Q6" s="11">
        <f t="shared" si="3"/>
        <v>0</v>
      </c>
      <c r="R6" s="11">
        <f t="shared" si="4"/>
        <v>0</v>
      </c>
      <c r="S6" s="30">
        <f t="shared" si="10"/>
        <v>0</v>
      </c>
      <c r="T6" s="30">
        <f t="shared" si="11"/>
        <v>0</v>
      </c>
      <c r="U6" s="30">
        <f t="shared" si="12"/>
        <v>0</v>
      </c>
      <c r="V6" s="30">
        <f t="shared" si="13"/>
        <v>0</v>
      </c>
      <c r="W6" s="30">
        <f t="shared" si="14"/>
        <v>0</v>
      </c>
      <c r="X6" s="30">
        <f t="shared" si="15"/>
        <v>0</v>
      </c>
      <c r="Z6" s="23" t="s">
        <v>76</v>
      </c>
      <c r="AA6" s="40" t="str">
        <f>IF(C6="Electricity",E6*SUMIFS(Electricity!S:S,Electricity!P:P,UserMade_Scenario!B6,Electricity!M:M,UserMade_Scenario!Z6,Electricity!O:O,UserMade_Scenario!D6),"")</f>
        <v/>
      </c>
      <c r="AB6" s="76">
        <f>1000*Assumptions!$B$17/1000000000000</f>
        <v>1.1999999999999999E-7</v>
      </c>
      <c r="AC6" s="67" t="s">
        <v>77</v>
      </c>
      <c r="AD6" s="39">
        <f>SUMIFS(Hydrogen!AK:AK,Hydrogen!$AA:$AA,UserMade_Scenario!$Z6,Hydrogen!$Y:$Y,UserMade_Scenario!$D6,Hydrogen!$AB:$AB,UserMade_Scenario!$B6,Hydrogen!$Z:$Z,UserMade_Scenario!$C6)</f>
        <v>-24.147577694558088</v>
      </c>
      <c r="AE6" s="39">
        <f>SUMIFS(Hydrogen!AL:AL,Hydrogen!$AA:$AA,UserMade_Scenario!$Z6,Hydrogen!$Y:$Y,UserMade_Scenario!$D6,Hydrogen!$AB:$AB,UserMade_Scenario!$B6,Hydrogen!$Z:$Z,UserMade_Scenario!$C6)</f>
        <v>-21.24244557403793</v>
      </c>
      <c r="AF6" s="39">
        <f>SUMIFS(Hydrogen!AM:AM,Hydrogen!$AA:$AA,UserMade_Scenario!$Z6,Hydrogen!$Y:$Y,UserMade_Scenario!$D6,Hydrogen!$AB:$AB,UserMade_Scenario!$B6,Hydrogen!$Z:$Z,UserMade_Scenario!$C6)</f>
        <v>-27.052709815078245</v>
      </c>
      <c r="AG6" s="68">
        <f>IFERROR(INDEX(WaterUseH2[Average Direct Water Consumption (Gal/ kg h2)],MATCH(LEFT(D6,3),WaterUseH2[Key],0)),0)</f>
        <v>2.8</v>
      </c>
      <c r="AH6">
        <v>14</v>
      </c>
      <c r="AI6">
        <v>1.4</v>
      </c>
      <c r="AJ6">
        <v>250</v>
      </c>
      <c r="AK6">
        <v>0.31</v>
      </c>
      <c r="AL6" s="63">
        <f>IFERROR(INDEX(Job_Training[[Solar]:[Wind]],MATCH(AL$1,Job_Training[[`Typical Entry Level Education`]:[`Typical Entry Level Education`]],0),MATCH(LEFT($D6,5),Job_Training[[#Headers],[Solar]:[Wind]],0)),0)</f>
        <v>0</v>
      </c>
      <c r="AM6" s="63">
        <f>IFERROR(INDEX(Job_Training[[Solar]:[Wind]],MATCH(AM$1,Job_Training[[`Typical Entry Level Education`]:[`Typical Entry Level Education`]],0),MATCH(LEFT($D6,5),Job_Training[[#Headers],[Solar]:[Wind]],0)),0)</f>
        <v>0</v>
      </c>
      <c r="AN6" s="63">
        <f>IFERROR(INDEX(Job_Training[[Solar]:[Wind]],MATCH(AN$1,Job_Training[[`Typical Entry Level Education`]:[`Typical Entry Level Education`]],0),MATCH(LEFT($D6,5),Job_Training[[#Headers],[Solar]:[Wind]],0)),0)</f>
        <v>0</v>
      </c>
      <c r="AO6" s="63">
        <f>IFERROR(INDEX(Job_Training[[Solar]:[Wind]],MATCH(AO$1,Job_Training[[`Typical Entry Level Education`]:[`Typical Entry Level Education`]],0),MATCH(LEFT($D6,5),Job_Training[[#Headers],[Solar]:[Wind]],0)),0)</f>
        <v>0</v>
      </c>
      <c r="AP6">
        <f t="shared" si="16"/>
        <v>0</v>
      </c>
      <c r="AQ6" s="63">
        <f>IF(AP6&gt;0,IFERROR(INDEX(Assumptions!$C$165:$D$165,MATCH(LEFT($D6,5),Job_Training[[#Headers],[Solar]:[Wind]],0)),0),0)</f>
        <v>0</v>
      </c>
      <c r="AR6">
        <f>IF(AP6&gt;0,IFERROR(INDEX(Assumptions!$C$166:$D$166,MATCH(LEFT($D6,5),Job_Training[[#Headers],[Solar]:[Wind]],0)),0),0)</f>
        <v>0</v>
      </c>
    </row>
    <row r="7" spans="1:44" x14ac:dyDescent="0.35">
      <c r="A7" t="str">
        <f>UserInput!$B$2</f>
        <v>Current Projects</v>
      </c>
      <c r="B7">
        <v>2030</v>
      </c>
      <c r="C7" s="16" t="s">
        <v>73</v>
      </c>
      <c r="D7" t="s">
        <v>74</v>
      </c>
      <c r="E7" s="66">
        <f>INDEX(UserInput!$C$2:$M$22,MATCH(UserMade_Scenario!B7,UserInput!$A$2:$A$22,0),MATCH(LEFT(IF(RIGHT(C7,2)="H2",UserMade_Scenario!C7,D7),3),UserInput!$C$25:$M$25,0))</f>
        <v>10950</v>
      </c>
      <c r="F7" s="14" t="s">
        <v>75</v>
      </c>
      <c r="G7" s="14">
        <f t="shared" si="17"/>
        <v>1.3139999999999998E-3</v>
      </c>
      <c r="H7" s="63">
        <f t="shared" si="6"/>
        <v>3.0914903949623714E-2</v>
      </c>
      <c r="I7" s="63">
        <f t="shared" si="7"/>
        <v>2.6282547202234618E-2</v>
      </c>
      <c r="J7" s="63">
        <f t="shared" si="8"/>
        <v>3.5547260697012813E-2</v>
      </c>
      <c r="K7" s="30">
        <f>IF(OR(LEFT($D7,5)="Solar",$D7="Wind"),INDEX(Land_Use[AVG],MATCH(LEFT($D7,5),Land_Use[Tech],0)),0)*$E7</f>
        <v>0</v>
      </c>
      <c r="L7" s="30">
        <f>IF(OR(LEFT($D7,5)="Solar",$D7="Wind"),INDEX(Land_Use[MIN],MATCH(LEFT($D7,5),Land_Use[Tech],0)),0)*$E7</f>
        <v>0</v>
      </c>
      <c r="M7" s="30">
        <f>IF(OR(LEFT($D7,5)="Solar",$D7="Wind"),INDEX(Land_Use[MAX],MATCH(LEFT($D7,5),Land_Use[Tech],0)),0)*$E7</f>
        <v>0</v>
      </c>
      <c r="N7" s="15">
        <f t="shared" si="9"/>
        <v>30.659999999999997</v>
      </c>
      <c r="O7" s="11">
        <f t="shared" si="1"/>
        <v>0</v>
      </c>
      <c r="P7" s="11">
        <f t="shared" si="2"/>
        <v>0</v>
      </c>
      <c r="Q7" s="11">
        <f t="shared" si="3"/>
        <v>0</v>
      </c>
      <c r="R7" s="11">
        <f t="shared" si="4"/>
        <v>0</v>
      </c>
      <c r="S7" s="30">
        <f t="shared" si="10"/>
        <v>0</v>
      </c>
      <c r="T7" s="30">
        <f t="shared" si="11"/>
        <v>0</v>
      </c>
      <c r="U7" s="30">
        <f t="shared" si="12"/>
        <v>0</v>
      </c>
      <c r="V7" s="30">
        <f t="shared" si="13"/>
        <v>0</v>
      </c>
      <c r="W7" s="30">
        <f t="shared" si="14"/>
        <v>0</v>
      </c>
      <c r="X7" s="30">
        <f t="shared" si="15"/>
        <v>0</v>
      </c>
      <c r="Z7" s="23" t="s">
        <v>76</v>
      </c>
      <c r="AA7" s="40" t="str">
        <f>IF(C7="Electricity",E7*SUMIFS(Electricity!S:S,Electricity!P:P,UserMade_Scenario!B7,Electricity!M:M,UserMade_Scenario!Z7,Electricity!O:O,UserMade_Scenario!D7),"")</f>
        <v/>
      </c>
      <c r="AB7" s="76">
        <f>1000*Assumptions!$B$17/1000000000000</f>
        <v>1.1999999999999999E-7</v>
      </c>
      <c r="AC7" s="67" t="s">
        <v>77</v>
      </c>
      <c r="AD7" s="39">
        <f>SUMIFS(Hydrogen!AK:AK,Hydrogen!$AA:$AA,UserMade_Scenario!$Z7,Hydrogen!$Y:$Y,UserMade_Scenario!$D7,Hydrogen!$AB:$AB,UserMade_Scenario!$B7,Hydrogen!$Z:$Z,UserMade_Scenario!$C7)</f>
        <v>-23.527324162575127</v>
      </c>
      <c r="AE7" s="39">
        <f>SUMIFS(Hydrogen!AL:AL,Hydrogen!$AA:$AA,UserMade_Scenario!$Z7,Hydrogen!$Y:$Y,UserMade_Scenario!$D7,Hydrogen!$AB:$AB,UserMade_Scenario!$B7,Hydrogen!$Z:$Z,UserMade_Scenario!$C7)</f>
        <v>-20.001938510072009</v>
      </c>
      <c r="AF7" s="39">
        <f>SUMIFS(Hydrogen!AM:AM,Hydrogen!$AA:$AA,UserMade_Scenario!$Z7,Hydrogen!$Y:$Y,UserMade_Scenario!$D7,Hydrogen!$AB:$AB,UserMade_Scenario!$B7,Hydrogen!$Z:$Z,UserMade_Scenario!$C7)</f>
        <v>-27.052709815078245</v>
      </c>
      <c r="AG7" s="68">
        <f>IFERROR(INDEX(WaterUseH2[Average Direct Water Consumption (Gal/ kg h2)],MATCH(LEFT(D7,3),WaterUseH2[Key],0)),0)</f>
        <v>2.8</v>
      </c>
      <c r="AH7">
        <v>14</v>
      </c>
      <c r="AI7">
        <v>1.4</v>
      </c>
      <c r="AJ7">
        <v>250</v>
      </c>
      <c r="AK7">
        <v>0.31</v>
      </c>
      <c r="AL7" s="63">
        <f>IFERROR(INDEX(Job_Training[[Solar]:[Wind]],MATCH(AL$1,Job_Training[[`Typical Entry Level Education`]:[`Typical Entry Level Education`]],0),MATCH(LEFT($D7,5),Job_Training[[#Headers],[Solar]:[Wind]],0)),0)</f>
        <v>0</v>
      </c>
      <c r="AM7" s="63">
        <f>IFERROR(INDEX(Job_Training[[Solar]:[Wind]],MATCH(AM$1,Job_Training[[`Typical Entry Level Education`]:[`Typical Entry Level Education`]],0),MATCH(LEFT($D7,5),Job_Training[[#Headers],[Solar]:[Wind]],0)),0)</f>
        <v>0</v>
      </c>
      <c r="AN7" s="63">
        <f>IFERROR(INDEX(Job_Training[[Solar]:[Wind]],MATCH(AN$1,Job_Training[[`Typical Entry Level Education`]:[`Typical Entry Level Education`]],0),MATCH(LEFT($D7,5),Job_Training[[#Headers],[Solar]:[Wind]],0)),0)</f>
        <v>0</v>
      </c>
      <c r="AO7" s="63">
        <f>IFERROR(INDEX(Job_Training[[Solar]:[Wind]],MATCH(AO$1,Job_Training[[`Typical Entry Level Education`]:[`Typical Entry Level Education`]],0),MATCH(LEFT($D7,5),Job_Training[[#Headers],[Solar]:[Wind]],0)),0)</f>
        <v>0</v>
      </c>
      <c r="AP7">
        <f t="shared" si="16"/>
        <v>0</v>
      </c>
      <c r="AQ7" s="63">
        <f>IF(AP7&gt;0,IFERROR(INDEX(Assumptions!$C$165:$D$165,MATCH(LEFT($D7,5),Job_Training[[#Headers],[Solar]:[Wind]],0)),0),0)</f>
        <v>0</v>
      </c>
      <c r="AR7">
        <f>IF(AP7&gt;0,IFERROR(INDEX(Assumptions!$C$166:$D$166,MATCH(LEFT($D7,5),Job_Training[[#Headers],[Solar]:[Wind]],0)),0),0)</f>
        <v>0</v>
      </c>
    </row>
    <row r="8" spans="1:44" x14ac:dyDescent="0.35">
      <c r="A8" t="str">
        <f>UserInput!$B$2</f>
        <v>Current Projects</v>
      </c>
      <c r="B8">
        <v>2031</v>
      </c>
      <c r="C8" s="16" t="s">
        <v>73</v>
      </c>
      <c r="D8" t="s">
        <v>74</v>
      </c>
      <c r="E8" s="66">
        <f>INDEX(UserInput!$C$2:$M$22,MATCH(UserMade_Scenario!B8,UserInput!$A$2:$A$22,0),MATCH(LEFT(IF(RIGHT(C8,2)="H2",UserMade_Scenario!C8,D8),3),UserInput!$C$25:$M$25,0))</f>
        <v>10950</v>
      </c>
      <c r="F8" s="14" t="s">
        <v>75</v>
      </c>
      <c r="G8" s="14">
        <f t="shared" si="17"/>
        <v>1.3139999999999998E-3</v>
      </c>
      <c r="H8" s="63">
        <f t="shared" si="6"/>
        <v>2.9988879691984504E-2</v>
      </c>
      <c r="I8" s="63">
        <f t="shared" si="7"/>
        <v>2.4430498686956199E-2</v>
      </c>
      <c r="J8" s="63">
        <f t="shared" si="8"/>
        <v>3.5547260697012813E-2</v>
      </c>
      <c r="K8" s="30">
        <f>IF(OR(LEFT($D8,5)="Solar",$D8="Wind"),INDEX(Land_Use[AVG],MATCH(LEFT($D8,5),Land_Use[Tech],0)),0)*$E8</f>
        <v>0</v>
      </c>
      <c r="L8" s="30">
        <f>IF(OR(LEFT($D8,5)="Solar",$D8="Wind"),INDEX(Land_Use[MIN],MATCH(LEFT($D8,5),Land_Use[Tech],0)),0)*$E8</f>
        <v>0</v>
      </c>
      <c r="M8" s="30">
        <f>IF(OR(LEFT($D8,5)="Solar",$D8="Wind"),INDEX(Land_Use[MAX],MATCH(LEFT($D8,5),Land_Use[Tech],0)),0)*$E8</f>
        <v>0</v>
      </c>
      <c r="N8" s="15">
        <f t="shared" si="9"/>
        <v>30.659999999999997</v>
      </c>
      <c r="O8" s="11">
        <f t="shared" si="1"/>
        <v>0</v>
      </c>
      <c r="P8" s="11">
        <f t="shared" si="2"/>
        <v>0</v>
      </c>
      <c r="Q8" s="11">
        <f t="shared" si="3"/>
        <v>0</v>
      </c>
      <c r="R8" s="11">
        <f t="shared" si="4"/>
        <v>0</v>
      </c>
      <c r="S8" s="30">
        <f t="shared" si="10"/>
        <v>0</v>
      </c>
      <c r="T8" s="30">
        <f t="shared" si="11"/>
        <v>0</v>
      </c>
      <c r="U8" s="30">
        <f t="shared" si="12"/>
        <v>0</v>
      </c>
      <c r="V8" s="30">
        <f t="shared" si="13"/>
        <v>0</v>
      </c>
      <c r="W8" s="30">
        <f t="shared" si="14"/>
        <v>0</v>
      </c>
      <c r="X8" s="30">
        <f t="shared" si="15"/>
        <v>0</v>
      </c>
      <c r="Z8" s="23" t="s">
        <v>76</v>
      </c>
      <c r="AA8" s="40" t="str">
        <f>IF(C8="Electricity",E8*SUMIFS(Electricity!S:S,Electricity!P:P,UserMade_Scenario!B8,Electricity!M:M,UserMade_Scenario!Z8,Electricity!O:O,UserMade_Scenario!D8),"")</f>
        <v/>
      </c>
      <c r="AB8" s="76">
        <f>1000*Assumptions!$B$17/1000000000000</f>
        <v>1.1999999999999999E-7</v>
      </c>
      <c r="AC8" s="67" t="s">
        <v>77</v>
      </c>
      <c r="AD8" s="39">
        <f>SUMIFS(Hydrogen!AK:AK,Hydrogen!$AA:$AA,UserMade_Scenario!$Z8,Hydrogen!$Y:$Y,UserMade_Scenario!$D8,Hydrogen!$AB:$AB,UserMade_Scenario!$B8,Hydrogen!$Z:$Z,UserMade_Scenario!$C8)</f>
        <v>-22.822587284615302</v>
      </c>
      <c r="AE8" s="39">
        <f>SUMIFS(Hydrogen!AL:AL,Hydrogen!$AA:$AA,UserMade_Scenario!$Z8,Hydrogen!$Y:$Y,UserMade_Scenario!$D8,Hydrogen!$AB:$AB,UserMade_Scenario!$B8,Hydrogen!$Z:$Z,UserMade_Scenario!$C8)</f>
        <v>-18.59246475415236</v>
      </c>
      <c r="AF8" s="39">
        <f>SUMIFS(Hydrogen!AM:AM,Hydrogen!$AA:$AA,UserMade_Scenario!$Z8,Hydrogen!$Y:$Y,UserMade_Scenario!$D8,Hydrogen!$AB:$AB,UserMade_Scenario!$B8,Hydrogen!$Z:$Z,UserMade_Scenario!$C8)</f>
        <v>-27.052709815078245</v>
      </c>
      <c r="AG8" s="68">
        <f>IFERROR(INDEX(WaterUseH2[Average Direct Water Consumption (Gal/ kg h2)],MATCH(LEFT(D8,3),WaterUseH2[Key],0)),0)</f>
        <v>2.8</v>
      </c>
      <c r="AH8">
        <v>14</v>
      </c>
      <c r="AI8">
        <v>1.4</v>
      </c>
      <c r="AJ8">
        <v>250</v>
      </c>
      <c r="AK8">
        <v>0.31</v>
      </c>
      <c r="AL8" s="63">
        <f>IFERROR(INDEX(Job_Training[[Solar]:[Wind]],MATCH(AL$1,Job_Training[[`Typical Entry Level Education`]:[`Typical Entry Level Education`]],0),MATCH(LEFT($D8,5),Job_Training[[#Headers],[Solar]:[Wind]],0)),0)</f>
        <v>0</v>
      </c>
      <c r="AM8" s="63">
        <f>IFERROR(INDEX(Job_Training[[Solar]:[Wind]],MATCH(AM$1,Job_Training[[`Typical Entry Level Education`]:[`Typical Entry Level Education`]],0),MATCH(LEFT($D8,5),Job_Training[[#Headers],[Solar]:[Wind]],0)),0)</f>
        <v>0</v>
      </c>
      <c r="AN8" s="63">
        <f>IFERROR(INDEX(Job_Training[[Solar]:[Wind]],MATCH(AN$1,Job_Training[[`Typical Entry Level Education`]:[`Typical Entry Level Education`]],0),MATCH(LEFT($D8,5),Job_Training[[#Headers],[Solar]:[Wind]],0)),0)</f>
        <v>0</v>
      </c>
      <c r="AO8" s="63">
        <f>IFERROR(INDEX(Job_Training[[Solar]:[Wind]],MATCH(AO$1,Job_Training[[`Typical Entry Level Education`]:[`Typical Entry Level Education`]],0),MATCH(LEFT($D8,5),Job_Training[[#Headers],[Solar]:[Wind]],0)),0)</f>
        <v>0</v>
      </c>
      <c r="AP8">
        <f t="shared" si="16"/>
        <v>0</v>
      </c>
      <c r="AQ8" s="63">
        <f>IF(AP8&gt;0,IFERROR(INDEX(Assumptions!$C$165:$D$165,MATCH(LEFT($D8,5),Job_Training[[#Headers],[Solar]:[Wind]],0)),0),0)</f>
        <v>0</v>
      </c>
      <c r="AR8">
        <f>IF(AP8&gt;0,IFERROR(INDEX(Assumptions!$C$166:$D$166,MATCH(LEFT($D8,5),Job_Training[[#Headers],[Solar]:[Wind]],0)),0),0)</f>
        <v>0</v>
      </c>
    </row>
    <row r="9" spans="1:44" x14ac:dyDescent="0.35">
      <c r="A9" t="str">
        <f>UserInput!$B$2</f>
        <v>Current Projects</v>
      </c>
      <c r="B9">
        <v>2032</v>
      </c>
      <c r="C9" s="16" t="s">
        <v>73</v>
      </c>
      <c r="D9" t="s">
        <v>74</v>
      </c>
      <c r="E9" s="66">
        <f>INDEX(UserInput!$C$2:$M$22,MATCH(UserMade_Scenario!B9,UserInput!$A$2:$A$22,0),MATCH(LEFT(IF(RIGHT(C9,2)="H2",UserMade_Scenario!C9,D9),3),UserInput!$C$25:$M$25,0))</f>
        <v>10950</v>
      </c>
      <c r="F9" s="14" t="s">
        <v>75</v>
      </c>
      <c r="G9" s="14">
        <f t="shared" si="17"/>
        <v>1.3139999999999998E-3</v>
      </c>
      <c r="H9" s="63">
        <f t="shared" si="6"/>
        <v>2.895257451398759E-2</v>
      </c>
      <c r="I9" s="63">
        <f t="shared" si="7"/>
        <v>2.2357888330962368E-2</v>
      </c>
      <c r="J9" s="63">
        <f t="shared" si="8"/>
        <v>3.5547260697012813E-2</v>
      </c>
      <c r="K9" s="30">
        <f>IF(OR(LEFT($D9,5)="Solar",$D9="Wind"),INDEX(Land_Use[AVG],MATCH(LEFT($D9,5),Land_Use[Tech],0)),0)*$E9</f>
        <v>0</v>
      </c>
      <c r="L9" s="30">
        <f>IF(OR(LEFT($D9,5)="Solar",$D9="Wind"),INDEX(Land_Use[MIN],MATCH(LEFT($D9,5),Land_Use[Tech],0)),0)*$E9</f>
        <v>0</v>
      </c>
      <c r="M9" s="30">
        <f>IF(OR(LEFT($D9,5)="Solar",$D9="Wind"),INDEX(Land_Use[MAX],MATCH(LEFT($D9,5),Land_Use[Tech],0)),0)*$E9</f>
        <v>0</v>
      </c>
      <c r="N9" s="15">
        <f t="shared" si="9"/>
        <v>30.659999999999997</v>
      </c>
      <c r="O9" s="11">
        <f t="shared" si="1"/>
        <v>0</v>
      </c>
      <c r="P9" s="11">
        <f t="shared" si="2"/>
        <v>0</v>
      </c>
      <c r="Q9" s="11">
        <f t="shared" si="3"/>
        <v>0</v>
      </c>
      <c r="R9" s="11">
        <f t="shared" si="4"/>
        <v>0</v>
      </c>
      <c r="S9" s="30">
        <f t="shared" si="10"/>
        <v>0</v>
      </c>
      <c r="T9" s="30">
        <f t="shared" si="11"/>
        <v>0</v>
      </c>
      <c r="U9" s="30">
        <f t="shared" si="12"/>
        <v>0</v>
      </c>
      <c r="V9" s="30">
        <f t="shared" si="13"/>
        <v>0</v>
      </c>
      <c r="W9" s="30">
        <f t="shared" si="14"/>
        <v>0</v>
      </c>
      <c r="X9" s="30">
        <f t="shared" si="15"/>
        <v>0</v>
      </c>
      <c r="Z9" s="23" t="s">
        <v>76</v>
      </c>
      <c r="AA9" s="40" t="str">
        <f>IF(C9="Electricity",E9*SUMIFS(Electricity!S:S,Electricity!P:P,UserMade_Scenario!B9,Electricity!M:M,UserMade_Scenario!Z9,Electricity!O:O,UserMade_Scenario!D9),"")</f>
        <v/>
      </c>
      <c r="AB9" s="76">
        <f>1000*Assumptions!$B$17/1000000000000</f>
        <v>1.1999999999999999E-7</v>
      </c>
      <c r="AC9" s="67" t="s">
        <v>77</v>
      </c>
      <c r="AD9" s="39">
        <f>SUMIFS(Hydrogen!AK:AK,Hydrogen!$AA:$AA,UserMade_Scenario!$Z9,Hydrogen!$Y:$Y,UserMade_Scenario!$D9,Hydrogen!$AB:$AB,UserMade_Scenario!$B9,Hydrogen!$Z:$Z,UserMade_Scenario!$C9)</f>
        <v>-22.033922765591775</v>
      </c>
      <c r="AE9" s="39">
        <f>SUMIFS(Hydrogen!AL:AL,Hydrogen!$AA:$AA,UserMade_Scenario!$Z9,Hydrogen!$Y:$Y,UserMade_Scenario!$D9,Hydrogen!$AB:$AB,UserMade_Scenario!$B9,Hydrogen!$Z:$Z,UserMade_Scenario!$C9)</f>
        <v>-17.015135716105306</v>
      </c>
      <c r="AF9" s="39">
        <f>SUMIFS(Hydrogen!AM:AM,Hydrogen!$AA:$AA,UserMade_Scenario!$Z9,Hydrogen!$Y:$Y,UserMade_Scenario!$D9,Hydrogen!$AB:$AB,UserMade_Scenario!$B9,Hydrogen!$Z:$Z,UserMade_Scenario!$C9)</f>
        <v>-27.052709815078245</v>
      </c>
      <c r="AG9" s="68">
        <f>IFERROR(INDEX(WaterUseH2[Average Direct Water Consumption (Gal/ kg h2)],MATCH(LEFT(D9,3),WaterUseH2[Key],0)),0)</f>
        <v>2.8</v>
      </c>
      <c r="AH9">
        <v>14</v>
      </c>
      <c r="AI9">
        <v>1.4</v>
      </c>
      <c r="AJ9">
        <v>250</v>
      </c>
      <c r="AK9">
        <v>0.31</v>
      </c>
      <c r="AL9" s="63">
        <f>IFERROR(INDEX(Job_Training[[Solar]:[Wind]],MATCH(AL$1,Job_Training[[`Typical Entry Level Education`]:[`Typical Entry Level Education`]],0),MATCH(LEFT($D9,5),Job_Training[[#Headers],[Solar]:[Wind]],0)),0)</f>
        <v>0</v>
      </c>
      <c r="AM9" s="63">
        <f>IFERROR(INDEX(Job_Training[[Solar]:[Wind]],MATCH(AM$1,Job_Training[[`Typical Entry Level Education`]:[`Typical Entry Level Education`]],0),MATCH(LEFT($D9,5),Job_Training[[#Headers],[Solar]:[Wind]],0)),0)</f>
        <v>0</v>
      </c>
      <c r="AN9" s="63">
        <f>IFERROR(INDEX(Job_Training[[Solar]:[Wind]],MATCH(AN$1,Job_Training[[`Typical Entry Level Education`]:[`Typical Entry Level Education`]],0),MATCH(LEFT($D9,5),Job_Training[[#Headers],[Solar]:[Wind]],0)),0)</f>
        <v>0</v>
      </c>
      <c r="AO9" s="63">
        <f>IFERROR(INDEX(Job_Training[[Solar]:[Wind]],MATCH(AO$1,Job_Training[[`Typical Entry Level Education`]:[`Typical Entry Level Education`]],0),MATCH(LEFT($D9,5),Job_Training[[#Headers],[Solar]:[Wind]],0)),0)</f>
        <v>0</v>
      </c>
      <c r="AP9">
        <f t="shared" si="16"/>
        <v>0</v>
      </c>
      <c r="AQ9" s="63">
        <f>IF(AP9&gt;0,IFERROR(INDEX(Assumptions!$C$165:$D$165,MATCH(LEFT($D9,5),Job_Training[[#Headers],[Solar]:[Wind]],0)),0),0)</f>
        <v>0</v>
      </c>
      <c r="AR9">
        <f>IF(AP9&gt;0,IFERROR(INDEX(Assumptions!$C$166:$D$166,MATCH(LEFT($D9,5),Job_Training[[#Headers],[Solar]:[Wind]],0)),0),0)</f>
        <v>0</v>
      </c>
    </row>
    <row r="10" spans="1:44" x14ac:dyDescent="0.35">
      <c r="A10" t="str">
        <f>UserInput!$B$2</f>
        <v>Current Projects</v>
      </c>
      <c r="B10">
        <v>2033</v>
      </c>
      <c r="C10" s="16" t="s">
        <v>73</v>
      </c>
      <c r="D10" t="s">
        <v>74</v>
      </c>
      <c r="E10" s="66">
        <f>INDEX(UserInput!$C$2:$M$22,MATCH(UserMade_Scenario!B10,UserInput!$A$2:$A$22,0),MATCH(LEFT(IF(RIGHT(C10,2)="H2",UserMade_Scenario!C10,D10),3),UserInput!$C$25:$M$25,0))</f>
        <v>10950</v>
      </c>
      <c r="F10" s="14" t="s">
        <v>75</v>
      </c>
      <c r="G10" s="14">
        <f t="shared" si="17"/>
        <v>1.3139999999999998E-3</v>
      </c>
      <c r="H10" s="63">
        <f t="shared" si="6"/>
        <v>2.776246237806938E-2</v>
      </c>
      <c r="I10" s="63">
        <f t="shared" si="7"/>
        <v>1.997766405912595E-2</v>
      </c>
      <c r="J10" s="63">
        <f t="shared" si="8"/>
        <v>3.5547260697012813E-2</v>
      </c>
      <c r="K10" s="30">
        <f>IF(OR(LEFT($D10,5)="Solar",$D10="Wind"),INDEX(Land_Use[AVG],MATCH(LEFT($D10,5),Land_Use[Tech],0)),0)*$E10</f>
        <v>0</v>
      </c>
      <c r="L10" s="30">
        <f>IF(OR(LEFT($D10,5)="Solar",$D10="Wind"),INDEX(Land_Use[MIN],MATCH(LEFT($D10,5),Land_Use[Tech],0)),0)*$E10</f>
        <v>0</v>
      </c>
      <c r="M10" s="30">
        <f>IF(OR(LEFT($D10,5)="Solar",$D10="Wind"),INDEX(Land_Use[MAX],MATCH(LEFT($D10,5),Land_Use[Tech],0)),0)*$E10</f>
        <v>0</v>
      </c>
      <c r="N10" s="15">
        <f t="shared" si="9"/>
        <v>30.659999999999997</v>
      </c>
      <c r="O10" s="11">
        <f t="shared" si="1"/>
        <v>0</v>
      </c>
      <c r="P10" s="11">
        <f t="shared" si="2"/>
        <v>0</v>
      </c>
      <c r="Q10" s="11">
        <f t="shared" si="3"/>
        <v>0</v>
      </c>
      <c r="R10" s="11">
        <f t="shared" si="4"/>
        <v>0</v>
      </c>
      <c r="S10" s="30">
        <f t="shared" si="10"/>
        <v>0</v>
      </c>
      <c r="T10" s="30">
        <f t="shared" si="11"/>
        <v>0</v>
      </c>
      <c r="U10" s="30">
        <f t="shared" si="12"/>
        <v>0</v>
      </c>
      <c r="V10" s="30">
        <f t="shared" si="13"/>
        <v>0</v>
      </c>
      <c r="W10" s="30">
        <f t="shared" si="14"/>
        <v>0</v>
      </c>
      <c r="X10" s="30">
        <f t="shared" si="15"/>
        <v>0</v>
      </c>
      <c r="Z10" s="23" t="s">
        <v>76</v>
      </c>
      <c r="AA10" s="40" t="str">
        <f>IF(C10="Electricity",E10*SUMIFS(Electricity!S:S,Electricity!P:P,UserMade_Scenario!B10,Electricity!M:M,UserMade_Scenario!Z10,Electricity!O:O,UserMade_Scenario!D10),"")</f>
        <v/>
      </c>
      <c r="AB10" s="76">
        <f>1000*Assumptions!$B$17/1000000000000</f>
        <v>1.1999999999999999E-7</v>
      </c>
      <c r="AC10" s="67" t="s">
        <v>77</v>
      </c>
      <c r="AD10" s="39">
        <f>SUMIFS(Hydrogen!AK:AK,Hydrogen!$AA:$AA,UserMade_Scenario!$Z10,Hydrogen!$Y:$Y,UserMade_Scenario!$D10,Hydrogen!$AB:$AB,UserMade_Scenario!$B10,Hydrogen!$Z:$Z,UserMade_Scenario!$C10)</f>
        <v>-21.128205767176091</v>
      </c>
      <c r="AE10" s="39">
        <f>SUMIFS(Hydrogen!AL:AL,Hydrogen!$AA:$AA,UserMade_Scenario!$Z10,Hydrogen!$Y:$Y,UserMade_Scenario!$D10,Hydrogen!$AB:$AB,UserMade_Scenario!$B10,Hydrogen!$Z:$Z,UserMade_Scenario!$C10)</f>
        <v>-15.203701719273937</v>
      </c>
      <c r="AF10" s="39">
        <f>SUMIFS(Hydrogen!AM:AM,Hydrogen!$AA:$AA,UserMade_Scenario!$Z10,Hydrogen!$Y:$Y,UserMade_Scenario!$D10,Hydrogen!$AB:$AB,UserMade_Scenario!$B10,Hydrogen!$Z:$Z,UserMade_Scenario!$C10)</f>
        <v>-27.052709815078245</v>
      </c>
      <c r="AG10" s="68">
        <f>IFERROR(INDEX(WaterUseH2[Average Direct Water Consumption (Gal/ kg h2)],MATCH(LEFT(D10,3),WaterUseH2[Key],0)),0)</f>
        <v>2.8</v>
      </c>
      <c r="AH10">
        <v>14</v>
      </c>
      <c r="AI10">
        <v>1.4</v>
      </c>
      <c r="AJ10">
        <v>250</v>
      </c>
      <c r="AK10">
        <v>0.31</v>
      </c>
      <c r="AL10" s="63">
        <f>IFERROR(INDEX(Job_Training[[Solar]:[Wind]],MATCH(AL$1,Job_Training[[`Typical Entry Level Education`]:[`Typical Entry Level Education`]],0),MATCH(LEFT($D10,5),Job_Training[[#Headers],[Solar]:[Wind]],0)),0)</f>
        <v>0</v>
      </c>
      <c r="AM10" s="63">
        <f>IFERROR(INDEX(Job_Training[[Solar]:[Wind]],MATCH(AM$1,Job_Training[[`Typical Entry Level Education`]:[`Typical Entry Level Education`]],0),MATCH(LEFT($D10,5),Job_Training[[#Headers],[Solar]:[Wind]],0)),0)</f>
        <v>0</v>
      </c>
      <c r="AN10" s="63">
        <f>IFERROR(INDEX(Job_Training[[Solar]:[Wind]],MATCH(AN$1,Job_Training[[`Typical Entry Level Education`]:[`Typical Entry Level Education`]],0),MATCH(LEFT($D10,5),Job_Training[[#Headers],[Solar]:[Wind]],0)),0)</f>
        <v>0</v>
      </c>
      <c r="AO10" s="63">
        <f>IFERROR(INDEX(Job_Training[[Solar]:[Wind]],MATCH(AO$1,Job_Training[[`Typical Entry Level Education`]:[`Typical Entry Level Education`]],0),MATCH(LEFT($D10,5),Job_Training[[#Headers],[Solar]:[Wind]],0)),0)</f>
        <v>0</v>
      </c>
      <c r="AP10">
        <f t="shared" si="16"/>
        <v>0</v>
      </c>
      <c r="AQ10" s="63">
        <f>IF(AP10&gt;0,IFERROR(INDEX(Assumptions!$C$165:$D$165,MATCH(LEFT($D10,5),Job_Training[[#Headers],[Solar]:[Wind]],0)),0),0)</f>
        <v>0</v>
      </c>
      <c r="AR10">
        <f>IF(AP10&gt;0,IFERROR(INDEX(Assumptions!$C$166:$D$166,MATCH(LEFT($D10,5),Job_Training[[#Headers],[Solar]:[Wind]],0)),0),0)</f>
        <v>0</v>
      </c>
    </row>
    <row r="11" spans="1:44" x14ac:dyDescent="0.35">
      <c r="A11" t="str">
        <f>UserInput!$B$2</f>
        <v>Current Projects</v>
      </c>
      <c r="B11">
        <v>2034</v>
      </c>
      <c r="C11" s="16" t="s">
        <v>73</v>
      </c>
      <c r="D11" t="s">
        <v>74</v>
      </c>
      <c r="E11" s="66">
        <f>INDEX(UserInput!$C$2:$M$22,MATCH(UserMade_Scenario!B11,UserInput!$A$2:$A$22,0),MATCH(LEFT(IF(RIGHT(C11,2)="H2",UserMade_Scenario!C11,D11),3),UserInput!$C$25:$M$25,0))</f>
        <v>10950</v>
      </c>
      <c r="F11" s="14" t="s">
        <v>75</v>
      </c>
      <c r="G11" s="14">
        <f t="shared" si="17"/>
        <v>1.3139999999999998E-3</v>
      </c>
      <c r="H11" s="63">
        <f t="shared" si="6"/>
        <v>2.6434931290165983E-2</v>
      </c>
      <c r="I11" s="63">
        <f t="shared" si="7"/>
        <v>1.7322601883319161E-2</v>
      </c>
      <c r="J11" s="63">
        <f t="shared" si="8"/>
        <v>3.5547260697012813E-2</v>
      </c>
      <c r="K11" s="30">
        <f>IF(OR(LEFT($D11,5)="Solar",$D11="Wind"),INDEX(Land_Use[AVG],MATCH(LEFT($D11,5),Land_Use[Tech],0)),0)*$E11</f>
        <v>0</v>
      </c>
      <c r="L11" s="30">
        <f>IF(OR(LEFT($D11,5)="Solar",$D11="Wind"),INDEX(Land_Use[MIN],MATCH(LEFT($D11,5),Land_Use[Tech],0)),0)*$E11</f>
        <v>0</v>
      </c>
      <c r="M11" s="30">
        <f>IF(OR(LEFT($D11,5)="Solar",$D11="Wind"),INDEX(Land_Use[MAX],MATCH(LEFT($D11,5),Land_Use[Tech],0)),0)*$E11</f>
        <v>0</v>
      </c>
      <c r="N11" s="15">
        <f t="shared" si="9"/>
        <v>30.659999999999997</v>
      </c>
      <c r="O11" s="11">
        <f t="shared" si="1"/>
        <v>0</v>
      </c>
      <c r="P11" s="11">
        <f t="shared" si="2"/>
        <v>0</v>
      </c>
      <c r="Q11" s="11">
        <f t="shared" si="3"/>
        <v>0</v>
      </c>
      <c r="R11" s="11">
        <f t="shared" si="4"/>
        <v>0</v>
      </c>
      <c r="S11" s="30">
        <f t="shared" si="10"/>
        <v>0</v>
      </c>
      <c r="T11" s="30">
        <f t="shared" si="11"/>
        <v>0</v>
      </c>
      <c r="U11" s="30">
        <f t="shared" si="12"/>
        <v>0</v>
      </c>
      <c r="V11" s="30">
        <f t="shared" si="13"/>
        <v>0</v>
      </c>
      <c r="W11" s="30">
        <f t="shared" si="14"/>
        <v>0</v>
      </c>
      <c r="X11" s="30">
        <f t="shared" si="15"/>
        <v>0</v>
      </c>
      <c r="Z11" s="23" t="s">
        <v>76</v>
      </c>
      <c r="AA11" s="40" t="str">
        <f>IF(C11="Electricity",E11*SUMIFS(Electricity!S:S,Electricity!P:P,UserMade_Scenario!B11,Electricity!M:M,UserMade_Scenario!Z11,Electricity!O:O,UserMade_Scenario!D11),"")</f>
        <v/>
      </c>
      <c r="AB11" s="76">
        <f>1000*Assumptions!$B$17/1000000000000</f>
        <v>1.1999999999999999E-7</v>
      </c>
      <c r="AC11" s="67" t="s">
        <v>77</v>
      </c>
      <c r="AD11" s="39">
        <f>SUMIFS(Hydrogen!AK:AK,Hydrogen!$AA:$AA,UserMade_Scenario!$Z11,Hydrogen!$Y:$Y,UserMade_Scenario!$D11,Hydrogen!$AB:$AB,UserMade_Scenario!$B11,Hydrogen!$Z:$Z,UserMade_Scenario!$C11)</f>
        <v>-20.117908135590554</v>
      </c>
      <c r="AE11" s="39">
        <f>SUMIFS(Hydrogen!AL:AL,Hydrogen!$AA:$AA,UserMade_Scenario!$Z11,Hydrogen!$Y:$Y,UserMade_Scenario!$D11,Hydrogen!$AB:$AB,UserMade_Scenario!$B11,Hydrogen!$Z:$Z,UserMade_Scenario!$C11)</f>
        <v>-13.183106456102863</v>
      </c>
      <c r="AF11" s="39">
        <f>SUMIFS(Hydrogen!AM:AM,Hydrogen!$AA:$AA,UserMade_Scenario!$Z11,Hydrogen!$Y:$Y,UserMade_Scenario!$D11,Hydrogen!$AB:$AB,UserMade_Scenario!$B11,Hydrogen!$Z:$Z,UserMade_Scenario!$C11)</f>
        <v>-27.052709815078245</v>
      </c>
      <c r="AG11" s="68">
        <f>IFERROR(INDEX(WaterUseH2[Average Direct Water Consumption (Gal/ kg h2)],MATCH(LEFT(D11,3),WaterUseH2[Key],0)),0)</f>
        <v>2.8</v>
      </c>
      <c r="AH11">
        <v>14</v>
      </c>
      <c r="AI11">
        <v>1.4</v>
      </c>
      <c r="AJ11">
        <v>250</v>
      </c>
      <c r="AK11">
        <v>0.31</v>
      </c>
      <c r="AL11" s="63">
        <f>IFERROR(INDEX(Job_Training[[Solar]:[Wind]],MATCH(AL$1,Job_Training[[`Typical Entry Level Education`]:[`Typical Entry Level Education`]],0),MATCH(LEFT($D11,5),Job_Training[[#Headers],[Solar]:[Wind]],0)),0)</f>
        <v>0</v>
      </c>
      <c r="AM11" s="63">
        <f>IFERROR(INDEX(Job_Training[[Solar]:[Wind]],MATCH(AM$1,Job_Training[[`Typical Entry Level Education`]:[`Typical Entry Level Education`]],0),MATCH(LEFT($D11,5),Job_Training[[#Headers],[Solar]:[Wind]],0)),0)</f>
        <v>0</v>
      </c>
      <c r="AN11" s="63">
        <f>IFERROR(INDEX(Job_Training[[Solar]:[Wind]],MATCH(AN$1,Job_Training[[`Typical Entry Level Education`]:[`Typical Entry Level Education`]],0),MATCH(LEFT($D11,5),Job_Training[[#Headers],[Solar]:[Wind]],0)),0)</f>
        <v>0</v>
      </c>
      <c r="AO11" s="63">
        <f>IFERROR(INDEX(Job_Training[[Solar]:[Wind]],MATCH(AO$1,Job_Training[[`Typical Entry Level Education`]:[`Typical Entry Level Education`]],0),MATCH(LEFT($D11,5),Job_Training[[#Headers],[Solar]:[Wind]],0)),0)</f>
        <v>0</v>
      </c>
      <c r="AP11">
        <f t="shared" si="16"/>
        <v>0</v>
      </c>
      <c r="AQ11" s="63">
        <f>IF(AP11&gt;0,IFERROR(INDEX(Assumptions!$C$165:$D$165,MATCH(LEFT($D11,5),Job_Training[[#Headers],[Solar]:[Wind]],0)),0),0)</f>
        <v>0</v>
      </c>
      <c r="AR11">
        <f>IF(AP11&gt;0,IFERROR(INDEX(Assumptions!$C$166:$D$166,MATCH(LEFT($D11,5),Job_Training[[#Headers],[Solar]:[Wind]],0)),0),0)</f>
        <v>0</v>
      </c>
    </row>
    <row r="12" spans="1:44" x14ac:dyDescent="0.35">
      <c r="A12" t="str">
        <f>UserInput!$B$2</f>
        <v>Current Projects</v>
      </c>
      <c r="B12">
        <v>2035</v>
      </c>
      <c r="C12" s="16" t="s">
        <v>73</v>
      </c>
      <c r="D12" t="s">
        <v>74</v>
      </c>
      <c r="E12" s="66">
        <f>INDEX(UserInput!$C$2:$M$22,MATCH(UserMade_Scenario!B12,UserInput!$A$2:$A$22,0),MATCH(LEFT(IF(RIGHT(C12,2)="H2",UserMade_Scenario!C12,D12),3),UserInput!$C$25:$M$25,0))</f>
        <v>10950</v>
      </c>
      <c r="F12" s="14" t="s">
        <v>75</v>
      </c>
      <c r="G12" s="14">
        <f t="shared" si="17"/>
        <v>1.3139999999999998E-3</v>
      </c>
      <c r="H12" s="63">
        <f t="shared" si="6"/>
        <v>2.4919180517734053E-2</v>
      </c>
      <c r="I12" s="63">
        <f t="shared" si="7"/>
        <v>1.4291100338455298E-2</v>
      </c>
      <c r="J12" s="63">
        <f t="shared" si="8"/>
        <v>3.5547260697012813E-2</v>
      </c>
      <c r="K12" s="30">
        <f>IF(OR(LEFT($D12,5)="Solar",$D12="Wind"),INDEX(Land_Use[AVG],MATCH(LEFT($D12,5),Land_Use[Tech],0)),0)*$E12</f>
        <v>0</v>
      </c>
      <c r="L12" s="30">
        <f>IF(OR(LEFT($D12,5)="Solar",$D12="Wind"),INDEX(Land_Use[MIN],MATCH(LEFT($D12,5),Land_Use[Tech],0)),0)*$E12</f>
        <v>0</v>
      </c>
      <c r="M12" s="30">
        <f>IF(OR(LEFT($D12,5)="Solar",$D12="Wind"),INDEX(Land_Use[MAX],MATCH(LEFT($D12,5),Land_Use[Tech],0)),0)*$E12</f>
        <v>0</v>
      </c>
      <c r="N12" s="15">
        <f t="shared" si="9"/>
        <v>30.659999999999997</v>
      </c>
      <c r="O12" s="11">
        <f t="shared" si="1"/>
        <v>0</v>
      </c>
      <c r="P12" s="11">
        <f t="shared" si="2"/>
        <v>0</v>
      </c>
      <c r="Q12" s="11">
        <f t="shared" si="3"/>
        <v>0</v>
      </c>
      <c r="R12" s="11">
        <f t="shared" si="4"/>
        <v>0</v>
      </c>
      <c r="S12" s="30">
        <f t="shared" si="10"/>
        <v>0</v>
      </c>
      <c r="T12" s="30">
        <f t="shared" si="11"/>
        <v>0</v>
      </c>
      <c r="U12" s="30">
        <f t="shared" si="12"/>
        <v>0</v>
      </c>
      <c r="V12" s="30">
        <f t="shared" si="13"/>
        <v>0</v>
      </c>
      <c r="W12" s="30">
        <f t="shared" si="14"/>
        <v>0</v>
      </c>
      <c r="X12" s="30">
        <f t="shared" si="15"/>
        <v>0</v>
      </c>
      <c r="Z12" s="23" t="s">
        <v>76</v>
      </c>
      <c r="AA12" s="40" t="str">
        <f>IF(C12="Electricity",E12*SUMIFS(Electricity!S:S,Electricity!P:P,UserMade_Scenario!B12,Electricity!M:M,UserMade_Scenario!Z12,Electricity!O:O,UserMade_Scenario!D12),"")</f>
        <v/>
      </c>
      <c r="AB12" s="76">
        <f>1000*Assumptions!$B$17/1000000000000</f>
        <v>1.1999999999999999E-7</v>
      </c>
      <c r="AC12" s="67" t="s">
        <v>77</v>
      </c>
      <c r="AD12" s="39">
        <f>SUMIFS(Hydrogen!AK:AK,Hydrogen!$AA:$AA,UserMade_Scenario!$Z12,Hydrogen!$Y:$Y,UserMade_Scenario!$D12,Hydrogen!$AB:$AB,UserMade_Scenario!$B12,Hydrogen!$Z:$Z,UserMade_Scenario!$C12)</f>
        <v>-18.964368734957425</v>
      </c>
      <c r="AE12" s="39">
        <f>SUMIFS(Hydrogen!AL:AL,Hydrogen!$AA:$AA,UserMade_Scenario!$Z12,Hydrogen!$Y:$Y,UserMade_Scenario!$D12,Hydrogen!$AB:$AB,UserMade_Scenario!$B12,Hydrogen!$Z:$Z,UserMade_Scenario!$C12)</f>
        <v>-10.876027654836605</v>
      </c>
      <c r="AF12" s="39">
        <f>SUMIFS(Hydrogen!AM:AM,Hydrogen!$AA:$AA,UserMade_Scenario!$Z12,Hydrogen!$Y:$Y,UserMade_Scenario!$D12,Hydrogen!$AB:$AB,UserMade_Scenario!$B12,Hydrogen!$Z:$Z,UserMade_Scenario!$C12)</f>
        <v>-27.052709815078245</v>
      </c>
      <c r="AG12" s="68">
        <f>IFERROR(INDEX(WaterUseH2[Average Direct Water Consumption (Gal/ kg h2)],MATCH(LEFT(D12,3),WaterUseH2[Key],0)),0)</f>
        <v>2.8</v>
      </c>
      <c r="AH12">
        <v>14</v>
      </c>
      <c r="AI12">
        <v>1.4</v>
      </c>
      <c r="AJ12">
        <v>250</v>
      </c>
      <c r="AK12">
        <v>0.31</v>
      </c>
      <c r="AL12" s="63">
        <f>IFERROR(INDEX(Job_Training[[Solar]:[Wind]],MATCH(AL$1,Job_Training[[`Typical Entry Level Education`]:[`Typical Entry Level Education`]],0),MATCH(LEFT($D12,5),Job_Training[[#Headers],[Solar]:[Wind]],0)),0)</f>
        <v>0</v>
      </c>
      <c r="AM12" s="63">
        <f>IFERROR(INDEX(Job_Training[[Solar]:[Wind]],MATCH(AM$1,Job_Training[[`Typical Entry Level Education`]:[`Typical Entry Level Education`]],0),MATCH(LEFT($D12,5),Job_Training[[#Headers],[Solar]:[Wind]],0)),0)</f>
        <v>0</v>
      </c>
      <c r="AN12" s="63">
        <f>IFERROR(INDEX(Job_Training[[Solar]:[Wind]],MATCH(AN$1,Job_Training[[`Typical Entry Level Education`]:[`Typical Entry Level Education`]],0),MATCH(LEFT($D12,5),Job_Training[[#Headers],[Solar]:[Wind]],0)),0)</f>
        <v>0</v>
      </c>
      <c r="AO12" s="63">
        <f>IFERROR(INDEX(Job_Training[[Solar]:[Wind]],MATCH(AO$1,Job_Training[[`Typical Entry Level Education`]:[`Typical Entry Level Education`]],0),MATCH(LEFT($D12,5),Job_Training[[#Headers],[Solar]:[Wind]],0)),0)</f>
        <v>0</v>
      </c>
      <c r="AP12">
        <f t="shared" si="16"/>
        <v>0</v>
      </c>
      <c r="AQ12" s="63">
        <f>IF(AP12&gt;0,IFERROR(INDEX(Assumptions!$C$165:$D$165,MATCH(LEFT($D12,5),Job_Training[[#Headers],[Solar]:[Wind]],0)),0),0)</f>
        <v>0</v>
      </c>
      <c r="AR12">
        <f>IF(AP12&gt;0,IFERROR(INDEX(Assumptions!$C$166:$D$166,MATCH(LEFT($D12,5),Job_Training[[#Headers],[Solar]:[Wind]],0)),0),0)</f>
        <v>0</v>
      </c>
    </row>
    <row r="13" spans="1:44" x14ac:dyDescent="0.35">
      <c r="A13" t="str">
        <f>UserInput!$B$2</f>
        <v>Current Projects</v>
      </c>
      <c r="B13">
        <v>2036</v>
      </c>
      <c r="C13" s="16" t="s">
        <v>73</v>
      </c>
      <c r="D13" t="s">
        <v>74</v>
      </c>
      <c r="E13" s="66">
        <f>INDEX(UserInput!$C$2:$M$22,MATCH(UserMade_Scenario!B13,UserInput!$A$2:$A$22,0),MATCH(LEFT(IF(RIGHT(C13,2)="H2",UserMade_Scenario!C13,D13),3),UserInput!$C$25:$M$25,0))</f>
        <v>10950</v>
      </c>
      <c r="F13" s="14" t="s">
        <v>75</v>
      </c>
      <c r="G13" s="14">
        <f t="shared" si="17"/>
        <v>1.3139999999999998E-3</v>
      </c>
      <c r="H13" s="63">
        <f t="shared" si="6"/>
        <v>2.3293387019833401E-2</v>
      </c>
      <c r="I13" s="63">
        <f t="shared" si="7"/>
        <v>1.1039513342653993E-2</v>
      </c>
      <c r="J13" s="63">
        <f t="shared" si="8"/>
        <v>3.5547260697012813E-2</v>
      </c>
      <c r="K13" s="30">
        <f>IF(OR(LEFT($D13,5)="Solar",$D13="Wind"),INDEX(Land_Use[AVG],MATCH(LEFT($D13,5),Land_Use[Tech],0)),0)*$E13</f>
        <v>0</v>
      </c>
      <c r="L13" s="30">
        <f>IF(OR(LEFT($D13,5)="Solar",$D13="Wind"),INDEX(Land_Use[MIN],MATCH(LEFT($D13,5),Land_Use[Tech],0)),0)*$E13</f>
        <v>0</v>
      </c>
      <c r="M13" s="30">
        <f>IF(OR(LEFT($D13,5)="Solar",$D13="Wind"),INDEX(Land_Use[MAX],MATCH(LEFT($D13,5),Land_Use[Tech],0)),0)*$E13</f>
        <v>0</v>
      </c>
      <c r="N13" s="15">
        <f t="shared" si="9"/>
        <v>30.659999999999997</v>
      </c>
      <c r="O13" s="11">
        <f t="shared" si="1"/>
        <v>0</v>
      </c>
      <c r="P13" s="11">
        <f t="shared" si="2"/>
        <v>0</v>
      </c>
      <c r="Q13" s="11">
        <f t="shared" si="3"/>
        <v>0</v>
      </c>
      <c r="R13" s="11">
        <f t="shared" si="4"/>
        <v>0</v>
      </c>
      <c r="S13" s="30">
        <f t="shared" si="10"/>
        <v>0</v>
      </c>
      <c r="T13" s="30">
        <f t="shared" si="11"/>
        <v>0</v>
      </c>
      <c r="U13" s="30">
        <f t="shared" si="12"/>
        <v>0</v>
      </c>
      <c r="V13" s="30">
        <f t="shared" si="13"/>
        <v>0</v>
      </c>
      <c r="W13" s="30">
        <f t="shared" si="14"/>
        <v>0</v>
      </c>
      <c r="X13" s="30">
        <f t="shared" si="15"/>
        <v>0</v>
      </c>
      <c r="Z13" s="23" t="s">
        <v>76</v>
      </c>
      <c r="AA13" s="40" t="str">
        <f>IF(C13="Electricity",E13*SUMIFS(Electricity!S:S,Electricity!P:P,UserMade_Scenario!B13,Electricity!M:M,UserMade_Scenario!Z13,Electricity!O:O,UserMade_Scenario!D13),"")</f>
        <v/>
      </c>
      <c r="AB13" s="76">
        <f>1000*Assumptions!$B$17/1000000000000</f>
        <v>1.1999999999999999E-7</v>
      </c>
      <c r="AC13" s="67" t="s">
        <v>77</v>
      </c>
      <c r="AD13" s="39">
        <f>SUMIFS(Hydrogen!AK:AK,Hydrogen!$AA:$AA,UserMade_Scenario!$Z13,Hydrogen!$Y:$Y,UserMade_Scenario!$D13,Hydrogen!$AB:$AB,UserMade_Scenario!$B13,Hydrogen!$Z:$Z,UserMade_Scenario!$C13)</f>
        <v>-17.727082967909745</v>
      </c>
      <c r="AE13" s="39">
        <f>SUMIFS(Hydrogen!AL:AL,Hydrogen!$AA:$AA,UserMade_Scenario!$Z13,Hydrogen!$Y:$Y,UserMade_Scenario!$D13,Hydrogen!$AB:$AB,UserMade_Scenario!$B13,Hydrogen!$Z:$Z,UserMade_Scenario!$C13)</f>
        <v>-8.4014561207412441</v>
      </c>
      <c r="AF13" s="39">
        <f>SUMIFS(Hydrogen!AM:AM,Hydrogen!$AA:$AA,UserMade_Scenario!$Z13,Hydrogen!$Y:$Y,UserMade_Scenario!$D13,Hydrogen!$AB:$AB,UserMade_Scenario!$B13,Hydrogen!$Z:$Z,UserMade_Scenario!$C13)</f>
        <v>-27.052709815078245</v>
      </c>
      <c r="AG13" s="68">
        <f>IFERROR(INDEX(WaterUseH2[Average Direct Water Consumption (Gal/ kg h2)],MATCH(LEFT(D13,3),WaterUseH2[Key],0)),0)</f>
        <v>2.8</v>
      </c>
      <c r="AH13">
        <v>14</v>
      </c>
      <c r="AI13">
        <v>1.4</v>
      </c>
      <c r="AJ13">
        <v>250</v>
      </c>
      <c r="AK13">
        <v>0.31</v>
      </c>
      <c r="AL13" s="63">
        <f>IFERROR(INDEX(Job_Training[[Solar]:[Wind]],MATCH(AL$1,Job_Training[[`Typical Entry Level Education`]:[`Typical Entry Level Education`]],0),MATCH(LEFT($D13,5),Job_Training[[#Headers],[Solar]:[Wind]],0)),0)</f>
        <v>0</v>
      </c>
      <c r="AM13" s="63">
        <f>IFERROR(INDEX(Job_Training[[Solar]:[Wind]],MATCH(AM$1,Job_Training[[`Typical Entry Level Education`]:[`Typical Entry Level Education`]],0),MATCH(LEFT($D13,5),Job_Training[[#Headers],[Solar]:[Wind]],0)),0)</f>
        <v>0</v>
      </c>
      <c r="AN13" s="63">
        <f>IFERROR(INDEX(Job_Training[[Solar]:[Wind]],MATCH(AN$1,Job_Training[[`Typical Entry Level Education`]:[`Typical Entry Level Education`]],0),MATCH(LEFT($D13,5),Job_Training[[#Headers],[Solar]:[Wind]],0)),0)</f>
        <v>0</v>
      </c>
      <c r="AO13" s="63">
        <f>IFERROR(INDEX(Job_Training[[Solar]:[Wind]],MATCH(AO$1,Job_Training[[`Typical Entry Level Education`]:[`Typical Entry Level Education`]],0),MATCH(LEFT($D13,5),Job_Training[[#Headers],[Solar]:[Wind]],0)),0)</f>
        <v>0</v>
      </c>
      <c r="AP13">
        <f t="shared" si="16"/>
        <v>0</v>
      </c>
      <c r="AQ13" s="63">
        <f>IF(AP13&gt;0,IFERROR(INDEX(Assumptions!$C$165:$D$165,MATCH(LEFT($D13,5),Job_Training[[#Headers],[Solar]:[Wind]],0)),0),0)</f>
        <v>0</v>
      </c>
      <c r="AR13">
        <f>IF(AP13&gt;0,IFERROR(INDEX(Assumptions!$C$166:$D$166,MATCH(LEFT($D13,5),Job_Training[[#Headers],[Solar]:[Wind]],0)),0),0)</f>
        <v>0</v>
      </c>
    </row>
    <row r="14" spans="1:44" x14ac:dyDescent="0.35">
      <c r="A14" t="str">
        <f>UserInput!$B$2</f>
        <v>Current Projects</v>
      </c>
      <c r="B14">
        <v>2037</v>
      </c>
      <c r="C14" s="16" t="s">
        <v>73</v>
      </c>
      <c r="D14" t="s">
        <v>74</v>
      </c>
      <c r="E14" s="66">
        <f>INDEX(UserInput!$C$2:$M$22,MATCH(UserMade_Scenario!B14,UserInput!$A$2:$A$22,0),MATCH(LEFT(IF(RIGHT(C14,2)="H2",UserMade_Scenario!C14,D14),3),UserInput!$C$25:$M$25,0))</f>
        <v>10950</v>
      </c>
      <c r="F14" s="14" t="s">
        <v>75</v>
      </c>
      <c r="G14" s="14">
        <f t="shared" si="17"/>
        <v>1.3139999999999998E-3</v>
      </c>
      <c r="H14" s="63">
        <f t="shared" si="6"/>
        <v>2.1613452192274375E-2</v>
      </c>
      <c r="I14" s="63">
        <f t="shared" si="7"/>
        <v>7.6796436875359378E-3</v>
      </c>
      <c r="J14" s="63">
        <f t="shared" si="8"/>
        <v>3.5547260697012813E-2</v>
      </c>
      <c r="K14" s="30">
        <f>IF(OR(LEFT($D14,5)="Solar",$D14="Wind"),INDEX(Land_Use[AVG],MATCH(LEFT($D14,5),Land_Use[Tech],0)),0)*$E14</f>
        <v>0</v>
      </c>
      <c r="L14" s="30">
        <f>IF(OR(LEFT($D14,5)="Solar",$D14="Wind"),INDEX(Land_Use[MIN],MATCH(LEFT($D14,5),Land_Use[Tech],0)),0)*$E14</f>
        <v>0</v>
      </c>
      <c r="M14" s="30">
        <f>IF(OR(LEFT($D14,5)="Solar",$D14="Wind"),INDEX(Land_Use[MAX],MATCH(LEFT($D14,5),Land_Use[Tech],0)),0)*$E14</f>
        <v>0</v>
      </c>
      <c r="N14" s="15">
        <f t="shared" si="9"/>
        <v>30.659999999999997</v>
      </c>
      <c r="O14" s="11">
        <f t="shared" si="1"/>
        <v>0</v>
      </c>
      <c r="P14" s="11">
        <f t="shared" si="2"/>
        <v>0</v>
      </c>
      <c r="Q14" s="11">
        <f t="shared" si="3"/>
        <v>0</v>
      </c>
      <c r="R14" s="11">
        <f t="shared" si="4"/>
        <v>0</v>
      </c>
      <c r="S14" s="30">
        <f t="shared" si="10"/>
        <v>0</v>
      </c>
      <c r="T14" s="30">
        <f t="shared" si="11"/>
        <v>0</v>
      </c>
      <c r="U14" s="30">
        <f t="shared" si="12"/>
        <v>0</v>
      </c>
      <c r="V14" s="30">
        <f t="shared" si="13"/>
        <v>0</v>
      </c>
      <c r="W14" s="30">
        <f t="shared" si="14"/>
        <v>0</v>
      </c>
      <c r="X14" s="30">
        <f t="shared" si="15"/>
        <v>0</v>
      </c>
      <c r="Z14" s="23" t="s">
        <v>76</v>
      </c>
      <c r="AA14" s="40" t="str">
        <f>IF(C14="Electricity",E14*SUMIFS(Electricity!S:S,Electricity!P:P,UserMade_Scenario!B14,Electricity!M:M,UserMade_Scenario!Z14,Electricity!O:O,UserMade_Scenario!D14),"")</f>
        <v/>
      </c>
      <c r="AB14" s="76">
        <f>1000*Assumptions!$B$17/1000000000000</f>
        <v>1.1999999999999999E-7</v>
      </c>
      <c r="AC14" s="67" t="s">
        <v>77</v>
      </c>
      <c r="AD14" s="39">
        <f>SUMIFS(Hydrogen!AK:AK,Hydrogen!$AA:$AA,UserMade_Scenario!$Z14,Hydrogen!$Y:$Y,UserMade_Scenario!$D14,Hydrogen!$AB:$AB,UserMade_Scenario!$B14,Hydrogen!$Z:$Z,UserMade_Scenario!$C14)</f>
        <v>-16.448593753633467</v>
      </c>
      <c r="AE14" s="39">
        <f>SUMIFS(Hydrogen!AL:AL,Hydrogen!$AA:$AA,UserMade_Scenario!$Z14,Hydrogen!$Y:$Y,UserMade_Scenario!$D14,Hydrogen!$AB:$AB,UserMade_Scenario!$B14,Hydrogen!$Z:$Z,UserMade_Scenario!$C14)</f>
        <v>-5.8444776921886898</v>
      </c>
      <c r="AF14" s="39">
        <f>SUMIFS(Hydrogen!AM:AM,Hydrogen!$AA:$AA,UserMade_Scenario!$Z14,Hydrogen!$Y:$Y,UserMade_Scenario!$D14,Hydrogen!$AB:$AB,UserMade_Scenario!$B14,Hydrogen!$Z:$Z,UserMade_Scenario!$C14)</f>
        <v>-27.052709815078245</v>
      </c>
      <c r="AG14" s="68">
        <f>IFERROR(INDEX(WaterUseH2[Average Direct Water Consumption (Gal/ kg h2)],MATCH(LEFT(D14,3),WaterUseH2[Key],0)),0)</f>
        <v>2.8</v>
      </c>
      <c r="AH14">
        <v>14</v>
      </c>
      <c r="AI14">
        <v>1.4</v>
      </c>
      <c r="AJ14">
        <v>250</v>
      </c>
      <c r="AK14">
        <v>0.31</v>
      </c>
      <c r="AL14" s="63">
        <f>IFERROR(INDEX(Job_Training[[Solar]:[Wind]],MATCH(AL$1,Job_Training[[`Typical Entry Level Education`]:[`Typical Entry Level Education`]],0),MATCH(LEFT($D14,5),Job_Training[[#Headers],[Solar]:[Wind]],0)),0)</f>
        <v>0</v>
      </c>
      <c r="AM14" s="63">
        <f>IFERROR(INDEX(Job_Training[[Solar]:[Wind]],MATCH(AM$1,Job_Training[[`Typical Entry Level Education`]:[`Typical Entry Level Education`]],0),MATCH(LEFT($D14,5),Job_Training[[#Headers],[Solar]:[Wind]],0)),0)</f>
        <v>0</v>
      </c>
      <c r="AN14" s="63">
        <f>IFERROR(INDEX(Job_Training[[Solar]:[Wind]],MATCH(AN$1,Job_Training[[`Typical Entry Level Education`]:[`Typical Entry Level Education`]],0),MATCH(LEFT($D14,5),Job_Training[[#Headers],[Solar]:[Wind]],0)),0)</f>
        <v>0</v>
      </c>
      <c r="AO14" s="63">
        <f>IFERROR(INDEX(Job_Training[[Solar]:[Wind]],MATCH(AO$1,Job_Training[[`Typical Entry Level Education`]:[`Typical Entry Level Education`]],0),MATCH(LEFT($D14,5),Job_Training[[#Headers],[Solar]:[Wind]],0)),0)</f>
        <v>0</v>
      </c>
      <c r="AP14">
        <f t="shared" si="16"/>
        <v>0</v>
      </c>
      <c r="AQ14" s="63">
        <f>IF(AP14&gt;0,IFERROR(INDEX(Assumptions!$C$165:$D$165,MATCH(LEFT($D14,5),Job_Training[[#Headers],[Solar]:[Wind]],0)),0),0)</f>
        <v>0</v>
      </c>
      <c r="AR14">
        <f>IF(AP14&gt;0,IFERROR(INDEX(Assumptions!$C$166:$D$166,MATCH(LEFT($D14,5),Job_Training[[#Headers],[Solar]:[Wind]],0)),0),0)</f>
        <v>0</v>
      </c>
    </row>
    <row r="15" spans="1:44" x14ac:dyDescent="0.35">
      <c r="A15" t="str">
        <f>UserInput!$B$2</f>
        <v>Current Projects</v>
      </c>
      <c r="B15">
        <v>2038</v>
      </c>
      <c r="C15" s="16" t="s">
        <v>73</v>
      </c>
      <c r="D15" t="s">
        <v>74</v>
      </c>
      <c r="E15" s="66">
        <f>INDEX(UserInput!$C$2:$M$22,MATCH(UserMade_Scenario!B15,UserInput!$A$2:$A$22,0),MATCH(LEFT(IF(RIGHT(C15,2)="H2",UserMade_Scenario!C15,D15),3),UserInput!$C$25:$M$25,0))</f>
        <v>10950</v>
      </c>
      <c r="F15" s="14" t="s">
        <v>75</v>
      </c>
      <c r="G15" s="14">
        <f t="shared" si="17"/>
        <v>1.3139999999999998E-3</v>
      </c>
      <c r="H15" s="63">
        <f t="shared" si="6"/>
        <v>1.9942915701518467E-2</v>
      </c>
      <c r="I15" s="63">
        <f t="shared" si="7"/>
        <v>4.3385707060241228E-3</v>
      </c>
      <c r="J15" s="63">
        <f t="shared" si="8"/>
        <v>3.5547260697012813E-2</v>
      </c>
      <c r="K15" s="30">
        <f>IF(OR(LEFT($D15,5)="Solar",$D15="Wind"),INDEX(Land_Use[AVG],MATCH(LEFT($D15,5),Land_Use[Tech],0)),0)*$E15</f>
        <v>0</v>
      </c>
      <c r="L15" s="30">
        <f>IF(OR(LEFT($D15,5)="Solar",$D15="Wind"),INDEX(Land_Use[MIN],MATCH(LEFT($D15,5),Land_Use[Tech],0)),0)*$E15</f>
        <v>0</v>
      </c>
      <c r="M15" s="30">
        <f>IF(OR(LEFT($D15,5)="Solar",$D15="Wind"),INDEX(Land_Use[MAX],MATCH(LEFT($D15,5),Land_Use[Tech],0)),0)*$E15</f>
        <v>0</v>
      </c>
      <c r="N15" s="15">
        <f t="shared" si="9"/>
        <v>30.659999999999997</v>
      </c>
      <c r="O15" s="11">
        <f t="shared" si="1"/>
        <v>0</v>
      </c>
      <c r="P15" s="11">
        <f t="shared" si="2"/>
        <v>0</v>
      </c>
      <c r="Q15" s="11">
        <f t="shared" si="3"/>
        <v>0</v>
      </c>
      <c r="R15" s="11">
        <f t="shared" si="4"/>
        <v>0</v>
      </c>
      <c r="S15" s="30">
        <f t="shared" si="10"/>
        <v>0</v>
      </c>
      <c r="T15" s="30">
        <f t="shared" si="11"/>
        <v>0</v>
      </c>
      <c r="U15" s="30">
        <f t="shared" si="12"/>
        <v>0</v>
      </c>
      <c r="V15" s="30">
        <f t="shared" si="13"/>
        <v>0</v>
      </c>
      <c r="W15" s="30">
        <f t="shared" si="14"/>
        <v>0</v>
      </c>
      <c r="X15" s="30">
        <f t="shared" si="15"/>
        <v>0</v>
      </c>
      <c r="Z15" s="23" t="s">
        <v>76</v>
      </c>
      <c r="AA15" s="40" t="str">
        <f>IF(C15="Electricity",E15*SUMIFS(Electricity!S:S,Electricity!P:P,UserMade_Scenario!B15,Electricity!M:M,UserMade_Scenario!Z15,Electricity!O:O,UserMade_Scenario!D15),"")</f>
        <v/>
      </c>
      <c r="AB15" s="76">
        <f>1000*Assumptions!$B$17/1000000000000</f>
        <v>1.1999999999999999E-7</v>
      </c>
      <c r="AC15" s="67" t="s">
        <v>77</v>
      </c>
      <c r="AD15" s="39">
        <f>SUMIFS(Hydrogen!AK:AK,Hydrogen!$AA:$AA,UserMade_Scenario!$Z15,Hydrogen!$Y:$Y,UserMade_Scenario!$D15,Hydrogen!$AB:$AB,UserMade_Scenario!$B15,Hydrogen!$Z:$Z,UserMade_Scenario!$C15)</f>
        <v>-15.177257002677678</v>
      </c>
      <c r="AE15" s="39">
        <f>SUMIFS(Hydrogen!AL:AL,Hydrogen!$AA:$AA,UserMade_Scenario!$Z15,Hydrogen!$Y:$Y,UserMade_Scenario!$D15,Hydrogen!$AB:$AB,UserMade_Scenario!$B15,Hydrogen!$Z:$Z,UserMade_Scenario!$C15)</f>
        <v>-3.3018041902771103</v>
      </c>
      <c r="AF15" s="39">
        <f>SUMIFS(Hydrogen!AM:AM,Hydrogen!$AA:$AA,UserMade_Scenario!$Z15,Hydrogen!$Y:$Y,UserMade_Scenario!$D15,Hydrogen!$AB:$AB,UserMade_Scenario!$B15,Hydrogen!$Z:$Z,UserMade_Scenario!$C15)</f>
        <v>-27.052709815078245</v>
      </c>
      <c r="AG15" s="68">
        <f>IFERROR(INDEX(WaterUseH2[Average Direct Water Consumption (Gal/ kg h2)],MATCH(LEFT(D15,3),WaterUseH2[Key],0)),0)</f>
        <v>2.8</v>
      </c>
      <c r="AH15">
        <v>14</v>
      </c>
      <c r="AI15">
        <v>1.4</v>
      </c>
      <c r="AJ15">
        <v>250</v>
      </c>
      <c r="AK15">
        <v>0.31</v>
      </c>
      <c r="AL15" s="63">
        <f>IFERROR(INDEX(Job_Training[[Solar]:[Wind]],MATCH(AL$1,Job_Training[[`Typical Entry Level Education`]:[`Typical Entry Level Education`]],0),MATCH(LEFT($D15,5),Job_Training[[#Headers],[Solar]:[Wind]],0)),0)</f>
        <v>0</v>
      </c>
      <c r="AM15" s="63">
        <f>IFERROR(INDEX(Job_Training[[Solar]:[Wind]],MATCH(AM$1,Job_Training[[`Typical Entry Level Education`]:[`Typical Entry Level Education`]],0),MATCH(LEFT($D15,5),Job_Training[[#Headers],[Solar]:[Wind]],0)),0)</f>
        <v>0</v>
      </c>
      <c r="AN15" s="63">
        <f>IFERROR(INDEX(Job_Training[[Solar]:[Wind]],MATCH(AN$1,Job_Training[[`Typical Entry Level Education`]:[`Typical Entry Level Education`]],0),MATCH(LEFT($D15,5),Job_Training[[#Headers],[Solar]:[Wind]],0)),0)</f>
        <v>0</v>
      </c>
      <c r="AO15" s="63">
        <f>IFERROR(INDEX(Job_Training[[Solar]:[Wind]],MATCH(AO$1,Job_Training[[`Typical Entry Level Education`]:[`Typical Entry Level Education`]],0),MATCH(LEFT($D15,5),Job_Training[[#Headers],[Solar]:[Wind]],0)),0)</f>
        <v>0</v>
      </c>
      <c r="AP15">
        <f t="shared" si="16"/>
        <v>0</v>
      </c>
      <c r="AQ15" s="63">
        <f>IF(AP15&gt;0,IFERROR(INDEX(Assumptions!$C$165:$D$165,MATCH(LEFT($D15,5),Job_Training[[#Headers],[Solar]:[Wind]],0)),0),0)</f>
        <v>0</v>
      </c>
      <c r="AR15">
        <f>IF(AP15&gt;0,IFERROR(INDEX(Assumptions!$C$166:$D$166,MATCH(LEFT($D15,5),Job_Training[[#Headers],[Solar]:[Wind]],0)),0),0)</f>
        <v>0</v>
      </c>
    </row>
    <row r="16" spans="1:44" x14ac:dyDescent="0.35">
      <c r="A16" t="str">
        <f>UserInput!$B$2</f>
        <v>Current Projects</v>
      </c>
      <c r="B16">
        <v>2039</v>
      </c>
      <c r="C16" s="16" t="s">
        <v>73</v>
      </c>
      <c r="D16" t="s">
        <v>74</v>
      </c>
      <c r="E16" s="66">
        <f>INDEX(UserInput!$C$2:$M$22,MATCH(UserMade_Scenario!B16,UserInput!$A$2:$A$22,0),MATCH(LEFT(IF(RIGHT(C16,2)="H2",UserMade_Scenario!C16,D16),3),UserInput!$C$25:$M$25,0))</f>
        <v>10950</v>
      </c>
      <c r="F16" s="14" t="s">
        <v>75</v>
      </c>
      <c r="G16" s="14">
        <f t="shared" si="17"/>
        <v>1.3139999999999998E-3</v>
      </c>
      <c r="H16" s="63">
        <f t="shared" si="6"/>
        <v>1.8233311840129517E-2</v>
      </c>
      <c r="I16" s="63">
        <f t="shared" si="7"/>
        <v>9.1936298324622257E-4</v>
      </c>
      <c r="J16" s="63">
        <f t="shared" si="8"/>
        <v>3.5547260697012813E-2</v>
      </c>
      <c r="K16" s="30">
        <f>IF(OR(LEFT($D16,5)="Solar",$D16="Wind"),INDEX(Land_Use[AVG],MATCH(LEFT($D16,5),Land_Use[Tech],0)),0)*$E16</f>
        <v>0</v>
      </c>
      <c r="L16" s="30">
        <f>IF(OR(LEFT($D16,5)="Solar",$D16="Wind"),INDEX(Land_Use[MIN],MATCH(LEFT($D16,5),Land_Use[Tech],0)),0)*$E16</f>
        <v>0</v>
      </c>
      <c r="M16" s="30">
        <f>IF(OR(LEFT($D16,5)="Solar",$D16="Wind"),INDEX(Land_Use[MAX],MATCH(LEFT($D16,5),Land_Use[Tech],0)),0)*$E16</f>
        <v>0</v>
      </c>
      <c r="N16" s="15">
        <f t="shared" si="9"/>
        <v>30.659999999999997</v>
      </c>
      <c r="O16" s="11">
        <f t="shared" si="1"/>
        <v>0</v>
      </c>
      <c r="P16" s="11">
        <f t="shared" si="2"/>
        <v>0</v>
      </c>
      <c r="Q16" s="11">
        <f t="shared" si="3"/>
        <v>0</v>
      </c>
      <c r="R16" s="11">
        <f t="shared" si="4"/>
        <v>0</v>
      </c>
      <c r="S16" s="30">
        <f t="shared" si="10"/>
        <v>0</v>
      </c>
      <c r="T16" s="30">
        <f t="shared" si="11"/>
        <v>0</v>
      </c>
      <c r="U16" s="30">
        <f t="shared" si="12"/>
        <v>0</v>
      </c>
      <c r="V16" s="30">
        <f t="shared" si="13"/>
        <v>0</v>
      </c>
      <c r="W16" s="30">
        <f t="shared" si="14"/>
        <v>0</v>
      </c>
      <c r="X16" s="30">
        <f t="shared" si="15"/>
        <v>0</v>
      </c>
      <c r="Z16" s="23" t="s">
        <v>76</v>
      </c>
      <c r="AA16" s="40" t="str">
        <f>IF(C16="Electricity",E16*SUMIFS(Electricity!S:S,Electricity!P:P,UserMade_Scenario!B16,Electricity!M:M,UserMade_Scenario!Z16,Electricity!O:O,UserMade_Scenario!D16),"")</f>
        <v/>
      </c>
      <c r="AB16" s="76">
        <f>1000*Assumptions!$B$17/1000000000000</f>
        <v>1.1999999999999999E-7</v>
      </c>
      <c r="AC16" s="67" t="s">
        <v>77</v>
      </c>
      <c r="AD16" s="39">
        <f>SUMIFS(Hydrogen!AK:AK,Hydrogen!$AA:$AA,UserMade_Scenario!$Z16,Hydrogen!$Y:$Y,UserMade_Scenario!$D16,Hydrogen!$AB:$AB,UserMade_Scenario!$B16,Hydrogen!$Z:$Z,UserMade_Scenario!$C16)</f>
        <v>-13.876188615014854</v>
      </c>
      <c r="AE16" s="39">
        <f>SUMIFS(Hydrogen!AL:AL,Hydrogen!$AA:$AA,UserMade_Scenario!$Z16,Hydrogen!$Y:$Y,UserMade_Scenario!$D16,Hydrogen!$AB:$AB,UserMade_Scenario!$B16,Hydrogen!$Z:$Z,UserMade_Scenario!$C16)</f>
        <v>-0.69966741495146323</v>
      </c>
      <c r="AF16" s="39">
        <f>SUMIFS(Hydrogen!AM:AM,Hydrogen!$AA:$AA,UserMade_Scenario!$Z16,Hydrogen!$Y:$Y,UserMade_Scenario!$D16,Hydrogen!$AB:$AB,UserMade_Scenario!$B16,Hydrogen!$Z:$Z,UserMade_Scenario!$C16)</f>
        <v>-27.052709815078245</v>
      </c>
      <c r="AG16" s="68">
        <f>IFERROR(INDEX(WaterUseH2[Average Direct Water Consumption (Gal/ kg h2)],MATCH(LEFT(D16,3),WaterUseH2[Key],0)),0)</f>
        <v>2.8</v>
      </c>
      <c r="AH16">
        <v>14</v>
      </c>
      <c r="AI16">
        <v>1.4</v>
      </c>
      <c r="AJ16">
        <v>250</v>
      </c>
      <c r="AK16">
        <v>0.31</v>
      </c>
      <c r="AL16" s="63">
        <f>IFERROR(INDEX(Job_Training[[Solar]:[Wind]],MATCH(AL$1,Job_Training[[`Typical Entry Level Education`]:[`Typical Entry Level Education`]],0),MATCH(LEFT($D16,5),Job_Training[[#Headers],[Solar]:[Wind]],0)),0)</f>
        <v>0</v>
      </c>
      <c r="AM16" s="63">
        <f>IFERROR(INDEX(Job_Training[[Solar]:[Wind]],MATCH(AM$1,Job_Training[[`Typical Entry Level Education`]:[`Typical Entry Level Education`]],0),MATCH(LEFT($D16,5),Job_Training[[#Headers],[Solar]:[Wind]],0)),0)</f>
        <v>0</v>
      </c>
      <c r="AN16" s="63">
        <f>IFERROR(INDEX(Job_Training[[Solar]:[Wind]],MATCH(AN$1,Job_Training[[`Typical Entry Level Education`]:[`Typical Entry Level Education`]],0),MATCH(LEFT($D16,5),Job_Training[[#Headers],[Solar]:[Wind]],0)),0)</f>
        <v>0</v>
      </c>
      <c r="AO16" s="63">
        <f>IFERROR(INDEX(Job_Training[[Solar]:[Wind]],MATCH(AO$1,Job_Training[[`Typical Entry Level Education`]:[`Typical Entry Level Education`]],0),MATCH(LEFT($D16,5),Job_Training[[#Headers],[Solar]:[Wind]],0)),0)</f>
        <v>0</v>
      </c>
      <c r="AP16">
        <f t="shared" si="16"/>
        <v>0</v>
      </c>
      <c r="AQ16" s="63">
        <f>IF(AP16&gt;0,IFERROR(INDEX(Assumptions!$C$165:$D$165,MATCH(LEFT($D16,5),Job_Training[[#Headers],[Solar]:[Wind]],0)),0),0)</f>
        <v>0</v>
      </c>
      <c r="AR16">
        <f>IF(AP16&gt;0,IFERROR(INDEX(Assumptions!$C$166:$D$166,MATCH(LEFT($D16,5),Job_Training[[#Headers],[Solar]:[Wind]],0)),0),0)</f>
        <v>0</v>
      </c>
    </row>
    <row r="17" spans="1:44" x14ac:dyDescent="0.35">
      <c r="A17" t="str">
        <f>UserInput!$B$2</f>
        <v>Current Projects</v>
      </c>
      <c r="B17">
        <v>2040</v>
      </c>
      <c r="C17" s="16" t="s">
        <v>73</v>
      </c>
      <c r="D17" t="s">
        <v>74</v>
      </c>
      <c r="E17" s="66">
        <f>INDEX(UserInput!$C$2:$M$22,MATCH(UserMade_Scenario!B17,UserInput!$A$2:$A$22,0),MATCH(LEFT(IF(RIGHT(C17,2)="H2",UserMade_Scenario!C17,D17),3),UserInput!$C$25:$M$25,0))</f>
        <v>10950</v>
      </c>
      <c r="F17" s="14" t="s">
        <v>75</v>
      </c>
      <c r="G17" s="14">
        <f t="shared" si="17"/>
        <v>1.3139999999999998E-3</v>
      </c>
      <c r="H17" s="63">
        <f t="shared" si="6"/>
        <v>1.7773630348506406E-2</v>
      </c>
      <c r="I17" s="63">
        <f t="shared" si="7"/>
        <v>0</v>
      </c>
      <c r="J17" s="63">
        <f t="shared" si="8"/>
        <v>3.5547260697012813E-2</v>
      </c>
      <c r="K17" s="30">
        <f>IF(OR(LEFT($D17,5)="Solar",$D17="Wind"),INDEX(Land_Use[AVG],MATCH(LEFT($D17,5),Land_Use[Tech],0)),0)*$E17</f>
        <v>0</v>
      </c>
      <c r="L17" s="30">
        <f>IF(OR(LEFT($D17,5)="Solar",$D17="Wind"),INDEX(Land_Use[MIN],MATCH(LEFT($D17,5),Land_Use[Tech],0)),0)*$E17</f>
        <v>0</v>
      </c>
      <c r="M17" s="30">
        <f>IF(OR(LEFT($D17,5)="Solar",$D17="Wind"),INDEX(Land_Use[MAX],MATCH(LEFT($D17,5),Land_Use[Tech],0)),0)*$E17</f>
        <v>0</v>
      </c>
      <c r="N17" s="15">
        <f t="shared" si="9"/>
        <v>30.659999999999997</v>
      </c>
      <c r="O17" s="11">
        <f t="shared" si="1"/>
        <v>0</v>
      </c>
      <c r="P17" s="11">
        <f t="shared" si="2"/>
        <v>0</v>
      </c>
      <c r="Q17" s="11">
        <f t="shared" si="3"/>
        <v>0</v>
      </c>
      <c r="R17" s="11">
        <f t="shared" si="4"/>
        <v>0</v>
      </c>
      <c r="S17" s="30">
        <f t="shared" si="10"/>
        <v>0</v>
      </c>
      <c r="T17" s="30">
        <f t="shared" si="11"/>
        <v>0</v>
      </c>
      <c r="U17" s="30">
        <f t="shared" si="12"/>
        <v>0</v>
      </c>
      <c r="V17" s="30">
        <f t="shared" si="13"/>
        <v>0</v>
      </c>
      <c r="W17" s="30">
        <f t="shared" si="14"/>
        <v>0</v>
      </c>
      <c r="X17" s="30">
        <f t="shared" si="15"/>
        <v>0</v>
      </c>
      <c r="Z17" s="23" t="s">
        <v>76</v>
      </c>
      <c r="AA17" s="40" t="str">
        <f>IF(C17="Electricity",E17*SUMIFS(Electricity!S:S,Electricity!P:P,UserMade_Scenario!B17,Electricity!M:M,UserMade_Scenario!Z17,Electricity!O:O,UserMade_Scenario!D17),"")</f>
        <v/>
      </c>
      <c r="AB17" s="76">
        <f>1000*Assumptions!$B$17/1000000000000</f>
        <v>1.1999999999999999E-7</v>
      </c>
      <c r="AC17" s="67" t="s">
        <v>77</v>
      </c>
      <c r="AD17" s="39">
        <f>SUMIFS(Hydrogen!AK:AK,Hydrogen!$AA:$AA,UserMade_Scenario!$Z17,Hydrogen!$Y:$Y,UserMade_Scenario!$D17,Hydrogen!$AB:$AB,UserMade_Scenario!$B17,Hydrogen!$Z:$Z,UserMade_Scenario!$C17)</f>
        <v>-13.526354907539123</v>
      </c>
      <c r="AE17" s="39">
        <f>SUMIFS(Hydrogen!AL:AL,Hydrogen!$AA:$AA,UserMade_Scenario!$Z17,Hydrogen!$Y:$Y,UserMade_Scenario!$D17,Hydrogen!$AB:$AB,UserMade_Scenario!$B17,Hydrogen!$Z:$Z,UserMade_Scenario!$C17)</f>
        <v>0</v>
      </c>
      <c r="AF17" s="39">
        <f>SUMIFS(Hydrogen!AM:AM,Hydrogen!$AA:$AA,UserMade_Scenario!$Z17,Hydrogen!$Y:$Y,UserMade_Scenario!$D17,Hydrogen!$AB:$AB,UserMade_Scenario!$B17,Hydrogen!$Z:$Z,UserMade_Scenario!$C17)</f>
        <v>-27.052709815078245</v>
      </c>
      <c r="AG17" s="68">
        <f>IFERROR(INDEX(WaterUseH2[Average Direct Water Consumption (Gal/ kg h2)],MATCH(LEFT(D17,3),WaterUseH2[Key],0)),0)</f>
        <v>2.8</v>
      </c>
      <c r="AH17">
        <v>14</v>
      </c>
      <c r="AI17">
        <v>1.4</v>
      </c>
      <c r="AJ17">
        <v>250</v>
      </c>
      <c r="AK17">
        <v>0.31</v>
      </c>
      <c r="AL17" s="63">
        <f>IFERROR(INDEX(Job_Training[[Solar]:[Wind]],MATCH(AL$1,Job_Training[[`Typical Entry Level Education`]:[`Typical Entry Level Education`]],0),MATCH(LEFT($D17,5),Job_Training[[#Headers],[Solar]:[Wind]],0)),0)</f>
        <v>0</v>
      </c>
      <c r="AM17" s="63">
        <f>IFERROR(INDEX(Job_Training[[Solar]:[Wind]],MATCH(AM$1,Job_Training[[`Typical Entry Level Education`]:[`Typical Entry Level Education`]],0),MATCH(LEFT($D17,5),Job_Training[[#Headers],[Solar]:[Wind]],0)),0)</f>
        <v>0</v>
      </c>
      <c r="AN17" s="63">
        <f>IFERROR(INDEX(Job_Training[[Solar]:[Wind]],MATCH(AN$1,Job_Training[[`Typical Entry Level Education`]:[`Typical Entry Level Education`]],0),MATCH(LEFT($D17,5),Job_Training[[#Headers],[Solar]:[Wind]],0)),0)</f>
        <v>0</v>
      </c>
      <c r="AO17" s="63">
        <f>IFERROR(INDEX(Job_Training[[Solar]:[Wind]],MATCH(AO$1,Job_Training[[`Typical Entry Level Education`]:[`Typical Entry Level Education`]],0),MATCH(LEFT($D17,5),Job_Training[[#Headers],[Solar]:[Wind]],0)),0)</f>
        <v>0</v>
      </c>
      <c r="AP17">
        <f t="shared" si="16"/>
        <v>0</v>
      </c>
      <c r="AQ17" s="63">
        <f>IF(AP17&gt;0,IFERROR(INDEX(Assumptions!$C$165:$D$165,MATCH(LEFT($D17,5),Job_Training[[#Headers],[Solar]:[Wind]],0)),0),0)</f>
        <v>0</v>
      </c>
      <c r="AR17">
        <f>IF(AP17&gt;0,IFERROR(INDEX(Assumptions!$C$166:$D$166,MATCH(LEFT($D17,5),Job_Training[[#Headers],[Solar]:[Wind]],0)),0),0)</f>
        <v>0</v>
      </c>
    </row>
    <row r="18" spans="1:44" x14ac:dyDescent="0.35">
      <c r="A18" t="str">
        <f>UserInput!$B$2</f>
        <v>Current Projects</v>
      </c>
      <c r="B18">
        <v>2041</v>
      </c>
      <c r="C18" s="16" t="s">
        <v>73</v>
      </c>
      <c r="D18" t="s">
        <v>74</v>
      </c>
      <c r="E18" s="66">
        <f>INDEX(UserInput!$C$2:$M$22,MATCH(UserMade_Scenario!B18,UserInput!$A$2:$A$22,0),MATCH(LEFT(IF(RIGHT(C18,2)="H2",UserMade_Scenario!C18,D18),3),UserInput!$C$25:$M$25,0))</f>
        <v>10950</v>
      </c>
      <c r="F18" s="14" t="s">
        <v>75</v>
      </c>
      <c r="G18" s="14">
        <f t="shared" si="17"/>
        <v>1.3139999999999998E-3</v>
      </c>
      <c r="H18" s="63">
        <f t="shared" si="6"/>
        <v>1.7773630348506406E-2</v>
      </c>
      <c r="I18" s="63">
        <f t="shared" si="7"/>
        <v>0</v>
      </c>
      <c r="J18" s="63">
        <f t="shared" si="8"/>
        <v>3.5547260697012813E-2</v>
      </c>
      <c r="K18" s="30">
        <f>IF(OR(LEFT($D18,5)="Solar",$D18="Wind"),INDEX(Land_Use[AVG],MATCH(LEFT($D18,5),Land_Use[Tech],0)),0)*$E18</f>
        <v>0</v>
      </c>
      <c r="L18" s="30">
        <f>IF(OR(LEFT($D18,5)="Solar",$D18="Wind"),INDEX(Land_Use[MIN],MATCH(LEFT($D18,5),Land_Use[Tech],0)),0)*$E18</f>
        <v>0</v>
      </c>
      <c r="M18" s="30">
        <f>IF(OR(LEFT($D18,5)="Solar",$D18="Wind"),INDEX(Land_Use[MAX],MATCH(LEFT($D18,5),Land_Use[Tech],0)),0)*$E18</f>
        <v>0</v>
      </c>
      <c r="N18" s="15">
        <f t="shared" si="9"/>
        <v>30.659999999999997</v>
      </c>
      <c r="O18" s="11">
        <f t="shared" si="1"/>
        <v>0</v>
      </c>
      <c r="P18" s="11">
        <f t="shared" si="2"/>
        <v>0</v>
      </c>
      <c r="Q18" s="11">
        <f t="shared" si="3"/>
        <v>0</v>
      </c>
      <c r="R18" s="11">
        <f t="shared" si="4"/>
        <v>0</v>
      </c>
      <c r="S18" s="30">
        <f t="shared" si="10"/>
        <v>0</v>
      </c>
      <c r="T18" s="30">
        <f t="shared" si="11"/>
        <v>0</v>
      </c>
      <c r="U18" s="30">
        <f t="shared" si="12"/>
        <v>0</v>
      </c>
      <c r="V18" s="30">
        <f t="shared" si="13"/>
        <v>0</v>
      </c>
      <c r="W18" s="30">
        <f t="shared" si="14"/>
        <v>0</v>
      </c>
      <c r="X18" s="30">
        <f t="shared" si="15"/>
        <v>0</v>
      </c>
      <c r="Z18" s="23" t="s">
        <v>76</v>
      </c>
      <c r="AA18" s="40" t="str">
        <f>IF(C18="Electricity",E18*SUMIFS(Electricity!S:S,Electricity!P:P,UserMade_Scenario!B18,Electricity!M:M,UserMade_Scenario!Z18,Electricity!O:O,UserMade_Scenario!D18),"")</f>
        <v/>
      </c>
      <c r="AB18" s="76">
        <f>1000*Assumptions!$B$17/1000000000000</f>
        <v>1.1999999999999999E-7</v>
      </c>
      <c r="AC18" s="67" t="s">
        <v>77</v>
      </c>
      <c r="AD18" s="39">
        <f>SUMIFS(Hydrogen!AK:AK,Hydrogen!$AA:$AA,UserMade_Scenario!$Z18,Hydrogen!$Y:$Y,UserMade_Scenario!$D18,Hydrogen!$AB:$AB,UserMade_Scenario!$B18,Hydrogen!$Z:$Z,UserMade_Scenario!$C18)</f>
        <v>-13.526354907539123</v>
      </c>
      <c r="AE18" s="39">
        <f>SUMIFS(Hydrogen!AL:AL,Hydrogen!$AA:$AA,UserMade_Scenario!$Z18,Hydrogen!$Y:$Y,UserMade_Scenario!$D18,Hydrogen!$AB:$AB,UserMade_Scenario!$B18,Hydrogen!$Z:$Z,UserMade_Scenario!$C18)</f>
        <v>0</v>
      </c>
      <c r="AF18" s="39">
        <f>SUMIFS(Hydrogen!AM:AM,Hydrogen!$AA:$AA,UserMade_Scenario!$Z18,Hydrogen!$Y:$Y,UserMade_Scenario!$D18,Hydrogen!$AB:$AB,UserMade_Scenario!$B18,Hydrogen!$Z:$Z,UserMade_Scenario!$C18)</f>
        <v>-27.052709815078245</v>
      </c>
      <c r="AG18" s="68">
        <f>IFERROR(INDEX(WaterUseH2[Average Direct Water Consumption (Gal/ kg h2)],MATCH(LEFT(D18,3),WaterUseH2[Key],0)),0)</f>
        <v>2.8</v>
      </c>
      <c r="AH18">
        <v>14</v>
      </c>
      <c r="AI18">
        <v>1.4</v>
      </c>
      <c r="AJ18">
        <v>250</v>
      </c>
      <c r="AK18">
        <v>0.31</v>
      </c>
      <c r="AL18" s="63">
        <f>IFERROR(INDEX(Job_Training[[Solar]:[Wind]],MATCH(AL$1,Job_Training[[`Typical Entry Level Education`]:[`Typical Entry Level Education`]],0),MATCH(LEFT($D18,5),Job_Training[[#Headers],[Solar]:[Wind]],0)),0)</f>
        <v>0</v>
      </c>
      <c r="AM18" s="63">
        <f>IFERROR(INDEX(Job_Training[[Solar]:[Wind]],MATCH(AM$1,Job_Training[[`Typical Entry Level Education`]:[`Typical Entry Level Education`]],0),MATCH(LEFT($D18,5),Job_Training[[#Headers],[Solar]:[Wind]],0)),0)</f>
        <v>0</v>
      </c>
      <c r="AN18" s="63">
        <f>IFERROR(INDEX(Job_Training[[Solar]:[Wind]],MATCH(AN$1,Job_Training[[`Typical Entry Level Education`]:[`Typical Entry Level Education`]],0),MATCH(LEFT($D18,5),Job_Training[[#Headers],[Solar]:[Wind]],0)),0)</f>
        <v>0</v>
      </c>
      <c r="AO18" s="63">
        <f>IFERROR(INDEX(Job_Training[[Solar]:[Wind]],MATCH(AO$1,Job_Training[[`Typical Entry Level Education`]:[`Typical Entry Level Education`]],0),MATCH(LEFT($D18,5),Job_Training[[#Headers],[Solar]:[Wind]],0)),0)</f>
        <v>0</v>
      </c>
      <c r="AP18">
        <f t="shared" si="16"/>
        <v>0</v>
      </c>
      <c r="AQ18" s="63">
        <f>IF(AP18&gt;0,IFERROR(INDEX(Assumptions!$C$165:$D$165,MATCH(LEFT($D18,5),Job_Training[[#Headers],[Solar]:[Wind]],0)),0),0)</f>
        <v>0</v>
      </c>
      <c r="AR18">
        <f>IF(AP18&gt;0,IFERROR(INDEX(Assumptions!$C$166:$D$166,MATCH(LEFT($D18,5),Job_Training[[#Headers],[Solar]:[Wind]],0)),0),0)</f>
        <v>0</v>
      </c>
    </row>
    <row r="19" spans="1:44" x14ac:dyDescent="0.35">
      <c r="A19" t="str">
        <f>UserInput!$B$2</f>
        <v>Current Projects</v>
      </c>
      <c r="B19">
        <v>2042</v>
      </c>
      <c r="C19" s="16" t="s">
        <v>73</v>
      </c>
      <c r="D19" t="s">
        <v>74</v>
      </c>
      <c r="E19" s="66">
        <f>INDEX(UserInput!$C$2:$M$22,MATCH(UserMade_Scenario!B19,UserInput!$A$2:$A$22,0),MATCH(LEFT(IF(RIGHT(C19,2)="H2",UserMade_Scenario!C19,D19),3),UserInput!$C$25:$M$25,0))</f>
        <v>10950</v>
      </c>
      <c r="F19" s="14" t="s">
        <v>75</v>
      </c>
      <c r="G19" s="14">
        <f t="shared" si="17"/>
        <v>1.3139999999999998E-3</v>
      </c>
      <c r="H19" s="63">
        <f t="shared" si="6"/>
        <v>1.7773630348506406E-2</v>
      </c>
      <c r="I19" s="63">
        <f t="shared" si="7"/>
        <v>0</v>
      </c>
      <c r="J19" s="63">
        <f t="shared" si="8"/>
        <v>3.5547260697012813E-2</v>
      </c>
      <c r="K19" s="30">
        <f>IF(OR(LEFT($D19,5)="Solar",$D19="Wind"),INDEX(Land_Use[AVG],MATCH(LEFT($D19,5),Land_Use[Tech],0)),0)*$E19</f>
        <v>0</v>
      </c>
      <c r="L19" s="30">
        <f>IF(OR(LEFT($D19,5)="Solar",$D19="Wind"),INDEX(Land_Use[MIN],MATCH(LEFT($D19,5),Land_Use[Tech],0)),0)*$E19</f>
        <v>0</v>
      </c>
      <c r="M19" s="30">
        <f>IF(OR(LEFT($D19,5)="Solar",$D19="Wind"),INDEX(Land_Use[MAX],MATCH(LEFT($D19,5),Land_Use[Tech],0)),0)*$E19</f>
        <v>0</v>
      </c>
      <c r="N19" s="15">
        <f t="shared" si="9"/>
        <v>30.659999999999997</v>
      </c>
      <c r="O19" s="11">
        <f t="shared" si="1"/>
        <v>0</v>
      </c>
      <c r="P19" s="11">
        <f t="shared" si="2"/>
        <v>0</v>
      </c>
      <c r="Q19" s="11">
        <f t="shared" si="3"/>
        <v>0</v>
      </c>
      <c r="R19" s="11">
        <f t="shared" si="4"/>
        <v>0</v>
      </c>
      <c r="S19" s="30">
        <f t="shared" si="10"/>
        <v>0</v>
      </c>
      <c r="T19" s="30">
        <f t="shared" si="11"/>
        <v>0</v>
      </c>
      <c r="U19" s="30">
        <f t="shared" si="12"/>
        <v>0</v>
      </c>
      <c r="V19" s="30">
        <f t="shared" si="13"/>
        <v>0</v>
      </c>
      <c r="W19" s="30">
        <f t="shared" si="14"/>
        <v>0</v>
      </c>
      <c r="X19" s="30">
        <f t="shared" si="15"/>
        <v>0</v>
      </c>
      <c r="Z19" s="23" t="s">
        <v>76</v>
      </c>
      <c r="AA19" s="40" t="str">
        <f>IF(C19="Electricity",E19*SUMIFS(Electricity!S:S,Electricity!P:P,UserMade_Scenario!B19,Electricity!M:M,UserMade_Scenario!Z19,Electricity!O:O,UserMade_Scenario!D19),"")</f>
        <v/>
      </c>
      <c r="AB19" s="76">
        <f>1000*Assumptions!$B$17/1000000000000</f>
        <v>1.1999999999999999E-7</v>
      </c>
      <c r="AC19" s="67" t="s">
        <v>77</v>
      </c>
      <c r="AD19" s="39">
        <f>SUMIFS(Hydrogen!AK:AK,Hydrogen!$AA:$AA,UserMade_Scenario!$Z19,Hydrogen!$Y:$Y,UserMade_Scenario!$D19,Hydrogen!$AB:$AB,UserMade_Scenario!$B19,Hydrogen!$Z:$Z,UserMade_Scenario!$C19)</f>
        <v>-13.526354907539123</v>
      </c>
      <c r="AE19" s="39">
        <f>SUMIFS(Hydrogen!AL:AL,Hydrogen!$AA:$AA,UserMade_Scenario!$Z19,Hydrogen!$Y:$Y,UserMade_Scenario!$D19,Hydrogen!$AB:$AB,UserMade_Scenario!$B19,Hydrogen!$Z:$Z,UserMade_Scenario!$C19)</f>
        <v>0</v>
      </c>
      <c r="AF19" s="39">
        <f>SUMIFS(Hydrogen!AM:AM,Hydrogen!$AA:$AA,UserMade_Scenario!$Z19,Hydrogen!$Y:$Y,UserMade_Scenario!$D19,Hydrogen!$AB:$AB,UserMade_Scenario!$B19,Hydrogen!$Z:$Z,UserMade_Scenario!$C19)</f>
        <v>-27.052709815078245</v>
      </c>
      <c r="AG19" s="68">
        <f>IFERROR(INDEX(WaterUseH2[Average Direct Water Consumption (Gal/ kg h2)],MATCH(LEFT(D19,3),WaterUseH2[Key],0)),0)</f>
        <v>2.8</v>
      </c>
      <c r="AH19">
        <v>14</v>
      </c>
      <c r="AI19">
        <v>1.4</v>
      </c>
      <c r="AJ19">
        <v>250</v>
      </c>
      <c r="AK19">
        <v>0.31</v>
      </c>
      <c r="AL19" s="63">
        <f>IFERROR(INDEX(Job_Training[[Solar]:[Wind]],MATCH(AL$1,Job_Training[[`Typical Entry Level Education`]:[`Typical Entry Level Education`]],0),MATCH(LEFT($D19,5),Job_Training[[#Headers],[Solar]:[Wind]],0)),0)</f>
        <v>0</v>
      </c>
      <c r="AM19" s="63">
        <f>IFERROR(INDEX(Job_Training[[Solar]:[Wind]],MATCH(AM$1,Job_Training[[`Typical Entry Level Education`]:[`Typical Entry Level Education`]],0),MATCH(LEFT($D19,5),Job_Training[[#Headers],[Solar]:[Wind]],0)),0)</f>
        <v>0</v>
      </c>
      <c r="AN19" s="63">
        <f>IFERROR(INDEX(Job_Training[[Solar]:[Wind]],MATCH(AN$1,Job_Training[[`Typical Entry Level Education`]:[`Typical Entry Level Education`]],0),MATCH(LEFT($D19,5),Job_Training[[#Headers],[Solar]:[Wind]],0)),0)</f>
        <v>0</v>
      </c>
      <c r="AO19" s="63">
        <f>IFERROR(INDEX(Job_Training[[Solar]:[Wind]],MATCH(AO$1,Job_Training[[`Typical Entry Level Education`]:[`Typical Entry Level Education`]],0),MATCH(LEFT($D19,5),Job_Training[[#Headers],[Solar]:[Wind]],0)),0)</f>
        <v>0</v>
      </c>
      <c r="AP19">
        <f t="shared" si="16"/>
        <v>0</v>
      </c>
      <c r="AQ19" s="63">
        <f>IF(AP19&gt;0,IFERROR(INDEX(Assumptions!$C$165:$D$165,MATCH(LEFT($D19,5),Job_Training[[#Headers],[Solar]:[Wind]],0)),0),0)</f>
        <v>0</v>
      </c>
      <c r="AR19">
        <f>IF(AP19&gt;0,IFERROR(INDEX(Assumptions!$C$166:$D$166,MATCH(LEFT($D19,5),Job_Training[[#Headers],[Solar]:[Wind]],0)),0),0)</f>
        <v>0</v>
      </c>
    </row>
    <row r="20" spans="1:44" x14ac:dyDescent="0.35">
      <c r="A20" t="str">
        <f>UserInput!$B$2</f>
        <v>Current Projects</v>
      </c>
      <c r="B20">
        <v>2043</v>
      </c>
      <c r="C20" s="16" t="s">
        <v>73</v>
      </c>
      <c r="D20" t="s">
        <v>74</v>
      </c>
      <c r="E20" s="66">
        <f>INDEX(UserInput!$C$2:$M$22,MATCH(UserMade_Scenario!B20,UserInput!$A$2:$A$22,0),MATCH(LEFT(IF(RIGHT(C20,2)="H2",UserMade_Scenario!C20,D20),3),UserInput!$C$25:$M$25,0))</f>
        <v>10950</v>
      </c>
      <c r="F20" s="14" t="s">
        <v>75</v>
      </c>
      <c r="G20" s="14">
        <f t="shared" si="17"/>
        <v>1.3139999999999998E-3</v>
      </c>
      <c r="H20" s="63">
        <f t="shared" si="6"/>
        <v>1.7773630348506406E-2</v>
      </c>
      <c r="I20" s="63">
        <f t="shared" si="7"/>
        <v>0</v>
      </c>
      <c r="J20" s="63">
        <f t="shared" si="8"/>
        <v>3.5547260697012813E-2</v>
      </c>
      <c r="K20" s="30">
        <f>IF(OR(LEFT($D20,5)="Solar",$D20="Wind"),INDEX(Land_Use[AVG],MATCH(LEFT($D20,5),Land_Use[Tech],0)),0)*$E20</f>
        <v>0</v>
      </c>
      <c r="L20" s="30">
        <f>IF(OR(LEFT($D20,5)="Solar",$D20="Wind"),INDEX(Land_Use[MIN],MATCH(LEFT($D20,5),Land_Use[Tech],0)),0)*$E20</f>
        <v>0</v>
      </c>
      <c r="M20" s="30">
        <f>IF(OR(LEFT($D20,5)="Solar",$D20="Wind"),INDEX(Land_Use[MAX],MATCH(LEFT($D20,5),Land_Use[Tech],0)),0)*$E20</f>
        <v>0</v>
      </c>
      <c r="N20" s="15">
        <f t="shared" si="9"/>
        <v>30.659999999999997</v>
      </c>
      <c r="O20" s="11">
        <f t="shared" si="1"/>
        <v>0</v>
      </c>
      <c r="P20" s="11">
        <f t="shared" si="2"/>
        <v>0</v>
      </c>
      <c r="Q20" s="11">
        <f t="shared" si="3"/>
        <v>0</v>
      </c>
      <c r="R20" s="11">
        <f t="shared" si="4"/>
        <v>0</v>
      </c>
      <c r="S20" s="30">
        <f t="shared" si="10"/>
        <v>0</v>
      </c>
      <c r="T20" s="30">
        <f t="shared" si="11"/>
        <v>0</v>
      </c>
      <c r="U20" s="30">
        <f t="shared" si="12"/>
        <v>0</v>
      </c>
      <c r="V20" s="30">
        <f t="shared" si="13"/>
        <v>0</v>
      </c>
      <c r="W20" s="30">
        <f t="shared" si="14"/>
        <v>0</v>
      </c>
      <c r="X20" s="30">
        <f t="shared" si="15"/>
        <v>0</v>
      </c>
      <c r="Z20" s="23" t="s">
        <v>76</v>
      </c>
      <c r="AA20" s="40" t="str">
        <f>IF(C20="Electricity",E20*SUMIFS(Electricity!S:S,Electricity!P:P,UserMade_Scenario!B20,Electricity!M:M,UserMade_Scenario!Z20,Electricity!O:O,UserMade_Scenario!D20),"")</f>
        <v/>
      </c>
      <c r="AB20" s="76">
        <f>1000*Assumptions!$B$17/1000000000000</f>
        <v>1.1999999999999999E-7</v>
      </c>
      <c r="AC20" s="67" t="s">
        <v>77</v>
      </c>
      <c r="AD20" s="39">
        <f>SUMIFS(Hydrogen!AK:AK,Hydrogen!$AA:$AA,UserMade_Scenario!$Z20,Hydrogen!$Y:$Y,UserMade_Scenario!$D20,Hydrogen!$AB:$AB,UserMade_Scenario!$B20,Hydrogen!$Z:$Z,UserMade_Scenario!$C20)</f>
        <v>-13.526354907539123</v>
      </c>
      <c r="AE20" s="39">
        <f>SUMIFS(Hydrogen!AL:AL,Hydrogen!$AA:$AA,UserMade_Scenario!$Z20,Hydrogen!$Y:$Y,UserMade_Scenario!$D20,Hydrogen!$AB:$AB,UserMade_Scenario!$B20,Hydrogen!$Z:$Z,UserMade_Scenario!$C20)</f>
        <v>0</v>
      </c>
      <c r="AF20" s="39">
        <f>SUMIFS(Hydrogen!AM:AM,Hydrogen!$AA:$AA,UserMade_Scenario!$Z20,Hydrogen!$Y:$Y,UserMade_Scenario!$D20,Hydrogen!$AB:$AB,UserMade_Scenario!$B20,Hydrogen!$Z:$Z,UserMade_Scenario!$C20)</f>
        <v>-27.052709815078245</v>
      </c>
      <c r="AG20" s="68">
        <f>IFERROR(INDEX(WaterUseH2[Average Direct Water Consumption (Gal/ kg h2)],MATCH(LEFT(D20,3),WaterUseH2[Key],0)),0)</f>
        <v>2.8</v>
      </c>
      <c r="AH20">
        <v>14</v>
      </c>
      <c r="AI20">
        <v>1.4</v>
      </c>
      <c r="AJ20">
        <v>250</v>
      </c>
      <c r="AK20">
        <v>0.31</v>
      </c>
      <c r="AL20" s="63">
        <f>IFERROR(INDEX(Job_Training[[Solar]:[Wind]],MATCH(AL$1,Job_Training[[`Typical Entry Level Education`]:[`Typical Entry Level Education`]],0),MATCH(LEFT($D20,5),Job_Training[[#Headers],[Solar]:[Wind]],0)),0)</f>
        <v>0</v>
      </c>
      <c r="AM20" s="63">
        <f>IFERROR(INDEX(Job_Training[[Solar]:[Wind]],MATCH(AM$1,Job_Training[[`Typical Entry Level Education`]:[`Typical Entry Level Education`]],0),MATCH(LEFT($D20,5),Job_Training[[#Headers],[Solar]:[Wind]],0)),0)</f>
        <v>0</v>
      </c>
      <c r="AN20" s="63">
        <f>IFERROR(INDEX(Job_Training[[Solar]:[Wind]],MATCH(AN$1,Job_Training[[`Typical Entry Level Education`]:[`Typical Entry Level Education`]],0),MATCH(LEFT($D20,5),Job_Training[[#Headers],[Solar]:[Wind]],0)),0)</f>
        <v>0</v>
      </c>
      <c r="AO20" s="63">
        <f>IFERROR(INDEX(Job_Training[[Solar]:[Wind]],MATCH(AO$1,Job_Training[[`Typical Entry Level Education`]:[`Typical Entry Level Education`]],0),MATCH(LEFT($D20,5),Job_Training[[#Headers],[Solar]:[Wind]],0)),0)</f>
        <v>0</v>
      </c>
      <c r="AP20">
        <f t="shared" si="16"/>
        <v>0</v>
      </c>
      <c r="AQ20" s="63">
        <f>IF(AP20&gt;0,IFERROR(INDEX(Assumptions!$C$165:$D$165,MATCH(LEFT($D20,5),Job_Training[[#Headers],[Solar]:[Wind]],0)),0),0)</f>
        <v>0</v>
      </c>
      <c r="AR20">
        <f>IF(AP20&gt;0,IFERROR(INDEX(Assumptions!$C$166:$D$166,MATCH(LEFT($D20,5),Job_Training[[#Headers],[Solar]:[Wind]],0)),0),0)</f>
        <v>0</v>
      </c>
    </row>
    <row r="21" spans="1:44" x14ac:dyDescent="0.35">
      <c r="A21" t="str">
        <f>UserInput!$B$2</f>
        <v>Current Projects</v>
      </c>
      <c r="B21">
        <v>2044</v>
      </c>
      <c r="C21" s="16" t="s">
        <v>73</v>
      </c>
      <c r="D21" t="s">
        <v>74</v>
      </c>
      <c r="E21" s="66">
        <f>INDEX(UserInput!$C$2:$M$22,MATCH(UserMade_Scenario!B21,UserInput!$A$2:$A$22,0),MATCH(LEFT(IF(RIGHT(C21,2)="H2",UserMade_Scenario!C21,D21),3),UserInput!$C$25:$M$25,0))</f>
        <v>10950</v>
      </c>
      <c r="F21" s="14" t="s">
        <v>75</v>
      </c>
      <c r="G21" s="14">
        <f t="shared" si="17"/>
        <v>1.3139999999999998E-3</v>
      </c>
      <c r="H21" s="63">
        <f t="shared" si="6"/>
        <v>1.7773630348506406E-2</v>
      </c>
      <c r="I21" s="63">
        <f t="shared" si="7"/>
        <v>0</v>
      </c>
      <c r="J21" s="63">
        <f t="shared" si="8"/>
        <v>3.5547260697012813E-2</v>
      </c>
      <c r="K21" s="30">
        <f>IF(OR(LEFT($D21,5)="Solar",$D21="Wind"),INDEX(Land_Use[AVG],MATCH(LEFT($D21,5),Land_Use[Tech],0)),0)*$E21</f>
        <v>0</v>
      </c>
      <c r="L21" s="30">
        <f>IF(OR(LEFT($D21,5)="Solar",$D21="Wind"),INDEX(Land_Use[MIN],MATCH(LEFT($D21,5),Land_Use[Tech],0)),0)*$E21</f>
        <v>0</v>
      </c>
      <c r="M21" s="30">
        <f>IF(OR(LEFT($D21,5)="Solar",$D21="Wind"),INDEX(Land_Use[MAX],MATCH(LEFT($D21,5),Land_Use[Tech],0)),0)*$E21</f>
        <v>0</v>
      </c>
      <c r="N21" s="15">
        <f t="shared" si="9"/>
        <v>30.659999999999997</v>
      </c>
      <c r="O21" s="11">
        <f t="shared" si="1"/>
        <v>0</v>
      </c>
      <c r="P21" s="11">
        <f t="shared" si="2"/>
        <v>0</v>
      </c>
      <c r="Q21" s="11">
        <f t="shared" si="3"/>
        <v>0</v>
      </c>
      <c r="R21" s="11">
        <f t="shared" si="4"/>
        <v>0</v>
      </c>
      <c r="S21" s="30">
        <f t="shared" si="10"/>
        <v>0</v>
      </c>
      <c r="T21" s="30">
        <f t="shared" si="11"/>
        <v>0</v>
      </c>
      <c r="U21" s="30">
        <f t="shared" si="12"/>
        <v>0</v>
      </c>
      <c r="V21" s="30">
        <f t="shared" si="13"/>
        <v>0</v>
      </c>
      <c r="W21" s="30">
        <f t="shared" si="14"/>
        <v>0</v>
      </c>
      <c r="X21" s="30">
        <f t="shared" si="15"/>
        <v>0</v>
      </c>
      <c r="Z21" s="23" t="s">
        <v>76</v>
      </c>
      <c r="AA21" s="40" t="str">
        <f>IF(C21="Electricity",E21*SUMIFS(Electricity!S:S,Electricity!P:P,UserMade_Scenario!B21,Electricity!M:M,UserMade_Scenario!Z21,Electricity!O:O,UserMade_Scenario!D21),"")</f>
        <v/>
      </c>
      <c r="AB21" s="76">
        <f>1000*Assumptions!$B$17/1000000000000</f>
        <v>1.1999999999999999E-7</v>
      </c>
      <c r="AC21" s="67" t="s">
        <v>77</v>
      </c>
      <c r="AD21" s="39">
        <f>SUMIFS(Hydrogen!AK:AK,Hydrogen!$AA:$AA,UserMade_Scenario!$Z21,Hydrogen!$Y:$Y,UserMade_Scenario!$D21,Hydrogen!$AB:$AB,UserMade_Scenario!$B21,Hydrogen!$Z:$Z,UserMade_Scenario!$C21)</f>
        <v>-13.526354907539123</v>
      </c>
      <c r="AE21" s="39">
        <f>SUMIFS(Hydrogen!AL:AL,Hydrogen!$AA:$AA,UserMade_Scenario!$Z21,Hydrogen!$Y:$Y,UserMade_Scenario!$D21,Hydrogen!$AB:$AB,UserMade_Scenario!$B21,Hydrogen!$Z:$Z,UserMade_Scenario!$C21)</f>
        <v>0</v>
      </c>
      <c r="AF21" s="39">
        <f>SUMIFS(Hydrogen!AM:AM,Hydrogen!$AA:$AA,UserMade_Scenario!$Z21,Hydrogen!$Y:$Y,UserMade_Scenario!$D21,Hydrogen!$AB:$AB,UserMade_Scenario!$B21,Hydrogen!$Z:$Z,UserMade_Scenario!$C21)</f>
        <v>-27.052709815078245</v>
      </c>
      <c r="AG21" s="68">
        <f>IFERROR(INDEX(WaterUseH2[Average Direct Water Consumption (Gal/ kg h2)],MATCH(LEFT(D21,3),WaterUseH2[Key],0)),0)</f>
        <v>2.8</v>
      </c>
      <c r="AH21">
        <v>14</v>
      </c>
      <c r="AI21">
        <v>1.4</v>
      </c>
      <c r="AJ21">
        <v>250</v>
      </c>
      <c r="AK21">
        <v>0.31</v>
      </c>
      <c r="AL21" s="63">
        <f>IFERROR(INDEX(Job_Training[[Solar]:[Wind]],MATCH(AL$1,Job_Training[[`Typical Entry Level Education`]:[`Typical Entry Level Education`]],0),MATCH(LEFT($D21,5),Job_Training[[#Headers],[Solar]:[Wind]],0)),0)</f>
        <v>0</v>
      </c>
      <c r="AM21" s="63">
        <f>IFERROR(INDEX(Job_Training[[Solar]:[Wind]],MATCH(AM$1,Job_Training[[`Typical Entry Level Education`]:[`Typical Entry Level Education`]],0),MATCH(LEFT($D21,5),Job_Training[[#Headers],[Solar]:[Wind]],0)),0)</f>
        <v>0</v>
      </c>
      <c r="AN21" s="63">
        <f>IFERROR(INDEX(Job_Training[[Solar]:[Wind]],MATCH(AN$1,Job_Training[[`Typical Entry Level Education`]:[`Typical Entry Level Education`]],0),MATCH(LEFT($D21,5),Job_Training[[#Headers],[Solar]:[Wind]],0)),0)</f>
        <v>0</v>
      </c>
      <c r="AO21" s="63">
        <f>IFERROR(INDEX(Job_Training[[Solar]:[Wind]],MATCH(AO$1,Job_Training[[`Typical Entry Level Education`]:[`Typical Entry Level Education`]],0),MATCH(LEFT($D21,5),Job_Training[[#Headers],[Solar]:[Wind]],0)),0)</f>
        <v>0</v>
      </c>
      <c r="AP21">
        <f t="shared" si="16"/>
        <v>0</v>
      </c>
      <c r="AQ21" s="63">
        <f>IF(AP21&gt;0,IFERROR(INDEX(Assumptions!$C$165:$D$165,MATCH(LEFT($D21,5),Job_Training[[#Headers],[Solar]:[Wind]],0)),0),0)</f>
        <v>0</v>
      </c>
      <c r="AR21">
        <f>IF(AP21&gt;0,IFERROR(INDEX(Assumptions!$C$166:$D$166,MATCH(LEFT($D21,5),Job_Training[[#Headers],[Solar]:[Wind]],0)),0),0)</f>
        <v>0</v>
      </c>
    </row>
    <row r="22" spans="1:44" x14ac:dyDescent="0.35">
      <c r="A22" t="str">
        <f>UserInput!$B$2</f>
        <v>Current Projects</v>
      </c>
      <c r="B22">
        <v>2045</v>
      </c>
      <c r="C22" s="16" t="s">
        <v>73</v>
      </c>
      <c r="D22" t="s">
        <v>74</v>
      </c>
      <c r="E22" s="66">
        <f>INDEX(UserInput!$C$2:$M$22,MATCH(UserMade_Scenario!B22,UserInput!$A$2:$A$22,0),MATCH(LEFT(IF(RIGHT(C22,2)="H2",UserMade_Scenario!C22,D22),3),UserInput!$C$25:$M$25,0))</f>
        <v>10950</v>
      </c>
      <c r="F22" s="14" t="s">
        <v>75</v>
      </c>
      <c r="G22" s="14">
        <f t="shared" si="17"/>
        <v>1.3139999999999998E-3</v>
      </c>
      <c r="H22" s="63">
        <f t="shared" si="6"/>
        <v>1.7773630348506406E-2</v>
      </c>
      <c r="I22" s="63">
        <f t="shared" si="7"/>
        <v>0</v>
      </c>
      <c r="J22" s="63">
        <f t="shared" si="8"/>
        <v>3.5547260697012813E-2</v>
      </c>
      <c r="K22" s="30">
        <f>IF(OR(LEFT($D22,5)="Solar",$D22="Wind"),INDEX(Land_Use[AVG],MATCH(LEFT($D22,5),Land_Use[Tech],0)),0)*$E22</f>
        <v>0</v>
      </c>
      <c r="L22" s="30">
        <f>IF(OR(LEFT($D22,5)="Solar",$D22="Wind"),INDEX(Land_Use[MIN],MATCH(LEFT($D22,5),Land_Use[Tech],0)),0)*$E22</f>
        <v>0</v>
      </c>
      <c r="M22" s="30">
        <f>IF(OR(LEFT($D22,5)="Solar",$D22="Wind"),INDEX(Land_Use[MAX],MATCH(LEFT($D22,5),Land_Use[Tech],0)),0)*$E22</f>
        <v>0</v>
      </c>
      <c r="N22" s="15">
        <f t="shared" si="9"/>
        <v>30.659999999999997</v>
      </c>
      <c r="O22" s="11">
        <f t="shared" si="1"/>
        <v>0</v>
      </c>
      <c r="P22" s="11">
        <f t="shared" si="2"/>
        <v>0</v>
      </c>
      <c r="Q22" s="11">
        <f t="shared" si="3"/>
        <v>0</v>
      </c>
      <c r="R22" s="11">
        <f t="shared" si="4"/>
        <v>0</v>
      </c>
      <c r="S22" s="30">
        <f t="shared" si="10"/>
        <v>0</v>
      </c>
      <c r="T22" s="30">
        <f t="shared" si="11"/>
        <v>0</v>
      </c>
      <c r="U22" s="30">
        <f t="shared" si="12"/>
        <v>0</v>
      </c>
      <c r="V22" s="30">
        <f t="shared" si="13"/>
        <v>0</v>
      </c>
      <c r="W22" s="30">
        <f t="shared" si="14"/>
        <v>0</v>
      </c>
      <c r="X22" s="30">
        <f t="shared" si="15"/>
        <v>0</v>
      </c>
      <c r="Z22" s="23" t="s">
        <v>76</v>
      </c>
      <c r="AA22" s="40" t="str">
        <f>IF(C22="Electricity",E22*SUMIFS(Electricity!S:S,Electricity!P:P,UserMade_Scenario!B22,Electricity!M:M,UserMade_Scenario!Z22,Electricity!O:O,UserMade_Scenario!D22),"")</f>
        <v/>
      </c>
      <c r="AB22" s="76">
        <f>1000*Assumptions!$B$17/1000000000000</f>
        <v>1.1999999999999999E-7</v>
      </c>
      <c r="AC22" s="67" t="s">
        <v>77</v>
      </c>
      <c r="AD22" s="39">
        <f>SUMIFS(Hydrogen!AK:AK,Hydrogen!$AA:$AA,UserMade_Scenario!$Z22,Hydrogen!$Y:$Y,UserMade_Scenario!$D22,Hydrogen!$AB:$AB,UserMade_Scenario!$B22,Hydrogen!$Z:$Z,UserMade_Scenario!$C22)</f>
        <v>-13.526354907539123</v>
      </c>
      <c r="AE22" s="39">
        <f>SUMIFS(Hydrogen!AL:AL,Hydrogen!$AA:$AA,UserMade_Scenario!$Z22,Hydrogen!$Y:$Y,UserMade_Scenario!$D22,Hydrogen!$AB:$AB,UserMade_Scenario!$B22,Hydrogen!$Z:$Z,UserMade_Scenario!$C22)</f>
        <v>0</v>
      </c>
      <c r="AF22" s="39">
        <f>SUMIFS(Hydrogen!AM:AM,Hydrogen!$AA:$AA,UserMade_Scenario!$Z22,Hydrogen!$Y:$Y,UserMade_Scenario!$D22,Hydrogen!$AB:$AB,UserMade_Scenario!$B22,Hydrogen!$Z:$Z,UserMade_Scenario!$C22)</f>
        <v>-27.052709815078245</v>
      </c>
      <c r="AG22" s="68">
        <f>IFERROR(INDEX(WaterUseH2[Average Direct Water Consumption (Gal/ kg h2)],MATCH(LEFT(D22,3),WaterUseH2[Key],0)),0)</f>
        <v>2.8</v>
      </c>
      <c r="AH22">
        <v>14</v>
      </c>
      <c r="AI22">
        <v>1.4</v>
      </c>
      <c r="AJ22">
        <v>250</v>
      </c>
      <c r="AK22">
        <v>0.31</v>
      </c>
      <c r="AL22" s="63">
        <f>IFERROR(INDEX(Job_Training[[Solar]:[Wind]],MATCH(AL$1,Job_Training[[`Typical Entry Level Education`]:[`Typical Entry Level Education`]],0),MATCH(LEFT($D22,5),Job_Training[[#Headers],[Solar]:[Wind]],0)),0)</f>
        <v>0</v>
      </c>
      <c r="AM22" s="63">
        <f>IFERROR(INDEX(Job_Training[[Solar]:[Wind]],MATCH(AM$1,Job_Training[[`Typical Entry Level Education`]:[`Typical Entry Level Education`]],0),MATCH(LEFT($D22,5),Job_Training[[#Headers],[Solar]:[Wind]],0)),0)</f>
        <v>0</v>
      </c>
      <c r="AN22" s="63">
        <f>IFERROR(INDEX(Job_Training[[Solar]:[Wind]],MATCH(AN$1,Job_Training[[`Typical Entry Level Education`]:[`Typical Entry Level Education`]],0),MATCH(LEFT($D22,5),Job_Training[[#Headers],[Solar]:[Wind]],0)),0)</f>
        <v>0</v>
      </c>
      <c r="AO22" s="63">
        <f>IFERROR(INDEX(Job_Training[[Solar]:[Wind]],MATCH(AO$1,Job_Training[[`Typical Entry Level Education`]:[`Typical Entry Level Education`]],0),MATCH(LEFT($D22,5),Job_Training[[#Headers],[Solar]:[Wind]],0)),0)</f>
        <v>0</v>
      </c>
      <c r="AP22">
        <f t="shared" si="16"/>
        <v>0</v>
      </c>
      <c r="AQ22" s="63">
        <f>IF(AP22&gt;0,IFERROR(INDEX(Assumptions!$C$165:$D$165,MATCH(LEFT($D22,5),Job_Training[[#Headers],[Solar]:[Wind]],0)),0),0)</f>
        <v>0</v>
      </c>
      <c r="AR22">
        <f>IF(AP22&gt;0,IFERROR(INDEX(Assumptions!$C$166:$D$166,MATCH(LEFT($D22,5),Job_Training[[#Headers],[Solar]:[Wind]],0)),0),0)</f>
        <v>0</v>
      </c>
    </row>
    <row r="23" spans="1:44" x14ac:dyDescent="0.35">
      <c r="A23" t="str">
        <f>UserInput!$B$2</f>
        <v>Current Projects</v>
      </c>
      <c r="B23">
        <v>2025</v>
      </c>
      <c r="C23" t="s">
        <v>78</v>
      </c>
      <c r="D23" t="s">
        <v>79</v>
      </c>
      <c r="E23" s="66">
        <f>INDEX(UserInput!$C$2:$M$22,MATCH(UserMade_Scenario!B23,UserInput!$A$2:$A$22,0),MATCH(LEFT(IF(RIGHT(C23,2)="H2",UserMade_Scenario!C23,D23),3),UserInput!$C$25:$M$25,0))</f>
        <v>0</v>
      </c>
      <c r="F23" s="14" t="s">
        <v>75</v>
      </c>
      <c r="G23" s="14">
        <f t="shared" si="17"/>
        <v>0</v>
      </c>
      <c r="H23" s="63">
        <f t="shared" si="6"/>
        <v>0</v>
      </c>
      <c r="I23" s="63">
        <f t="shared" si="7"/>
        <v>0</v>
      </c>
      <c r="J23" s="63">
        <f t="shared" si="8"/>
        <v>0</v>
      </c>
      <c r="K23" s="30">
        <f>IF(OR(LEFT($D23,5)="Solar",$D23="Wind"),INDEX(Land_Use[AVG],MATCH(LEFT($D23,5),Land_Use[Tech],0)),0)*$E23</f>
        <v>0</v>
      </c>
      <c r="L23" s="30">
        <f>IF(OR(LEFT($D23,5)="Solar",$D23="Wind"),INDEX(Land_Use[MIN],MATCH(LEFT($D23,5),Land_Use[Tech],0)),0)*$E23</f>
        <v>0</v>
      </c>
      <c r="M23" s="30">
        <f>IF(OR(LEFT($D23,5)="Solar",$D23="Wind"),INDEX(Land_Use[MAX],MATCH(LEFT($D23,5),Land_Use[Tech],0)),0)*$E23</f>
        <v>0</v>
      </c>
      <c r="N23" s="13">
        <f t="shared" si="9"/>
        <v>0</v>
      </c>
      <c r="O23" s="13">
        <f t="shared" si="1"/>
        <v>0</v>
      </c>
      <c r="P23" s="13">
        <f t="shared" si="2"/>
        <v>0</v>
      </c>
      <c r="Q23" s="13">
        <f t="shared" si="3"/>
        <v>0</v>
      </c>
      <c r="R23" s="13">
        <f t="shared" si="4"/>
        <v>0</v>
      </c>
      <c r="S23" s="30">
        <f t="shared" si="10"/>
        <v>0</v>
      </c>
      <c r="T23" s="30">
        <f t="shared" si="11"/>
        <v>0</v>
      </c>
      <c r="U23" s="30">
        <f t="shared" si="12"/>
        <v>0</v>
      </c>
      <c r="V23" s="30">
        <f t="shared" si="13"/>
        <v>0</v>
      </c>
      <c r="W23" s="30">
        <f t="shared" si="14"/>
        <v>0</v>
      </c>
      <c r="X23" s="30">
        <f t="shared" si="15"/>
        <v>0</v>
      </c>
      <c r="Z23" s="23" t="s">
        <v>76</v>
      </c>
      <c r="AA23" s="40" t="str">
        <f>IF(C23="Electricity",E23*SUMIFS(Electricity!S:S,Electricity!P:P,UserMade_Scenario!B23,Electricity!M:M,UserMade_Scenario!Z23,Electricity!O:O,UserMade_Scenario!D23),"")</f>
        <v/>
      </c>
      <c r="AB23" s="76">
        <f>1000*Assumptions!$B$17/1000000000000</f>
        <v>1.1999999999999999E-7</v>
      </c>
      <c r="AC23" s="67" t="s">
        <v>77</v>
      </c>
      <c r="AD23" s="39">
        <f>SUMIFS(Hydrogen!AK:AK,Hydrogen!$AA:$AA,UserMade_Scenario!$Z23,Hydrogen!$Y:$Y,UserMade_Scenario!$D23,Hydrogen!$AB:$AB,UserMade_Scenario!$B23,Hydrogen!$Z:$Z,UserMade_Scenario!$C23)</f>
        <v>-88.849553682831996</v>
      </c>
      <c r="AE23" s="39">
        <f>SUMIFS(Hydrogen!AL:AL,Hydrogen!$AA:$AA,UserMade_Scenario!$Z23,Hydrogen!$Y:$Y,UserMade_Scenario!$D23,Hydrogen!$AB:$AB,UserMade_Scenario!$B23,Hydrogen!$Z:$Z,UserMade_Scenario!$C23)</f>
        <v>-87.759107365663994</v>
      </c>
      <c r="AF23" s="39">
        <f>SUMIFS(Hydrogen!AM:AM,Hydrogen!$AA:$AA,UserMade_Scenario!$Z23,Hydrogen!$Y:$Y,UserMade_Scenario!$D23,Hydrogen!$AB:$AB,UserMade_Scenario!$B23,Hydrogen!$Z:$Z,UserMade_Scenario!$C23)</f>
        <v>-89.94</v>
      </c>
      <c r="AG23" s="68">
        <f>IFERROR(INDEX(WaterUseH2[Average Direct Water Consumption (Gal/ kg h2)],MATCH(LEFT(D23,3),WaterUseH2[Key],0)),0)</f>
        <v>4.0999999999999996</v>
      </c>
      <c r="AH23">
        <v>14</v>
      </c>
      <c r="AI23">
        <v>1.4</v>
      </c>
      <c r="AJ23">
        <v>250</v>
      </c>
      <c r="AK23">
        <v>0.31</v>
      </c>
      <c r="AL23" s="63">
        <f>IFERROR(INDEX(Job_Training[[Solar]:[Wind]],MATCH(AL$1,Job_Training[[`Typical Entry Level Education`]:[`Typical Entry Level Education`]],0),MATCH(LEFT($D23,5),Job_Training[[#Headers],[Solar]:[Wind]],0)),0)</f>
        <v>0</v>
      </c>
      <c r="AM23" s="63">
        <f>IFERROR(INDEX(Job_Training[[Solar]:[Wind]],MATCH(AM$1,Job_Training[[`Typical Entry Level Education`]:[`Typical Entry Level Education`]],0),MATCH(LEFT($D23,5),Job_Training[[#Headers],[Solar]:[Wind]],0)),0)</f>
        <v>0</v>
      </c>
      <c r="AN23" s="63">
        <f>IFERROR(INDEX(Job_Training[[Solar]:[Wind]],MATCH(AN$1,Job_Training[[`Typical Entry Level Education`]:[`Typical Entry Level Education`]],0),MATCH(LEFT($D23,5),Job_Training[[#Headers],[Solar]:[Wind]],0)),0)</f>
        <v>0</v>
      </c>
      <c r="AO23" s="63">
        <f>IFERROR(INDEX(Job_Training[[Solar]:[Wind]],MATCH(AO$1,Job_Training[[`Typical Entry Level Education`]:[`Typical Entry Level Education`]],0),MATCH(LEFT($D23,5),Job_Training[[#Headers],[Solar]:[Wind]],0)),0)</f>
        <v>0</v>
      </c>
      <c r="AP23">
        <f t="shared" si="16"/>
        <v>0</v>
      </c>
      <c r="AQ23" s="63">
        <f>IF(AP23&gt;0,IFERROR(INDEX(Assumptions!$C$165:$D$165,MATCH(LEFT($D23,5),Job_Training[[#Headers],[Solar]:[Wind]],0)),0),0)</f>
        <v>0</v>
      </c>
      <c r="AR23">
        <f>IF(AP23&gt;0,IFERROR(INDEX(Assumptions!$C$166:$D$166,MATCH(LEFT($D23,5),Job_Training[[#Headers],[Solar]:[Wind]],0)),0),0)</f>
        <v>0</v>
      </c>
    </row>
    <row r="24" spans="1:44" x14ac:dyDescent="0.35">
      <c r="A24" t="str">
        <f>UserInput!$B$2</f>
        <v>Current Projects</v>
      </c>
      <c r="B24">
        <v>2026</v>
      </c>
      <c r="C24" t="s">
        <v>78</v>
      </c>
      <c r="D24" t="s">
        <v>79</v>
      </c>
      <c r="E24" s="66">
        <f>INDEX(UserInput!$C$2:$M$22,MATCH(UserMade_Scenario!B24,UserInput!$A$2:$A$22,0),MATCH(LEFT(IF(RIGHT(C24,2)="H2",UserMade_Scenario!C24,D24),3),UserInput!$C$25:$M$25,0))</f>
        <v>0</v>
      </c>
      <c r="F24" s="14" t="s">
        <v>75</v>
      </c>
      <c r="G24" s="14">
        <f t="shared" si="17"/>
        <v>0</v>
      </c>
      <c r="H24" s="63">
        <f t="shared" si="6"/>
        <v>0</v>
      </c>
      <c r="I24" s="63">
        <f t="shared" si="7"/>
        <v>0</v>
      </c>
      <c r="J24" s="63">
        <f t="shared" si="8"/>
        <v>0</v>
      </c>
      <c r="K24" s="30">
        <f>IF(OR(LEFT($D24,5)="Solar",$D24="Wind"),INDEX(Land_Use[AVG],MATCH(LEFT($D24,5),Land_Use[Tech],0)),0)*$E24</f>
        <v>0</v>
      </c>
      <c r="L24" s="30">
        <f>IF(OR(LEFT($D24,5)="Solar",$D24="Wind"),INDEX(Land_Use[MIN],MATCH(LEFT($D24,5),Land_Use[Tech],0)),0)*$E24</f>
        <v>0</v>
      </c>
      <c r="M24" s="30">
        <f>IF(OR(LEFT($D24,5)="Solar",$D24="Wind"),INDEX(Land_Use[MAX],MATCH(LEFT($D24,5),Land_Use[Tech],0)),0)*$E24</f>
        <v>0</v>
      </c>
      <c r="N24" s="13">
        <f t="shared" si="9"/>
        <v>0</v>
      </c>
      <c r="O24" s="13">
        <f t="shared" si="1"/>
        <v>0</v>
      </c>
      <c r="P24" s="13">
        <f t="shared" si="2"/>
        <v>0</v>
      </c>
      <c r="Q24" s="13">
        <f t="shared" si="3"/>
        <v>0</v>
      </c>
      <c r="R24" s="13">
        <f t="shared" si="4"/>
        <v>0</v>
      </c>
      <c r="S24" s="30">
        <f t="shared" si="10"/>
        <v>0</v>
      </c>
      <c r="T24" s="30">
        <f t="shared" si="11"/>
        <v>0</v>
      </c>
      <c r="U24" s="30">
        <f t="shared" si="12"/>
        <v>0</v>
      </c>
      <c r="V24" s="30">
        <f t="shared" si="13"/>
        <v>0</v>
      </c>
      <c r="W24" s="30">
        <f t="shared" si="14"/>
        <v>0</v>
      </c>
      <c r="X24" s="30">
        <f t="shared" si="15"/>
        <v>0</v>
      </c>
      <c r="Z24" s="23" t="s">
        <v>76</v>
      </c>
      <c r="AA24" s="40" t="str">
        <f>IF(C24="Electricity",E24*SUMIFS(Electricity!S:S,Electricity!P:P,UserMade_Scenario!B24,Electricity!M:M,UserMade_Scenario!Z24,Electricity!O:O,UserMade_Scenario!D24),"")</f>
        <v/>
      </c>
      <c r="AB24" s="76">
        <f>1000*Assumptions!$B$17/1000000000000</f>
        <v>1.1999999999999999E-7</v>
      </c>
      <c r="AC24" s="67" t="s">
        <v>77</v>
      </c>
      <c r="AD24" s="39">
        <f>SUMIFS(Hydrogen!AK:AK,Hydrogen!$AA:$AA,UserMade_Scenario!$Z24,Hydrogen!$Y:$Y,UserMade_Scenario!$D24,Hydrogen!$AB:$AB,UserMade_Scenario!$B24,Hydrogen!$Z:$Z,UserMade_Scenario!$C24)</f>
        <v>-88.490787443158112</v>
      </c>
      <c r="AE24" s="39">
        <f>SUMIFS(Hydrogen!AL:AL,Hydrogen!$AA:$AA,UserMade_Scenario!$Z24,Hydrogen!$Y:$Y,UserMade_Scenario!$D24,Hydrogen!$AB:$AB,UserMade_Scenario!$B24,Hydrogen!$Z:$Z,UserMade_Scenario!$C24)</f>
        <v>-87.041574886316226</v>
      </c>
      <c r="AF24" s="39">
        <f>SUMIFS(Hydrogen!AM:AM,Hydrogen!$AA:$AA,UserMade_Scenario!$Z24,Hydrogen!$Y:$Y,UserMade_Scenario!$D24,Hydrogen!$AB:$AB,UserMade_Scenario!$B24,Hydrogen!$Z:$Z,UserMade_Scenario!$C24)</f>
        <v>-89.94</v>
      </c>
      <c r="AG24" s="68">
        <f>IFERROR(INDEX(WaterUseH2[Average Direct Water Consumption (Gal/ kg h2)],MATCH(LEFT(D24,3),WaterUseH2[Key],0)),0)</f>
        <v>4.0999999999999996</v>
      </c>
      <c r="AH24">
        <v>14</v>
      </c>
      <c r="AI24">
        <v>1.4</v>
      </c>
      <c r="AJ24">
        <v>250</v>
      </c>
      <c r="AK24">
        <v>0.31</v>
      </c>
      <c r="AL24" s="63">
        <f>IFERROR(INDEX(Job_Training[[Solar]:[Wind]],MATCH(AL$1,Job_Training[[`Typical Entry Level Education`]:[`Typical Entry Level Education`]],0),MATCH(LEFT($D24,5),Job_Training[[#Headers],[Solar]:[Wind]],0)),0)</f>
        <v>0</v>
      </c>
      <c r="AM24" s="63">
        <f>IFERROR(INDEX(Job_Training[[Solar]:[Wind]],MATCH(AM$1,Job_Training[[`Typical Entry Level Education`]:[`Typical Entry Level Education`]],0),MATCH(LEFT($D24,5),Job_Training[[#Headers],[Solar]:[Wind]],0)),0)</f>
        <v>0</v>
      </c>
      <c r="AN24" s="63">
        <f>IFERROR(INDEX(Job_Training[[Solar]:[Wind]],MATCH(AN$1,Job_Training[[`Typical Entry Level Education`]:[`Typical Entry Level Education`]],0),MATCH(LEFT($D24,5),Job_Training[[#Headers],[Solar]:[Wind]],0)),0)</f>
        <v>0</v>
      </c>
      <c r="AO24" s="63">
        <f>IFERROR(INDEX(Job_Training[[Solar]:[Wind]],MATCH(AO$1,Job_Training[[`Typical Entry Level Education`]:[`Typical Entry Level Education`]],0),MATCH(LEFT($D24,5),Job_Training[[#Headers],[Solar]:[Wind]],0)),0)</f>
        <v>0</v>
      </c>
      <c r="AP24">
        <f t="shared" si="16"/>
        <v>0</v>
      </c>
      <c r="AQ24" s="63">
        <f>IF(AP24&gt;0,IFERROR(INDEX(Assumptions!$C$165:$D$165,MATCH(LEFT($D24,5),Job_Training[[#Headers],[Solar]:[Wind]],0)),0),0)</f>
        <v>0</v>
      </c>
      <c r="AR24">
        <f>IF(AP24&gt;0,IFERROR(INDEX(Assumptions!$C$166:$D$166,MATCH(LEFT($D24,5),Job_Training[[#Headers],[Solar]:[Wind]],0)),0),0)</f>
        <v>0</v>
      </c>
    </row>
    <row r="25" spans="1:44" x14ac:dyDescent="0.35">
      <c r="A25" t="str">
        <f>UserInput!$B$2</f>
        <v>Current Projects</v>
      </c>
      <c r="B25">
        <v>2027</v>
      </c>
      <c r="C25" t="s">
        <v>78</v>
      </c>
      <c r="D25" t="s">
        <v>79</v>
      </c>
      <c r="E25" s="66">
        <f>INDEX(UserInput!$C$2:$M$22,MATCH(UserMade_Scenario!B25,UserInput!$A$2:$A$22,0),MATCH(LEFT(IF(RIGHT(C25,2)="H2",UserMade_Scenario!C25,D25),3),UserInput!$C$25:$M$25,0))</f>
        <v>0</v>
      </c>
      <c r="F25" s="14" t="s">
        <v>75</v>
      </c>
      <c r="G25" s="14">
        <f t="shared" si="17"/>
        <v>0</v>
      </c>
      <c r="H25" s="63">
        <f t="shared" si="6"/>
        <v>0</v>
      </c>
      <c r="I25" s="63">
        <f t="shared" si="7"/>
        <v>0</v>
      </c>
      <c r="J25" s="63">
        <f t="shared" si="8"/>
        <v>0</v>
      </c>
      <c r="K25" s="30">
        <f>IF(OR(LEFT($D25,5)="Solar",$D25="Wind"),INDEX(Land_Use[AVG],MATCH(LEFT($D25,5),Land_Use[Tech],0)),0)*$E25</f>
        <v>0</v>
      </c>
      <c r="L25" s="30">
        <f>IF(OR(LEFT($D25,5)="Solar",$D25="Wind"),INDEX(Land_Use[MIN],MATCH(LEFT($D25,5),Land_Use[Tech],0)),0)*$E25</f>
        <v>0</v>
      </c>
      <c r="M25" s="30">
        <f>IF(OR(LEFT($D25,5)="Solar",$D25="Wind"),INDEX(Land_Use[MAX],MATCH(LEFT($D25,5),Land_Use[Tech],0)),0)*$E25</f>
        <v>0</v>
      </c>
      <c r="N25" s="13">
        <f t="shared" si="9"/>
        <v>0</v>
      </c>
      <c r="O25" s="13">
        <f t="shared" si="1"/>
        <v>0</v>
      </c>
      <c r="P25" s="13">
        <f t="shared" si="2"/>
        <v>0</v>
      </c>
      <c r="Q25" s="13">
        <f t="shared" si="3"/>
        <v>0</v>
      </c>
      <c r="R25" s="13">
        <f t="shared" si="4"/>
        <v>0</v>
      </c>
      <c r="S25" s="30">
        <f t="shared" si="10"/>
        <v>0</v>
      </c>
      <c r="T25" s="30">
        <f t="shared" si="11"/>
        <v>0</v>
      </c>
      <c r="U25" s="30">
        <f t="shared" si="12"/>
        <v>0</v>
      </c>
      <c r="V25" s="30">
        <f t="shared" si="13"/>
        <v>0</v>
      </c>
      <c r="W25" s="30">
        <f t="shared" si="14"/>
        <v>0</v>
      </c>
      <c r="X25" s="30">
        <f t="shared" si="15"/>
        <v>0</v>
      </c>
      <c r="Z25" s="23" t="s">
        <v>76</v>
      </c>
      <c r="AA25" s="40" t="str">
        <f>IF(C25="Electricity",E25*SUMIFS(Electricity!S:S,Electricity!P:P,UserMade_Scenario!B25,Electricity!M:M,UserMade_Scenario!Z25,Electricity!O:O,UserMade_Scenario!D25),"")</f>
        <v/>
      </c>
      <c r="AB25" s="76">
        <f>1000*Assumptions!$B$17/1000000000000</f>
        <v>1.1999999999999999E-7</v>
      </c>
      <c r="AC25" s="67" t="s">
        <v>77</v>
      </c>
      <c r="AD25" s="39">
        <f>SUMIFS(Hydrogen!AK:AK,Hydrogen!$AA:$AA,UserMade_Scenario!$Z25,Hydrogen!$Y:$Y,UserMade_Scenario!$D25,Hydrogen!$AB:$AB,UserMade_Scenario!$B25,Hydrogen!$Z:$Z,UserMade_Scenario!$C25)</f>
        <v>-88.052436921360083</v>
      </c>
      <c r="AE25" s="39">
        <f>SUMIFS(Hydrogen!AL:AL,Hydrogen!$AA:$AA,UserMade_Scenario!$Z25,Hydrogen!$Y:$Y,UserMade_Scenario!$D25,Hydrogen!$AB:$AB,UserMade_Scenario!$B25,Hydrogen!$Z:$Z,UserMade_Scenario!$C25)</f>
        <v>-86.164873842720169</v>
      </c>
      <c r="AF25" s="39">
        <f>SUMIFS(Hydrogen!AM:AM,Hydrogen!$AA:$AA,UserMade_Scenario!$Z25,Hydrogen!$Y:$Y,UserMade_Scenario!$D25,Hydrogen!$AB:$AB,UserMade_Scenario!$B25,Hydrogen!$Z:$Z,UserMade_Scenario!$C25)</f>
        <v>-89.94</v>
      </c>
      <c r="AG25" s="68">
        <f>IFERROR(INDEX(WaterUseH2[Average Direct Water Consumption (Gal/ kg h2)],MATCH(LEFT(D25,3),WaterUseH2[Key],0)),0)</f>
        <v>4.0999999999999996</v>
      </c>
      <c r="AH25">
        <v>14</v>
      </c>
      <c r="AI25">
        <v>1.4</v>
      </c>
      <c r="AJ25">
        <v>250</v>
      </c>
      <c r="AK25">
        <v>0.31</v>
      </c>
      <c r="AL25" s="63">
        <f>IFERROR(INDEX(Job_Training[[Solar]:[Wind]],MATCH(AL$1,Job_Training[[`Typical Entry Level Education`]:[`Typical Entry Level Education`]],0),MATCH(LEFT($D25,5),Job_Training[[#Headers],[Solar]:[Wind]],0)),0)</f>
        <v>0</v>
      </c>
      <c r="AM25" s="63">
        <f>IFERROR(INDEX(Job_Training[[Solar]:[Wind]],MATCH(AM$1,Job_Training[[`Typical Entry Level Education`]:[`Typical Entry Level Education`]],0),MATCH(LEFT($D25,5),Job_Training[[#Headers],[Solar]:[Wind]],0)),0)</f>
        <v>0</v>
      </c>
      <c r="AN25" s="63">
        <f>IFERROR(INDEX(Job_Training[[Solar]:[Wind]],MATCH(AN$1,Job_Training[[`Typical Entry Level Education`]:[`Typical Entry Level Education`]],0),MATCH(LEFT($D25,5),Job_Training[[#Headers],[Solar]:[Wind]],0)),0)</f>
        <v>0</v>
      </c>
      <c r="AO25" s="63">
        <f>IFERROR(INDEX(Job_Training[[Solar]:[Wind]],MATCH(AO$1,Job_Training[[`Typical Entry Level Education`]:[`Typical Entry Level Education`]],0),MATCH(LEFT($D25,5),Job_Training[[#Headers],[Solar]:[Wind]],0)),0)</f>
        <v>0</v>
      </c>
      <c r="AP25">
        <f t="shared" si="16"/>
        <v>0</v>
      </c>
      <c r="AQ25" s="63">
        <f>IF(AP25&gt;0,IFERROR(INDEX(Assumptions!$C$165:$D$165,MATCH(LEFT($D25,5),Job_Training[[#Headers],[Solar]:[Wind]],0)),0),0)</f>
        <v>0</v>
      </c>
      <c r="AR25">
        <f>IF(AP25&gt;0,IFERROR(INDEX(Assumptions!$C$166:$D$166,MATCH(LEFT($D25,5),Job_Training[[#Headers],[Solar]:[Wind]],0)),0),0)</f>
        <v>0</v>
      </c>
    </row>
    <row r="26" spans="1:44" x14ac:dyDescent="0.35">
      <c r="A26" t="str">
        <f>UserInput!$B$2</f>
        <v>Current Projects</v>
      </c>
      <c r="B26">
        <v>2028</v>
      </c>
      <c r="C26" t="s">
        <v>78</v>
      </c>
      <c r="D26" t="s">
        <v>79</v>
      </c>
      <c r="E26" s="66">
        <f>INDEX(UserInput!$C$2:$M$22,MATCH(UserMade_Scenario!B26,UserInput!$A$2:$A$22,0),MATCH(LEFT(IF(RIGHT(C26,2)="H2",UserMade_Scenario!C26,D26),3),UserInput!$C$25:$M$25,0))</f>
        <v>0</v>
      </c>
      <c r="F26" s="14" t="s">
        <v>75</v>
      </c>
      <c r="G26" s="14">
        <f t="shared" si="17"/>
        <v>0</v>
      </c>
      <c r="H26" s="63">
        <f t="shared" si="6"/>
        <v>0</v>
      </c>
      <c r="I26" s="63">
        <f t="shared" si="7"/>
        <v>0</v>
      </c>
      <c r="J26" s="63">
        <f t="shared" si="8"/>
        <v>0</v>
      </c>
      <c r="K26" s="30">
        <f>IF(OR(LEFT($D26,5)="Solar",$D26="Wind"),INDEX(Land_Use[AVG],MATCH(LEFT($D26,5),Land_Use[Tech],0)),0)*$E26</f>
        <v>0</v>
      </c>
      <c r="L26" s="30">
        <f>IF(OR(LEFT($D26,5)="Solar",$D26="Wind"),INDEX(Land_Use[MIN],MATCH(LEFT($D26,5),Land_Use[Tech],0)),0)*$E26</f>
        <v>0</v>
      </c>
      <c r="M26" s="30">
        <f>IF(OR(LEFT($D26,5)="Solar",$D26="Wind"),INDEX(Land_Use[MAX],MATCH(LEFT($D26,5),Land_Use[Tech],0)),0)*$E26</f>
        <v>0</v>
      </c>
      <c r="N26" s="13">
        <f t="shared" si="9"/>
        <v>0</v>
      </c>
      <c r="O26" s="13">
        <f t="shared" si="1"/>
        <v>0</v>
      </c>
      <c r="P26" s="13">
        <f t="shared" si="2"/>
        <v>0</v>
      </c>
      <c r="Q26" s="13">
        <f t="shared" si="3"/>
        <v>0</v>
      </c>
      <c r="R26" s="13">
        <f t="shared" si="4"/>
        <v>0</v>
      </c>
      <c r="S26" s="30">
        <f t="shared" si="10"/>
        <v>0</v>
      </c>
      <c r="T26" s="30">
        <f t="shared" si="11"/>
        <v>0</v>
      </c>
      <c r="U26" s="30">
        <f t="shared" si="12"/>
        <v>0</v>
      </c>
      <c r="V26" s="30">
        <f t="shared" si="13"/>
        <v>0</v>
      </c>
      <c r="W26" s="30">
        <f t="shared" si="14"/>
        <v>0</v>
      </c>
      <c r="X26" s="30">
        <f t="shared" si="15"/>
        <v>0</v>
      </c>
      <c r="Z26" s="23" t="s">
        <v>76</v>
      </c>
      <c r="AA26" s="40" t="str">
        <f>IF(C26="Electricity",E26*SUMIFS(Electricity!S:S,Electricity!P:P,UserMade_Scenario!B26,Electricity!M:M,UserMade_Scenario!Z26,Electricity!O:O,UserMade_Scenario!D26),"")</f>
        <v/>
      </c>
      <c r="AB26" s="76">
        <f>1000*Assumptions!$B$17/1000000000000</f>
        <v>1.1999999999999999E-7</v>
      </c>
      <c r="AC26" s="67" t="s">
        <v>77</v>
      </c>
      <c r="AD26" s="39">
        <f>SUMIFS(Hydrogen!AK:AK,Hydrogen!$AA:$AA,UserMade_Scenario!$Z26,Hydrogen!$Y:$Y,UserMade_Scenario!$D26,Hydrogen!$AB:$AB,UserMade_Scenario!$B26,Hydrogen!$Z:$Z,UserMade_Scenario!$C26)</f>
        <v>-87.578874094271839</v>
      </c>
      <c r="AE26" s="39">
        <f>SUMIFS(Hydrogen!AL:AL,Hydrogen!$AA:$AA,UserMade_Scenario!$Z26,Hydrogen!$Y:$Y,UserMade_Scenario!$D26,Hydrogen!$AB:$AB,UserMade_Scenario!$B26,Hydrogen!$Z:$Z,UserMade_Scenario!$C26)</f>
        <v>-85.217748188543695</v>
      </c>
      <c r="AF26" s="39">
        <f>SUMIFS(Hydrogen!AM:AM,Hydrogen!$AA:$AA,UserMade_Scenario!$Z26,Hydrogen!$Y:$Y,UserMade_Scenario!$D26,Hydrogen!$AB:$AB,UserMade_Scenario!$B26,Hydrogen!$Z:$Z,UserMade_Scenario!$C26)</f>
        <v>-89.94</v>
      </c>
      <c r="AG26" s="68">
        <f>IFERROR(INDEX(WaterUseH2[Average Direct Water Consumption (Gal/ kg h2)],MATCH(LEFT(D26,3),WaterUseH2[Key],0)),0)</f>
        <v>4.0999999999999996</v>
      </c>
      <c r="AH26">
        <v>14</v>
      </c>
      <c r="AI26">
        <v>1.4</v>
      </c>
      <c r="AJ26">
        <v>250</v>
      </c>
      <c r="AK26">
        <v>0.31</v>
      </c>
      <c r="AL26" s="63">
        <f>IFERROR(INDEX(Job_Training[[Solar]:[Wind]],MATCH(AL$1,Job_Training[[`Typical Entry Level Education`]:[`Typical Entry Level Education`]],0),MATCH(LEFT($D26,5),Job_Training[[#Headers],[Solar]:[Wind]],0)),0)</f>
        <v>0</v>
      </c>
      <c r="AM26" s="63">
        <f>IFERROR(INDEX(Job_Training[[Solar]:[Wind]],MATCH(AM$1,Job_Training[[`Typical Entry Level Education`]:[`Typical Entry Level Education`]],0),MATCH(LEFT($D26,5),Job_Training[[#Headers],[Solar]:[Wind]],0)),0)</f>
        <v>0</v>
      </c>
      <c r="AN26" s="63">
        <f>IFERROR(INDEX(Job_Training[[Solar]:[Wind]],MATCH(AN$1,Job_Training[[`Typical Entry Level Education`]:[`Typical Entry Level Education`]],0),MATCH(LEFT($D26,5),Job_Training[[#Headers],[Solar]:[Wind]],0)),0)</f>
        <v>0</v>
      </c>
      <c r="AO26" s="63">
        <f>IFERROR(INDEX(Job_Training[[Solar]:[Wind]],MATCH(AO$1,Job_Training[[`Typical Entry Level Education`]:[`Typical Entry Level Education`]],0),MATCH(LEFT($D26,5),Job_Training[[#Headers],[Solar]:[Wind]],0)),0)</f>
        <v>0</v>
      </c>
      <c r="AP26">
        <f t="shared" si="16"/>
        <v>0</v>
      </c>
      <c r="AQ26" s="63">
        <f>IF(AP26&gt;0,IFERROR(INDEX(Assumptions!$C$165:$D$165,MATCH(LEFT($D26,5),Job_Training[[#Headers],[Solar]:[Wind]],0)),0),0)</f>
        <v>0</v>
      </c>
      <c r="AR26">
        <f>IF(AP26&gt;0,IFERROR(INDEX(Assumptions!$C$166:$D$166,MATCH(LEFT($D26,5),Job_Training[[#Headers],[Solar]:[Wind]],0)),0),0)</f>
        <v>0</v>
      </c>
    </row>
    <row r="27" spans="1:44" x14ac:dyDescent="0.35">
      <c r="A27" t="str">
        <f>UserInput!$B$2</f>
        <v>Current Projects</v>
      </c>
      <c r="B27">
        <v>2029</v>
      </c>
      <c r="C27" t="s">
        <v>78</v>
      </c>
      <c r="D27" t="s">
        <v>79</v>
      </c>
      <c r="E27" s="66">
        <f>INDEX(UserInput!$C$2:$M$22,MATCH(UserMade_Scenario!B27,UserInput!$A$2:$A$22,0),MATCH(LEFT(IF(RIGHT(C27,2)="H2",UserMade_Scenario!C27,D27),3),UserInput!$C$25:$M$25,0))</f>
        <v>0</v>
      </c>
      <c r="F27" s="14" t="s">
        <v>75</v>
      </c>
      <c r="G27" s="14">
        <f t="shared" si="17"/>
        <v>0</v>
      </c>
      <c r="H27" s="63">
        <f t="shared" si="6"/>
        <v>0</v>
      </c>
      <c r="I27" s="63">
        <f t="shared" si="7"/>
        <v>0</v>
      </c>
      <c r="J27" s="63">
        <f t="shared" si="8"/>
        <v>0</v>
      </c>
      <c r="K27" s="30">
        <f>IF(OR(LEFT($D27,5)="Solar",$D27="Wind"),INDEX(Land_Use[AVG],MATCH(LEFT($D27,5),Land_Use[Tech],0)),0)*$E27</f>
        <v>0</v>
      </c>
      <c r="L27" s="30">
        <f>IF(OR(LEFT($D27,5)="Solar",$D27="Wind"),INDEX(Land_Use[MIN],MATCH(LEFT($D27,5),Land_Use[Tech],0)),0)*$E27</f>
        <v>0</v>
      </c>
      <c r="M27" s="30">
        <f>IF(OR(LEFT($D27,5)="Solar",$D27="Wind"),INDEX(Land_Use[MAX],MATCH(LEFT($D27,5),Land_Use[Tech],0)),0)*$E27</f>
        <v>0</v>
      </c>
      <c r="N27" s="13">
        <f t="shared" si="9"/>
        <v>0</v>
      </c>
      <c r="O27" s="13">
        <f t="shared" si="1"/>
        <v>0</v>
      </c>
      <c r="P27" s="13">
        <f t="shared" si="2"/>
        <v>0</v>
      </c>
      <c r="Q27" s="13">
        <f t="shared" si="3"/>
        <v>0</v>
      </c>
      <c r="R27" s="13">
        <f t="shared" si="4"/>
        <v>0</v>
      </c>
      <c r="S27" s="30">
        <f t="shared" si="10"/>
        <v>0</v>
      </c>
      <c r="T27" s="30">
        <f t="shared" si="11"/>
        <v>0</v>
      </c>
      <c r="U27" s="30">
        <f t="shared" si="12"/>
        <v>0</v>
      </c>
      <c r="V27" s="30">
        <f t="shared" si="13"/>
        <v>0</v>
      </c>
      <c r="W27" s="30">
        <f t="shared" si="14"/>
        <v>0</v>
      </c>
      <c r="X27" s="30">
        <f t="shared" si="15"/>
        <v>0</v>
      </c>
      <c r="Z27" s="23" t="s">
        <v>76</v>
      </c>
      <c r="AA27" s="40" t="str">
        <f>IF(C27="Electricity",E27*SUMIFS(Electricity!S:S,Electricity!P:P,UserMade_Scenario!B27,Electricity!M:M,UserMade_Scenario!Z27,Electricity!O:O,UserMade_Scenario!D27),"")</f>
        <v/>
      </c>
      <c r="AB27" s="76">
        <f>1000*Assumptions!$B$17/1000000000000</f>
        <v>1.1999999999999999E-7</v>
      </c>
      <c r="AC27" s="67" t="s">
        <v>77</v>
      </c>
      <c r="AD27" s="39">
        <f>SUMIFS(Hydrogen!AK:AK,Hydrogen!$AA:$AA,UserMade_Scenario!$Z27,Hydrogen!$Y:$Y,UserMade_Scenario!$D27,Hydrogen!$AB:$AB,UserMade_Scenario!$B27,Hydrogen!$Z:$Z,UserMade_Scenario!$C27)</f>
        <v>-87.034867879479833</v>
      </c>
      <c r="AE27" s="39">
        <f>SUMIFS(Hydrogen!AL:AL,Hydrogen!$AA:$AA,UserMade_Scenario!$Z27,Hydrogen!$Y:$Y,UserMade_Scenario!$D27,Hydrogen!$AB:$AB,UserMade_Scenario!$B27,Hydrogen!$Z:$Z,UserMade_Scenario!$C27)</f>
        <v>-84.129735758959683</v>
      </c>
      <c r="AF27" s="39">
        <f>SUMIFS(Hydrogen!AM:AM,Hydrogen!$AA:$AA,UserMade_Scenario!$Z27,Hydrogen!$Y:$Y,UserMade_Scenario!$D27,Hydrogen!$AB:$AB,UserMade_Scenario!$B27,Hydrogen!$Z:$Z,UserMade_Scenario!$C27)</f>
        <v>-89.94</v>
      </c>
      <c r="AG27" s="68">
        <f>IFERROR(INDEX(WaterUseH2[Average Direct Water Consumption (Gal/ kg h2)],MATCH(LEFT(D27,3),WaterUseH2[Key],0)),0)</f>
        <v>4.0999999999999996</v>
      </c>
      <c r="AH27">
        <v>14</v>
      </c>
      <c r="AI27">
        <v>1.4</v>
      </c>
      <c r="AJ27">
        <v>250</v>
      </c>
      <c r="AK27">
        <v>0.31</v>
      </c>
      <c r="AL27" s="63">
        <f>IFERROR(INDEX(Job_Training[[Solar]:[Wind]],MATCH(AL$1,Job_Training[[`Typical Entry Level Education`]:[`Typical Entry Level Education`]],0),MATCH(LEFT($D27,5),Job_Training[[#Headers],[Solar]:[Wind]],0)),0)</f>
        <v>0</v>
      </c>
      <c r="AM27" s="63">
        <f>IFERROR(INDEX(Job_Training[[Solar]:[Wind]],MATCH(AM$1,Job_Training[[`Typical Entry Level Education`]:[`Typical Entry Level Education`]],0),MATCH(LEFT($D27,5),Job_Training[[#Headers],[Solar]:[Wind]],0)),0)</f>
        <v>0</v>
      </c>
      <c r="AN27" s="63">
        <f>IFERROR(INDEX(Job_Training[[Solar]:[Wind]],MATCH(AN$1,Job_Training[[`Typical Entry Level Education`]:[`Typical Entry Level Education`]],0),MATCH(LEFT($D27,5),Job_Training[[#Headers],[Solar]:[Wind]],0)),0)</f>
        <v>0</v>
      </c>
      <c r="AO27" s="63">
        <f>IFERROR(INDEX(Job_Training[[Solar]:[Wind]],MATCH(AO$1,Job_Training[[`Typical Entry Level Education`]:[`Typical Entry Level Education`]],0),MATCH(LEFT($D27,5),Job_Training[[#Headers],[Solar]:[Wind]],0)),0)</f>
        <v>0</v>
      </c>
      <c r="AP27">
        <f t="shared" si="16"/>
        <v>0</v>
      </c>
      <c r="AQ27" s="63">
        <f>IF(AP27&gt;0,IFERROR(INDEX(Assumptions!$C$165:$D$165,MATCH(LEFT($D27,5),Job_Training[[#Headers],[Solar]:[Wind]],0)),0),0)</f>
        <v>0</v>
      </c>
      <c r="AR27">
        <f>IF(AP27&gt;0,IFERROR(INDEX(Assumptions!$C$166:$D$166,MATCH(LEFT($D27,5),Job_Training[[#Headers],[Solar]:[Wind]],0)),0),0)</f>
        <v>0</v>
      </c>
    </row>
    <row r="28" spans="1:44" x14ac:dyDescent="0.35">
      <c r="A28" t="str">
        <f>UserInput!$B$2</f>
        <v>Current Projects</v>
      </c>
      <c r="B28">
        <v>2030</v>
      </c>
      <c r="C28" t="s">
        <v>78</v>
      </c>
      <c r="D28" t="s">
        <v>79</v>
      </c>
      <c r="E28" s="66">
        <f>INDEX(UserInput!$C$2:$M$22,MATCH(UserMade_Scenario!B28,UserInput!$A$2:$A$22,0),MATCH(LEFT(IF(RIGHT(C28,2)="H2",UserMade_Scenario!C28,D28),3),UserInput!$C$25:$M$25,0))</f>
        <v>96000</v>
      </c>
      <c r="F28" s="14" t="s">
        <v>75</v>
      </c>
      <c r="G28" s="14">
        <f t="shared" si="17"/>
        <v>1.1519999999999999E-2</v>
      </c>
      <c r="H28" s="63">
        <f t="shared" si="6"/>
        <v>0.99549635728316399</v>
      </c>
      <c r="I28" s="63">
        <f t="shared" si="7"/>
        <v>0.95488391456632804</v>
      </c>
      <c r="J28" s="63">
        <f t="shared" si="8"/>
        <v>1.0361087999999998</v>
      </c>
      <c r="K28" s="30">
        <f>IF(OR(LEFT($D28,5)="Solar",$D28="Wind"),INDEX(Land_Use[AVG],MATCH(LEFT($D28,5),Land_Use[Tech],0)),0)*$E28</f>
        <v>0</v>
      </c>
      <c r="L28" s="30">
        <f>IF(OR(LEFT($D28,5)="Solar",$D28="Wind"),INDEX(Land_Use[MIN],MATCH(LEFT($D28,5),Land_Use[Tech],0)),0)*$E28</f>
        <v>0</v>
      </c>
      <c r="M28" s="30">
        <f>IF(OR(LEFT($D28,5)="Solar",$D28="Wind"),INDEX(Land_Use[MAX],MATCH(LEFT($D28,5),Land_Use[Tech],0)),0)*$E28</f>
        <v>0</v>
      </c>
      <c r="N28" s="13">
        <f>E28*AG28*1000/1000000</f>
        <v>393.59999999999997</v>
      </c>
      <c r="O28" s="13">
        <f t="shared" si="1"/>
        <v>0</v>
      </c>
      <c r="P28" s="13">
        <f t="shared" si="2"/>
        <v>0</v>
      </c>
      <c r="Q28" s="13">
        <f t="shared" si="3"/>
        <v>0</v>
      </c>
      <c r="R28" s="13">
        <f t="shared" si="4"/>
        <v>0</v>
      </c>
      <c r="S28" s="30">
        <f t="shared" si="10"/>
        <v>0</v>
      </c>
      <c r="T28" s="30">
        <f t="shared" si="11"/>
        <v>0</v>
      </c>
      <c r="U28" s="30">
        <f t="shared" si="12"/>
        <v>0</v>
      </c>
      <c r="V28" s="30">
        <f t="shared" si="13"/>
        <v>0</v>
      </c>
      <c r="W28" s="30">
        <f t="shared" si="14"/>
        <v>0</v>
      </c>
      <c r="X28" s="30">
        <f t="shared" si="15"/>
        <v>0</v>
      </c>
      <c r="Z28" s="23" t="s">
        <v>76</v>
      </c>
      <c r="AA28" s="40" t="str">
        <f>IF(C28="Electricity",E28*SUMIFS(Electricity!S:S,Electricity!P:P,UserMade_Scenario!B28,Electricity!M:M,UserMade_Scenario!Z28,Electricity!O:O,UserMade_Scenario!D28),"")</f>
        <v/>
      </c>
      <c r="AB28" s="76">
        <f>1000*Assumptions!$B$17/1000000000000</f>
        <v>1.1999999999999999E-7</v>
      </c>
      <c r="AC28" s="67" t="s">
        <v>77</v>
      </c>
      <c r="AD28" s="39">
        <f>SUMIFS(Hydrogen!AK:AK,Hydrogen!$AA:$AA,UserMade_Scenario!$Z28,Hydrogen!$Y:$Y,UserMade_Scenario!$D28,Hydrogen!$AB:$AB,UserMade_Scenario!$B28,Hydrogen!$Z:$Z,UserMade_Scenario!$C28)</f>
        <v>-86.41461434749688</v>
      </c>
      <c r="AE28" s="39">
        <f>SUMIFS(Hydrogen!AL:AL,Hydrogen!$AA:$AA,UserMade_Scenario!$Z28,Hydrogen!$Y:$Y,UserMade_Scenario!$D28,Hydrogen!$AB:$AB,UserMade_Scenario!$B28,Hydrogen!$Z:$Z,UserMade_Scenario!$C28)</f>
        <v>-82.889228694993761</v>
      </c>
      <c r="AF28" s="39">
        <f>SUMIFS(Hydrogen!AM:AM,Hydrogen!$AA:$AA,UserMade_Scenario!$Z28,Hydrogen!$Y:$Y,UserMade_Scenario!$D28,Hydrogen!$AB:$AB,UserMade_Scenario!$B28,Hydrogen!$Z:$Z,UserMade_Scenario!$C28)</f>
        <v>-89.94</v>
      </c>
      <c r="AG28" s="68">
        <f>IFERROR(INDEX(WaterUseH2[Average Direct Water Consumption (Gal/ kg h2)],MATCH(LEFT(D28,3),WaterUseH2[Key],0)),0)</f>
        <v>4.0999999999999996</v>
      </c>
      <c r="AH28">
        <v>14</v>
      </c>
      <c r="AI28">
        <v>1.4</v>
      </c>
      <c r="AJ28">
        <v>250</v>
      </c>
      <c r="AK28">
        <v>0.31</v>
      </c>
      <c r="AL28" s="63">
        <f>IFERROR(INDEX(Job_Training[[Solar]:[Wind]],MATCH(AL$1,Job_Training[[`Typical Entry Level Education`]:[`Typical Entry Level Education`]],0),MATCH(LEFT($D28,5),Job_Training[[#Headers],[Solar]:[Wind]],0)),0)</f>
        <v>0</v>
      </c>
      <c r="AM28" s="63">
        <f>IFERROR(INDEX(Job_Training[[Solar]:[Wind]],MATCH(AM$1,Job_Training[[`Typical Entry Level Education`]:[`Typical Entry Level Education`]],0),MATCH(LEFT($D28,5),Job_Training[[#Headers],[Solar]:[Wind]],0)),0)</f>
        <v>0</v>
      </c>
      <c r="AN28" s="63">
        <f>IFERROR(INDEX(Job_Training[[Solar]:[Wind]],MATCH(AN$1,Job_Training[[`Typical Entry Level Education`]:[`Typical Entry Level Education`]],0),MATCH(LEFT($D28,5),Job_Training[[#Headers],[Solar]:[Wind]],0)),0)</f>
        <v>0</v>
      </c>
      <c r="AO28" s="63">
        <f>IFERROR(INDEX(Job_Training[[Solar]:[Wind]],MATCH(AO$1,Job_Training[[`Typical Entry Level Education`]:[`Typical Entry Level Education`]],0),MATCH(LEFT($D28,5),Job_Training[[#Headers],[Solar]:[Wind]],0)),0)</f>
        <v>0</v>
      </c>
      <c r="AP28">
        <f t="shared" si="16"/>
        <v>0</v>
      </c>
      <c r="AQ28" s="63">
        <f>IF(AP28&gt;0,IFERROR(INDEX(Assumptions!$C$165:$D$165,MATCH(LEFT($D28,5),Job_Training[[#Headers],[Solar]:[Wind]],0)),0),0)</f>
        <v>0</v>
      </c>
      <c r="AR28">
        <f>IF(AP28&gt;0,IFERROR(INDEX(Assumptions!$C$166:$D$166,MATCH(LEFT($D28,5),Job_Training[[#Headers],[Solar]:[Wind]],0)),0),0)</f>
        <v>0</v>
      </c>
    </row>
    <row r="29" spans="1:44" x14ac:dyDescent="0.35">
      <c r="A29" t="str">
        <f>UserInput!$B$2</f>
        <v>Current Projects</v>
      </c>
      <c r="B29">
        <v>2031</v>
      </c>
      <c r="C29" t="s">
        <v>78</v>
      </c>
      <c r="D29" t="s">
        <v>79</v>
      </c>
      <c r="E29" s="66">
        <f>INDEX(UserInput!$C$2:$M$22,MATCH(UserMade_Scenario!B29,UserInput!$A$2:$A$22,0),MATCH(LEFT(IF(RIGHT(C29,2)="H2",UserMade_Scenario!C29,D29),3),UserInput!$C$25:$M$25,0))</f>
        <v>96000</v>
      </c>
      <c r="F29" s="14" t="s">
        <v>75</v>
      </c>
      <c r="G29" s="14">
        <f t="shared" si="17"/>
        <v>1.1519999999999999E-2</v>
      </c>
      <c r="H29" s="63">
        <f t="shared" si="6"/>
        <v>0.98737778844906665</v>
      </c>
      <c r="I29" s="63">
        <f t="shared" si="7"/>
        <v>0.93864677689813369</v>
      </c>
      <c r="J29" s="63">
        <f t="shared" si="8"/>
        <v>1.0361087999999998</v>
      </c>
      <c r="K29" s="30">
        <f>IF(OR(LEFT($D29,5)="Solar",$D29="Wind"),INDEX(Land_Use[AVG],MATCH(LEFT($D29,5),Land_Use[Tech],0)),0)*$E29</f>
        <v>0</v>
      </c>
      <c r="L29" s="30">
        <f>IF(OR(LEFT($D29,5)="Solar",$D29="Wind"),INDEX(Land_Use[MIN],MATCH(LEFT($D29,5),Land_Use[Tech],0)),0)*$E29</f>
        <v>0</v>
      </c>
      <c r="M29" s="30">
        <f>IF(OR(LEFT($D29,5)="Solar",$D29="Wind"),INDEX(Land_Use[MAX],MATCH(LEFT($D29,5),Land_Use[Tech],0)),0)*$E29</f>
        <v>0</v>
      </c>
      <c r="N29" s="13">
        <f t="shared" si="9"/>
        <v>393.59999999999997</v>
      </c>
      <c r="O29" s="13">
        <f t="shared" si="1"/>
        <v>0</v>
      </c>
      <c r="P29" s="13">
        <f t="shared" si="2"/>
        <v>0</v>
      </c>
      <c r="Q29" s="13">
        <f t="shared" si="3"/>
        <v>0</v>
      </c>
      <c r="R29" s="13">
        <f t="shared" si="4"/>
        <v>0</v>
      </c>
      <c r="S29" s="30">
        <f t="shared" si="10"/>
        <v>0</v>
      </c>
      <c r="T29" s="30">
        <f t="shared" si="11"/>
        <v>0</v>
      </c>
      <c r="U29" s="30">
        <f t="shared" si="12"/>
        <v>0</v>
      </c>
      <c r="V29" s="30">
        <f t="shared" si="13"/>
        <v>0</v>
      </c>
      <c r="W29" s="30">
        <f t="shared" si="14"/>
        <v>0</v>
      </c>
      <c r="X29" s="30">
        <f t="shared" si="15"/>
        <v>0</v>
      </c>
      <c r="Z29" s="23" t="s">
        <v>76</v>
      </c>
      <c r="AA29" s="40" t="str">
        <f>IF(C29="Electricity",E29*SUMIFS(Electricity!S:S,Electricity!P:P,UserMade_Scenario!B29,Electricity!M:M,UserMade_Scenario!Z29,Electricity!O:O,UserMade_Scenario!D29),"")</f>
        <v/>
      </c>
      <c r="AB29" s="76">
        <f>1000*Assumptions!$B$17/1000000000000</f>
        <v>1.1999999999999999E-7</v>
      </c>
      <c r="AC29" s="67" t="s">
        <v>77</v>
      </c>
      <c r="AD29" s="39">
        <f>SUMIFS(Hydrogen!AK:AK,Hydrogen!$AA:$AA,UserMade_Scenario!$Z29,Hydrogen!$Y:$Y,UserMade_Scenario!$D29,Hydrogen!$AB:$AB,UserMade_Scenario!$B29,Hydrogen!$Z:$Z,UserMade_Scenario!$C29)</f>
        <v>-85.709877469537048</v>
      </c>
      <c r="AE29" s="39">
        <f>SUMIFS(Hydrogen!AL:AL,Hydrogen!$AA:$AA,UserMade_Scenario!$Z29,Hydrogen!$Y:$Y,UserMade_Scenario!$D29,Hydrogen!$AB:$AB,UserMade_Scenario!$B29,Hydrogen!$Z:$Z,UserMade_Scenario!$C29)</f>
        <v>-81.479754939074112</v>
      </c>
      <c r="AF29" s="39">
        <f>SUMIFS(Hydrogen!AM:AM,Hydrogen!$AA:$AA,UserMade_Scenario!$Z29,Hydrogen!$Y:$Y,UserMade_Scenario!$D29,Hydrogen!$AB:$AB,UserMade_Scenario!$B29,Hydrogen!$Z:$Z,UserMade_Scenario!$C29)</f>
        <v>-89.94</v>
      </c>
      <c r="AG29" s="68">
        <f>IFERROR(INDEX(WaterUseH2[Average Direct Water Consumption (Gal/ kg h2)],MATCH(LEFT(D29,3),WaterUseH2[Key],0)),0)</f>
        <v>4.0999999999999996</v>
      </c>
      <c r="AH29">
        <v>14</v>
      </c>
      <c r="AI29">
        <v>1.4</v>
      </c>
      <c r="AJ29">
        <v>250</v>
      </c>
      <c r="AK29">
        <v>0.31</v>
      </c>
      <c r="AL29" s="63">
        <f>IFERROR(INDEX(Job_Training[[Solar]:[Wind]],MATCH(AL$1,Job_Training[[`Typical Entry Level Education`]:[`Typical Entry Level Education`]],0),MATCH(LEFT($D29,5),Job_Training[[#Headers],[Solar]:[Wind]],0)),0)</f>
        <v>0</v>
      </c>
      <c r="AM29" s="63">
        <f>IFERROR(INDEX(Job_Training[[Solar]:[Wind]],MATCH(AM$1,Job_Training[[`Typical Entry Level Education`]:[`Typical Entry Level Education`]],0),MATCH(LEFT($D29,5),Job_Training[[#Headers],[Solar]:[Wind]],0)),0)</f>
        <v>0</v>
      </c>
      <c r="AN29" s="63">
        <f>IFERROR(INDEX(Job_Training[[Solar]:[Wind]],MATCH(AN$1,Job_Training[[`Typical Entry Level Education`]:[`Typical Entry Level Education`]],0),MATCH(LEFT($D29,5),Job_Training[[#Headers],[Solar]:[Wind]],0)),0)</f>
        <v>0</v>
      </c>
      <c r="AO29" s="63">
        <f>IFERROR(INDEX(Job_Training[[Solar]:[Wind]],MATCH(AO$1,Job_Training[[`Typical Entry Level Education`]:[`Typical Entry Level Education`]],0),MATCH(LEFT($D29,5),Job_Training[[#Headers],[Solar]:[Wind]],0)),0)</f>
        <v>0</v>
      </c>
      <c r="AP29">
        <f t="shared" si="16"/>
        <v>0</v>
      </c>
      <c r="AQ29" s="63">
        <f>IF(AP29&gt;0,IFERROR(INDEX(Assumptions!$C$165:$D$165,MATCH(LEFT($D29,5),Job_Training[[#Headers],[Solar]:[Wind]],0)),0),0)</f>
        <v>0</v>
      </c>
      <c r="AR29">
        <f>IF(AP29&gt;0,IFERROR(INDEX(Assumptions!$C$166:$D$166,MATCH(LEFT($D29,5),Job_Training[[#Headers],[Solar]:[Wind]],0)),0),0)</f>
        <v>0</v>
      </c>
    </row>
    <row r="30" spans="1:44" x14ac:dyDescent="0.35">
      <c r="A30" t="str">
        <f>UserInput!$B$2</f>
        <v>Current Projects</v>
      </c>
      <c r="B30">
        <v>2032</v>
      </c>
      <c r="C30" t="s">
        <v>78</v>
      </c>
      <c r="D30" t="s">
        <v>79</v>
      </c>
      <c r="E30" s="66">
        <f>INDEX(UserInput!$C$2:$M$22,MATCH(UserMade_Scenario!B30,UserInput!$A$2:$A$22,0),MATCH(LEFT(IF(RIGHT(C30,2)="H2",UserMade_Scenario!C30,D30),3),UserInput!$C$25:$M$25,0))</f>
        <v>96000</v>
      </c>
      <c r="F30" s="14" t="s">
        <v>75</v>
      </c>
      <c r="G30" s="14">
        <f t="shared" si="17"/>
        <v>1.1519999999999999E-2</v>
      </c>
      <c r="H30" s="63">
        <f t="shared" si="6"/>
        <v>0.9782923731899158</v>
      </c>
      <c r="I30" s="63">
        <f t="shared" si="7"/>
        <v>0.92047594637983166</v>
      </c>
      <c r="J30" s="63">
        <f t="shared" si="8"/>
        <v>1.0361087999999998</v>
      </c>
      <c r="K30" s="30">
        <f>IF(OR(LEFT($D30,5)="Solar",$D30="Wind"),INDEX(Land_Use[AVG],MATCH(LEFT($D30,5),Land_Use[Tech],0)),0)*$E30</f>
        <v>0</v>
      </c>
      <c r="L30" s="30">
        <f>IF(OR(LEFT($D30,5)="Solar",$D30="Wind"),INDEX(Land_Use[MIN],MATCH(LEFT($D30,5),Land_Use[Tech],0)),0)*$E30</f>
        <v>0</v>
      </c>
      <c r="M30" s="30">
        <f>IF(OR(LEFT($D30,5)="Solar",$D30="Wind"),INDEX(Land_Use[MAX],MATCH(LEFT($D30,5),Land_Use[Tech],0)),0)*$E30</f>
        <v>0</v>
      </c>
      <c r="N30" s="13">
        <f t="shared" si="9"/>
        <v>393.59999999999997</v>
      </c>
      <c r="O30" s="13">
        <f t="shared" si="1"/>
        <v>0</v>
      </c>
      <c r="P30" s="13">
        <f t="shared" si="2"/>
        <v>0</v>
      </c>
      <c r="Q30" s="13">
        <f t="shared" si="3"/>
        <v>0</v>
      </c>
      <c r="R30" s="13">
        <f t="shared" si="4"/>
        <v>0</v>
      </c>
      <c r="S30" s="30">
        <f t="shared" si="10"/>
        <v>0</v>
      </c>
      <c r="T30" s="30">
        <f t="shared" si="11"/>
        <v>0</v>
      </c>
      <c r="U30" s="30">
        <f t="shared" si="12"/>
        <v>0</v>
      </c>
      <c r="V30" s="30">
        <f t="shared" si="13"/>
        <v>0</v>
      </c>
      <c r="W30" s="30">
        <f t="shared" si="14"/>
        <v>0</v>
      </c>
      <c r="X30" s="30">
        <f t="shared" si="15"/>
        <v>0</v>
      </c>
      <c r="Z30" s="23" t="s">
        <v>76</v>
      </c>
      <c r="AA30" s="40" t="str">
        <f>IF(C30="Electricity",E30*SUMIFS(Electricity!S:S,Electricity!P:P,UserMade_Scenario!B30,Electricity!M:M,UserMade_Scenario!Z30,Electricity!O:O,UserMade_Scenario!D30),"")</f>
        <v/>
      </c>
      <c r="AB30" s="76">
        <f>1000*Assumptions!$B$17/1000000000000</f>
        <v>1.1999999999999999E-7</v>
      </c>
      <c r="AC30" s="67" t="s">
        <v>77</v>
      </c>
      <c r="AD30" s="39">
        <f>SUMIFS(Hydrogen!AK:AK,Hydrogen!$AA:$AA,UserMade_Scenario!$Z30,Hydrogen!$Y:$Y,UserMade_Scenario!$D30,Hydrogen!$AB:$AB,UserMade_Scenario!$B30,Hydrogen!$Z:$Z,UserMade_Scenario!$C30)</f>
        <v>-84.921212950513535</v>
      </c>
      <c r="AE30" s="39">
        <f>SUMIFS(Hydrogen!AL:AL,Hydrogen!$AA:$AA,UserMade_Scenario!$Z30,Hydrogen!$Y:$Y,UserMade_Scenario!$D30,Hydrogen!$AB:$AB,UserMade_Scenario!$B30,Hydrogen!$Z:$Z,UserMade_Scenario!$C30)</f>
        <v>-79.902425901027058</v>
      </c>
      <c r="AF30" s="39">
        <f>SUMIFS(Hydrogen!AM:AM,Hydrogen!$AA:$AA,UserMade_Scenario!$Z30,Hydrogen!$Y:$Y,UserMade_Scenario!$D30,Hydrogen!$AB:$AB,UserMade_Scenario!$B30,Hydrogen!$Z:$Z,UserMade_Scenario!$C30)</f>
        <v>-89.94</v>
      </c>
      <c r="AG30" s="68">
        <f>IFERROR(INDEX(WaterUseH2[Average Direct Water Consumption (Gal/ kg h2)],MATCH(LEFT(D30,3),WaterUseH2[Key],0)),0)</f>
        <v>4.0999999999999996</v>
      </c>
      <c r="AH30">
        <v>14</v>
      </c>
      <c r="AI30">
        <v>1.4</v>
      </c>
      <c r="AJ30">
        <v>250</v>
      </c>
      <c r="AK30">
        <v>0.31</v>
      </c>
      <c r="AL30" s="63">
        <f>IFERROR(INDEX(Job_Training[[Solar]:[Wind]],MATCH(AL$1,Job_Training[[`Typical Entry Level Education`]:[`Typical Entry Level Education`]],0),MATCH(LEFT($D30,5),Job_Training[[#Headers],[Solar]:[Wind]],0)),0)</f>
        <v>0</v>
      </c>
      <c r="AM30" s="63">
        <f>IFERROR(INDEX(Job_Training[[Solar]:[Wind]],MATCH(AM$1,Job_Training[[`Typical Entry Level Education`]:[`Typical Entry Level Education`]],0),MATCH(LEFT($D30,5),Job_Training[[#Headers],[Solar]:[Wind]],0)),0)</f>
        <v>0</v>
      </c>
      <c r="AN30" s="63">
        <f>IFERROR(INDEX(Job_Training[[Solar]:[Wind]],MATCH(AN$1,Job_Training[[`Typical Entry Level Education`]:[`Typical Entry Level Education`]],0),MATCH(LEFT($D30,5),Job_Training[[#Headers],[Solar]:[Wind]],0)),0)</f>
        <v>0</v>
      </c>
      <c r="AO30" s="63">
        <f>IFERROR(INDEX(Job_Training[[Solar]:[Wind]],MATCH(AO$1,Job_Training[[`Typical Entry Level Education`]:[`Typical Entry Level Education`]],0),MATCH(LEFT($D30,5),Job_Training[[#Headers],[Solar]:[Wind]],0)),0)</f>
        <v>0</v>
      </c>
      <c r="AP30">
        <f t="shared" si="16"/>
        <v>0</v>
      </c>
      <c r="AQ30" s="63">
        <f>IF(AP30&gt;0,IFERROR(INDEX(Assumptions!$C$165:$D$165,MATCH(LEFT($D30,5),Job_Training[[#Headers],[Solar]:[Wind]],0)),0),0)</f>
        <v>0</v>
      </c>
      <c r="AR30">
        <f>IF(AP30&gt;0,IFERROR(INDEX(Assumptions!$C$166:$D$166,MATCH(LEFT($D30,5),Job_Training[[#Headers],[Solar]:[Wind]],0)),0),0)</f>
        <v>0</v>
      </c>
    </row>
    <row r="31" spans="1:44" x14ac:dyDescent="0.35">
      <c r="A31" t="str">
        <f>UserInput!$B$2</f>
        <v>Current Projects</v>
      </c>
      <c r="B31">
        <v>2033</v>
      </c>
      <c r="C31" t="s">
        <v>78</v>
      </c>
      <c r="D31" t="s">
        <v>79</v>
      </c>
      <c r="E31" s="66">
        <f>INDEX(UserInput!$C$2:$M$22,MATCH(UserMade_Scenario!B31,UserInput!$A$2:$A$22,0),MATCH(LEFT(IF(RIGHT(C31,2)="H2",UserMade_Scenario!C31,D31),3),UserInput!$C$25:$M$25,0))</f>
        <v>96000</v>
      </c>
      <c r="F31" s="14" t="s">
        <v>75</v>
      </c>
      <c r="G31" s="14">
        <f t="shared" si="17"/>
        <v>1.1519999999999999E-2</v>
      </c>
      <c r="H31" s="63">
        <f t="shared" si="6"/>
        <v>0.96785851336816697</v>
      </c>
      <c r="I31" s="63">
        <f t="shared" si="7"/>
        <v>0.89960822673633423</v>
      </c>
      <c r="J31" s="63">
        <f t="shared" si="8"/>
        <v>1.0361087999999998</v>
      </c>
      <c r="K31" s="30">
        <f>IF(OR(LEFT($D31,5)="Solar",$D31="Wind"),INDEX(Land_Use[AVG],MATCH(LEFT($D31,5),Land_Use[Tech],0)),0)*$E31</f>
        <v>0</v>
      </c>
      <c r="L31" s="30">
        <f>IF(OR(LEFT($D31,5)="Solar",$D31="Wind"),INDEX(Land_Use[MIN],MATCH(LEFT($D31,5),Land_Use[Tech],0)),0)*$E31</f>
        <v>0</v>
      </c>
      <c r="M31" s="30">
        <f>IF(OR(LEFT($D31,5)="Solar",$D31="Wind"),INDEX(Land_Use[MAX],MATCH(LEFT($D31,5),Land_Use[Tech],0)),0)*$E31</f>
        <v>0</v>
      </c>
      <c r="N31" s="13">
        <f t="shared" si="9"/>
        <v>393.59999999999997</v>
      </c>
      <c r="O31" s="13">
        <f t="shared" si="1"/>
        <v>0</v>
      </c>
      <c r="P31" s="13">
        <f t="shared" si="2"/>
        <v>0</v>
      </c>
      <c r="Q31" s="13">
        <f t="shared" si="3"/>
        <v>0</v>
      </c>
      <c r="R31" s="13">
        <f t="shared" si="4"/>
        <v>0</v>
      </c>
      <c r="S31" s="30">
        <f t="shared" si="10"/>
        <v>0</v>
      </c>
      <c r="T31" s="30">
        <f t="shared" si="11"/>
        <v>0</v>
      </c>
      <c r="U31" s="30">
        <f t="shared" si="12"/>
        <v>0</v>
      </c>
      <c r="V31" s="30">
        <f t="shared" si="13"/>
        <v>0</v>
      </c>
      <c r="W31" s="30">
        <f t="shared" si="14"/>
        <v>0</v>
      </c>
      <c r="X31" s="30">
        <f t="shared" si="15"/>
        <v>0</v>
      </c>
      <c r="Z31" s="23" t="s">
        <v>76</v>
      </c>
      <c r="AA31" s="40" t="str">
        <f>IF(C31="Electricity",E31*SUMIFS(Electricity!S:S,Electricity!P:P,UserMade_Scenario!B31,Electricity!M:M,UserMade_Scenario!Z31,Electricity!O:O,UserMade_Scenario!D31),"")</f>
        <v/>
      </c>
      <c r="AB31" s="76">
        <f>1000*Assumptions!$B$17/1000000000000</f>
        <v>1.1999999999999999E-7</v>
      </c>
      <c r="AC31" s="67" t="s">
        <v>77</v>
      </c>
      <c r="AD31" s="39">
        <f>SUMIFS(Hydrogen!AK:AK,Hydrogen!$AA:$AA,UserMade_Scenario!$Z31,Hydrogen!$Y:$Y,UserMade_Scenario!$D31,Hydrogen!$AB:$AB,UserMade_Scenario!$B31,Hydrogen!$Z:$Z,UserMade_Scenario!$C31)</f>
        <v>-84.015495952097837</v>
      </c>
      <c r="AE31" s="39">
        <f>SUMIFS(Hydrogen!AL:AL,Hydrogen!$AA:$AA,UserMade_Scenario!$Z31,Hydrogen!$Y:$Y,UserMade_Scenario!$D31,Hydrogen!$AB:$AB,UserMade_Scenario!$B31,Hydrogen!$Z:$Z,UserMade_Scenario!$C31)</f>
        <v>-78.09099190419569</v>
      </c>
      <c r="AF31" s="39">
        <f>SUMIFS(Hydrogen!AM:AM,Hydrogen!$AA:$AA,UserMade_Scenario!$Z31,Hydrogen!$Y:$Y,UserMade_Scenario!$D31,Hydrogen!$AB:$AB,UserMade_Scenario!$B31,Hydrogen!$Z:$Z,UserMade_Scenario!$C31)</f>
        <v>-89.94</v>
      </c>
      <c r="AG31" s="68">
        <f>IFERROR(INDEX(WaterUseH2[Average Direct Water Consumption (Gal/ kg h2)],MATCH(LEFT(D31,3),WaterUseH2[Key],0)),0)</f>
        <v>4.0999999999999996</v>
      </c>
      <c r="AH31">
        <v>14</v>
      </c>
      <c r="AI31">
        <v>1.4</v>
      </c>
      <c r="AJ31">
        <v>250</v>
      </c>
      <c r="AK31">
        <v>0.31</v>
      </c>
      <c r="AL31" s="63">
        <f>IFERROR(INDEX(Job_Training[[Solar]:[Wind]],MATCH(AL$1,Job_Training[[`Typical Entry Level Education`]:[`Typical Entry Level Education`]],0),MATCH(LEFT($D31,5),Job_Training[[#Headers],[Solar]:[Wind]],0)),0)</f>
        <v>0</v>
      </c>
      <c r="AM31" s="63">
        <f>IFERROR(INDEX(Job_Training[[Solar]:[Wind]],MATCH(AM$1,Job_Training[[`Typical Entry Level Education`]:[`Typical Entry Level Education`]],0),MATCH(LEFT($D31,5),Job_Training[[#Headers],[Solar]:[Wind]],0)),0)</f>
        <v>0</v>
      </c>
      <c r="AN31" s="63">
        <f>IFERROR(INDEX(Job_Training[[Solar]:[Wind]],MATCH(AN$1,Job_Training[[`Typical Entry Level Education`]:[`Typical Entry Level Education`]],0),MATCH(LEFT($D31,5),Job_Training[[#Headers],[Solar]:[Wind]],0)),0)</f>
        <v>0</v>
      </c>
      <c r="AO31" s="63">
        <f>IFERROR(INDEX(Job_Training[[Solar]:[Wind]],MATCH(AO$1,Job_Training[[`Typical Entry Level Education`]:[`Typical Entry Level Education`]],0),MATCH(LEFT($D31,5),Job_Training[[#Headers],[Solar]:[Wind]],0)),0)</f>
        <v>0</v>
      </c>
      <c r="AP31">
        <f t="shared" si="16"/>
        <v>0</v>
      </c>
      <c r="AQ31" s="63">
        <f>IF(AP31&gt;0,IFERROR(INDEX(Assumptions!$C$165:$D$165,MATCH(LEFT($D31,5),Job_Training[[#Headers],[Solar]:[Wind]],0)),0),0)</f>
        <v>0</v>
      </c>
      <c r="AR31">
        <f>IF(AP31&gt;0,IFERROR(INDEX(Assumptions!$C$166:$D$166,MATCH(LEFT($D31,5),Job_Training[[#Headers],[Solar]:[Wind]],0)),0),0)</f>
        <v>0</v>
      </c>
    </row>
    <row r="32" spans="1:44" x14ac:dyDescent="0.35">
      <c r="A32" t="str">
        <f>UserInput!$B$2</f>
        <v>Current Projects</v>
      </c>
      <c r="B32">
        <v>2034</v>
      </c>
      <c r="C32" t="s">
        <v>78</v>
      </c>
      <c r="D32" t="s">
        <v>79</v>
      </c>
      <c r="E32" s="66">
        <f>INDEX(UserInput!$C$2:$M$22,MATCH(UserMade_Scenario!B32,UserInput!$A$2:$A$22,0),MATCH(LEFT(IF(RIGHT(C32,2)="H2",UserMade_Scenario!C32,D32),3),UserInput!$C$25:$M$25,0))</f>
        <v>96000</v>
      </c>
      <c r="F32" s="14" t="s">
        <v>75</v>
      </c>
      <c r="G32" s="14">
        <f t="shared" si="17"/>
        <v>1.1519999999999999E-2</v>
      </c>
      <c r="H32" s="63">
        <f t="shared" si="6"/>
        <v>0.95621988465230168</v>
      </c>
      <c r="I32" s="63">
        <f t="shared" si="7"/>
        <v>0.87633096930460352</v>
      </c>
      <c r="J32" s="63">
        <f t="shared" si="8"/>
        <v>1.0361087999999998</v>
      </c>
      <c r="K32" s="30">
        <f>IF(OR(LEFT($D32,5)="Solar",$D32="Wind"),INDEX(Land_Use[AVG],MATCH(LEFT($D32,5),Land_Use[Tech],0)),0)*$E32</f>
        <v>0</v>
      </c>
      <c r="L32" s="30">
        <f>IF(OR(LEFT($D32,5)="Solar",$D32="Wind"),INDEX(Land_Use[MIN],MATCH(LEFT($D32,5),Land_Use[Tech],0)),0)*$E32</f>
        <v>0</v>
      </c>
      <c r="M32" s="30">
        <f>IF(OR(LEFT($D32,5)="Solar",$D32="Wind"),INDEX(Land_Use[MAX],MATCH(LEFT($D32,5),Land_Use[Tech],0)),0)*$E32</f>
        <v>0</v>
      </c>
      <c r="N32" s="13">
        <f t="shared" si="9"/>
        <v>393.59999999999997</v>
      </c>
      <c r="O32" s="13">
        <f t="shared" si="1"/>
        <v>0</v>
      </c>
      <c r="P32" s="13">
        <f t="shared" si="2"/>
        <v>0</v>
      </c>
      <c r="Q32" s="13">
        <f t="shared" si="3"/>
        <v>0</v>
      </c>
      <c r="R32" s="13">
        <f t="shared" si="4"/>
        <v>0</v>
      </c>
      <c r="S32" s="30">
        <f t="shared" si="10"/>
        <v>0</v>
      </c>
      <c r="T32" s="30">
        <f t="shared" si="11"/>
        <v>0</v>
      </c>
      <c r="U32" s="30">
        <f t="shared" si="12"/>
        <v>0</v>
      </c>
      <c r="V32" s="30">
        <f t="shared" si="13"/>
        <v>0</v>
      </c>
      <c r="W32" s="30">
        <f t="shared" si="14"/>
        <v>0</v>
      </c>
      <c r="X32" s="30">
        <f t="shared" si="15"/>
        <v>0</v>
      </c>
      <c r="Z32" s="23" t="s">
        <v>76</v>
      </c>
      <c r="AA32" s="40" t="str">
        <f>IF(C32="Electricity",E32*SUMIFS(Electricity!S:S,Electricity!P:P,UserMade_Scenario!B32,Electricity!M:M,UserMade_Scenario!Z32,Electricity!O:O,UserMade_Scenario!D32),"")</f>
        <v/>
      </c>
      <c r="AB32" s="76">
        <f>1000*Assumptions!$B$17/1000000000000</f>
        <v>1.1999999999999999E-7</v>
      </c>
      <c r="AC32" s="67" t="s">
        <v>77</v>
      </c>
      <c r="AD32" s="39">
        <f>SUMIFS(Hydrogen!AK:AK,Hydrogen!$AA:$AA,UserMade_Scenario!$Z32,Hydrogen!$Y:$Y,UserMade_Scenario!$D32,Hydrogen!$AB:$AB,UserMade_Scenario!$B32,Hydrogen!$Z:$Z,UserMade_Scenario!$C32)</f>
        <v>-83.005198320512307</v>
      </c>
      <c r="AE32" s="39">
        <f>SUMIFS(Hydrogen!AL:AL,Hydrogen!$AA:$AA,UserMade_Scenario!$Z32,Hydrogen!$Y:$Y,UserMade_Scenario!$D32,Hydrogen!$AB:$AB,UserMade_Scenario!$B32,Hydrogen!$Z:$Z,UserMade_Scenario!$C32)</f>
        <v>-76.070396641024615</v>
      </c>
      <c r="AF32" s="39">
        <f>SUMIFS(Hydrogen!AM:AM,Hydrogen!$AA:$AA,UserMade_Scenario!$Z32,Hydrogen!$Y:$Y,UserMade_Scenario!$D32,Hydrogen!$AB:$AB,UserMade_Scenario!$B32,Hydrogen!$Z:$Z,UserMade_Scenario!$C32)</f>
        <v>-89.94</v>
      </c>
      <c r="AG32" s="68">
        <f>IFERROR(INDEX(WaterUseH2[Average Direct Water Consumption (Gal/ kg h2)],MATCH(LEFT(D32,3),WaterUseH2[Key],0)),0)</f>
        <v>4.0999999999999996</v>
      </c>
      <c r="AH32">
        <v>14</v>
      </c>
      <c r="AI32">
        <v>1.4</v>
      </c>
      <c r="AJ32">
        <v>250</v>
      </c>
      <c r="AK32">
        <v>0.31</v>
      </c>
      <c r="AL32" s="63">
        <f>IFERROR(INDEX(Job_Training[[Solar]:[Wind]],MATCH(AL$1,Job_Training[[`Typical Entry Level Education`]:[`Typical Entry Level Education`]],0),MATCH(LEFT($D32,5),Job_Training[[#Headers],[Solar]:[Wind]],0)),0)</f>
        <v>0</v>
      </c>
      <c r="AM32" s="63">
        <f>IFERROR(INDEX(Job_Training[[Solar]:[Wind]],MATCH(AM$1,Job_Training[[`Typical Entry Level Education`]:[`Typical Entry Level Education`]],0),MATCH(LEFT($D32,5),Job_Training[[#Headers],[Solar]:[Wind]],0)),0)</f>
        <v>0</v>
      </c>
      <c r="AN32" s="63">
        <f>IFERROR(INDEX(Job_Training[[Solar]:[Wind]],MATCH(AN$1,Job_Training[[`Typical Entry Level Education`]:[`Typical Entry Level Education`]],0),MATCH(LEFT($D32,5),Job_Training[[#Headers],[Solar]:[Wind]],0)),0)</f>
        <v>0</v>
      </c>
      <c r="AO32" s="63">
        <f>IFERROR(INDEX(Job_Training[[Solar]:[Wind]],MATCH(AO$1,Job_Training[[`Typical Entry Level Education`]:[`Typical Entry Level Education`]],0),MATCH(LEFT($D32,5),Job_Training[[#Headers],[Solar]:[Wind]],0)),0)</f>
        <v>0</v>
      </c>
      <c r="AP32">
        <f t="shared" si="16"/>
        <v>0</v>
      </c>
      <c r="AQ32" s="63">
        <f>IF(AP32&gt;0,IFERROR(INDEX(Assumptions!$C$165:$D$165,MATCH(LEFT($D32,5),Job_Training[[#Headers],[Solar]:[Wind]],0)),0),0)</f>
        <v>0</v>
      </c>
      <c r="AR32">
        <f>IF(AP32&gt;0,IFERROR(INDEX(Assumptions!$C$166:$D$166,MATCH(LEFT($D32,5),Job_Training[[#Headers],[Solar]:[Wind]],0)),0),0)</f>
        <v>0</v>
      </c>
    </row>
    <row r="33" spans="1:44" x14ac:dyDescent="0.35">
      <c r="A33" t="str">
        <f>UserInput!$B$2</f>
        <v>Current Projects</v>
      </c>
      <c r="B33">
        <v>2035</v>
      </c>
      <c r="C33" t="s">
        <v>78</v>
      </c>
      <c r="D33" t="s">
        <v>79</v>
      </c>
      <c r="E33" s="66">
        <f>INDEX(UserInput!$C$2:$M$22,MATCH(UserMade_Scenario!B33,UserInput!$A$2:$A$22,0),MATCH(LEFT(IF(RIGHT(C33,2)="H2",UserMade_Scenario!C33,D33),3),UserInput!$C$25:$M$25,0))</f>
        <v>96000</v>
      </c>
      <c r="F33" s="14" t="s">
        <v>75</v>
      </c>
      <c r="G33" s="14">
        <f t="shared" si="17"/>
        <v>1.1519999999999999E-2</v>
      </c>
      <c r="H33" s="63">
        <f t="shared" si="6"/>
        <v>0.94293111075700808</v>
      </c>
      <c r="I33" s="63">
        <f t="shared" si="7"/>
        <v>0.84975342151401623</v>
      </c>
      <c r="J33" s="63">
        <f t="shared" si="8"/>
        <v>1.0361087999999998</v>
      </c>
      <c r="K33" s="30">
        <f>IF(OR(LEFT($D33,5)="Solar",$D33="Wind"),INDEX(Land_Use[AVG],MATCH(LEFT($D33,5),Land_Use[Tech],0)),0)*$E33</f>
        <v>0</v>
      </c>
      <c r="L33" s="30">
        <f>IF(OR(LEFT($D33,5)="Solar",$D33="Wind"),INDEX(Land_Use[MIN],MATCH(LEFT($D33,5),Land_Use[Tech],0)),0)*$E33</f>
        <v>0</v>
      </c>
      <c r="M33" s="30">
        <f>IF(OR(LEFT($D33,5)="Solar",$D33="Wind"),INDEX(Land_Use[MAX],MATCH(LEFT($D33,5),Land_Use[Tech],0)),0)*$E33</f>
        <v>0</v>
      </c>
      <c r="N33" s="13">
        <f t="shared" si="9"/>
        <v>393.59999999999997</v>
      </c>
      <c r="O33" s="13">
        <f t="shared" si="1"/>
        <v>0</v>
      </c>
      <c r="P33" s="13">
        <f t="shared" si="2"/>
        <v>0</v>
      </c>
      <c r="Q33" s="13">
        <f t="shared" si="3"/>
        <v>0</v>
      </c>
      <c r="R33" s="13">
        <f t="shared" si="4"/>
        <v>0</v>
      </c>
      <c r="S33" s="30">
        <f t="shared" si="10"/>
        <v>0</v>
      </c>
      <c r="T33" s="30">
        <f t="shared" si="11"/>
        <v>0</v>
      </c>
      <c r="U33" s="30">
        <f t="shared" si="12"/>
        <v>0</v>
      </c>
      <c r="V33" s="30">
        <f t="shared" si="13"/>
        <v>0</v>
      </c>
      <c r="W33" s="30">
        <f t="shared" si="14"/>
        <v>0</v>
      </c>
      <c r="X33" s="30">
        <f t="shared" si="15"/>
        <v>0</v>
      </c>
      <c r="Z33" s="23" t="s">
        <v>76</v>
      </c>
      <c r="AA33" s="40" t="str">
        <f>IF(C33="Electricity",E33*SUMIFS(Electricity!S:S,Electricity!P:P,UserMade_Scenario!B33,Electricity!M:M,UserMade_Scenario!Z33,Electricity!O:O,UserMade_Scenario!D33),"")</f>
        <v/>
      </c>
      <c r="AB33" s="76">
        <f>1000*Assumptions!$B$17/1000000000000</f>
        <v>1.1999999999999999E-7</v>
      </c>
      <c r="AC33" s="67" t="s">
        <v>77</v>
      </c>
      <c r="AD33" s="39">
        <f>SUMIFS(Hydrogen!AK:AK,Hydrogen!$AA:$AA,UserMade_Scenario!$Z33,Hydrogen!$Y:$Y,UserMade_Scenario!$D33,Hydrogen!$AB:$AB,UserMade_Scenario!$B33,Hydrogen!$Z:$Z,UserMade_Scenario!$C33)</f>
        <v>-81.851658919879185</v>
      </c>
      <c r="AE33" s="39">
        <f>SUMIFS(Hydrogen!AL:AL,Hydrogen!$AA:$AA,UserMade_Scenario!$Z33,Hydrogen!$Y:$Y,UserMade_Scenario!$D33,Hydrogen!$AB:$AB,UserMade_Scenario!$B33,Hydrogen!$Z:$Z,UserMade_Scenario!$C33)</f>
        <v>-73.763317839758358</v>
      </c>
      <c r="AF33" s="39">
        <f>SUMIFS(Hydrogen!AM:AM,Hydrogen!$AA:$AA,UserMade_Scenario!$Z33,Hydrogen!$Y:$Y,UserMade_Scenario!$D33,Hydrogen!$AB:$AB,UserMade_Scenario!$B33,Hydrogen!$Z:$Z,UserMade_Scenario!$C33)</f>
        <v>-89.94</v>
      </c>
      <c r="AG33" s="68">
        <f>IFERROR(INDEX(WaterUseH2[Average Direct Water Consumption (Gal/ kg h2)],MATCH(LEFT(D33,3),WaterUseH2[Key],0)),0)</f>
        <v>4.0999999999999996</v>
      </c>
      <c r="AH33">
        <v>14</v>
      </c>
      <c r="AI33">
        <v>1.4</v>
      </c>
      <c r="AJ33">
        <v>250</v>
      </c>
      <c r="AK33">
        <v>0.31</v>
      </c>
      <c r="AL33" s="63">
        <f>IFERROR(INDEX(Job_Training[[Solar]:[Wind]],MATCH(AL$1,Job_Training[[`Typical Entry Level Education`]:[`Typical Entry Level Education`]],0),MATCH(LEFT($D33,5),Job_Training[[#Headers],[Solar]:[Wind]],0)),0)</f>
        <v>0</v>
      </c>
      <c r="AM33" s="63">
        <f>IFERROR(INDEX(Job_Training[[Solar]:[Wind]],MATCH(AM$1,Job_Training[[`Typical Entry Level Education`]:[`Typical Entry Level Education`]],0),MATCH(LEFT($D33,5),Job_Training[[#Headers],[Solar]:[Wind]],0)),0)</f>
        <v>0</v>
      </c>
      <c r="AN33" s="63">
        <f>IFERROR(INDEX(Job_Training[[Solar]:[Wind]],MATCH(AN$1,Job_Training[[`Typical Entry Level Education`]:[`Typical Entry Level Education`]],0),MATCH(LEFT($D33,5),Job_Training[[#Headers],[Solar]:[Wind]],0)),0)</f>
        <v>0</v>
      </c>
      <c r="AO33" s="63">
        <f>IFERROR(INDEX(Job_Training[[Solar]:[Wind]],MATCH(AO$1,Job_Training[[`Typical Entry Level Education`]:[`Typical Entry Level Education`]],0),MATCH(LEFT($D33,5),Job_Training[[#Headers],[Solar]:[Wind]],0)),0)</f>
        <v>0</v>
      </c>
      <c r="AP33">
        <f t="shared" si="16"/>
        <v>0</v>
      </c>
      <c r="AQ33" s="63">
        <f>IF(AP33&gt;0,IFERROR(INDEX(Assumptions!$C$165:$D$165,MATCH(LEFT($D33,5),Job_Training[[#Headers],[Solar]:[Wind]],0)),0),0)</f>
        <v>0</v>
      </c>
      <c r="AR33">
        <f>IF(AP33&gt;0,IFERROR(INDEX(Assumptions!$C$166:$D$166,MATCH(LEFT($D33,5),Job_Training[[#Headers],[Solar]:[Wind]],0)),0),0)</f>
        <v>0</v>
      </c>
    </row>
    <row r="34" spans="1:44" x14ac:dyDescent="0.35">
      <c r="A34" t="str">
        <f>UserInput!$B$2</f>
        <v>Current Projects</v>
      </c>
      <c r="B34">
        <v>2036</v>
      </c>
      <c r="C34" t="s">
        <v>78</v>
      </c>
      <c r="D34" t="s">
        <v>79</v>
      </c>
      <c r="E34" s="66">
        <f>INDEX(UserInput!$C$2:$M$22,MATCH(UserMade_Scenario!B34,UserInput!$A$2:$A$22,0),MATCH(LEFT(IF(RIGHT(C34,2)="H2",UserMade_Scenario!C34,D34),3),UserInput!$C$25:$M$25,0))</f>
        <v>96000</v>
      </c>
      <c r="F34" s="14" t="s">
        <v>75</v>
      </c>
      <c r="G34" s="14">
        <f t="shared" si="17"/>
        <v>1.1519999999999999E-2</v>
      </c>
      <c r="H34" s="63">
        <f t="shared" si="6"/>
        <v>0.92867757872061873</v>
      </c>
      <c r="I34" s="63">
        <f t="shared" si="7"/>
        <v>0.82124635744123764</v>
      </c>
      <c r="J34" s="63">
        <f t="shared" si="8"/>
        <v>1.0361087999999998</v>
      </c>
      <c r="K34" s="30">
        <f>IF(OR(LEFT($D34,5)="Solar",$D34="Wind"),INDEX(Land_Use[AVG],MATCH(LEFT($D34,5),Land_Use[Tech],0)),0)*$E34</f>
        <v>0</v>
      </c>
      <c r="L34" s="30">
        <f>IF(OR(LEFT($D34,5)="Solar",$D34="Wind"),INDEX(Land_Use[MIN],MATCH(LEFT($D34,5),Land_Use[Tech],0)),0)*$E34</f>
        <v>0</v>
      </c>
      <c r="M34" s="30">
        <f>IF(OR(LEFT($D34,5)="Solar",$D34="Wind"),INDEX(Land_Use[MAX],MATCH(LEFT($D34,5),Land_Use[Tech],0)),0)*$E34</f>
        <v>0</v>
      </c>
      <c r="N34" s="13">
        <f t="shared" ref="N34:N107" si="18">E34*AG34*1000/1000000</f>
        <v>393.59999999999997</v>
      </c>
      <c r="O34" s="13">
        <f t="shared" ref="O34:O107" si="19">$K34*AH$2</f>
        <v>0</v>
      </c>
      <c r="P34" s="13">
        <f t="shared" ref="P34:P107" si="20">$K34*AI$2</f>
        <v>0</v>
      </c>
      <c r="Q34" s="13">
        <f t="shared" ref="Q34:Q107" si="21">$K34*AJ$2</f>
        <v>0</v>
      </c>
      <c r="R34" s="13">
        <f t="shared" ref="R34:R107" si="22">$K34*AK$2</f>
        <v>0</v>
      </c>
      <c r="S34" s="30">
        <f t="shared" si="10"/>
        <v>0</v>
      </c>
      <c r="T34" s="30">
        <f t="shared" si="11"/>
        <v>0</v>
      </c>
      <c r="U34" s="30">
        <f t="shared" si="12"/>
        <v>0</v>
      </c>
      <c r="V34" s="30">
        <f t="shared" si="13"/>
        <v>0</v>
      </c>
      <c r="W34" s="30">
        <f t="shared" si="14"/>
        <v>0</v>
      </c>
      <c r="X34" s="30">
        <f t="shared" si="15"/>
        <v>0</v>
      </c>
      <c r="Z34" s="23" t="s">
        <v>76</v>
      </c>
      <c r="AA34" s="40" t="str">
        <f>IF(C34="Electricity",E34*SUMIFS(Electricity!S:S,Electricity!P:P,UserMade_Scenario!B34,Electricity!M:M,UserMade_Scenario!Z34,Electricity!O:O,UserMade_Scenario!D34),"")</f>
        <v/>
      </c>
      <c r="AB34" s="76">
        <f>1000*Assumptions!$B$17/1000000000000</f>
        <v>1.1999999999999999E-7</v>
      </c>
      <c r="AC34" s="67" t="s">
        <v>77</v>
      </c>
      <c r="AD34" s="39">
        <f>SUMIFS(Hydrogen!AK:AK,Hydrogen!$AA:$AA,UserMade_Scenario!$Z34,Hydrogen!$Y:$Y,UserMade_Scenario!$D34,Hydrogen!$AB:$AB,UserMade_Scenario!$B34,Hydrogen!$Z:$Z,UserMade_Scenario!$C34)</f>
        <v>-80.61437315283149</v>
      </c>
      <c r="AE34" s="39">
        <f>SUMIFS(Hydrogen!AL:AL,Hydrogen!$AA:$AA,UserMade_Scenario!$Z34,Hydrogen!$Y:$Y,UserMade_Scenario!$D34,Hydrogen!$AB:$AB,UserMade_Scenario!$B34,Hydrogen!$Z:$Z,UserMade_Scenario!$C34)</f>
        <v>-71.288746305662997</v>
      </c>
      <c r="AF34" s="39">
        <f>SUMIFS(Hydrogen!AM:AM,Hydrogen!$AA:$AA,UserMade_Scenario!$Z34,Hydrogen!$Y:$Y,UserMade_Scenario!$D34,Hydrogen!$AB:$AB,UserMade_Scenario!$B34,Hydrogen!$Z:$Z,UserMade_Scenario!$C34)</f>
        <v>-89.94</v>
      </c>
      <c r="AG34" s="68">
        <f>IFERROR(INDEX(WaterUseH2[Average Direct Water Consumption (Gal/ kg h2)],MATCH(LEFT(D34,3),WaterUseH2[Key],0)),0)</f>
        <v>4.0999999999999996</v>
      </c>
      <c r="AH34">
        <v>14</v>
      </c>
      <c r="AI34">
        <v>1.4</v>
      </c>
      <c r="AJ34">
        <v>250</v>
      </c>
      <c r="AK34">
        <v>0.31</v>
      </c>
      <c r="AL34" s="63">
        <f>IFERROR(INDEX(Job_Training[[Solar]:[Wind]],MATCH(AL$1,Job_Training[[`Typical Entry Level Education`]:[`Typical Entry Level Education`]],0),MATCH(LEFT($D34,5),Job_Training[[#Headers],[Solar]:[Wind]],0)),0)</f>
        <v>0</v>
      </c>
      <c r="AM34" s="63">
        <f>IFERROR(INDEX(Job_Training[[Solar]:[Wind]],MATCH(AM$1,Job_Training[[`Typical Entry Level Education`]:[`Typical Entry Level Education`]],0),MATCH(LEFT($D34,5),Job_Training[[#Headers],[Solar]:[Wind]],0)),0)</f>
        <v>0</v>
      </c>
      <c r="AN34" s="63">
        <f>IFERROR(INDEX(Job_Training[[Solar]:[Wind]],MATCH(AN$1,Job_Training[[`Typical Entry Level Education`]:[`Typical Entry Level Education`]],0),MATCH(LEFT($D34,5),Job_Training[[#Headers],[Solar]:[Wind]],0)),0)</f>
        <v>0</v>
      </c>
      <c r="AO34" s="63">
        <f>IFERROR(INDEX(Job_Training[[Solar]:[Wind]],MATCH(AO$1,Job_Training[[`Typical Entry Level Education`]:[`Typical Entry Level Education`]],0),MATCH(LEFT($D34,5),Job_Training[[#Headers],[Solar]:[Wind]],0)),0)</f>
        <v>0</v>
      </c>
      <c r="AP34">
        <f t="shared" si="16"/>
        <v>0</v>
      </c>
      <c r="AQ34" s="63">
        <f>IF(AP34&gt;0,IFERROR(INDEX(Assumptions!$C$165:$D$165,MATCH(LEFT($D34,5),Job_Training[[#Headers],[Solar]:[Wind]],0)),0),0)</f>
        <v>0</v>
      </c>
      <c r="AR34">
        <f>IF(AP34&gt;0,IFERROR(INDEX(Assumptions!$C$166:$D$166,MATCH(LEFT($D34,5),Job_Training[[#Headers],[Solar]:[Wind]],0)),0),0)</f>
        <v>0</v>
      </c>
    </row>
    <row r="35" spans="1:44" x14ac:dyDescent="0.35">
      <c r="A35" t="str">
        <f>UserInput!$B$2</f>
        <v>Current Projects</v>
      </c>
      <c r="B35">
        <v>2037</v>
      </c>
      <c r="C35" t="s">
        <v>78</v>
      </c>
      <c r="D35" t="s">
        <v>79</v>
      </c>
      <c r="E35" s="66">
        <f>INDEX(UserInput!$C$2:$M$22,MATCH(UserMade_Scenario!B35,UserInput!$A$2:$A$22,0),MATCH(LEFT(IF(RIGHT(C35,2)="H2",UserMade_Scenario!C35,D35),3),UserInput!$C$25:$M$25,0))</f>
        <v>96000</v>
      </c>
      <c r="F35" s="14" t="s">
        <v>75</v>
      </c>
      <c r="G35" s="14">
        <f t="shared" si="17"/>
        <v>1.1519999999999999E-2</v>
      </c>
      <c r="H35" s="63">
        <f t="shared" si="6"/>
        <v>0.913949382972156</v>
      </c>
      <c r="I35" s="63">
        <f t="shared" si="7"/>
        <v>0.79178996594431228</v>
      </c>
      <c r="J35" s="63">
        <f t="shared" si="8"/>
        <v>1.0361087999999998</v>
      </c>
      <c r="K35" s="30">
        <f>IF(OR(LEFT($D35,5)="Solar",$D35="Wind"),INDEX(Land_Use[AVG],MATCH(LEFT($D35,5),Land_Use[Tech],0)),0)*$E35</f>
        <v>0</v>
      </c>
      <c r="L35" s="30">
        <f>IF(OR(LEFT($D35,5)="Solar",$D35="Wind"),INDEX(Land_Use[MIN],MATCH(LEFT($D35,5),Land_Use[Tech],0)),0)*$E35</f>
        <v>0</v>
      </c>
      <c r="M35" s="30">
        <f>IF(OR(LEFT($D35,5)="Solar",$D35="Wind"),INDEX(Land_Use[MAX],MATCH(LEFT($D35,5),Land_Use[Tech],0)),0)*$E35</f>
        <v>0</v>
      </c>
      <c r="N35" s="13">
        <f t="shared" si="18"/>
        <v>393.59999999999997</v>
      </c>
      <c r="O35" s="13">
        <f t="shared" si="19"/>
        <v>0</v>
      </c>
      <c r="P35" s="13">
        <f t="shared" si="20"/>
        <v>0</v>
      </c>
      <c r="Q35" s="13">
        <f t="shared" si="21"/>
        <v>0</v>
      </c>
      <c r="R35" s="13">
        <f t="shared" si="22"/>
        <v>0</v>
      </c>
      <c r="S35" s="30">
        <f t="shared" si="10"/>
        <v>0</v>
      </c>
      <c r="T35" s="30">
        <f t="shared" si="11"/>
        <v>0</v>
      </c>
      <c r="U35" s="30">
        <f t="shared" si="12"/>
        <v>0</v>
      </c>
      <c r="V35" s="30">
        <f t="shared" si="13"/>
        <v>0</v>
      </c>
      <c r="W35" s="30">
        <f t="shared" si="14"/>
        <v>0</v>
      </c>
      <c r="X35" s="30">
        <f t="shared" si="15"/>
        <v>0</v>
      </c>
      <c r="Z35" s="23" t="s">
        <v>76</v>
      </c>
      <c r="AA35" s="40" t="str">
        <f>IF(C35="Electricity",E35*SUMIFS(Electricity!S:S,Electricity!P:P,UserMade_Scenario!B35,Electricity!M:M,UserMade_Scenario!Z35,Electricity!O:O,UserMade_Scenario!D35),"")</f>
        <v/>
      </c>
      <c r="AB35" s="76">
        <f>1000*Assumptions!$B$17/1000000000000</f>
        <v>1.1999999999999999E-7</v>
      </c>
      <c r="AC35" s="67" t="s">
        <v>77</v>
      </c>
      <c r="AD35" s="39">
        <f>SUMIFS(Hydrogen!AK:AK,Hydrogen!$AA:$AA,UserMade_Scenario!$Z35,Hydrogen!$Y:$Y,UserMade_Scenario!$D35,Hydrogen!$AB:$AB,UserMade_Scenario!$B35,Hydrogen!$Z:$Z,UserMade_Scenario!$C35)</f>
        <v>-79.335883938555213</v>
      </c>
      <c r="AE35" s="39">
        <f>SUMIFS(Hydrogen!AL:AL,Hydrogen!$AA:$AA,UserMade_Scenario!$Z35,Hydrogen!$Y:$Y,UserMade_Scenario!$D35,Hydrogen!$AB:$AB,UserMade_Scenario!$B35,Hydrogen!$Z:$Z,UserMade_Scenario!$C35)</f>
        <v>-68.731767877110443</v>
      </c>
      <c r="AF35" s="39">
        <f>SUMIFS(Hydrogen!AM:AM,Hydrogen!$AA:$AA,UserMade_Scenario!$Z35,Hydrogen!$Y:$Y,UserMade_Scenario!$D35,Hydrogen!$AB:$AB,UserMade_Scenario!$B35,Hydrogen!$Z:$Z,UserMade_Scenario!$C35)</f>
        <v>-89.94</v>
      </c>
      <c r="AG35" s="68">
        <f>IFERROR(INDEX(WaterUseH2[Average Direct Water Consumption (Gal/ kg h2)],MATCH(LEFT(D35,3),WaterUseH2[Key],0)),0)</f>
        <v>4.0999999999999996</v>
      </c>
      <c r="AH35">
        <v>14</v>
      </c>
      <c r="AI35">
        <v>1.4</v>
      </c>
      <c r="AJ35">
        <v>250</v>
      </c>
      <c r="AK35">
        <v>0.31</v>
      </c>
      <c r="AL35" s="63">
        <f>IFERROR(INDEX(Job_Training[[Solar]:[Wind]],MATCH(AL$1,Job_Training[[`Typical Entry Level Education`]:[`Typical Entry Level Education`]],0),MATCH(LEFT($D35,5),Job_Training[[#Headers],[Solar]:[Wind]],0)),0)</f>
        <v>0</v>
      </c>
      <c r="AM35" s="63">
        <f>IFERROR(INDEX(Job_Training[[Solar]:[Wind]],MATCH(AM$1,Job_Training[[`Typical Entry Level Education`]:[`Typical Entry Level Education`]],0),MATCH(LEFT($D35,5),Job_Training[[#Headers],[Solar]:[Wind]],0)),0)</f>
        <v>0</v>
      </c>
      <c r="AN35" s="63">
        <f>IFERROR(INDEX(Job_Training[[Solar]:[Wind]],MATCH(AN$1,Job_Training[[`Typical Entry Level Education`]:[`Typical Entry Level Education`]],0),MATCH(LEFT($D35,5),Job_Training[[#Headers],[Solar]:[Wind]],0)),0)</f>
        <v>0</v>
      </c>
      <c r="AO35" s="63">
        <f>IFERROR(INDEX(Job_Training[[Solar]:[Wind]],MATCH(AO$1,Job_Training[[`Typical Entry Level Education`]:[`Typical Entry Level Education`]],0),MATCH(LEFT($D35,5),Job_Training[[#Headers],[Solar]:[Wind]],0)),0)</f>
        <v>0</v>
      </c>
      <c r="AP35">
        <f t="shared" si="16"/>
        <v>0</v>
      </c>
      <c r="AQ35" s="63">
        <f>IF(AP35&gt;0,IFERROR(INDEX(Assumptions!$C$165:$D$165,MATCH(LEFT($D35,5),Job_Training[[#Headers],[Solar]:[Wind]],0)),0),0)</f>
        <v>0</v>
      </c>
      <c r="AR35">
        <f>IF(AP35&gt;0,IFERROR(INDEX(Assumptions!$C$166:$D$166,MATCH(LEFT($D35,5),Job_Training[[#Headers],[Solar]:[Wind]],0)),0),0)</f>
        <v>0</v>
      </c>
    </row>
    <row r="36" spans="1:44" x14ac:dyDescent="0.35">
      <c r="A36" t="str">
        <f>UserInput!$B$2</f>
        <v>Current Projects</v>
      </c>
      <c r="B36">
        <v>2038</v>
      </c>
      <c r="C36" t="s">
        <v>78</v>
      </c>
      <c r="D36" t="s">
        <v>79</v>
      </c>
      <c r="E36" s="66">
        <f>INDEX(UserInput!$C$2:$M$22,MATCH(UserMade_Scenario!B36,UserInput!$A$2:$A$22,0),MATCH(LEFT(IF(RIGHT(C36,2)="H2",UserMade_Scenario!C36,D36),3),UserInput!$C$25:$M$25,0))</f>
        <v>96000</v>
      </c>
      <c r="F36" s="14" t="s">
        <v>75</v>
      </c>
      <c r="G36" s="14">
        <f t="shared" ref="G36:G43" si="23">E36*AB36</f>
        <v>1.1519999999999999E-2</v>
      </c>
      <c r="H36" s="63">
        <f t="shared" si="6"/>
        <v>0.89930358360114537</v>
      </c>
      <c r="I36" s="63">
        <f t="shared" si="7"/>
        <v>0.76249836720229081</v>
      </c>
      <c r="J36" s="63">
        <f t="shared" si="8"/>
        <v>1.0361087999999998</v>
      </c>
      <c r="K36" s="30">
        <f>IF(OR(LEFT($D36,5)="Solar",$D36="Wind"),INDEX(Land_Use[AVG],MATCH(LEFT($D36,5),Land_Use[Tech],0)),0)*$E36</f>
        <v>0</v>
      </c>
      <c r="L36" s="30">
        <f>IF(OR(LEFT($D36,5)="Solar",$D36="Wind"),INDEX(Land_Use[MIN],MATCH(LEFT($D36,5),Land_Use[Tech],0)),0)*$E36</f>
        <v>0</v>
      </c>
      <c r="M36" s="30">
        <f>IF(OR(LEFT($D36,5)="Solar",$D36="Wind"),INDEX(Land_Use[MAX],MATCH(LEFT($D36,5),Land_Use[Tech],0)),0)*$E36</f>
        <v>0</v>
      </c>
      <c r="N36" s="13">
        <f t="shared" si="18"/>
        <v>393.59999999999997</v>
      </c>
      <c r="O36" s="13">
        <f t="shared" si="19"/>
        <v>0</v>
      </c>
      <c r="P36" s="13">
        <f t="shared" si="20"/>
        <v>0</v>
      </c>
      <c r="Q36" s="13">
        <f t="shared" si="21"/>
        <v>0</v>
      </c>
      <c r="R36" s="13">
        <f t="shared" si="22"/>
        <v>0</v>
      </c>
      <c r="S36" s="30">
        <f t="shared" si="10"/>
        <v>0</v>
      </c>
      <c r="T36" s="30">
        <f t="shared" si="11"/>
        <v>0</v>
      </c>
      <c r="U36" s="30">
        <f t="shared" si="12"/>
        <v>0</v>
      </c>
      <c r="V36" s="30">
        <f t="shared" si="13"/>
        <v>0</v>
      </c>
      <c r="W36" s="30">
        <f t="shared" si="14"/>
        <v>0</v>
      </c>
      <c r="X36" s="30">
        <f t="shared" si="15"/>
        <v>0</v>
      </c>
      <c r="Z36" s="23" t="s">
        <v>76</v>
      </c>
      <c r="AA36" s="40" t="str">
        <f>IF(C36="Electricity",E36*SUMIFS(Electricity!S:S,Electricity!P:P,UserMade_Scenario!B36,Electricity!M:M,UserMade_Scenario!Z36,Electricity!O:O,UserMade_Scenario!D36),"")</f>
        <v/>
      </c>
      <c r="AB36" s="76">
        <f>1000*Assumptions!$B$17/1000000000000</f>
        <v>1.1999999999999999E-7</v>
      </c>
      <c r="AC36" s="67" t="s">
        <v>77</v>
      </c>
      <c r="AD36" s="39">
        <f>SUMIFS(Hydrogen!AK:AK,Hydrogen!$AA:$AA,UserMade_Scenario!$Z36,Hydrogen!$Y:$Y,UserMade_Scenario!$D36,Hydrogen!$AB:$AB,UserMade_Scenario!$B36,Hydrogen!$Z:$Z,UserMade_Scenario!$C36)</f>
        <v>-78.06454718759943</v>
      </c>
      <c r="AE36" s="39">
        <f>SUMIFS(Hydrogen!AL:AL,Hydrogen!$AA:$AA,UserMade_Scenario!$Z36,Hydrogen!$Y:$Y,UserMade_Scenario!$D36,Hydrogen!$AB:$AB,UserMade_Scenario!$B36,Hydrogen!$Z:$Z,UserMade_Scenario!$C36)</f>
        <v>-66.189094375198863</v>
      </c>
      <c r="AF36" s="39">
        <f>SUMIFS(Hydrogen!AM:AM,Hydrogen!$AA:$AA,UserMade_Scenario!$Z36,Hydrogen!$Y:$Y,UserMade_Scenario!$D36,Hydrogen!$AB:$AB,UserMade_Scenario!$B36,Hydrogen!$Z:$Z,UserMade_Scenario!$C36)</f>
        <v>-89.94</v>
      </c>
      <c r="AG36" s="68">
        <f>IFERROR(INDEX(WaterUseH2[Average Direct Water Consumption (Gal/ kg h2)],MATCH(LEFT(D36,3),WaterUseH2[Key],0)),0)</f>
        <v>4.0999999999999996</v>
      </c>
      <c r="AH36">
        <v>14</v>
      </c>
      <c r="AI36">
        <v>1.4</v>
      </c>
      <c r="AJ36">
        <v>250</v>
      </c>
      <c r="AK36">
        <v>0.31</v>
      </c>
      <c r="AL36" s="63">
        <f>IFERROR(INDEX(Job_Training[[Solar]:[Wind]],MATCH(AL$1,Job_Training[[`Typical Entry Level Education`]:[`Typical Entry Level Education`]],0),MATCH(LEFT($D36,5),Job_Training[[#Headers],[Solar]:[Wind]],0)),0)</f>
        <v>0</v>
      </c>
      <c r="AM36" s="63">
        <f>IFERROR(INDEX(Job_Training[[Solar]:[Wind]],MATCH(AM$1,Job_Training[[`Typical Entry Level Education`]:[`Typical Entry Level Education`]],0),MATCH(LEFT($D36,5),Job_Training[[#Headers],[Solar]:[Wind]],0)),0)</f>
        <v>0</v>
      </c>
      <c r="AN36" s="63">
        <f>IFERROR(INDEX(Job_Training[[Solar]:[Wind]],MATCH(AN$1,Job_Training[[`Typical Entry Level Education`]:[`Typical Entry Level Education`]],0),MATCH(LEFT($D36,5),Job_Training[[#Headers],[Solar]:[Wind]],0)),0)</f>
        <v>0</v>
      </c>
      <c r="AO36" s="63">
        <f>IFERROR(INDEX(Job_Training[[Solar]:[Wind]],MATCH(AO$1,Job_Training[[`Typical Entry Level Education`]:[`Typical Entry Level Education`]],0),MATCH(LEFT($D36,5),Job_Training[[#Headers],[Solar]:[Wind]],0)),0)</f>
        <v>0</v>
      </c>
      <c r="AP36">
        <f t="shared" si="16"/>
        <v>0</v>
      </c>
      <c r="AQ36" s="63">
        <f>IF(AP36&gt;0,IFERROR(INDEX(Assumptions!$C$165:$D$165,MATCH(LEFT($D36,5),Job_Training[[#Headers],[Solar]:[Wind]],0)),0),0)</f>
        <v>0</v>
      </c>
      <c r="AR36">
        <f>IF(AP36&gt;0,IFERROR(INDEX(Assumptions!$C$166:$D$166,MATCH(LEFT($D36,5),Job_Training[[#Headers],[Solar]:[Wind]],0)),0),0)</f>
        <v>0</v>
      </c>
    </row>
    <row r="37" spans="1:44" x14ac:dyDescent="0.35">
      <c r="A37" t="str">
        <f>UserInput!$B$2</f>
        <v>Current Projects</v>
      </c>
      <c r="B37">
        <v>2039</v>
      </c>
      <c r="C37" t="s">
        <v>78</v>
      </c>
      <c r="D37" t="s">
        <v>79</v>
      </c>
      <c r="E37" s="66">
        <f>INDEX(UserInput!$C$2:$M$22,MATCH(UserMade_Scenario!B37,UserInput!$A$2:$A$22,0),MATCH(LEFT(IF(RIGHT(C37,2)="H2",UserMade_Scenario!C37,D37),3),UserInput!$C$25:$M$25,0))</f>
        <v>96000</v>
      </c>
      <c r="F37" s="14" t="s">
        <v>75</v>
      </c>
      <c r="G37" s="14">
        <f t="shared" si="23"/>
        <v>1.1519999999999999E-2</v>
      </c>
      <c r="H37" s="63">
        <f t="shared" si="6"/>
        <v>0.88431527577526958</v>
      </c>
      <c r="I37" s="63">
        <f t="shared" si="7"/>
        <v>0.73252175155053945</v>
      </c>
      <c r="J37" s="63">
        <f t="shared" si="8"/>
        <v>1.0361087999999998</v>
      </c>
      <c r="K37" s="30">
        <f>IF(OR(LEFT($D37,5)="Solar",$D37="Wind"),INDEX(Land_Use[AVG],MATCH(LEFT($D37,5),Land_Use[Tech],0)),0)*$E37</f>
        <v>0</v>
      </c>
      <c r="L37" s="30">
        <f>IF(OR(LEFT($D37,5)="Solar",$D37="Wind"),INDEX(Land_Use[MIN],MATCH(LEFT($D37,5),Land_Use[Tech],0)),0)*$E37</f>
        <v>0</v>
      </c>
      <c r="M37" s="30">
        <f>IF(OR(LEFT($D37,5)="Solar",$D37="Wind"),INDEX(Land_Use[MAX],MATCH(LEFT($D37,5),Land_Use[Tech],0)),0)*$E37</f>
        <v>0</v>
      </c>
      <c r="N37" s="13">
        <f t="shared" si="18"/>
        <v>393.59999999999997</v>
      </c>
      <c r="O37" s="13">
        <f t="shared" si="19"/>
        <v>0</v>
      </c>
      <c r="P37" s="13">
        <f t="shared" si="20"/>
        <v>0</v>
      </c>
      <c r="Q37" s="13">
        <f t="shared" si="21"/>
        <v>0</v>
      </c>
      <c r="R37" s="13">
        <f t="shared" si="22"/>
        <v>0</v>
      </c>
      <c r="S37" s="30">
        <f t="shared" si="10"/>
        <v>0</v>
      </c>
      <c r="T37" s="30">
        <f t="shared" si="11"/>
        <v>0</v>
      </c>
      <c r="U37" s="30">
        <f t="shared" si="12"/>
        <v>0</v>
      </c>
      <c r="V37" s="30">
        <f t="shared" si="13"/>
        <v>0</v>
      </c>
      <c r="W37" s="30">
        <f t="shared" si="14"/>
        <v>0</v>
      </c>
      <c r="X37" s="30">
        <f t="shared" si="15"/>
        <v>0</v>
      </c>
      <c r="Z37" s="23" t="s">
        <v>76</v>
      </c>
      <c r="AA37" s="40" t="str">
        <f>IF(C37="Electricity",E37*SUMIFS(Electricity!S:S,Electricity!P:P,UserMade_Scenario!B37,Electricity!M:M,UserMade_Scenario!Z37,Electricity!O:O,UserMade_Scenario!D37),"")</f>
        <v/>
      </c>
      <c r="AB37" s="76">
        <f>1000*Assumptions!$B$17/1000000000000</f>
        <v>1.1999999999999999E-7</v>
      </c>
      <c r="AC37" s="67" t="s">
        <v>77</v>
      </c>
      <c r="AD37" s="39">
        <f>SUMIFS(Hydrogen!AK:AK,Hydrogen!$AA:$AA,UserMade_Scenario!$Z37,Hydrogen!$Y:$Y,UserMade_Scenario!$D37,Hydrogen!$AB:$AB,UserMade_Scenario!$B37,Hydrogen!$Z:$Z,UserMade_Scenario!$C37)</f>
        <v>-76.763478799936607</v>
      </c>
      <c r="AE37" s="39">
        <f>SUMIFS(Hydrogen!AL:AL,Hydrogen!$AA:$AA,UserMade_Scenario!$Z37,Hydrogen!$Y:$Y,UserMade_Scenario!$D37,Hydrogen!$AB:$AB,UserMade_Scenario!$B37,Hydrogen!$Z:$Z,UserMade_Scenario!$C37)</f>
        <v>-63.586957599873223</v>
      </c>
      <c r="AF37" s="39">
        <f>SUMIFS(Hydrogen!AM:AM,Hydrogen!$AA:$AA,UserMade_Scenario!$Z37,Hydrogen!$Y:$Y,UserMade_Scenario!$D37,Hydrogen!$AB:$AB,UserMade_Scenario!$B37,Hydrogen!$Z:$Z,UserMade_Scenario!$C37)</f>
        <v>-89.94</v>
      </c>
      <c r="AG37" s="68">
        <f>IFERROR(INDEX(WaterUseH2[Average Direct Water Consumption (Gal/ kg h2)],MATCH(LEFT(D37,3),WaterUseH2[Key],0)),0)</f>
        <v>4.0999999999999996</v>
      </c>
      <c r="AH37">
        <v>14</v>
      </c>
      <c r="AI37">
        <v>1.4</v>
      </c>
      <c r="AJ37">
        <v>250</v>
      </c>
      <c r="AK37">
        <v>0.31</v>
      </c>
      <c r="AL37" s="63">
        <f>IFERROR(INDEX(Job_Training[[Solar]:[Wind]],MATCH(AL$1,Job_Training[[`Typical Entry Level Education`]:[`Typical Entry Level Education`]],0),MATCH(LEFT($D37,5),Job_Training[[#Headers],[Solar]:[Wind]],0)),0)</f>
        <v>0</v>
      </c>
      <c r="AM37" s="63">
        <f>IFERROR(INDEX(Job_Training[[Solar]:[Wind]],MATCH(AM$1,Job_Training[[`Typical Entry Level Education`]:[`Typical Entry Level Education`]],0),MATCH(LEFT($D37,5),Job_Training[[#Headers],[Solar]:[Wind]],0)),0)</f>
        <v>0</v>
      </c>
      <c r="AN37" s="63">
        <f>IFERROR(INDEX(Job_Training[[Solar]:[Wind]],MATCH(AN$1,Job_Training[[`Typical Entry Level Education`]:[`Typical Entry Level Education`]],0),MATCH(LEFT($D37,5),Job_Training[[#Headers],[Solar]:[Wind]],0)),0)</f>
        <v>0</v>
      </c>
      <c r="AO37" s="63">
        <f>IFERROR(INDEX(Job_Training[[Solar]:[Wind]],MATCH(AO$1,Job_Training[[`Typical Entry Level Education`]:[`Typical Entry Level Education`]],0),MATCH(LEFT($D37,5),Job_Training[[#Headers],[Solar]:[Wind]],0)),0)</f>
        <v>0</v>
      </c>
      <c r="AP37">
        <f t="shared" si="16"/>
        <v>0</v>
      </c>
      <c r="AQ37" s="63">
        <f>IF(AP37&gt;0,IFERROR(INDEX(Assumptions!$C$165:$D$165,MATCH(LEFT($D37,5),Job_Training[[#Headers],[Solar]:[Wind]],0)),0),0)</f>
        <v>0</v>
      </c>
      <c r="AR37">
        <f>IF(AP37&gt;0,IFERROR(INDEX(Assumptions!$C$166:$D$166,MATCH(LEFT($D37,5),Job_Training[[#Headers],[Solar]:[Wind]],0)),0),0)</f>
        <v>0</v>
      </c>
    </row>
    <row r="38" spans="1:44" x14ac:dyDescent="0.35">
      <c r="A38" t="str">
        <f>UserInput!$B$2</f>
        <v>Current Projects</v>
      </c>
      <c r="B38">
        <v>2040</v>
      </c>
      <c r="C38" t="s">
        <v>78</v>
      </c>
      <c r="D38" t="s">
        <v>79</v>
      </c>
      <c r="E38" s="66">
        <f>INDEX(UserInput!$C$2:$M$22,MATCH(UserMade_Scenario!B38,UserInput!$A$2:$A$22,0),MATCH(LEFT(IF(RIGHT(C38,2)="H2",UserMade_Scenario!C38,D38),3),UserInput!$C$25:$M$25,0))</f>
        <v>96000</v>
      </c>
      <c r="F38" s="14" t="s">
        <v>75</v>
      </c>
      <c r="G38" s="14">
        <f t="shared" si="23"/>
        <v>1.1519999999999999E-2</v>
      </c>
      <c r="H38" s="63">
        <f t="shared" si="6"/>
        <v>0.869083496153643</v>
      </c>
      <c r="I38" s="63">
        <f t="shared" si="7"/>
        <v>0.70205819230728617</v>
      </c>
      <c r="J38" s="63">
        <f t="shared" si="8"/>
        <v>1.0361087999999998</v>
      </c>
      <c r="K38" s="30">
        <f>IF(OR(LEFT($D38,5)="Solar",$D38="Wind"),INDEX(Land_Use[AVG],MATCH(LEFT($D38,5),Land_Use[Tech],0)),0)*$E38</f>
        <v>0</v>
      </c>
      <c r="L38" s="30">
        <f>IF(OR(LEFT($D38,5)="Solar",$D38="Wind"),INDEX(Land_Use[MIN],MATCH(LEFT($D38,5),Land_Use[Tech],0)),0)*$E38</f>
        <v>0</v>
      </c>
      <c r="M38" s="30">
        <f>IF(OR(LEFT($D38,5)="Solar",$D38="Wind"),INDEX(Land_Use[MAX],MATCH(LEFT($D38,5),Land_Use[Tech],0)),0)*$E38</f>
        <v>0</v>
      </c>
      <c r="N38" s="13">
        <f t="shared" si="18"/>
        <v>393.59999999999997</v>
      </c>
      <c r="O38" s="13">
        <f t="shared" si="19"/>
        <v>0</v>
      </c>
      <c r="P38" s="13">
        <f t="shared" si="20"/>
        <v>0</v>
      </c>
      <c r="Q38" s="13">
        <f t="shared" si="21"/>
        <v>0</v>
      </c>
      <c r="R38" s="13">
        <f t="shared" si="22"/>
        <v>0</v>
      </c>
      <c r="S38" s="30">
        <f t="shared" si="10"/>
        <v>0</v>
      </c>
      <c r="T38" s="30">
        <f t="shared" si="11"/>
        <v>0</v>
      </c>
      <c r="U38" s="30">
        <f t="shared" si="12"/>
        <v>0</v>
      </c>
      <c r="V38" s="30">
        <f t="shared" si="13"/>
        <v>0</v>
      </c>
      <c r="W38" s="30">
        <f t="shared" si="14"/>
        <v>0</v>
      </c>
      <c r="X38" s="30">
        <f t="shared" si="15"/>
        <v>0</v>
      </c>
      <c r="Z38" s="23" t="s">
        <v>76</v>
      </c>
      <c r="AA38" s="40" t="str">
        <f>IF(C38="Electricity",E38*SUMIFS(Electricity!S:S,Electricity!P:P,UserMade_Scenario!B38,Electricity!M:M,UserMade_Scenario!Z38,Electricity!O:O,UserMade_Scenario!D38),"")</f>
        <v/>
      </c>
      <c r="AB38" s="76">
        <f>1000*Assumptions!$B$17/1000000000000</f>
        <v>1.1999999999999999E-7</v>
      </c>
      <c r="AC38" s="67" t="s">
        <v>77</v>
      </c>
      <c r="AD38" s="39">
        <f>SUMIFS(Hydrogen!AK:AK,Hydrogen!$AA:$AA,UserMade_Scenario!$Z38,Hydrogen!$Y:$Y,UserMade_Scenario!$D38,Hydrogen!$AB:$AB,UserMade_Scenario!$B38,Hydrogen!$Z:$Z,UserMade_Scenario!$C38)</f>
        <v>-75.441275707781514</v>
      </c>
      <c r="AE38" s="39">
        <f>SUMIFS(Hydrogen!AL:AL,Hydrogen!$AA:$AA,UserMade_Scenario!$Z38,Hydrogen!$Y:$Y,UserMade_Scenario!$D38,Hydrogen!$AB:$AB,UserMade_Scenario!$B38,Hydrogen!$Z:$Z,UserMade_Scenario!$C38)</f>
        <v>-60.942551415563038</v>
      </c>
      <c r="AF38" s="39">
        <f>SUMIFS(Hydrogen!AM:AM,Hydrogen!$AA:$AA,UserMade_Scenario!$Z38,Hydrogen!$Y:$Y,UserMade_Scenario!$D38,Hydrogen!$AB:$AB,UserMade_Scenario!$B38,Hydrogen!$Z:$Z,UserMade_Scenario!$C38)</f>
        <v>-89.94</v>
      </c>
      <c r="AG38" s="68">
        <f>IFERROR(INDEX(WaterUseH2[Average Direct Water Consumption (Gal/ kg h2)],MATCH(LEFT(D38,3),WaterUseH2[Key],0)),0)</f>
        <v>4.0999999999999996</v>
      </c>
      <c r="AH38">
        <v>14</v>
      </c>
      <c r="AI38">
        <v>1.4</v>
      </c>
      <c r="AJ38">
        <v>250</v>
      </c>
      <c r="AK38">
        <v>0.31</v>
      </c>
      <c r="AL38" s="63">
        <f>IFERROR(INDEX(Job_Training[[Solar]:[Wind]],MATCH(AL$1,Job_Training[[`Typical Entry Level Education`]:[`Typical Entry Level Education`]],0),MATCH(LEFT($D38,5),Job_Training[[#Headers],[Solar]:[Wind]],0)),0)</f>
        <v>0</v>
      </c>
      <c r="AM38" s="63">
        <f>IFERROR(INDEX(Job_Training[[Solar]:[Wind]],MATCH(AM$1,Job_Training[[`Typical Entry Level Education`]:[`Typical Entry Level Education`]],0),MATCH(LEFT($D38,5),Job_Training[[#Headers],[Solar]:[Wind]],0)),0)</f>
        <v>0</v>
      </c>
      <c r="AN38" s="63">
        <f>IFERROR(INDEX(Job_Training[[Solar]:[Wind]],MATCH(AN$1,Job_Training[[`Typical Entry Level Education`]:[`Typical Entry Level Education`]],0),MATCH(LEFT($D38,5),Job_Training[[#Headers],[Solar]:[Wind]],0)),0)</f>
        <v>0</v>
      </c>
      <c r="AO38" s="63">
        <f>IFERROR(INDEX(Job_Training[[Solar]:[Wind]],MATCH(AO$1,Job_Training[[`Typical Entry Level Education`]:[`Typical Entry Level Education`]],0),MATCH(LEFT($D38,5),Job_Training[[#Headers],[Solar]:[Wind]],0)),0)</f>
        <v>0</v>
      </c>
      <c r="AP38">
        <f t="shared" si="16"/>
        <v>0</v>
      </c>
      <c r="AQ38" s="63">
        <f>IF(AP38&gt;0,IFERROR(INDEX(Assumptions!$C$165:$D$165,MATCH(LEFT($D38,5),Job_Training[[#Headers],[Solar]:[Wind]],0)),0),0)</f>
        <v>0</v>
      </c>
      <c r="AR38">
        <f>IF(AP38&gt;0,IFERROR(INDEX(Assumptions!$C$166:$D$166,MATCH(LEFT($D38,5),Job_Training[[#Headers],[Solar]:[Wind]],0)),0),0)</f>
        <v>0</v>
      </c>
    </row>
    <row r="39" spans="1:44" x14ac:dyDescent="0.35">
      <c r="A39" t="str">
        <f>UserInput!$B$2</f>
        <v>Current Projects</v>
      </c>
      <c r="B39">
        <v>2041</v>
      </c>
      <c r="C39" t="s">
        <v>78</v>
      </c>
      <c r="D39" t="s">
        <v>79</v>
      </c>
      <c r="E39" s="66">
        <f>INDEX(UserInput!$C$2:$M$22,MATCH(UserMade_Scenario!B39,UserInput!$A$2:$A$22,0),MATCH(LEFT(IF(RIGHT(C39,2)="H2",UserMade_Scenario!C39,D39),3),UserInput!$C$25:$M$25,0))</f>
        <v>96000</v>
      </c>
      <c r="F39" s="14" t="s">
        <v>75</v>
      </c>
      <c r="G39" s="14">
        <f t="shared" si="23"/>
        <v>1.1519999999999999E-2</v>
      </c>
      <c r="H39" s="63">
        <f t="shared" si="6"/>
        <v>0.85394586917932125</v>
      </c>
      <c r="I39" s="63">
        <f t="shared" si="7"/>
        <v>0.67178293835864267</v>
      </c>
      <c r="J39" s="63">
        <f t="shared" si="8"/>
        <v>1.0361087999999998</v>
      </c>
      <c r="K39" s="30">
        <f>IF(OR(LEFT($D39,5)="Solar",$D39="Wind"),INDEX(Land_Use[AVG],MATCH(LEFT($D39,5),Land_Use[Tech],0)),0)*$E39</f>
        <v>0</v>
      </c>
      <c r="L39" s="30">
        <f>IF(OR(LEFT($D39,5)="Solar",$D39="Wind"),INDEX(Land_Use[MIN],MATCH(LEFT($D39,5),Land_Use[Tech],0)),0)*$E39</f>
        <v>0</v>
      </c>
      <c r="M39" s="30">
        <f>IF(OR(LEFT($D39,5)="Solar",$D39="Wind"),INDEX(Land_Use[MAX],MATCH(LEFT($D39,5),Land_Use[Tech],0)),0)*$E39</f>
        <v>0</v>
      </c>
      <c r="N39" s="13">
        <f t="shared" si="18"/>
        <v>393.59999999999997</v>
      </c>
      <c r="O39" s="13">
        <f t="shared" si="19"/>
        <v>0</v>
      </c>
      <c r="P39" s="13">
        <f t="shared" si="20"/>
        <v>0</v>
      </c>
      <c r="Q39" s="13">
        <f t="shared" si="21"/>
        <v>0</v>
      </c>
      <c r="R39" s="13">
        <f t="shared" si="22"/>
        <v>0</v>
      </c>
      <c r="S39" s="30">
        <f t="shared" si="10"/>
        <v>0</v>
      </c>
      <c r="T39" s="30">
        <f t="shared" si="11"/>
        <v>0</v>
      </c>
      <c r="U39" s="30">
        <f t="shared" si="12"/>
        <v>0</v>
      </c>
      <c r="V39" s="30">
        <f t="shared" si="13"/>
        <v>0</v>
      </c>
      <c r="W39" s="30">
        <f t="shared" si="14"/>
        <v>0</v>
      </c>
      <c r="X39" s="30">
        <f t="shared" si="15"/>
        <v>0</v>
      </c>
      <c r="Z39" s="23" t="s">
        <v>76</v>
      </c>
      <c r="AA39" s="40" t="str">
        <f>IF(C39="Electricity",E39*SUMIFS(Electricity!S:S,Electricity!P:P,UserMade_Scenario!B39,Electricity!M:M,UserMade_Scenario!Z39,Electricity!O:O,UserMade_Scenario!D39),"")</f>
        <v/>
      </c>
      <c r="AB39" s="76">
        <f>1000*Assumptions!$B$17/1000000000000</f>
        <v>1.1999999999999999E-7</v>
      </c>
      <c r="AC39" s="67" t="s">
        <v>77</v>
      </c>
      <c r="AD39" s="39">
        <f>SUMIFS(Hydrogen!AK:AK,Hydrogen!$AA:$AA,UserMade_Scenario!$Z39,Hydrogen!$Y:$Y,UserMade_Scenario!$D39,Hydrogen!$AB:$AB,UserMade_Scenario!$B39,Hydrogen!$Z:$Z,UserMade_Scenario!$C39)</f>
        <v>-74.127245588482751</v>
      </c>
      <c r="AE39" s="39">
        <f>SUMIFS(Hydrogen!AL:AL,Hydrogen!$AA:$AA,UserMade_Scenario!$Z39,Hydrogen!$Y:$Y,UserMade_Scenario!$D39,Hydrogen!$AB:$AB,UserMade_Scenario!$B39,Hydrogen!$Z:$Z,UserMade_Scenario!$C39)</f>
        <v>-58.314491176965511</v>
      </c>
      <c r="AF39" s="39">
        <f>SUMIFS(Hydrogen!AM:AM,Hydrogen!$AA:$AA,UserMade_Scenario!$Z39,Hydrogen!$Y:$Y,UserMade_Scenario!$D39,Hydrogen!$AB:$AB,UserMade_Scenario!$B39,Hydrogen!$Z:$Z,UserMade_Scenario!$C39)</f>
        <v>-89.94</v>
      </c>
      <c r="AG39" s="68">
        <f>IFERROR(INDEX(WaterUseH2[Average Direct Water Consumption (Gal/ kg h2)],MATCH(LEFT(D39,3),WaterUseH2[Key],0)),0)</f>
        <v>4.0999999999999996</v>
      </c>
      <c r="AH39">
        <v>14</v>
      </c>
      <c r="AI39">
        <v>1.4</v>
      </c>
      <c r="AJ39">
        <v>250</v>
      </c>
      <c r="AK39">
        <v>0.31</v>
      </c>
      <c r="AL39" s="63">
        <f>IFERROR(INDEX(Job_Training[[Solar]:[Wind]],MATCH(AL$1,Job_Training[[`Typical Entry Level Education`]:[`Typical Entry Level Education`]],0),MATCH(LEFT($D39,5),Job_Training[[#Headers],[Solar]:[Wind]],0)),0)</f>
        <v>0</v>
      </c>
      <c r="AM39" s="63">
        <f>IFERROR(INDEX(Job_Training[[Solar]:[Wind]],MATCH(AM$1,Job_Training[[`Typical Entry Level Education`]:[`Typical Entry Level Education`]],0),MATCH(LEFT($D39,5),Job_Training[[#Headers],[Solar]:[Wind]],0)),0)</f>
        <v>0</v>
      </c>
      <c r="AN39" s="63">
        <f>IFERROR(INDEX(Job_Training[[Solar]:[Wind]],MATCH(AN$1,Job_Training[[`Typical Entry Level Education`]:[`Typical Entry Level Education`]],0),MATCH(LEFT($D39,5),Job_Training[[#Headers],[Solar]:[Wind]],0)),0)</f>
        <v>0</v>
      </c>
      <c r="AO39" s="63">
        <f>IFERROR(INDEX(Job_Training[[Solar]:[Wind]],MATCH(AO$1,Job_Training[[`Typical Entry Level Education`]:[`Typical Entry Level Education`]],0),MATCH(LEFT($D39,5),Job_Training[[#Headers],[Solar]:[Wind]],0)),0)</f>
        <v>0</v>
      </c>
      <c r="AP39">
        <f t="shared" si="16"/>
        <v>0</v>
      </c>
      <c r="AQ39" s="63">
        <f>IF(AP39&gt;0,IFERROR(INDEX(Assumptions!$C$165:$D$165,MATCH(LEFT($D39,5),Job_Training[[#Headers],[Solar]:[Wind]],0)),0),0)</f>
        <v>0</v>
      </c>
      <c r="AR39">
        <f>IF(AP39&gt;0,IFERROR(INDEX(Assumptions!$C$166:$D$166,MATCH(LEFT($D39,5),Job_Training[[#Headers],[Solar]:[Wind]],0)),0),0)</f>
        <v>0</v>
      </c>
    </row>
    <row r="40" spans="1:44" x14ac:dyDescent="0.35">
      <c r="A40" t="str">
        <f>UserInput!$B$2</f>
        <v>Current Projects</v>
      </c>
      <c r="B40">
        <v>2042</v>
      </c>
      <c r="C40" t="s">
        <v>78</v>
      </c>
      <c r="D40" t="s">
        <v>79</v>
      </c>
      <c r="E40" s="66">
        <f>INDEX(UserInput!$C$2:$M$22,MATCH(UserMade_Scenario!B40,UserInput!$A$2:$A$22,0),MATCH(LEFT(IF(RIGHT(C40,2)="H2",UserMade_Scenario!C40,D40),3),UserInput!$C$25:$M$25,0))</f>
        <v>96000</v>
      </c>
      <c r="F40" s="14" t="s">
        <v>75</v>
      </c>
      <c r="G40" s="14">
        <f t="shared" si="23"/>
        <v>1.1519999999999999E-2</v>
      </c>
      <c r="H40" s="63">
        <f t="shared" si="6"/>
        <v>0.83928160924173545</v>
      </c>
      <c r="I40" s="63">
        <f t="shared" si="7"/>
        <v>0.64245441848347085</v>
      </c>
      <c r="J40" s="63">
        <f t="shared" si="8"/>
        <v>1.0361087999999998</v>
      </c>
      <c r="K40" s="30">
        <f>IF(OR(LEFT($D40,5)="Solar",$D40="Wind"),INDEX(Land_Use[AVG],MATCH(LEFT($D40,5),Land_Use[Tech],0)),0)*$E40</f>
        <v>0</v>
      </c>
      <c r="L40" s="30">
        <f>IF(OR(LEFT($D40,5)="Solar",$D40="Wind"),INDEX(Land_Use[MIN],MATCH(LEFT($D40,5),Land_Use[Tech],0)),0)*$E40</f>
        <v>0</v>
      </c>
      <c r="M40" s="30">
        <f>IF(OR(LEFT($D40,5)="Solar",$D40="Wind"),INDEX(Land_Use[MAX],MATCH(LEFT($D40,5),Land_Use[Tech],0)),0)*$E40</f>
        <v>0</v>
      </c>
      <c r="N40" s="13">
        <f t="shared" si="18"/>
        <v>393.59999999999997</v>
      </c>
      <c r="O40" s="13">
        <f t="shared" si="19"/>
        <v>0</v>
      </c>
      <c r="P40" s="13">
        <f t="shared" si="20"/>
        <v>0</v>
      </c>
      <c r="Q40" s="13">
        <f t="shared" si="21"/>
        <v>0</v>
      </c>
      <c r="R40" s="13">
        <f t="shared" si="22"/>
        <v>0</v>
      </c>
      <c r="S40" s="30">
        <f t="shared" si="10"/>
        <v>0</v>
      </c>
      <c r="T40" s="30">
        <f t="shared" si="11"/>
        <v>0</v>
      </c>
      <c r="U40" s="30">
        <f t="shared" si="12"/>
        <v>0</v>
      </c>
      <c r="V40" s="30">
        <f t="shared" si="13"/>
        <v>0</v>
      </c>
      <c r="W40" s="30">
        <f t="shared" si="14"/>
        <v>0</v>
      </c>
      <c r="X40" s="30">
        <f t="shared" si="15"/>
        <v>0</v>
      </c>
      <c r="Z40" s="23" t="s">
        <v>76</v>
      </c>
      <c r="AA40" s="40" t="str">
        <f>IF(C40="Electricity",E40*SUMIFS(Electricity!S:S,Electricity!P:P,UserMade_Scenario!B40,Electricity!M:M,UserMade_Scenario!Z40,Electricity!O:O,UserMade_Scenario!D40),"")</f>
        <v/>
      </c>
      <c r="AB40" s="76">
        <f>1000*Assumptions!$B$17/1000000000000</f>
        <v>1.1999999999999999E-7</v>
      </c>
      <c r="AC40" s="67" t="s">
        <v>77</v>
      </c>
      <c r="AD40" s="39">
        <f>SUMIFS(Hydrogen!AK:AK,Hydrogen!$AA:$AA,UserMade_Scenario!$Z40,Hydrogen!$Y:$Y,UserMade_Scenario!$D40,Hydrogen!$AB:$AB,UserMade_Scenario!$B40,Hydrogen!$Z:$Z,UserMade_Scenario!$C40)</f>
        <v>-72.85430635778954</v>
      </c>
      <c r="AE40" s="39">
        <f>SUMIFS(Hydrogen!AL:AL,Hydrogen!$AA:$AA,UserMade_Scenario!$Z40,Hydrogen!$Y:$Y,UserMade_Scenario!$D40,Hydrogen!$AB:$AB,UserMade_Scenario!$B40,Hydrogen!$Z:$Z,UserMade_Scenario!$C40)</f>
        <v>-55.768612715579074</v>
      </c>
      <c r="AF40" s="39">
        <f>SUMIFS(Hydrogen!AM:AM,Hydrogen!$AA:$AA,UserMade_Scenario!$Z40,Hydrogen!$Y:$Y,UserMade_Scenario!$D40,Hydrogen!$AB:$AB,UserMade_Scenario!$B40,Hydrogen!$Z:$Z,UserMade_Scenario!$C40)</f>
        <v>-89.94</v>
      </c>
      <c r="AG40" s="68">
        <f>IFERROR(INDEX(WaterUseH2[Average Direct Water Consumption (Gal/ kg h2)],MATCH(LEFT(D40,3),WaterUseH2[Key],0)),0)</f>
        <v>4.0999999999999996</v>
      </c>
      <c r="AH40">
        <v>14</v>
      </c>
      <c r="AI40">
        <v>1.4</v>
      </c>
      <c r="AJ40">
        <v>250</v>
      </c>
      <c r="AK40">
        <v>0.31</v>
      </c>
      <c r="AL40" s="63">
        <f>IFERROR(INDEX(Job_Training[[Solar]:[Wind]],MATCH(AL$1,Job_Training[[`Typical Entry Level Education`]:[`Typical Entry Level Education`]],0),MATCH(LEFT($D40,5),Job_Training[[#Headers],[Solar]:[Wind]],0)),0)</f>
        <v>0</v>
      </c>
      <c r="AM40" s="63">
        <f>IFERROR(INDEX(Job_Training[[Solar]:[Wind]],MATCH(AM$1,Job_Training[[`Typical Entry Level Education`]:[`Typical Entry Level Education`]],0),MATCH(LEFT($D40,5),Job_Training[[#Headers],[Solar]:[Wind]],0)),0)</f>
        <v>0</v>
      </c>
      <c r="AN40" s="63">
        <f>IFERROR(INDEX(Job_Training[[Solar]:[Wind]],MATCH(AN$1,Job_Training[[`Typical Entry Level Education`]:[`Typical Entry Level Education`]],0),MATCH(LEFT($D40,5),Job_Training[[#Headers],[Solar]:[Wind]],0)),0)</f>
        <v>0</v>
      </c>
      <c r="AO40" s="63">
        <f>IFERROR(INDEX(Job_Training[[Solar]:[Wind]],MATCH(AO$1,Job_Training[[`Typical Entry Level Education`]:[`Typical Entry Level Education`]],0),MATCH(LEFT($D40,5),Job_Training[[#Headers],[Solar]:[Wind]],0)),0)</f>
        <v>0</v>
      </c>
      <c r="AP40">
        <f t="shared" si="16"/>
        <v>0</v>
      </c>
      <c r="AQ40" s="63">
        <f>IF(AP40&gt;0,IFERROR(INDEX(Assumptions!$C$165:$D$165,MATCH(LEFT($D40,5),Job_Training[[#Headers],[Solar]:[Wind]],0)),0),0)</f>
        <v>0</v>
      </c>
      <c r="AR40">
        <f>IF(AP40&gt;0,IFERROR(INDEX(Assumptions!$C$166:$D$166,MATCH(LEFT($D40,5),Job_Training[[#Headers],[Solar]:[Wind]],0)),0),0)</f>
        <v>0</v>
      </c>
    </row>
    <row r="41" spans="1:44" x14ac:dyDescent="0.35">
      <c r="A41" t="str">
        <f>UserInput!$B$2</f>
        <v>Current Projects</v>
      </c>
      <c r="B41">
        <v>2043</v>
      </c>
      <c r="C41" t="s">
        <v>78</v>
      </c>
      <c r="D41" t="s">
        <v>79</v>
      </c>
      <c r="E41" s="66">
        <f>INDEX(UserInput!$C$2:$M$22,MATCH(UserMade_Scenario!B41,UserInput!$A$2:$A$22,0),MATCH(LEFT(IF(RIGHT(C41,2)="H2",UserMade_Scenario!C41,D41),3),UserInput!$C$25:$M$25,0))</f>
        <v>96000</v>
      </c>
      <c r="F41" s="14" t="s">
        <v>75</v>
      </c>
      <c r="G41" s="14">
        <f t="shared" si="23"/>
        <v>1.1519999999999999E-2</v>
      </c>
      <c r="H41" s="63">
        <f t="shared" si="6"/>
        <v>0.82520875309316832</v>
      </c>
      <c r="I41" s="63">
        <f t="shared" si="7"/>
        <v>0.61430870618633671</v>
      </c>
      <c r="J41" s="63">
        <f t="shared" si="8"/>
        <v>1.0361087999999998</v>
      </c>
      <c r="K41" s="30">
        <f>IF(OR(LEFT($D41,5)="Solar",$D41="Wind"),INDEX(Land_Use[AVG],MATCH(LEFT($D41,5),Land_Use[Tech],0)),0)*$E41</f>
        <v>0</v>
      </c>
      <c r="L41" s="30">
        <f>IF(OR(LEFT($D41,5)="Solar",$D41="Wind"),INDEX(Land_Use[MIN],MATCH(LEFT($D41,5),Land_Use[Tech],0)),0)*$E41</f>
        <v>0</v>
      </c>
      <c r="M41" s="30">
        <f>IF(OR(LEFT($D41,5)="Solar",$D41="Wind"),INDEX(Land_Use[MAX],MATCH(LEFT($D41,5),Land_Use[Tech],0)),0)*$E41</f>
        <v>0</v>
      </c>
      <c r="N41" s="13">
        <f t="shared" si="18"/>
        <v>393.59999999999997</v>
      </c>
      <c r="O41" s="13">
        <f t="shared" si="19"/>
        <v>0</v>
      </c>
      <c r="P41" s="13">
        <f t="shared" si="20"/>
        <v>0</v>
      </c>
      <c r="Q41" s="13">
        <f t="shared" si="21"/>
        <v>0</v>
      </c>
      <c r="R41" s="13">
        <f t="shared" si="22"/>
        <v>0</v>
      </c>
      <c r="S41" s="30">
        <f t="shared" si="10"/>
        <v>0</v>
      </c>
      <c r="T41" s="30">
        <f t="shared" si="11"/>
        <v>0</v>
      </c>
      <c r="U41" s="30">
        <f t="shared" si="12"/>
        <v>0</v>
      </c>
      <c r="V41" s="30">
        <f t="shared" si="13"/>
        <v>0</v>
      </c>
      <c r="W41" s="30">
        <f t="shared" si="14"/>
        <v>0</v>
      </c>
      <c r="X41" s="30">
        <f t="shared" si="15"/>
        <v>0</v>
      </c>
      <c r="Z41" s="23" t="s">
        <v>76</v>
      </c>
      <c r="AA41" s="40" t="str">
        <f>IF(C41="Electricity",E41*SUMIFS(Electricity!S:S,Electricity!P:P,UserMade_Scenario!B41,Electricity!M:M,UserMade_Scenario!Z41,Electricity!O:O,UserMade_Scenario!D41),"")</f>
        <v/>
      </c>
      <c r="AB41" s="76">
        <f>1000*Assumptions!$B$17/1000000000000</f>
        <v>1.1999999999999999E-7</v>
      </c>
      <c r="AC41" s="67" t="s">
        <v>77</v>
      </c>
      <c r="AD41" s="39">
        <f>SUMIFS(Hydrogen!AK:AK,Hydrogen!$AA:$AA,UserMade_Scenario!$Z41,Hydrogen!$Y:$Y,UserMade_Scenario!$D41,Hydrogen!$AB:$AB,UserMade_Scenario!$B41,Hydrogen!$Z:$Z,UserMade_Scenario!$C41)</f>
        <v>-71.632704261559752</v>
      </c>
      <c r="AE41" s="39">
        <f>SUMIFS(Hydrogen!AL:AL,Hydrogen!$AA:$AA,UserMade_Scenario!$Z41,Hydrogen!$Y:$Y,UserMade_Scenario!$D41,Hydrogen!$AB:$AB,UserMade_Scenario!$B41,Hydrogen!$Z:$Z,UserMade_Scenario!$C41)</f>
        <v>-53.325408523119506</v>
      </c>
      <c r="AF41" s="39">
        <f>SUMIFS(Hydrogen!AM:AM,Hydrogen!$AA:$AA,UserMade_Scenario!$Z41,Hydrogen!$Y:$Y,UserMade_Scenario!$D41,Hydrogen!$AB:$AB,UserMade_Scenario!$B41,Hydrogen!$Z:$Z,UserMade_Scenario!$C41)</f>
        <v>-89.94</v>
      </c>
      <c r="AG41" s="68">
        <f>IFERROR(INDEX(WaterUseH2[Average Direct Water Consumption (Gal/ kg h2)],MATCH(LEFT(D41,3),WaterUseH2[Key],0)),0)</f>
        <v>4.0999999999999996</v>
      </c>
      <c r="AH41">
        <v>14</v>
      </c>
      <c r="AI41">
        <v>1.4</v>
      </c>
      <c r="AJ41">
        <v>250</v>
      </c>
      <c r="AK41">
        <v>0.31</v>
      </c>
      <c r="AL41" s="63">
        <f>IFERROR(INDEX(Job_Training[[Solar]:[Wind]],MATCH(AL$1,Job_Training[[`Typical Entry Level Education`]:[`Typical Entry Level Education`]],0),MATCH(LEFT($D41,5),Job_Training[[#Headers],[Solar]:[Wind]],0)),0)</f>
        <v>0</v>
      </c>
      <c r="AM41" s="63">
        <f>IFERROR(INDEX(Job_Training[[Solar]:[Wind]],MATCH(AM$1,Job_Training[[`Typical Entry Level Education`]:[`Typical Entry Level Education`]],0),MATCH(LEFT($D41,5),Job_Training[[#Headers],[Solar]:[Wind]],0)),0)</f>
        <v>0</v>
      </c>
      <c r="AN41" s="63">
        <f>IFERROR(INDEX(Job_Training[[Solar]:[Wind]],MATCH(AN$1,Job_Training[[`Typical Entry Level Education`]:[`Typical Entry Level Education`]],0),MATCH(LEFT($D41,5),Job_Training[[#Headers],[Solar]:[Wind]],0)),0)</f>
        <v>0</v>
      </c>
      <c r="AO41" s="63">
        <f>IFERROR(INDEX(Job_Training[[Solar]:[Wind]],MATCH(AO$1,Job_Training[[`Typical Entry Level Education`]:[`Typical Entry Level Education`]],0),MATCH(LEFT($D41,5),Job_Training[[#Headers],[Solar]:[Wind]],0)),0)</f>
        <v>0</v>
      </c>
      <c r="AP41">
        <f t="shared" si="16"/>
        <v>0</v>
      </c>
      <c r="AQ41" s="63">
        <f>IF(AP41&gt;0,IFERROR(INDEX(Assumptions!$C$165:$D$165,MATCH(LEFT($D41,5),Job_Training[[#Headers],[Solar]:[Wind]],0)),0),0)</f>
        <v>0</v>
      </c>
      <c r="AR41">
        <f>IF(AP41&gt;0,IFERROR(INDEX(Assumptions!$C$166:$D$166,MATCH(LEFT($D41,5),Job_Training[[#Headers],[Solar]:[Wind]],0)),0),0)</f>
        <v>0</v>
      </c>
    </row>
    <row r="42" spans="1:44" x14ac:dyDescent="0.35">
      <c r="A42" t="str">
        <f>UserInput!$B$2</f>
        <v>Current Projects</v>
      </c>
      <c r="B42">
        <v>2044</v>
      </c>
      <c r="C42" t="s">
        <v>78</v>
      </c>
      <c r="D42" t="s">
        <v>79</v>
      </c>
      <c r="E42" s="66">
        <f>INDEX(UserInput!$C$2:$M$22,MATCH(UserMade_Scenario!B42,UserInput!$A$2:$A$22,0),MATCH(LEFT(IF(RIGHT(C42,2)="H2",UserMade_Scenario!C42,D42),3),UserInput!$C$25:$M$25,0))</f>
        <v>96000</v>
      </c>
      <c r="F42" s="14" t="s">
        <v>75</v>
      </c>
      <c r="G42" s="14">
        <f t="shared" si="23"/>
        <v>1.1519999999999999E-2</v>
      </c>
      <c r="H42" s="63">
        <f t="shared" si="6"/>
        <v>0.8119316873835517</v>
      </c>
      <c r="I42" s="63">
        <f t="shared" si="7"/>
        <v>0.58775457476710347</v>
      </c>
      <c r="J42" s="63">
        <f t="shared" si="8"/>
        <v>1.0361087999999998</v>
      </c>
      <c r="K42" s="30">
        <f>IF(OR(LEFT($D42,5)="Solar",$D42="Wind"),INDEX(Land_Use[AVG],MATCH(LEFT($D42,5),Land_Use[Tech],0)),0)*$E42</f>
        <v>0</v>
      </c>
      <c r="L42" s="30">
        <f>IF(OR(LEFT($D42,5)="Solar",$D42="Wind"),INDEX(Land_Use[MIN],MATCH(LEFT($D42,5),Land_Use[Tech],0)),0)*$E42</f>
        <v>0</v>
      </c>
      <c r="M42" s="30">
        <f>IF(OR(LEFT($D42,5)="Solar",$D42="Wind"),INDEX(Land_Use[MAX],MATCH(LEFT($D42,5),Land_Use[Tech],0)),0)*$E42</f>
        <v>0</v>
      </c>
      <c r="N42" s="13">
        <f t="shared" si="18"/>
        <v>393.59999999999997</v>
      </c>
      <c r="O42" s="13">
        <f t="shared" si="19"/>
        <v>0</v>
      </c>
      <c r="P42" s="13">
        <f t="shared" si="20"/>
        <v>0</v>
      </c>
      <c r="Q42" s="13">
        <f t="shared" si="21"/>
        <v>0</v>
      </c>
      <c r="R42" s="13">
        <f t="shared" si="22"/>
        <v>0</v>
      </c>
      <c r="S42" s="30">
        <f t="shared" si="10"/>
        <v>0</v>
      </c>
      <c r="T42" s="30">
        <f t="shared" si="11"/>
        <v>0</v>
      </c>
      <c r="U42" s="30">
        <f t="shared" si="12"/>
        <v>0</v>
      </c>
      <c r="V42" s="30">
        <f t="shared" si="13"/>
        <v>0</v>
      </c>
      <c r="W42" s="30">
        <f t="shared" si="14"/>
        <v>0</v>
      </c>
      <c r="X42" s="30">
        <f t="shared" si="15"/>
        <v>0</v>
      </c>
      <c r="Z42" s="23" t="s">
        <v>76</v>
      </c>
      <c r="AA42" s="40" t="str">
        <f>IF(C42="Electricity",E42*SUMIFS(Electricity!S:S,Electricity!P:P,UserMade_Scenario!B42,Electricity!M:M,UserMade_Scenario!Z42,Electricity!O:O,UserMade_Scenario!D42),"")</f>
        <v/>
      </c>
      <c r="AB42" s="76">
        <f>1000*Assumptions!$B$17/1000000000000</f>
        <v>1.1999999999999999E-7</v>
      </c>
      <c r="AC42" s="67" t="s">
        <v>77</v>
      </c>
      <c r="AD42" s="39">
        <f>SUMIFS(Hydrogen!AK:AK,Hydrogen!$AA:$AA,UserMade_Scenario!$Z42,Hydrogen!$Y:$Y,UserMade_Scenario!$D42,Hydrogen!$AB:$AB,UserMade_Scenario!$B42,Hydrogen!$Z:$Z,UserMade_Scenario!$C42)</f>
        <v>-70.480181196488871</v>
      </c>
      <c r="AE42" s="39">
        <f>SUMIFS(Hydrogen!AL:AL,Hydrogen!$AA:$AA,UserMade_Scenario!$Z42,Hydrogen!$Y:$Y,UserMade_Scenario!$D42,Hydrogen!$AB:$AB,UserMade_Scenario!$B42,Hydrogen!$Z:$Z,UserMade_Scenario!$C42)</f>
        <v>-51.020362392977738</v>
      </c>
      <c r="AF42" s="39">
        <f>SUMIFS(Hydrogen!AM:AM,Hydrogen!$AA:$AA,UserMade_Scenario!$Z42,Hydrogen!$Y:$Y,UserMade_Scenario!$D42,Hydrogen!$AB:$AB,UserMade_Scenario!$B42,Hydrogen!$Z:$Z,UserMade_Scenario!$C42)</f>
        <v>-89.94</v>
      </c>
      <c r="AG42" s="68">
        <f>IFERROR(INDEX(WaterUseH2[Average Direct Water Consumption (Gal/ kg h2)],MATCH(LEFT(D42,3),WaterUseH2[Key],0)),0)</f>
        <v>4.0999999999999996</v>
      </c>
      <c r="AH42">
        <v>14</v>
      </c>
      <c r="AI42">
        <v>1.4</v>
      </c>
      <c r="AJ42">
        <v>250</v>
      </c>
      <c r="AK42">
        <v>0.31</v>
      </c>
      <c r="AL42" s="63">
        <f>IFERROR(INDEX(Job_Training[[Solar]:[Wind]],MATCH(AL$1,Job_Training[[`Typical Entry Level Education`]:[`Typical Entry Level Education`]],0),MATCH(LEFT($D42,5),Job_Training[[#Headers],[Solar]:[Wind]],0)),0)</f>
        <v>0</v>
      </c>
      <c r="AM42" s="63">
        <f>IFERROR(INDEX(Job_Training[[Solar]:[Wind]],MATCH(AM$1,Job_Training[[`Typical Entry Level Education`]:[`Typical Entry Level Education`]],0),MATCH(LEFT($D42,5),Job_Training[[#Headers],[Solar]:[Wind]],0)),0)</f>
        <v>0</v>
      </c>
      <c r="AN42" s="63">
        <f>IFERROR(INDEX(Job_Training[[Solar]:[Wind]],MATCH(AN$1,Job_Training[[`Typical Entry Level Education`]:[`Typical Entry Level Education`]],0),MATCH(LEFT($D42,5),Job_Training[[#Headers],[Solar]:[Wind]],0)),0)</f>
        <v>0</v>
      </c>
      <c r="AO42" s="63">
        <f>IFERROR(INDEX(Job_Training[[Solar]:[Wind]],MATCH(AO$1,Job_Training[[`Typical Entry Level Education`]:[`Typical Entry Level Education`]],0),MATCH(LEFT($D42,5),Job_Training[[#Headers],[Solar]:[Wind]],0)),0)</f>
        <v>0</v>
      </c>
      <c r="AP42">
        <f t="shared" si="16"/>
        <v>0</v>
      </c>
      <c r="AQ42" s="63">
        <f>IF(AP42&gt;0,IFERROR(INDEX(Assumptions!$C$165:$D$165,MATCH(LEFT($D42,5),Job_Training[[#Headers],[Solar]:[Wind]],0)),0),0)</f>
        <v>0</v>
      </c>
      <c r="AR42">
        <f>IF(AP42&gt;0,IFERROR(INDEX(Assumptions!$C$166:$D$166,MATCH(LEFT($D42,5),Job_Training[[#Headers],[Solar]:[Wind]],0)),0),0)</f>
        <v>0</v>
      </c>
    </row>
    <row r="43" spans="1:44" x14ac:dyDescent="0.35">
      <c r="A43" t="str">
        <f>UserInput!$B$2</f>
        <v>Current Projects</v>
      </c>
      <c r="B43">
        <v>2045</v>
      </c>
      <c r="C43" t="s">
        <v>78</v>
      </c>
      <c r="D43" t="s">
        <v>79</v>
      </c>
      <c r="E43" s="66">
        <f>INDEX(UserInput!$C$2:$M$22,MATCH(UserMade_Scenario!B43,UserInput!$A$2:$A$22,0),MATCH(LEFT(IF(RIGHT(C43,2)="H2",UserMade_Scenario!C43,D43),3),UserInput!$C$25:$M$25,0))</f>
        <v>96000</v>
      </c>
      <c r="F43" s="14" t="s">
        <v>75</v>
      </c>
      <c r="G43" s="14">
        <f t="shared" si="23"/>
        <v>1.1519999999999999E-2</v>
      </c>
      <c r="H43" s="63">
        <f t="shared" si="6"/>
        <v>0.79960946750384898</v>
      </c>
      <c r="I43" s="63">
        <f t="shared" si="7"/>
        <v>0.56311013500769802</v>
      </c>
      <c r="J43" s="63">
        <f t="shared" si="8"/>
        <v>1.0361087999999998</v>
      </c>
      <c r="K43" s="30">
        <f>IF(OR(LEFT($D43,5)="Solar",$D43="Wind"),INDEX(Land_Use[AVG],MATCH(LEFT($D43,5),Land_Use[Tech],0)),0)*$E43</f>
        <v>0</v>
      </c>
      <c r="L43" s="30">
        <f>IF(OR(LEFT($D43,5)="Solar",$D43="Wind"),INDEX(Land_Use[MIN],MATCH(LEFT($D43,5),Land_Use[Tech],0)),0)*$E43</f>
        <v>0</v>
      </c>
      <c r="M43" s="30">
        <f>IF(OR(LEFT($D43,5)="Solar",$D43="Wind"),INDEX(Land_Use[MAX],MATCH(LEFT($D43,5),Land_Use[Tech],0)),0)*$E43</f>
        <v>0</v>
      </c>
      <c r="N43" s="13">
        <f t="shared" si="18"/>
        <v>393.59999999999997</v>
      </c>
      <c r="O43" s="13">
        <f t="shared" si="19"/>
        <v>0</v>
      </c>
      <c r="P43" s="13">
        <f t="shared" si="20"/>
        <v>0</v>
      </c>
      <c r="Q43" s="13">
        <f t="shared" si="21"/>
        <v>0</v>
      </c>
      <c r="R43" s="13">
        <f t="shared" si="22"/>
        <v>0</v>
      </c>
      <c r="S43" s="30">
        <f t="shared" si="10"/>
        <v>0</v>
      </c>
      <c r="T43" s="30">
        <f t="shared" si="11"/>
        <v>0</v>
      </c>
      <c r="U43" s="30">
        <f t="shared" si="12"/>
        <v>0</v>
      </c>
      <c r="V43" s="30">
        <f t="shared" si="13"/>
        <v>0</v>
      </c>
      <c r="W43" s="30">
        <f t="shared" si="14"/>
        <v>0</v>
      </c>
      <c r="X43" s="30">
        <f t="shared" si="15"/>
        <v>0</v>
      </c>
      <c r="Z43" s="23" t="s">
        <v>76</v>
      </c>
      <c r="AA43" s="40" t="str">
        <f>IF(C43="Electricity",E43*SUMIFS(Electricity!S:S,Electricity!P:P,UserMade_Scenario!B43,Electricity!M:M,UserMade_Scenario!Z43,Electricity!O:O,UserMade_Scenario!D43),"")</f>
        <v/>
      </c>
      <c r="AB43" s="76">
        <f>1000*Assumptions!$B$17/1000000000000</f>
        <v>1.1999999999999999E-7</v>
      </c>
      <c r="AC43" s="67" t="s">
        <v>77</v>
      </c>
      <c r="AD43" s="39">
        <f>SUMIFS(Hydrogen!AK:AK,Hydrogen!$AA:$AA,UserMade_Scenario!$Z43,Hydrogen!$Y:$Y,UserMade_Scenario!$D43,Hydrogen!$AB:$AB,UserMade_Scenario!$B43,Hydrogen!$Z:$Z,UserMade_Scenario!$C43)</f>
        <v>-69.410544054153561</v>
      </c>
      <c r="AE43" s="39">
        <f>SUMIFS(Hydrogen!AL:AL,Hydrogen!$AA:$AA,UserMade_Scenario!$Z43,Hydrogen!$Y:$Y,UserMade_Scenario!$D43,Hydrogen!$AB:$AB,UserMade_Scenario!$B43,Hydrogen!$Z:$Z,UserMade_Scenario!$C43)</f>
        <v>-48.881088108307125</v>
      </c>
      <c r="AF43" s="39">
        <f>SUMIFS(Hydrogen!AM:AM,Hydrogen!$AA:$AA,UserMade_Scenario!$Z43,Hydrogen!$Y:$Y,UserMade_Scenario!$D43,Hydrogen!$AB:$AB,UserMade_Scenario!$B43,Hydrogen!$Z:$Z,UserMade_Scenario!$C43)</f>
        <v>-89.94</v>
      </c>
      <c r="AG43" s="68">
        <f>IFERROR(INDEX(WaterUseH2[Average Direct Water Consumption (Gal/ kg h2)],MATCH(LEFT(D43,3),WaterUseH2[Key],0)),0)</f>
        <v>4.0999999999999996</v>
      </c>
      <c r="AH43">
        <v>14</v>
      </c>
      <c r="AI43">
        <v>1.4</v>
      </c>
      <c r="AJ43">
        <v>250</v>
      </c>
      <c r="AK43">
        <v>0.31</v>
      </c>
      <c r="AL43" s="63">
        <f>IFERROR(INDEX(Job_Training[[Solar]:[Wind]],MATCH(AL$1,Job_Training[[`Typical Entry Level Education`]:[`Typical Entry Level Education`]],0),MATCH(LEFT($D43,5),Job_Training[[#Headers],[Solar]:[Wind]],0)),0)</f>
        <v>0</v>
      </c>
      <c r="AM43" s="63">
        <f>IFERROR(INDEX(Job_Training[[Solar]:[Wind]],MATCH(AM$1,Job_Training[[`Typical Entry Level Education`]:[`Typical Entry Level Education`]],0),MATCH(LEFT($D43,5),Job_Training[[#Headers],[Solar]:[Wind]],0)),0)</f>
        <v>0</v>
      </c>
      <c r="AN43" s="63">
        <f>IFERROR(INDEX(Job_Training[[Solar]:[Wind]],MATCH(AN$1,Job_Training[[`Typical Entry Level Education`]:[`Typical Entry Level Education`]],0),MATCH(LEFT($D43,5),Job_Training[[#Headers],[Solar]:[Wind]],0)),0)</f>
        <v>0</v>
      </c>
      <c r="AO43" s="63">
        <f>IFERROR(INDEX(Job_Training[[Solar]:[Wind]],MATCH(AO$1,Job_Training[[`Typical Entry Level Education`]:[`Typical Entry Level Education`]],0),MATCH(LEFT($D43,5),Job_Training[[#Headers],[Solar]:[Wind]],0)),0)</f>
        <v>0</v>
      </c>
      <c r="AP43">
        <f t="shared" si="16"/>
        <v>0</v>
      </c>
      <c r="AQ43" s="63">
        <f>IF(AP43&gt;0,IFERROR(INDEX(Assumptions!$C$165:$D$165,MATCH(LEFT($D43,5),Job_Training[[#Headers],[Solar]:[Wind]],0)),0),0)</f>
        <v>0</v>
      </c>
      <c r="AR43">
        <f>IF(AP43&gt;0,IFERROR(INDEX(Assumptions!$C$166:$D$166,MATCH(LEFT($D43,5),Job_Training[[#Headers],[Solar]:[Wind]],0)),0),0)</f>
        <v>0</v>
      </c>
    </row>
    <row r="44" spans="1:44" x14ac:dyDescent="0.35">
      <c r="A44" t="str">
        <f>UserInput!$B$2</f>
        <v>Current Projects</v>
      </c>
      <c r="B44">
        <v>2025</v>
      </c>
      <c r="C44" t="s">
        <v>41</v>
      </c>
      <c r="D44" t="s">
        <v>80</v>
      </c>
      <c r="E44" s="66">
        <f>INDEX(UserInput!$C$2:$M$22,MATCH(UserMade_Scenario!B44,UserInput!$A$2:$A$22,0),MATCH(LEFT(IF(RIGHT(C44,2)="H2",UserMade_Scenario!C44,D44),3),UserInput!$C$25:$M$25,0))</f>
        <v>1210.909090909091</v>
      </c>
      <c r="F44" t="s">
        <v>81</v>
      </c>
      <c r="G44" s="14">
        <f>AA44*AB44</f>
        <v>9.9998346925038277E-3</v>
      </c>
      <c r="H44" s="63">
        <f t="shared" si="6"/>
        <v>0.40009750022304769</v>
      </c>
      <c r="I44" s="63">
        <f t="shared" si="7"/>
        <v>0.36681793510223398</v>
      </c>
      <c r="J44" s="63">
        <f t="shared" si="8"/>
        <v>0.43337706256599257</v>
      </c>
      <c r="K44" s="30">
        <f>IF(OR(LEFT($D44,5)="Solar",$D44="Wind"),INDEX(Land_Use[AVG],MATCH(LEFT($D44,5),Land_Use[Tech],0)),0)*$E44</f>
        <v>4238.181818181818</v>
      </c>
      <c r="L44" s="30">
        <f>IF(OR(LEFT($D44,5)="Solar",$D44="Wind"),INDEX(Land_Use[MIN],MATCH(LEFT($D44,5),Land_Use[Tech],0)),0)*$E44</f>
        <v>3390.5454545454545</v>
      </c>
      <c r="M44" s="30">
        <f>IF(OR(LEFT($D44,5)="Solar",$D44="Wind"),INDEX(Land_Use[MAX],MATCH(LEFT($D44,5),Land_Use[Tech],0)),0)*$E44</f>
        <v>5085.818181818182</v>
      </c>
      <c r="N44" s="15">
        <f t="shared" ref="N44:N85" si="24">E44*AG44*1000/1000000</f>
        <v>0</v>
      </c>
      <c r="O44" s="11">
        <f t="shared" ref="O44:O85" si="25">$K44*AH$2</f>
        <v>59334.545454545456</v>
      </c>
      <c r="P44" s="11">
        <f t="shared" ref="P44:P85" si="26">$K44*AI$2</f>
        <v>5933.454545454545</v>
      </c>
      <c r="Q44" s="11">
        <f t="shared" ref="Q44:Q85" si="27">$K44*AJ$2</f>
        <v>1059545.4545454546</v>
      </c>
      <c r="R44" s="11">
        <f t="shared" ref="R44:R85" si="28">$K44*AK$2</f>
        <v>1313.8363636363636</v>
      </c>
      <c r="S44" s="30">
        <f t="shared" si="10"/>
        <v>41.897454545454544</v>
      </c>
      <c r="T44" s="30">
        <f t="shared" si="11"/>
        <v>34.147636363636366</v>
      </c>
      <c r="U44" s="30">
        <f t="shared" si="12"/>
        <v>40.44436363636364</v>
      </c>
      <c r="V44" s="30">
        <f t="shared" si="13"/>
        <v>6.8053090909090912</v>
      </c>
      <c r="W44" s="30">
        <f t="shared" si="14"/>
        <v>123.29476363636364</v>
      </c>
      <c r="X44" s="30">
        <f t="shared" si="15"/>
        <v>7397.6858181818179</v>
      </c>
      <c r="Z44" s="23" t="s">
        <v>76</v>
      </c>
      <c r="AA44" s="40">
        <f>IF(C44="Electricity",E44*SUMIFS(Electricity!S:S,Electricity!P:P,UserMade_Scenario!B44,Electricity!M:M,UserMade_Scenario!Z44,Electricity!O:O,UserMade_Scenario!D44),"")</f>
        <v>2777868.7709308974</v>
      </c>
      <c r="AB44" s="76">
        <f>1/Assumptions!$B$23/1000000000000</f>
        <v>3.5998225679871703E-9</v>
      </c>
      <c r="AC44" s="67" t="s">
        <v>82</v>
      </c>
      <c r="AD44" s="69">
        <f>INDEX(Table11[AVG
CO2e MT per MWh],MATCH(UserMade_Scenario!$B44,Table11[[Year]:[Year]],0))</f>
        <v>-0.14403038200000001</v>
      </c>
      <c r="AE44" s="69">
        <f>INDEX(Table11[MIN
CO2e MT per MWh],MATCH(UserMade_Scenario!$B44,Table11[[Year]:[Year]],0))</f>
        <v>-0.13205013099999999</v>
      </c>
      <c r="AF44" s="69">
        <f>INDEX(Table11[MAX CO2e MT per MWh],MATCH(UserMade_Scenario!$B44,Table11[[Year]:[Year]],0))</f>
        <v>-0.15601063200000001</v>
      </c>
      <c r="AG44" s="68">
        <f>IFERROR(INDEX(WaterUseH2[Average Direct Water Consumption (Gal/ kg h2)],MATCH(LEFT(D44,3),WaterUseH2[Key],0)),0)</f>
        <v>0</v>
      </c>
      <c r="AH44">
        <v>14</v>
      </c>
      <c r="AI44">
        <v>1.4</v>
      </c>
      <c r="AJ44">
        <v>250</v>
      </c>
      <c r="AK44">
        <v>0.31</v>
      </c>
      <c r="AL44" s="63">
        <f>IFERROR(INDEX(Job_Training[[Solar]:[Wind]],MATCH(AL$1,Job_Training[[`Typical Entry Level Education`]:[`Typical Entry Level Education`]],0),MATCH(LEFT($D44,5),Job_Training[[#Headers],[Solar]:[Wind]],0)),0)</f>
        <v>3.4599999999999999E-2</v>
      </c>
      <c r="AM44" s="63">
        <f>IFERROR(INDEX(Job_Training[[Solar]:[Wind]],MATCH(AM$1,Job_Training[[`Typical Entry Level Education`]:[`Typical Entry Level Education`]],0),MATCH(LEFT($D44,5),Job_Training[[#Headers],[Solar]:[Wind]],0)),0)</f>
        <v>2.8199999999999999E-2</v>
      </c>
      <c r="AN44" s="63">
        <f>IFERROR(INDEX(Job_Training[[Solar]:[Wind]],MATCH(AN$1,Job_Training[[`Typical Entry Level Education`]:[`Typical Entry Level Education`]],0),MATCH(LEFT($D44,5),Job_Training[[#Headers],[Solar]:[Wind]],0)),0)</f>
        <v>3.3399999999999999E-2</v>
      </c>
      <c r="AO44" s="63">
        <f>IFERROR(INDEX(Job_Training[[Solar]:[Wind]],MATCH(AO$1,Job_Training[[`Typical Entry Level Education`]:[`Typical Entry Level Education`]],0),MATCH(LEFT($D44,5),Job_Training[[#Headers],[Solar]:[Wind]],0)),0)</f>
        <v>5.62E-3</v>
      </c>
      <c r="AP44">
        <f t="shared" si="16"/>
        <v>1210.909090909091</v>
      </c>
      <c r="AQ44" s="63">
        <f>IF(AP44&gt;0,IFERROR(INDEX(Assumptions!$C$165:$D$165,MATCH(LEFT($D44,5),Job_Training[[#Headers],[Solar]:[Wind]],0)),0),0)</f>
        <v>0.10181999999999999</v>
      </c>
      <c r="AR44">
        <f>IF(AP44&gt;0,IFERROR(INDEX(Assumptions!$C$166:$D$166,MATCH(LEFT($D44,5),Job_Training[[#Headers],[Solar]:[Wind]],0)),0),0)</f>
        <v>6.1091999999999995</v>
      </c>
    </row>
    <row r="45" spans="1:44" x14ac:dyDescent="0.35">
      <c r="A45" t="str">
        <f>UserInput!$B$2</f>
        <v>Current Projects</v>
      </c>
      <c r="B45">
        <v>2026</v>
      </c>
      <c r="C45" t="s">
        <v>41</v>
      </c>
      <c r="D45" t="s">
        <v>80</v>
      </c>
      <c r="E45" s="66">
        <f>INDEX(UserInput!$C$2:$M$22,MATCH(UserMade_Scenario!B45,UserInput!$A$2:$A$22,0),MATCH(LEFT(IF(RIGHT(C45,2)="H2",UserMade_Scenario!C45,D45),3),UserInput!$C$25:$M$25,0))</f>
        <v>2421.818181818182</v>
      </c>
      <c r="F45" t="s">
        <v>81</v>
      </c>
      <c r="G45" s="14">
        <f t="shared" ref="G45:G108" si="29">AA45*AB45</f>
        <v>1.9529977709004498E-2</v>
      </c>
      <c r="H45" s="63">
        <f t="shared" si="6"/>
        <v>0.75848655116787667</v>
      </c>
      <c r="I45" s="63">
        <f t="shared" si="7"/>
        <v>0.68842421831336775</v>
      </c>
      <c r="J45" s="63">
        <f t="shared" si="8"/>
        <v>0.82854887859712434</v>
      </c>
      <c r="K45" s="30">
        <f>IF(OR(LEFT($D45,5)="Solar",$D45="Wind"),INDEX(Land_Use[AVG],MATCH(LEFT($D45,5),Land_Use[Tech],0)),0)*$E45</f>
        <v>8476.363636363636</v>
      </c>
      <c r="L45" s="30">
        <f>IF(OR(LEFT($D45,5)="Solar",$D45="Wind"),INDEX(Land_Use[MIN],MATCH(LEFT($D45,5),Land_Use[Tech],0)),0)*$E45</f>
        <v>6781.090909090909</v>
      </c>
      <c r="M45" s="30">
        <f>IF(OR(LEFT($D45,5)="Solar",$D45="Wind"),INDEX(Land_Use[MAX],MATCH(LEFT($D45,5),Land_Use[Tech],0)),0)*$E45</f>
        <v>10171.636363636364</v>
      </c>
      <c r="N45" s="15">
        <f t="shared" si="24"/>
        <v>0</v>
      </c>
      <c r="O45" s="11">
        <f t="shared" si="25"/>
        <v>118669.09090909091</v>
      </c>
      <c r="P45" s="11">
        <f t="shared" si="26"/>
        <v>11866.90909090909</v>
      </c>
      <c r="Q45" s="11">
        <f t="shared" si="27"/>
        <v>2119090.9090909092</v>
      </c>
      <c r="R45" s="11">
        <f t="shared" si="28"/>
        <v>2627.6727272727271</v>
      </c>
      <c r="S45" s="30">
        <f t="shared" si="10"/>
        <v>41.897454545454544</v>
      </c>
      <c r="T45" s="30">
        <f t="shared" si="11"/>
        <v>34.147636363636366</v>
      </c>
      <c r="U45" s="30">
        <f t="shared" si="12"/>
        <v>40.44436363636364</v>
      </c>
      <c r="V45" s="30">
        <f t="shared" si="13"/>
        <v>6.8053090909090912</v>
      </c>
      <c r="W45" s="30">
        <f t="shared" si="14"/>
        <v>123.29476363636364</v>
      </c>
      <c r="X45" s="30">
        <f t="shared" si="15"/>
        <v>7397.6858181818179</v>
      </c>
      <c r="Z45" s="23" t="s">
        <v>76</v>
      </c>
      <c r="AA45" s="40">
        <f>IF(C45="Electricity",E45*SUMIFS(Electricity!S:S,Electricity!P:P,UserMade_Scenario!B45,Electricity!M:M,UserMade_Scenario!Z45,Electricity!O:O,UserMade_Scenario!D45),"")</f>
        <v>5425261.2011165386</v>
      </c>
      <c r="AB45" s="76">
        <f>1/Assumptions!$B$23/1000000000000</f>
        <v>3.5998225679871703E-9</v>
      </c>
      <c r="AC45" s="67" t="s">
        <v>82</v>
      </c>
      <c r="AD45" s="69">
        <f>INDEX(Table11[AVG
CO2e MT per MWh],MATCH(UserMade_Scenario!$B45,Table11[[Year]:[Year]],0))</f>
        <v>-0.13980645780000001</v>
      </c>
      <c r="AE45" s="69">
        <f>INDEX(Table11[MIN
CO2e MT per MWh],MATCH(UserMade_Scenario!$B45,Table11[[Year]:[Year]],0))</f>
        <v>-0.12689236385</v>
      </c>
      <c r="AF45" s="69">
        <f>INDEX(Table11[MAX CO2e MT per MWh],MATCH(UserMade_Scenario!$B45,Table11[[Year]:[Year]],0))</f>
        <v>-0.15272055075000002</v>
      </c>
      <c r="AG45" s="68">
        <f>IFERROR(INDEX(WaterUseH2[Average Direct Water Consumption (Gal/ kg h2)],MATCH(LEFT(D45,3),WaterUseH2[Key],0)),0)</f>
        <v>0</v>
      </c>
      <c r="AH45">
        <v>14</v>
      </c>
      <c r="AI45">
        <v>1.4</v>
      </c>
      <c r="AJ45">
        <v>250</v>
      </c>
      <c r="AK45">
        <v>0.31</v>
      </c>
      <c r="AL45" s="63">
        <f>IFERROR(INDEX(Job_Training[[Solar]:[Wind]],MATCH(AL$1,Job_Training[[`Typical Entry Level Education`]:[`Typical Entry Level Education`]],0),MATCH(LEFT($D45,5),Job_Training[[#Headers],[Solar]:[Wind]],0)),0)</f>
        <v>3.4599999999999999E-2</v>
      </c>
      <c r="AM45" s="63">
        <f>IFERROR(INDEX(Job_Training[[Solar]:[Wind]],MATCH(AM$1,Job_Training[[`Typical Entry Level Education`]:[`Typical Entry Level Education`]],0),MATCH(LEFT($D45,5),Job_Training[[#Headers],[Solar]:[Wind]],0)),0)</f>
        <v>2.8199999999999999E-2</v>
      </c>
      <c r="AN45" s="63">
        <f>IFERROR(INDEX(Job_Training[[Solar]:[Wind]],MATCH(AN$1,Job_Training[[`Typical Entry Level Education`]:[`Typical Entry Level Education`]],0),MATCH(LEFT($D45,5),Job_Training[[#Headers],[Solar]:[Wind]],0)),0)</f>
        <v>3.3399999999999999E-2</v>
      </c>
      <c r="AO45" s="63">
        <f>IFERROR(INDEX(Job_Training[[Solar]:[Wind]],MATCH(AO$1,Job_Training[[`Typical Entry Level Education`]:[`Typical Entry Level Education`]],0),MATCH(LEFT($D45,5),Job_Training[[#Headers],[Solar]:[Wind]],0)),0)</f>
        <v>5.62E-3</v>
      </c>
      <c r="AP45">
        <f t="shared" si="16"/>
        <v>1210.909090909091</v>
      </c>
      <c r="AQ45" s="63">
        <f>IF(AP45&gt;0,IFERROR(INDEX(Assumptions!$C$165:$D$165,MATCH(LEFT($D45,5),Job_Training[[#Headers],[Solar]:[Wind]],0)),0),0)</f>
        <v>0.10181999999999999</v>
      </c>
      <c r="AR45">
        <f>IF(AP45&gt;0,IFERROR(INDEX(Assumptions!$C$166:$D$166,MATCH(LEFT($D45,5),Job_Training[[#Headers],[Solar]:[Wind]],0)),0),0)</f>
        <v>6.1091999999999995</v>
      </c>
    </row>
    <row r="46" spans="1:44" x14ac:dyDescent="0.35">
      <c r="A46" t="str">
        <f>UserInput!$B$2</f>
        <v>Current Projects</v>
      </c>
      <c r="B46">
        <v>2027</v>
      </c>
      <c r="C46" t="s">
        <v>41</v>
      </c>
      <c r="D46" t="s">
        <v>80</v>
      </c>
      <c r="E46" s="66">
        <f>INDEX(UserInput!$C$2:$M$22,MATCH(UserMade_Scenario!B46,UserInput!$A$2:$A$22,0),MATCH(LEFT(IF(RIGHT(C46,2)="H2",UserMade_Scenario!C46,D46),3),UserInput!$C$25:$M$25,0))</f>
        <v>3632.727272727273</v>
      </c>
      <c r="F46" t="s">
        <v>81</v>
      </c>
      <c r="G46" s="14">
        <f t="shared" si="29"/>
        <v>2.8590429049502007E-2</v>
      </c>
      <c r="H46" s="63">
        <f t="shared" si="6"/>
        <v>1.076820519354091</v>
      </c>
      <c r="I46" s="63">
        <f t="shared" si="7"/>
        <v>0.96683774938584566</v>
      </c>
      <c r="J46" s="63">
        <f t="shared" si="8"/>
        <v>1.186803281380159</v>
      </c>
      <c r="K46" s="30">
        <f>IF(OR(LEFT($D46,5)="Solar",$D46="Wind"),INDEX(Land_Use[AVG],MATCH(LEFT($D46,5),Land_Use[Tech],0)),0)*$E46</f>
        <v>12714.545454545456</v>
      </c>
      <c r="L46" s="30">
        <f>IF(OR(LEFT($D46,5)="Solar",$D46="Wind"),INDEX(Land_Use[MIN],MATCH(LEFT($D46,5),Land_Use[Tech],0)),0)*$E46</f>
        <v>10171.636363636364</v>
      </c>
      <c r="M46" s="30">
        <f>IF(OR(LEFT($D46,5)="Solar",$D46="Wind"),INDEX(Land_Use[MAX],MATCH(LEFT($D46,5),Land_Use[Tech],0)),0)*$E46</f>
        <v>15257.454545454548</v>
      </c>
      <c r="N46" s="15">
        <f t="shared" si="24"/>
        <v>0</v>
      </c>
      <c r="O46" s="11">
        <f t="shared" si="25"/>
        <v>178003.63636363638</v>
      </c>
      <c r="P46" s="11">
        <f t="shared" si="26"/>
        <v>17800.363636363636</v>
      </c>
      <c r="Q46" s="11">
        <f t="shared" si="27"/>
        <v>3178636.3636363638</v>
      </c>
      <c r="R46" s="11">
        <f t="shared" si="28"/>
        <v>3941.5090909090914</v>
      </c>
      <c r="S46" s="30">
        <f t="shared" si="10"/>
        <v>41.897454545454544</v>
      </c>
      <c r="T46" s="30">
        <f t="shared" si="11"/>
        <v>34.147636363636366</v>
      </c>
      <c r="U46" s="30">
        <f t="shared" si="12"/>
        <v>40.44436363636364</v>
      </c>
      <c r="V46" s="30">
        <f t="shared" si="13"/>
        <v>6.8053090909090912</v>
      </c>
      <c r="W46" s="30">
        <f t="shared" si="14"/>
        <v>123.29476363636364</v>
      </c>
      <c r="X46" s="30">
        <f t="shared" si="15"/>
        <v>7397.6858181818179</v>
      </c>
      <c r="Z46" s="23" t="s">
        <v>76</v>
      </c>
      <c r="AA46" s="40">
        <f>IF(C46="Electricity",E46*SUMIFS(Electricity!S:S,Electricity!P:P,UserMade_Scenario!B46,Electricity!M:M,UserMade_Scenario!Z46,Electricity!O:O,UserMade_Scenario!D46),"")</f>
        <v>7942177.2905569226</v>
      </c>
      <c r="AB46" s="76">
        <f>1/Assumptions!$B$23/1000000000000</f>
        <v>3.5998225679871703E-9</v>
      </c>
      <c r="AC46" s="67" t="s">
        <v>82</v>
      </c>
      <c r="AD46" s="69">
        <f>INDEX(Table11[AVG
CO2e MT per MWh],MATCH(UserMade_Scenario!$B46,Table11[[Year]:[Year]],0))</f>
        <v>-0.1355825336</v>
      </c>
      <c r="AE46" s="69">
        <f>INDEX(Table11[MIN
CO2e MT per MWh],MATCH(UserMade_Scenario!$B46,Table11[[Year]:[Year]],0))</f>
        <v>-0.1217345967</v>
      </c>
      <c r="AF46" s="69">
        <f>INDEX(Table11[MAX CO2e MT per MWh],MATCH(UserMade_Scenario!$B46,Table11[[Year]:[Year]],0))</f>
        <v>-0.14943046950000002</v>
      </c>
      <c r="AG46" s="68">
        <f>IFERROR(INDEX(WaterUseH2[Average Direct Water Consumption (Gal/ kg h2)],MATCH(LEFT(D46,3),WaterUseH2[Key],0)),0)</f>
        <v>0</v>
      </c>
      <c r="AH46">
        <v>14</v>
      </c>
      <c r="AI46">
        <v>1.4</v>
      </c>
      <c r="AJ46">
        <v>250</v>
      </c>
      <c r="AK46">
        <v>0.31</v>
      </c>
      <c r="AL46" s="63">
        <f>IFERROR(INDEX(Job_Training[[Solar]:[Wind]],MATCH(AL$1,Job_Training[[`Typical Entry Level Education`]:[`Typical Entry Level Education`]],0),MATCH(LEFT($D46,5),Job_Training[[#Headers],[Solar]:[Wind]],0)),0)</f>
        <v>3.4599999999999999E-2</v>
      </c>
      <c r="AM46" s="63">
        <f>IFERROR(INDEX(Job_Training[[Solar]:[Wind]],MATCH(AM$1,Job_Training[[`Typical Entry Level Education`]:[`Typical Entry Level Education`]],0),MATCH(LEFT($D46,5),Job_Training[[#Headers],[Solar]:[Wind]],0)),0)</f>
        <v>2.8199999999999999E-2</v>
      </c>
      <c r="AN46" s="63">
        <f>IFERROR(INDEX(Job_Training[[Solar]:[Wind]],MATCH(AN$1,Job_Training[[`Typical Entry Level Education`]:[`Typical Entry Level Education`]],0),MATCH(LEFT($D46,5),Job_Training[[#Headers],[Solar]:[Wind]],0)),0)</f>
        <v>3.3399999999999999E-2</v>
      </c>
      <c r="AO46" s="63">
        <f>IFERROR(INDEX(Job_Training[[Solar]:[Wind]],MATCH(AO$1,Job_Training[[`Typical Entry Level Education`]:[`Typical Entry Level Education`]],0),MATCH(LEFT($D46,5),Job_Training[[#Headers],[Solar]:[Wind]],0)),0)</f>
        <v>5.62E-3</v>
      </c>
      <c r="AP46">
        <f t="shared" si="16"/>
        <v>1210.909090909091</v>
      </c>
      <c r="AQ46" s="63">
        <f>IF(AP46&gt;0,IFERROR(INDEX(Assumptions!$C$165:$D$165,MATCH(LEFT($D46,5),Job_Training[[#Headers],[Solar]:[Wind]],0)),0),0)</f>
        <v>0.10181999999999999</v>
      </c>
      <c r="AR46">
        <f>IF(AP46&gt;0,IFERROR(INDEX(Assumptions!$C$166:$D$166,MATCH(LEFT($D46,5),Job_Training[[#Headers],[Solar]:[Wind]],0)),0),0)</f>
        <v>6.1091999999999995</v>
      </c>
    </row>
    <row r="47" spans="1:44" x14ac:dyDescent="0.35">
      <c r="A47" t="str">
        <f>UserInput!$B$2</f>
        <v>Current Projects</v>
      </c>
      <c r="B47">
        <v>2028</v>
      </c>
      <c r="C47" t="s">
        <v>41</v>
      </c>
      <c r="D47" t="s">
        <v>80</v>
      </c>
      <c r="E47" s="66">
        <f>INDEX(UserInput!$C$2:$M$22,MATCH(UserMade_Scenario!B47,UserInput!$A$2:$A$22,0),MATCH(LEFT(IF(RIGHT(C47,2)="H2",UserMade_Scenario!C47,D47),3),UserInput!$C$25:$M$25,0))</f>
        <v>4843.636363636364</v>
      </c>
      <c r="F47" t="s">
        <v>81</v>
      </c>
      <c r="G47" s="14">
        <f t="shared" si="29"/>
        <v>3.7181188713996359E-2</v>
      </c>
      <c r="H47" s="63">
        <f t="shared" si="6"/>
        <v>1.3567527713012943</v>
      </c>
      <c r="I47" s="63">
        <f t="shared" si="7"/>
        <v>1.204077428072112</v>
      </c>
      <c r="J47" s="63">
        <f t="shared" si="8"/>
        <v>1.5094281042018605</v>
      </c>
      <c r="K47" s="30">
        <f>IF(OR(LEFT($D47,5)="Solar",$D47="Wind"),INDEX(Land_Use[AVG],MATCH(LEFT($D47,5),Land_Use[Tech],0)),0)*$E47</f>
        <v>16952.727272727272</v>
      </c>
      <c r="L47" s="30">
        <f>IF(OR(LEFT($D47,5)="Solar",$D47="Wind"),INDEX(Land_Use[MIN],MATCH(LEFT($D47,5),Land_Use[Tech],0)),0)*$E47</f>
        <v>13562.181818181818</v>
      </c>
      <c r="M47" s="30">
        <f>IF(OR(LEFT($D47,5)="Solar",$D47="Wind"),INDEX(Land_Use[MAX],MATCH(LEFT($D47,5),Land_Use[Tech],0)),0)*$E47</f>
        <v>20343.272727272728</v>
      </c>
      <c r="N47" s="15">
        <f t="shared" si="24"/>
        <v>0</v>
      </c>
      <c r="O47" s="11">
        <f t="shared" si="25"/>
        <v>237338.18181818182</v>
      </c>
      <c r="P47" s="11">
        <f t="shared" si="26"/>
        <v>23733.81818181818</v>
      </c>
      <c r="Q47" s="11">
        <f t="shared" si="27"/>
        <v>4238181.8181818184</v>
      </c>
      <c r="R47" s="11">
        <f t="shared" si="28"/>
        <v>5255.3454545454542</v>
      </c>
      <c r="S47" s="30">
        <f t="shared" si="10"/>
        <v>41.897454545454544</v>
      </c>
      <c r="T47" s="30">
        <f t="shared" si="11"/>
        <v>34.147636363636366</v>
      </c>
      <c r="U47" s="30">
        <f t="shared" si="12"/>
        <v>40.44436363636364</v>
      </c>
      <c r="V47" s="30">
        <f t="shared" si="13"/>
        <v>6.8053090909090912</v>
      </c>
      <c r="W47" s="30">
        <f t="shared" si="14"/>
        <v>123.29476363636364</v>
      </c>
      <c r="X47" s="30">
        <f t="shared" si="15"/>
        <v>7397.6858181818179</v>
      </c>
      <c r="Z47" s="23" t="s">
        <v>76</v>
      </c>
      <c r="AA47" s="40">
        <f>IF(C47="Electricity",E47*SUMIFS(Electricity!S:S,Electricity!P:P,UserMade_Scenario!B47,Electricity!M:M,UserMade_Scenario!Z47,Electricity!O:O,UserMade_Scenario!D47),"")</f>
        <v>10328617.03925205</v>
      </c>
      <c r="AB47" s="76">
        <f>1/Assumptions!$B$23/1000000000000</f>
        <v>3.5998225679871703E-9</v>
      </c>
      <c r="AC47" s="67" t="s">
        <v>82</v>
      </c>
      <c r="AD47" s="69">
        <f>INDEX(Table11[AVG
CO2e MT per MWh],MATCH(UserMade_Scenario!$B47,Table11[[Year]:[Year]],0))</f>
        <v>-0.13135860939999999</v>
      </c>
      <c r="AE47" s="69">
        <f>INDEX(Table11[MIN
CO2e MT per MWh],MATCH(UserMade_Scenario!$B47,Table11[[Year]:[Year]],0))</f>
        <v>-0.11657682955000001</v>
      </c>
      <c r="AF47" s="69">
        <f>INDEX(Table11[MAX CO2e MT per MWh],MATCH(UserMade_Scenario!$B47,Table11[[Year]:[Year]],0))</f>
        <v>-0.14614038825000003</v>
      </c>
      <c r="AG47" s="68">
        <f>IFERROR(INDEX(WaterUseH2[Average Direct Water Consumption (Gal/ kg h2)],MATCH(LEFT(D47,3),WaterUseH2[Key],0)),0)</f>
        <v>0</v>
      </c>
      <c r="AH47">
        <v>14</v>
      </c>
      <c r="AI47">
        <v>1.4</v>
      </c>
      <c r="AJ47">
        <v>250</v>
      </c>
      <c r="AK47">
        <v>0.31</v>
      </c>
      <c r="AL47" s="63">
        <f>IFERROR(INDEX(Job_Training[[Solar]:[Wind]],MATCH(AL$1,Job_Training[[`Typical Entry Level Education`]:[`Typical Entry Level Education`]],0),MATCH(LEFT($D47,5),Job_Training[[#Headers],[Solar]:[Wind]],0)),0)</f>
        <v>3.4599999999999999E-2</v>
      </c>
      <c r="AM47" s="63">
        <f>IFERROR(INDEX(Job_Training[[Solar]:[Wind]],MATCH(AM$1,Job_Training[[`Typical Entry Level Education`]:[`Typical Entry Level Education`]],0),MATCH(LEFT($D47,5),Job_Training[[#Headers],[Solar]:[Wind]],0)),0)</f>
        <v>2.8199999999999999E-2</v>
      </c>
      <c r="AN47" s="63">
        <f>IFERROR(INDEX(Job_Training[[Solar]:[Wind]],MATCH(AN$1,Job_Training[[`Typical Entry Level Education`]:[`Typical Entry Level Education`]],0),MATCH(LEFT($D47,5),Job_Training[[#Headers],[Solar]:[Wind]],0)),0)</f>
        <v>3.3399999999999999E-2</v>
      </c>
      <c r="AO47" s="63">
        <f>IFERROR(INDEX(Job_Training[[Solar]:[Wind]],MATCH(AO$1,Job_Training[[`Typical Entry Level Education`]:[`Typical Entry Level Education`]],0),MATCH(LEFT($D47,5),Job_Training[[#Headers],[Solar]:[Wind]],0)),0)</f>
        <v>5.62E-3</v>
      </c>
      <c r="AP47">
        <f t="shared" si="16"/>
        <v>1210.909090909091</v>
      </c>
      <c r="AQ47" s="63">
        <f>IF(AP47&gt;0,IFERROR(INDEX(Assumptions!$C$165:$D$165,MATCH(LEFT($D47,5),Job_Training[[#Headers],[Solar]:[Wind]],0)),0),0)</f>
        <v>0.10181999999999999</v>
      </c>
      <c r="AR47">
        <f>IF(AP47&gt;0,IFERROR(INDEX(Assumptions!$C$166:$D$166,MATCH(LEFT($D47,5),Job_Training[[#Headers],[Solar]:[Wind]],0)),0),0)</f>
        <v>6.1091999999999995</v>
      </c>
    </row>
    <row r="48" spans="1:44" x14ac:dyDescent="0.35">
      <c r="A48" t="str">
        <f>UserInput!$B$2</f>
        <v>Current Projects</v>
      </c>
      <c r="B48">
        <v>2029</v>
      </c>
      <c r="C48" t="s">
        <v>41</v>
      </c>
      <c r="D48" t="s">
        <v>80</v>
      </c>
      <c r="E48" s="66">
        <f>INDEX(UserInput!$C$2:$M$22,MATCH(UserMade_Scenario!B48,UserInput!$A$2:$A$22,0),MATCH(LEFT(IF(RIGHT(C48,2)="H2",UserMade_Scenario!C48,D48),3),UserInput!$C$25:$M$25,0))</f>
        <v>6054.545454545455</v>
      </c>
      <c r="F48" t="s">
        <v>81</v>
      </c>
      <c r="G48" s="14">
        <f t="shared" si="29"/>
        <v>4.5302256702487553E-2</v>
      </c>
      <c r="H48" s="63">
        <f t="shared" si="6"/>
        <v>1.5999366735290914</v>
      </c>
      <c r="I48" s="63">
        <f t="shared" si="7"/>
        <v>1.4021621541246112</v>
      </c>
      <c r="J48" s="63">
        <f t="shared" si="8"/>
        <v>1.7977111803489925</v>
      </c>
      <c r="K48" s="30">
        <f>IF(OR(LEFT($D48,5)="Solar",$D48="Wind"),INDEX(Land_Use[AVG],MATCH(LEFT($D48,5),Land_Use[Tech],0)),0)*$E48</f>
        <v>21190.909090909092</v>
      </c>
      <c r="L48" s="30">
        <f>IF(OR(LEFT($D48,5)="Solar",$D48="Wind"),INDEX(Land_Use[MIN],MATCH(LEFT($D48,5),Land_Use[Tech],0)),0)*$E48</f>
        <v>16952.727272727272</v>
      </c>
      <c r="M48" s="30">
        <f>IF(OR(LEFT($D48,5)="Solar",$D48="Wind"),INDEX(Land_Use[MAX],MATCH(LEFT($D48,5),Land_Use[Tech],0)),0)*$E48</f>
        <v>25429.090909090912</v>
      </c>
      <c r="N48" s="15">
        <f t="shared" si="24"/>
        <v>0</v>
      </c>
      <c r="O48" s="11">
        <f t="shared" si="25"/>
        <v>296672.72727272729</v>
      </c>
      <c r="P48" s="11">
        <f t="shared" si="26"/>
        <v>29667.272727272728</v>
      </c>
      <c r="Q48" s="11">
        <f t="shared" si="27"/>
        <v>5297727.2727272734</v>
      </c>
      <c r="R48" s="11">
        <f t="shared" si="28"/>
        <v>6569.181818181818</v>
      </c>
      <c r="S48" s="30">
        <f t="shared" si="10"/>
        <v>41.897454545454544</v>
      </c>
      <c r="T48" s="30">
        <f t="shared" si="11"/>
        <v>34.147636363636366</v>
      </c>
      <c r="U48" s="30">
        <f t="shared" si="12"/>
        <v>40.44436363636364</v>
      </c>
      <c r="V48" s="30">
        <f t="shared" si="13"/>
        <v>6.8053090909090912</v>
      </c>
      <c r="W48" s="30">
        <f t="shared" si="14"/>
        <v>123.29476363636364</v>
      </c>
      <c r="X48" s="30">
        <f t="shared" si="15"/>
        <v>7397.6858181818179</v>
      </c>
      <c r="Z48" s="23" t="s">
        <v>76</v>
      </c>
      <c r="AA48" s="40">
        <f>IF(C48="Electricity",E48*SUMIFS(Electricity!S:S,Electricity!P:P,UserMade_Scenario!B48,Electricity!M:M,UserMade_Scenario!Z48,Electricity!O:O,UserMade_Scenario!D48),"")</f>
        <v>12584580.447201923</v>
      </c>
      <c r="AB48" s="76">
        <f>1/Assumptions!$B$23/1000000000000</f>
        <v>3.5998225679871703E-9</v>
      </c>
      <c r="AC48" s="67" t="s">
        <v>82</v>
      </c>
      <c r="AD48" s="69">
        <f>INDEX(Table11[AVG
CO2e MT per MWh],MATCH(UserMade_Scenario!$B48,Table11[[Year]:[Year]],0))</f>
        <v>-0.12713468519999999</v>
      </c>
      <c r="AE48" s="69">
        <f>INDEX(Table11[MIN
CO2e MT per MWh],MATCH(UserMade_Scenario!$B48,Table11[[Year]:[Year]],0))</f>
        <v>-0.11141906240000002</v>
      </c>
      <c r="AF48" s="69">
        <f>INDEX(Table11[MAX CO2e MT per MWh],MATCH(UserMade_Scenario!$B48,Table11[[Year]:[Year]],0))</f>
        <v>-0.14285030700000004</v>
      </c>
      <c r="AG48" s="68">
        <f>IFERROR(INDEX(WaterUseH2[Average Direct Water Consumption (Gal/ kg h2)],MATCH(LEFT(D48,3),WaterUseH2[Key],0)),0)</f>
        <v>0</v>
      </c>
      <c r="AH48">
        <v>14</v>
      </c>
      <c r="AI48">
        <v>1.4</v>
      </c>
      <c r="AJ48">
        <v>250</v>
      </c>
      <c r="AK48">
        <v>0.31</v>
      </c>
      <c r="AL48" s="63">
        <f>IFERROR(INDEX(Job_Training[[Solar]:[Wind]],MATCH(AL$1,Job_Training[[`Typical Entry Level Education`]:[`Typical Entry Level Education`]],0),MATCH(LEFT($D48,5),Job_Training[[#Headers],[Solar]:[Wind]],0)),0)</f>
        <v>3.4599999999999999E-2</v>
      </c>
      <c r="AM48" s="63">
        <f>IFERROR(INDEX(Job_Training[[Solar]:[Wind]],MATCH(AM$1,Job_Training[[`Typical Entry Level Education`]:[`Typical Entry Level Education`]],0),MATCH(LEFT($D48,5),Job_Training[[#Headers],[Solar]:[Wind]],0)),0)</f>
        <v>2.8199999999999999E-2</v>
      </c>
      <c r="AN48" s="63">
        <f>IFERROR(INDEX(Job_Training[[Solar]:[Wind]],MATCH(AN$1,Job_Training[[`Typical Entry Level Education`]:[`Typical Entry Level Education`]],0),MATCH(LEFT($D48,5),Job_Training[[#Headers],[Solar]:[Wind]],0)),0)</f>
        <v>3.3399999999999999E-2</v>
      </c>
      <c r="AO48" s="63">
        <f>IFERROR(INDEX(Job_Training[[Solar]:[Wind]],MATCH(AO$1,Job_Training[[`Typical Entry Level Education`]:[`Typical Entry Level Education`]],0),MATCH(LEFT($D48,5),Job_Training[[#Headers],[Solar]:[Wind]],0)),0)</f>
        <v>5.62E-3</v>
      </c>
      <c r="AP48">
        <f t="shared" si="16"/>
        <v>1210.909090909091</v>
      </c>
      <c r="AQ48" s="63">
        <f>IF(AP48&gt;0,IFERROR(INDEX(Assumptions!$C$165:$D$165,MATCH(LEFT($D48,5),Job_Training[[#Headers],[Solar]:[Wind]],0)),0),0)</f>
        <v>0.10181999999999999</v>
      </c>
      <c r="AR48">
        <f>IF(AP48&gt;0,IFERROR(INDEX(Assumptions!$C$166:$D$166,MATCH(LEFT($D48,5),Job_Training[[#Headers],[Solar]:[Wind]],0)),0),0)</f>
        <v>6.1091999999999995</v>
      </c>
    </row>
    <row r="49" spans="1:44" x14ac:dyDescent="0.35">
      <c r="A49" t="str">
        <f>UserInput!$B$2</f>
        <v>Current Projects</v>
      </c>
      <c r="B49">
        <v>2030</v>
      </c>
      <c r="C49" t="s">
        <v>41</v>
      </c>
      <c r="D49" t="s">
        <v>80</v>
      </c>
      <c r="E49" s="66">
        <f>INDEX(UserInput!$C$2:$M$22,MATCH(UserMade_Scenario!B49,UserInput!$A$2:$A$22,0),MATCH(LEFT(IF(RIGHT(C49,2)="H2",UserMade_Scenario!C49,D49),3),UserInput!$C$25:$M$25,0))</f>
        <v>7265.454545454546</v>
      </c>
      <c r="F49" t="s">
        <v>81</v>
      </c>
      <c r="G49" s="14">
        <f t="shared" si="29"/>
        <v>5.2953633014975597E-2</v>
      </c>
      <c r="H49" s="63">
        <f t="shared" si="6"/>
        <v>1.8080255925570858</v>
      </c>
      <c r="I49" s="63">
        <f t="shared" si="7"/>
        <v>1.5631108272957872</v>
      </c>
      <c r="J49" s="63">
        <f t="shared" si="8"/>
        <v>2.0529403431083186</v>
      </c>
      <c r="K49" s="30">
        <f>IF(OR(LEFT($D49,5)="Solar",$D49="Wind"),INDEX(Land_Use[AVG],MATCH(LEFT($D49,5),Land_Use[Tech],0)),0)*$E49</f>
        <v>25429.090909090912</v>
      </c>
      <c r="L49" s="30">
        <f>IF(OR(LEFT($D49,5)="Solar",$D49="Wind"),INDEX(Land_Use[MIN],MATCH(LEFT($D49,5),Land_Use[Tech],0)),0)*$E49</f>
        <v>20343.272727272728</v>
      </c>
      <c r="M49" s="30">
        <f>IF(OR(LEFT($D49,5)="Solar",$D49="Wind"),INDEX(Land_Use[MAX],MATCH(LEFT($D49,5),Land_Use[Tech],0)),0)*$E49</f>
        <v>30514.909090909096</v>
      </c>
      <c r="N49" s="15">
        <f t="shared" si="24"/>
        <v>0</v>
      </c>
      <c r="O49" s="11">
        <f t="shared" si="25"/>
        <v>356007.27272727276</v>
      </c>
      <c r="P49" s="11">
        <f t="shared" si="26"/>
        <v>35600.727272727272</v>
      </c>
      <c r="Q49" s="11">
        <f t="shared" si="27"/>
        <v>6357272.7272727275</v>
      </c>
      <c r="R49" s="11">
        <f t="shared" si="28"/>
        <v>7883.0181818181827</v>
      </c>
      <c r="S49" s="30">
        <f t="shared" si="10"/>
        <v>41.897454545454544</v>
      </c>
      <c r="T49" s="30">
        <f t="shared" si="11"/>
        <v>34.147636363636366</v>
      </c>
      <c r="U49" s="30">
        <f t="shared" si="12"/>
        <v>40.44436363636364</v>
      </c>
      <c r="V49" s="30">
        <f t="shared" si="13"/>
        <v>6.8053090909090912</v>
      </c>
      <c r="W49" s="30">
        <f t="shared" si="14"/>
        <v>123.29476363636364</v>
      </c>
      <c r="X49" s="30">
        <f t="shared" si="15"/>
        <v>7397.6858181818179</v>
      </c>
      <c r="Z49" s="23" t="s">
        <v>76</v>
      </c>
      <c r="AA49" s="40">
        <f>IF(C49="Electricity",E49*SUMIFS(Electricity!S:S,Electricity!P:P,UserMade_Scenario!B49,Electricity!M:M,UserMade_Scenario!Z49,Electricity!O:O,UserMade_Scenario!D49),"")</f>
        <v>14710067.514406539</v>
      </c>
      <c r="AB49" s="76">
        <f>1/Assumptions!$B$23/1000000000000</f>
        <v>3.5998225679871703E-9</v>
      </c>
      <c r="AC49" s="67" t="s">
        <v>82</v>
      </c>
      <c r="AD49" s="69">
        <f>INDEX(Table11[AVG
CO2e MT per MWh],MATCH(UserMade_Scenario!$B49,Table11[[Year]:[Year]],0))</f>
        <v>-0.12291076099999998</v>
      </c>
      <c r="AE49" s="69">
        <f>INDEX(Table11[MIN
CO2e MT per MWh],MATCH(UserMade_Scenario!$B49,Table11[[Year]:[Year]],0))</f>
        <v>-0.10626129525000003</v>
      </c>
      <c r="AF49" s="69">
        <f>INDEX(Table11[MAX CO2e MT per MWh],MATCH(UserMade_Scenario!$B49,Table11[[Year]:[Year]],0))</f>
        <v>-0.13956022575000004</v>
      </c>
      <c r="AG49" s="68">
        <f>IFERROR(INDEX(WaterUseH2[Average Direct Water Consumption (Gal/ kg h2)],MATCH(LEFT(D49,3),WaterUseH2[Key],0)),0)</f>
        <v>0</v>
      </c>
      <c r="AH49">
        <v>14</v>
      </c>
      <c r="AI49">
        <v>1.4</v>
      </c>
      <c r="AJ49">
        <v>250</v>
      </c>
      <c r="AK49">
        <v>0.31</v>
      </c>
      <c r="AL49" s="63">
        <f>IFERROR(INDEX(Job_Training[[Solar]:[Wind]],MATCH(AL$1,Job_Training[[`Typical Entry Level Education`]:[`Typical Entry Level Education`]],0),MATCH(LEFT($D49,5),Job_Training[[#Headers],[Solar]:[Wind]],0)),0)</f>
        <v>3.4599999999999999E-2</v>
      </c>
      <c r="AM49" s="63">
        <f>IFERROR(INDEX(Job_Training[[Solar]:[Wind]],MATCH(AM$1,Job_Training[[`Typical Entry Level Education`]:[`Typical Entry Level Education`]],0),MATCH(LEFT($D49,5),Job_Training[[#Headers],[Solar]:[Wind]],0)),0)</f>
        <v>2.8199999999999999E-2</v>
      </c>
      <c r="AN49" s="63">
        <f>IFERROR(INDEX(Job_Training[[Solar]:[Wind]],MATCH(AN$1,Job_Training[[`Typical Entry Level Education`]:[`Typical Entry Level Education`]],0),MATCH(LEFT($D49,5),Job_Training[[#Headers],[Solar]:[Wind]],0)),0)</f>
        <v>3.3399999999999999E-2</v>
      </c>
      <c r="AO49" s="63">
        <f>IFERROR(INDEX(Job_Training[[Solar]:[Wind]],MATCH(AO$1,Job_Training[[`Typical Entry Level Education`]:[`Typical Entry Level Education`]],0),MATCH(LEFT($D49,5),Job_Training[[#Headers],[Solar]:[Wind]],0)),0)</f>
        <v>5.62E-3</v>
      </c>
      <c r="AP49">
        <f t="shared" si="16"/>
        <v>1210.909090909091</v>
      </c>
      <c r="AQ49" s="63">
        <f>IF(AP49&gt;0,IFERROR(INDEX(Assumptions!$C$165:$D$165,MATCH(LEFT($D49,5),Job_Training[[#Headers],[Solar]:[Wind]],0)),0),0)</f>
        <v>0.10181999999999999</v>
      </c>
      <c r="AR49">
        <f>IF(AP49&gt;0,IFERROR(INDEX(Assumptions!$C$166:$D$166,MATCH(LEFT($D49,5),Job_Training[[#Headers],[Solar]:[Wind]],0)),0),0)</f>
        <v>6.1091999999999995</v>
      </c>
    </row>
    <row r="50" spans="1:44" x14ac:dyDescent="0.35">
      <c r="A50" t="str">
        <f>UserInput!$B$2</f>
        <v>Current Projects</v>
      </c>
      <c r="B50">
        <v>2031</v>
      </c>
      <c r="C50" t="s">
        <v>41</v>
      </c>
      <c r="D50" t="s">
        <v>80</v>
      </c>
      <c r="E50" s="66">
        <f>INDEX(UserInput!$C$2:$M$22,MATCH(UserMade_Scenario!B50,UserInput!$A$2:$A$22,0),MATCH(LEFT(IF(RIGHT(C50,2)="H2",UserMade_Scenario!C50,D50),3),UserInput!$C$25:$M$25,0))</f>
        <v>8476.363636363636</v>
      </c>
      <c r="F50" t="s">
        <v>81</v>
      </c>
      <c r="G50" s="14">
        <f t="shared" si="29"/>
        <v>6.0135317651460483E-2</v>
      </c>
      <c r="H50" s="63">
        <f t="shared" si="6"/>
        <v>1.9826728949048815</v>
      </c>
      <c r="I50" s="63">
        <f t="shared" si="7"/>
        <v>1.6889423473380845</v>
      </c>
      <c r="J50" s="63">
        <f t="shared" si="8"/>
        <v>2.2764034257666026</v>
      </c>
      <c r="K50" s="30">
        <f>IF(OR(LEFT($D50,5)="Solar",$D50="Wind"),INDEX(Land_Use[AVG],MATCH(LEFT($D50,5),Land_Use[Tech],0)),0)*$E50</f>
        <v>29667.272727272728</v>
      </c>
      <c r="L50" s="30">
        <f>IF(OR(LEFT($D50,5)="Solar",$D50="Wind"),INDEX(Land_Use[MIN],MATCH(LEFT($D50,5),Land_Use[Tech],0)),0)*$E50</f>
        <v>23733.81818181818</v>
      </c>
      <c r="M50" s="30">
        <f>IF(OR(LEFT($D50,5)="Solar",$D50="Wind"),INDEX(Land_Use[MAX],MATCH(LEFT($D50,5),Land_Use[Tech],0)),0)*$E50</f>
        <v>35600.727272727272</v>
      </c>
      <c r="N50" s="15">
        <f t="shared" si="24"/>
        <v>0</v>
      </c>
      <c r="O50" s="11">
        <f t="shared" si="25"/>
        <v>415341.81818181818</v>
      </c>
      <c r="P50" s="11">
        <f t="shared" si="26"/>
        <v>41534.181818181816</v>
      </c>
      <c r="Q50" s="11">
        <f t="shared" si="27"/>
        <v>7416818.1818181816</v>
      </c>
      <c r="R50" s="11">
        <f t="shared" si="28"/>
        <v>9196.8545454545456</v>
      </c>
      <c r="S50" s="30">
        <f t="shared" si="10"/>
        <v>41.897454545454515</v>
      </c>
      <c r="T50" s="30">
        <f t="shared" si="11"/>
        <v>34.147636363636337</v>
      </c>
      <c r="U50" s="30">
        <f t="shared" si="12"/>
        <v>40.444363636363605</v>
      </c>
      <c r="V50" s="30">
        <f t="shared" si="13"/>
        <v>6.8053090909090859</v>
      </c>
      <c r="W50" s="30">
        <f t="shared" si="14"/>
        <v>123.29476363636354</v>
      </c>
      <c r="X50" s="30">
        <f t="shared" si="15"/>
        <v>7397.6858181818125</v>
      </c>
      <c r="Z50" s="23" t="s">
        <v>76</v>
      </c>
      <c r="AA50" s="40">
        <f>IF(C50="Electricity",E50*SUMIFS(Electricity!S:S,Electricity!P:P,UserMade_Scenario!B50,Electricity!M:M,UserMade_Scenario!Z50,Electricity!O:O,UserMade_Scenario!D50),"")</f>
        <v>16705078.240865899</v>
      </c>
      <c r="AB50" s="76">
        <f>1/Assumptions!$B$23/1000000000000</f>
        <v>3.5998225679871703E-9</v>
      </c>
      <c r="AC50" s="67" t="s">
        <v>82</v>
      </c>
      <c r="AD50" s="69">
        <f>INDEX(Table11[AVG
CO2e MT per MWh],MATCH(UserMade_Scenario!$B50,Table11[[Year]:[Year]],0))</f>
        <v>-0.11868683679999997</v>
      </c>
      <c r="AE50" s="69">
        <f>INDEX(Table11[MIN
CO2e MT per MWh],MATCH(UserMade_Scenario!$B50,Table11[[Year]:[Year]],0))</f>
        <v>-0.10110352810000003</v>
      </c>
      <c r="AF50" s="69">
        <f>INDEX(Table11[MAX CO2e MT per MWh],MATCH(UserMade_Scenario!$B50,Table11[[Year]:[Year]],0))</f>
        <v>-0.13627014450000005</v>
      </c>
      <c r="AG50" s="68">
        <f>IFERROR(INDEX(WaterUseH2[Average Direct Water Consumption (Gal/ kg h2)],MATCH(LEFT(D50,3),WaterUseH2[Key],0)),0)</f>
        <v>0</v>
      </c>
      <c r="AH50">
        <v>14</v>
      </c>
      <c r="AI50">
        <v>1.4</v>
      </c>
      <c r="AJ50">
        <v>250</v>
      </c>
      <c r="AK50">
        <v>0.31</v>
      </c>
      <c r="AL50" s="63">
        <f>IFERROR(INDEX(Job_Training[[Solar]:[Wind]],MATCH(AL$1,Job_Training[[`Typical Entry Level Education`]:[`Typical Entry Level Education`]],0),MATCH(LEFT($D50,5),Job_Training[[#Headers],[Solar]:[Wind]],0)),0)</f>
        <v>3.4599999999999999E-2</v>
      </c>
      <c r="AM50" s="63">
        <f>IFERROR(INDEX(Job_Training[[Solar]:[Wind]],MATCH(AM$1,Job_Training[[`Typical Entry Level Education`]:[`Typical Entry Level Education`]],0),MATCH(LEFT($D50,5),Job_Training[[#Headers],[Solar]:[Wind]],0)),0)</f>
        <v>2.8199999999999999E-2</v>
      </c>
      <c r="AN50" s="63">
        <f>IFERROR(INDEX(Job_Training[[Solar]:[Wind]],MATCH(AN$1,Job_Training[[`Typical Entry Level Education`]:[`Typical Entry Level Education`]],0),MATCH(LEFT($D50,5),Job_Training[[#Headers],[Solar]:[Wind]],0)),0)</f>
        <v>3.3399999999999999E-2</v>
      </c>
      <c r="AO50" s="63">
        <f>IFERROR(INDEX(Job_Training[[Solar]:[Wind]],MATCH(AO$1,Job_Training[[`Typical Entry Level Education`]:[`Typical Entry Level Education`]],0),MATCH(LEFT($D50,5),Job_Training[[#Headers],[Solar]:[Wind]],0)),0)</f>
        <v>5.62E-3</v>
      </c>
      <c r="AP50">
        <f t="shared" si="16"/>
        <v>1210.9090909090901</v>
      </c>
      <c r="AQ50" s="63">
        <f>IF(AP50&gt;0,IFERROR(INDEX(Assumptions!$C$165:$D$165,MATCH(LEFT($D50,5),Job_Training[[#Headers],[Solar]:[Wind]],0)),0),0)</f>
        <v>0.10181999999999999</v>
      </c>
      <c r="AR50">
        <f>IF(AP50&gt;0,IFERROR(INDEX(Assumptions!$C$166:$D$166,MATCH(LEFT($D50,5),Job_Training[[#Headers],[Solar]:[Wind]],0)),0),0)</f>
        <v>6.1091999999999995</v>
      </c>
    </row>
    <row r="51" spans="1:44" x14ac:dyDescent="0.35">
      <c r="A51" t="str">
        <f>UserInput!$B$2</f>
        <v>Current Projects</v>
      </c>
      <c r="B51">
        <v>2032</v>
      </c>
      <c r="C51" t="s">
        <v>41</v>
      </c>
      <c r="D51" t="s">
        <v>80</v>
      </c>
      <c r="E51" s="66">
        <f>INDEX(UserInput!$C$2:$M$22,MATCH(UserMade_Scenario!B51,UserInput!$A$2:$A$22,0),MATCH(LEFT(IF(RIGHT(C51,2)="H2",UserMade_Scenario!C51,D51),3),UserInput!$C$25:$M$25,0))</f>
        <v>9687.2727272727279</v>
      </c>
      <c r="F51" t="s">
        <v>81</v>
      </c>
      <c r="G51" s="14">
        <f t="shared" si="29"/>
        <v>6.6847310611942212E-2</v>
      </c>
      <c r="H51" s="63">
        <f t="shared" si="6"/>
        <v>2.1255319470920826</v>
      </c>
      <c r="I51" s="63">
        <f t="shared" si="7"/>
        <v>1.7816756140039474</v>
      </c>
      <c r="J51" s="63">
        <f t="shared" si="8"/>
        <v>2.4693882616106086</v>
      </c>
      <c r="K51" s="30">
        <f>IF(OR(LEFT($D51,5)="Solar",$D51="Wind"),INDEX(Land_Use[AVG],MATCH(LEFT($D51,5),Land_Use[Tech],0)),0)*$E51</f>
        <v>33905.454545454544</v>
      </c>
      <c r="L51" s="30">
        <f>IF(OR(LEFT($D51,5)="Solar",$D51="Wind"),INDEX(Land_Use[MIN],MATCH(LEFT($D51,5),Land_Use[Tech],0)),0)*$E51</f>
        <v>27124.363636363636</v>
      </c>
      <c r="M51" s="30">
        <f>IF(OR(LEFT($D51,5)="Solar",$D51="Wind"),INDEX(Land_Use[MAX],MATCH(LEFT($D51,5),Land_Use[Tech],0)),0)*$E51</f>
        <v>40686.545454545456</v>
      </c>
      <c r="N51" s="15">
        <f t="shared" si="24"/>
        <v>0</v>
      </c>
      <c r="O51" s="11">
        <f t="shared" si="25"/>
        <v>474676.36363636365</v>
      </c>
      <c r="P51" s="11">
        <f t="shared" si="26"/>
        <v>47467.63636363636</v>
      </c>
      <c r="Q51" s="11">
        <f t="shared" si="27"/>
        <v>8476363.6363636367</v>
      </c>
      <c r="R51" s="11">
        <f t="shared" si="28"/>
        <v>10510.690909090908</v>
      </c>
      <c r="S51" s="30">
        <f t="shared" si="10"/>
        <v>41.897454545454579</v>
      </c>
      <c r="T51" s="30">
        <f t="shared" si="11"/>
        <v>34.147636363636394</v>
      </c>
      <c r="U51" s="30">
        <f t="shared" si="12"/>
        <v>40.444363636363668</v>
      </c>
      <c r="V51" s="30">
        <f t="shared" si="13"/>
        <v>6.8053090909090965</v>
      </c>
      <c r="W51" s="30">
        <f t="shared" si="14"/>
        <v>123.29476363636373</v>
      </c>
      <c r="X51" s="30">
        <f t="shared" si="15"/>
        <v>7397.6858181818234</v>
      </c>
      <c r="Z51" s="23" t="s">
        <v>76</v>
      </c>
      <c r="AA51" s="40">
        <f>IF(C51="Electricity",E51*SUMIFS(Electricity!S:S,Electricity!P:P,UserMade_Scenario!B51,Electricity!M:M,UserMade_Scenario!Z51,Electricity!O:O,UserMade_Scenario!D51),"")</f>
        <v>18569612.626580004</v>
      </c>
      <c r="AB51" s="76">
        <f>1/Assumptions!$B$23/1000000000000</f>
        <v>3.5998225679871703E-9</v>
      </c>
      <c r="AC51" s="67" t="s">
        <v>82</v>
      </c>
      <c r="AD51" s="69">
        <f>INDEX(Table11[AVG
CO2e MT per MWh],MATCH(UserMade_Scenario!$B51,Table11[[Year]:[Year]],0))</f>
        <v>-0.11446291259999997</v>
      </c>
      <c r="AE51" s="69">
        <f>INDEX(Table11[MIN
CO2e MT per MWh],MATCH(UserMade_Scenario!$B51,Table11[[Year]:[Year]],0))</f>
        <v>-9.5945760950000042E-2</v>
      </c>
      <c r="AF51" s="69">
        <f>INDEX(Table11[MAX CO2e MT per MWh],MATCH(UserMade_Scenario!$B51,Table11[[Year]:[Year]],0))</f>
        <v>-0.13298006325000006</v>
      </c>
      <c r="AG51" s="68">
        <f>IFERROR(INDEX(WaterUseH2[Average Direct Water Consumption (Gal/ kg h2)],MATCH(LEFT(D51,3),WaterUseH2[Key],0)),0)</f>
        <v>0</v>
      </c>
      <c r="AH51">
        <v>14</v>
      </c>
      <c r="AI51">
        <v>1.4</v>
      </c>
      <c r="AJ51">
        <v>250</v>
      </c>
      <c r="AK51">
        <v>0.31</v>
      </c>
      <c r="AL51" s="63">
        <f>IFERROR(INDEX(Job_Training[[Solar]:[Wind]],MATCH(AL$1,Job_Training[[`Typical Entry Level Education`]:[`Typical Entry Level Education`]],0),MATCH(LEFT($D51,5),Job_Training[[#Headers],[Solar]:[Wind]],0)),0)</f>
        <v>3.4599999999999999E-2</v>
      </c>
      <c r="AM51" s="63">
        <f>IFERROR(INDEX(Job_Training[[Solar]:[Wind]],MATCH(AM$1,Job_Training[[`Typical Entry Level Education`]:[`Typical Entry Level Education`]],0),MATCH(LEFT($D51,5),Job_Training[[#Headers],[Solar]:[Wind]],0)),0)</f>
        <v>2.8199999999999999E-2</v>
      </c>
      <c r="AN51" s="63">
        <f>IFERROR(INDEX(Job_Training[[Solar]:[Wind]],MATCH(AN$1,Job_Training[[`Typical Entry Level Education`]:[`Typical Entry Level Education`]],0),MATCH(LEFT($D51,5),Job_Training[[#Headers],[Solar]:[Wind]],0)),0)</f>
        <v>3.3399999999999999E-2</v>
      </c>
      <c r="AO51" s="63">
        <f>IFERROR(INDEX(Job_Training[[Solar]:[Wind]],MATCH(AO$1,Job_Training[[`Typical Entry Level Education`]:[`Typical Entry Level Education`]],0),MATCH(LEFT($D51,5),Job_Training[[#Headers],[Solar]:[Wind]],0)),0)</f>
        <v>5.62E-3</v>
      </c>
      <c r="AP51">
        <f t="shared" si="16"/>
        <v>1210.9090909090919</v>
      </c>
      <c r="AQ51" s="63">
        <f>IF(AP51&gt;0,IFERROR(INDEX(Assumptions!$C$165:$D$165,MATCH(LEFT($D51,5),Job_Training[[#Headers],[Solar]:[Wind]],0)),0),0)</f>
        <v>0.10181999999999999</v>
      </c>
      <c r="AR51">
        <f>IF(AP51&gt;0,IFERROR(INDEX(Assumptions!$C$166:$D$166,MATCH(LEFT($D51,5),Job_Training[[#Headers],[Solar]:[Wind]],0)),0),0)</f>
        <v>6.1091999999999995</v>
      </c>
    </row>
    <row r="52" spans="1:44" x14ac:dyDescent="0.35">
      <c r="A52" t="str">
        <f>UserInput!$B$2</f>
        <v>Current Projects</v>
      </c>
      <c r="B52">
        <v>2033</v>
      </c>
      <c r="C52" t="s">
        <v>41</v>
      </c>
      <c r="D52" t="s">
        <v>80</v>
      </c>
      <c r="E52" s="66">
        <f>INDEX(UserInput!$C$2:$M$22,MATCH(UserMade_Scenario!B52,UserInput!$A$2:$A$22,0),MATCH(LEFT(IF(RIGHT(C52,2)="H2",UserMade_Scenario!C52,D52),3),UserInput!$C$25:$M$25,0))</f>
        <v>10898.18181818182</v>
      </c>
      <c r="F52" t="s">
        <v>81</v>
      </c>
      <c r="G52" s="14">
        <f t="shared" si="29"/>
        <v>7.3089611896420797E-2</v>
      </c>
      <c r="H52" s="63">
        <f t="shared" si="6"/>
        <v>2.2382561156382934</v>
      </c>
      <c r="I52" s="63">
        <f t="shared" si="7"/>
        <v>1.8433295270458203</v>
      </c>
      <c r="J52" s="63">
        <f t="shared" si="8"/>
        <v>2.6331826839271</v>
      </c>
      <c r="K52" s="30">
        <f>IF(OR(LEFT($D52,5)="Solar",$D52="Wind"),INDEX(Land_Use[AVG],MATCH(LEFT($D52,5),Land_Use[Tech],0)),0)*$E52</f>
        <v>38143.636363636368</v>
      </c>
      <c r="L52" s="30">
        <f>IF(OR(LEFT($D52,5)="Solar",$D52="Wind"),INDEX(Land_Use[MIN],MATCH(LEFT($D52,5),Land_Use[Tech],0)),0)*$E52</f>
        <v>30514.909090909092</v>
      </c>
      <c r="M52" s="30">
        <f>IF(OR(LEFT($D52,5)="Solar",$D52="Wind"),INDEX(Land_Use[MAX],MATCH(LEFT($D52,5),Land_Use[Tech],0)),0)*$E52</f>
        <v>45772.363636363647</v>
      </c>
      <c r="N52" s="15">
        <f t="shared" si="24"/>
        <v>0</v>
      </c>
      <c r="O52" s="11">
        <f t="shared" si="25"/>
        <v>534010.90909090918</v>
      </c>
      <c r="P52" s="11">
        <f t="shared" si="26"/>
        <v>53401.090909090912</v>
      </c>
      <c r="Q52" s="11">
        <f t="shared" si="27"/>
        <v>9535909.0909090918</v>
      </c>
      <c r="R52" s="11">
        <f t="shared" si="28"/>
        <v>11824.527272727273</v>
      </c>
      <c r="S52" s="30">
        <f t="shared" si="10"/>
        <v>41.897454545454579</v>
      </c>
      <c r="T52" s="30">
        <f t="shared" si="11"/>
        <v>34.147636363636394</v>
      </c>
      <c r="U52" s="30">
        <f t="shared" si="12"/>
        <v>40.444363636363668</v>
      </c>
      <c r="V52" s="30">
        <f t="shared" si="13"/>
        <v>6.8053090909090965</v>
      </c>
      <c r="W52" s="30">
        <f t="shared" si="14"/>
        <v>123.29476363636373</v>
      </c>
      <c r="X52" s="30">
        <f t="shared" si="15"/>
        <v>7397.6858181818234</v>
      </c>
      <c r="Z52" s="23" t="s">
        <v>76</v>
      </c>
      <c r="AA52" s="40">
        <f>IF(C52="Electricity",E52*SUMIFS(Electricity!S:S,Electricity!P:P,UserMade_Scenario!B52,Electricity!M:M,UserMade_Scenario!Z52,Electricity!O:O,UserMade_Scenario!D52),"")</f>
        <v>20303670.671548855</v>
      </c>
      <c r="AB52" s="76">
        <f>1/Assumptions!$B$23/1000000000000</f>
        <v>3.5998225679871703E-9</v>
      </c>
      <c r="AC52" s="67" t="s">
        <v>82</v>
      </c>
      <c r="AD52" s="69">
        <f>INDEX(Table11[AVG
CO2e MT per MWh],MATCH(UserMade_Scenario!$B52,Table11[[Year]:[Year]],0))</f>
        <v>-0.11023898839999996</v>
      </c>
      <c r="AE52" s="69">
        <f>INDEX(Table11[MIN
CO2e MT per MWh],MATCH(UserMade_Scenario!$B52,Table11[[Year]:[Year]],0))</f>
        <v>-9.078799380000005E-2</v>
      </c>
      <c r="AF52" s="69">
        <f>INDEX(Table11[MAX CO2e MT per MWh],MATCH(UserMade_Scenario!$B52,Table11[[Year]:[Year]],0))</f>
        <v>-0.12968998200000006</v>
      </c>
      <c r="AG52" s="68">
        <f>IFERROR(INDEX(WaterUseH2[Average Direct Water Consumption (Gal/ kg h2)],MATCH(LEFT(D52,3),WaterUseH2[Key],0)),0)</f>
        <v>0</v>
      </c>
      <c r="AH52">
        <v>14</v>
      </c>
      <c r="AI52">
        <v>1.4</v>
      </c>
      <c r="AJ52">
        <v>250</v>
      </c>
      <c r="AK52">
        <v>0.31</v>
      </c>
      <c r="AL52" s="63">
        <f>IFERROR(INDEX(Job_Training[[Solar]:[Wind]],MATCH(AL$1,Job_Training[[`Typical Entry Level Education`]:[`Typical Entry Level Education`]],0),MATCH(LEFT($D52,5),Job_Training[[#Headers],[Solar]:[Wind]],0)),0)</f>
        <v>3.4599999999999999E-2</v>
      </c>
      <c r="AM52" s="63">
        <f>IFERROR(INDEX(Job_Training[[Solar]:[Wind]],MATCH(AM$1,Job_Training[[`Typical Entry Level Education`]:[`Typical Entry Level Education`]],0),MATCH(LEFT($D52,5),Job_Training[[#Headers],[Solar]:[Wind]],0)),0)</f>
        <v>2.8199999999999999E-2</v>
      </c>
      <c r="AN52" s="63">
        <f>IFERROR(INDEX(Job_Training[[Solar]:[Wind]],MATCH(AN$1,Job_Training[[`Typical Entry Level Education`]:[`Typical Entry Level Education`]],0),MATCH(LEFT($D52,5),Job_Training[[#Headers],[Solar]:[Wind]],0)),0)</f>
        <v>3.3399999999999999E-2</v>
      </c>
      <c r="AO52" s="63">
        <f>IFERROR(INDEX(Job_Training[[Solar]:[Wind]],MATCH(AO$1,Job_Training[[`Typical Entry Level Education`]:[`Typical Entry Level Education`]],0),MATCH(LEFT($D52,5),Job_Training[[#Headers],[Solar]:[Wind]],0)),0)</f>
        <v>5.62E-3</v>
      </c>
      <c r="AP52">
        <f t="shared" si="16"/>
        <v>1210.9090909090919</v>
      </c>
      <c r="AQ52" s="63">
        <f>IF(AP52&gt;0,IFERROR(INDEX(Assumptions!$C$165:$D$165,MATCH(LEFT($D52,5),Job_Training[[#Headers],[Solar]:[Wind]],0)),0),0)</f>
        <v>0.10181999999999999</v>
      </c>
      <c r="AR52">
        <f>IF(AP52&gt;0,IFERROR(INDEX(Assumptions!$C$166:$D$166,MATCH(LEFT($D52,5),Job_Training[[#Headers],[Solar]:[Wind]],0)),0),0)</f>
        <v>6.1091999999999995</v>
      </c>
    </row>
    <row r="53" spans="1:44" x14ac:dyDescent="0.35">
      <c r="A53" t="str">
        <f>UserInput!$B$2</f>
        <v>Current Projects</v>
      </c>
      <c r="B53">
        <v>2034</v>
      </c>
      <c r="C53" t="s">
        <v>41</v>
      </c>
      <c r="D53" t="s">
        <v>80</v>
      </c>
      <c r="E53" s="66">
        <f>INDEX(UserInput!$C$2:$M$22,MATCH(UserMade_Scenario!B53,UserInput!$A$2:$A$22,0),MATCH(LEFT(IF(RIGHT(C53,2)="H2",UserMade_Scenario!C53,D53),3),UserInput!$C$25:$M$25,0))</f>
        <v>12109.090909090912</v>
      </c>
      <c r="F53" t="s">
        <v>81</v>
      </c>
      <c r="G53" s="14">
        <f t="shared" si="29"/>
        <v>7.8862221504896218E-2</v>
      </c>
      <c r="H53" s="63">
        <f t="shared" si="6"/>
        <v>2.3224987670631179</v>
      </c>
      <c r="I53" s="63">
        <f t="shared" si="7"/>
        <v>1.8759229862161473</v>
      </c>
      <c r="J53" s="63">
        <f t="shared" si="8"/>
        <v>2.7690745260028411</v>
      </c>
      <c r="K53" s="30">
        <f>IF(OR(LEFT($D53,5)="Solar",$D53="Wind"),INDEX(Land_Use[AVG],MATCH(LEFT($D53,5),Land_Use[Tech],0)),0)*$E53</f>
        <v>42381.818181818191</v>
      </c>
      <c r="L53" s="30">
        <f>IF(OR(LEFT($D53,5)="Solar",$D53="Wind"),INDEX(Land_Use[MIN],MATCH(LEFT($D53,5),Land_Use[Tech],0)),0)*$E53</f>
        <v>33905.454545454551</v>
      </c>
      <c r="M53" s="30">
        <f>IF(OR(LEFT($D53,5)="Solar",$D53="Wind"),INDEX(Land_Use[MAX],MATCH(LEFT($D53,5),Land_Use[Tech],0)),0)*$E53</f>
        <v>50858.181818181831</v>
      </c>
      <c r="N53" s="15">
        <f t="shared" si="24"/>
        <v>0</v>
      </c>
      <c r="O53" s="11">
        <f t="shared" si="25"/>
        <v>593345.4545454547</v>
      </c>
      <c r="P53" s="11">
        <f t="shared" si="26"/>
        <v>59334.545454545463</v>
      </c>
      <c r="Q53" s="11">
        <f t="shared" si="27"/>
        <v>10595454.545454549</v>
      </c>
      <c r="R53" s="11">
        <f t="shared" si="28"/>
        <v>13138.36363636364</v>
      </c>
      <c r="S53" s="30">
        <f t="shared" si="10"/>
        <v>41.897454545454579</v>
      </c>
      <c r="T53" s="30">
        <f t="shared" si="11"/>
        <v>34.147636363636394</v>
      </c>
      <c r="U53" s="30">
        <f t="shared" si="12"/>
        <v>40.444363636363668</v>
      </c>
      <c r="V53" s="30">
        <f t="shared" si="13"/>
        <v>6.8053090909090965</v>
      </c>
      <c r="W53" s="30">
        <f t="shared" si="14"/>
        <v>123.29476363636373</v>
      </c>
      <c r="X53" s="30">
        <f t="shared" si="15"/>
        <v>7397.6858181818234</v>
      </c>
      <c r="Z53" s="23" t="s">
        <v>76</v>
      </c>
      <c r="AA53" s="40">
        <f>IF(C53="Electricity",E53*SUMIFS(Electricity!S:S,Electricity!P:P,UserMade_Scenario!B53,Electricity!M:M,UserMade_Scenario!Z53,Electricity!O:O,UserMade_Scenario!D53),"")</f>
        <v>21907252.37577245</v>
      </c>
      <c r="AB53" s="76">
        <f>1/Assumptions!$B$23/1000000000000</f>
        <v>3.5998225679871703E-9</v>
      </c>
      <c r="AC53" s="67" t="s">
        <v>82</v>
      </c>
      <c r="AD53" s="69">
        <f>INDEX(Table11[AVG
CO2e MT per MWh],MATCH(UserMade_Scenario!$B53,Table11[[Year]:[Year]],0))</f>
        <v>-0.10601506419999995</v>
      </c>
      <c r="AE53" s="69">
        <f>INDEX(Table11[MIN
CO2e MT per MWh],MATCH(UserMade_Scenario!$B53,Table11[[Year]:[Year]],0))</f>
        <v>-8.5630226650000058E-2</v>
      </c>
      <c r="AF53" s="69">
        <f>INDEX(Table11[MAX CO2e MT per MWh],MATCH(UserMade_Scenario!$B53,Table11[[Year]:[Year]],0))</f>
        <v>-0.12639990075000007</v>
      </c>
      <c r="AG53" s="68">
        <f>IFERROR(INDEX(WaterUseH2[Average Direct Water Consumption (Gal/ kg h2)],MATCH(LEFT(D53,3),WaterUseH2[Key],0)),0)</f>
        <v>0</v>
      </c>
      <c r="AH53">
        <v>14</v>
      </c>
      <c r="AI53">
        <v>1.4</v>
      </c>
      <c r="AJ53">
        <v>250</v>
      </c>
      <c r="AK53">
        <v>0.31</v>
      </c>
      <c r="AL53" s="63">
        <f>IFERROR(INDEX(Job_Training[[Solar]:[Wind]],MATCH(AL$1,Job_Training[[`Typical Entry Level Education`]:[`Typical Entry Level Education`]],0),MATCH(LEFT($D53,5),Job_Training[[#Headers],[Solar]:[Wind]],0)),0)</f>
        <v>3.4599999999999999E-2</v>
      </c>
      <c r="AM53" s="63">
        <f>IFERROR(INDEX(Job_Training[[Solar]:[Wind]],MATCH(AM$1,Job_Training[[`Typical Entry Level Education`]:[`Typical Entry Level Education`]],0),MATCH(LEFT($D53,5),Job_Training[[#Headers],[Solar]:[Wind]],0)),0)</f>
        <v>2.8199999999999999E-2</v>
      </c>
      <c r="AN53" s="63">
        <f>IFERROR(INDEX(Job_Training[[Solar]:[Wind]],MATCH(AN$1,Job_Training[[`Typical Entry Level Education`]:[`Typical Entry Level Education`]],0),MATCH(LEFT($D53,5),Job_Training[[#Headers],[Solar]:[Wind]],0)),0)</f>
        <v>3.3399999999999999E-2</v>
      </c>
      <c r="AO53" s="63">
        <f>IFERROR(INDEX(Job_Training[[Solar]:[Wind]],MATCH(AO$1,Job_Training[[`Typical Entry Level Education`]:[`Typical Entry Level Education`]],0),MATCH(LEFT($D53,5),Job_Training[[#Headers],[Solar]:[Wind]],0)),0)</f>
        <v>5.62E-3</v>
      </c>
      <c r="AP53">
        <f t="shared" si="16"/>
        <v>1210.9090909090919</v>
      </c>
      <c r="AQ53" s="63">
        <f>IF(AP53&gt;0,IFERROR(INDEX(Assumptions!$C$165:$D$165,MATCH(LEFT($D53,5),Job_Training[[#Headers],[Solar]:[Wind]],0)),0),0)</f>
        <v>0.10181999999999999</v>
      </c>
      <c r="AR53">
        <f>IF(AP53&gt;0,IFERROR(INDEX(Assumptions!$C$166:$D$166,MATCH(LEFT($D53,5),Job_Training[[#Headers],[Solar]:[Wind]],0)),0),0)</f>
        <v>6.1091999999999995</v>
      </c>
    </row>
    <row r="54" spans="1:44" x14ac:dyDescent="0.35">
      <c r="A54" t="str">
        <f>UserInput!$B$2</f>
        <v>Current Projects</v>
      </c>
      <c r="B54">
        <v>2035</v>
      </c>
      <c r="C54" t="s">
        <v>41</v>
      </c>
      <c r="D54" t="s">
        <v>80</v>
      </c>
      <c r="E54" s="66">
        <f>INDEX(UserInput!$C$2:$M$22,MATCH(UserMade_Scenario!B54,UserInput!$A$2:$A$22,0),MATCH(LEFT(IF(RIGHT(C54,2)="H2",UserMade_Scenario!C54,D54),3),UserInput!$C$25:$M$25,0))</f>
        <v>13320.000000000004</v>
      </c>
      <c r="F54" t="s">
        <v>81</v>
      </c>
      <c r="G54" s="14">
        <f t="shared" si="29"/>
        <v>8.4165139437368489E-2</v>
      </c>
      <c r="H54" s="63">
        <f t="shared" si="6"/>
        <v>2.3799132678861596</v>
      </c>
      <c r="I54" s="63">
        <f t="shared" si="7"/>
        <v>1.8814748912673722</v>
      </c>
      <c r="J54" s="63">
        <f t="shared" si="8"/>
        <v>2.8783516211245943</v>
      </c>
      <c r="K54" s="30">
        <f>IF(OR(LEFT($D54,5)="Solar",$D54="Wind"),INDEX(Land_Use[AVG],MATCH(LEFT($D54,5),Land_Use[Tech],0)),0)*$E54</f>
        <v>46620.000000000015</v>
      </c>
      <c r="L54" s="30">
        <f>IF(OR(LEFT($D54,5)="Solar",$D54="Wind"),INDEX(Land_Use[MIN],MATCH(LEFT($D54,5),Land_Use[Tech],0)),0)*$E54</f>
        <v>37296.000000000007</v>
      </c>
      <c r="M54" s="30">
        <f>IF(OR(LEFT($D54,5)="Solar",$D54="Wind"),INDEX(Land_Use[MAX],MATCH(LEFT($D54,5),Land_Use[Tech],0)),0)*$E54</f>
        <v>55944.000000000015</v>
      </c>
      <c r="N54" s="15">
        <f t="shared" si="24"/>
        <v>0</v>
      </c>
      <c r="O54" s="11">
        <f t="shared" si="25"/>
        <v>652680.00000000023</v>
      </c>
      <c r="P54" s="11">
        <f t="shared" si="26"/>
        <v>65268.000000000015</v>
      </c>
      <c r="Q54" s="11">
        <f t="shared" si="27"/>
        <v>11655000.000000004</v>
      </c>
      <c r="R54" s="11">
        <f t="shared" si="28"/>
        <v>14452.200000000004</v>
      </c>
      <c r="S54" s="30">
        <f t="shared" si="10"/>
        <v>41.897454545454579</v>
      </c>
      <c r="T54" s="30">
        <f t="shared" si="11"/>
        <v>34.147636363636394</v>
      </c>
      <c r="U54" s="30">
        <f t="shared" si="12"/>
        <v>40.444363636363668</v>
      </c>
      <c r="V54" s="30">
        <f t="shared" si="13"/>
        <v>6.8053090909090965</v>
      </c>
      <c r="W54" s="30">
        <f t="shared" si="14"/>
        <v>123.29476363636373</v>
      </c>
      <c r="X54" s="30">
        <f t="shared" si="15"/>
        <v>7397.6858181818234</v>
      </c>
      <c r="Z54" s="23" t="s">
        <v>76</v>
      </c>
      <c r="AA54" s="40">
        <f>IF(C54="Electricity",E54*SUMIFS(Electricity!S:S,Electricity!P:P,UserMade_Scenario!B54,Electricity!M:M,UserMade_Scenario!Z54,Electricity!O:O,UserMade_Scenario!D54),"")</f>
        <v>23380357.73925079</v>
      </c>
      <c r="AB54" s="76">
        <f>1/Assumptions!$B$23/1000000000000</f>
        <v>3.5998225679871703E-9</v>
      </c>
      <c r="AC54" s="67" t="s">
        <v>82</v>
      </c>
      <c r="AD54" s="69">
        <f>INDEX(Table11[AVG
CO2e MT per MWh],MATCH(UserMade_Scenario!$B54,Table11[[Year]:[Year]],0))</f>
        <v>-0.10179113999999995</v>
      </c>
      <c r="AE54" s="69">
        <f>INDEX(Table11[MIN
CO2e MT per MWh],MATCH(UserMade_Scenario!$B54,Table11[[Year]:[Year]],0))</f>
        <v>-8.0472459500000065E-2</v>
      </c>
      <c r="AF54" s="69">
        <f>INDEX(Table11[MAX CO2e MT per MWh],MATCH(UserMade_Scenario!$B54,Table11[[Year]:[Year]],0))</f>
        <v>-0.12310981950000006</v>
      </c>
      <c r="AG54" s="68">
        <f>IFERROR(INDEX(WaterUseH2[Average Direct Water Consumption (Gal/ kg h2)],MATCH(LEFT(D54,3),WaterUseH2[Key],0)),0)</f>
        <v>0</v>
      </c>
      <c r="AH54">
        <v>14</v>
      </c>
      <c r="AI54">
        <v>1.4</v>
      </c>
      <c r="AJ54">
        <v>250</v>
      </c>
      <c r="AK54">
        <v>0.31</v>
      </c>
      <c r="AL54" s="63">
        <f>IFERROR(INDEX(Job_Training[[Solar]:[Wind]],MATCH(AL$1,Job_Training[[`Typical Entry Level Education`]:[`Typical Entry Level Education`]],0),MATCH(LEFT($D54,5),Job_Training[[#Headers],[Solar]:[Wind]],0)),0)</f>
        <v>3.4599999999999999E-2</v>
      </c>
      <c r="AM54" s="63">
        <f>IFERROR(INDEX(Job_Training[[Solar]:[Wind]],MATCH(AM$1,Job_Training[[`Typical Entry Level Education`]:[`Typical Entry Level Education`]],0),MATCH(LEFT($D54,5),Job_Training[[#Headers],[Solar]:[Wind]],0)),0)</f>
        <v>2.8199999999999999E-2</v>
      </c>
      <c r="AN54" s="63">
        <f>IFERROR(INDEX(Job_Training[[Solar]:[Wind]],MATCH(AN$1,Job_Training[[`Typical Entry Level Education`]:[`Typical Entry Level Education`]],0),MATCH(LEFT($D54,5),Job_Training[[#Headers],[Solar]:[Wind]],0)),0)</f>
        <v>3.3399999999999999E-2</v>
      </c>
      <c r="AO54" s="63">
        <f>IFERROR(INDEX(Job_Training[[Solar]:[Wind]],MATCH(AO$1,Job_Training[[`Typical Entry Level Education`]:[`Typical Entry Level Education`]],0),MATCH(LEFT($D54,5),Job_Training[[#Headers],[Solar]:[Wind]],0)),0)</f>
        <v>5.62E-3</v>
      </c>
      <c r="AP54">
        <f t="shared" si="16"/>
        <v>1210.9090909090919</v>
      </c>
      <c r="AQ54" s="63">
        <f>IF(AP54&gt;0,IFERROR(INDEX(Assumptions!$C$165:$D$165,MATCH(LEFT($D54,5),Job_Training[[#Headers],[Solar]:[Wind]],0)),0),0)</f>
        <v>0.10181999999999999</v>
      </c>
      <c r="AR54">
        <f>IF(AP54&gt;0,IFERROR(INDEX(Assumptions!$C$166:$D$166,MATCH(LEFT($D54,5),Job_Training[[#Headers],[Solar]:[Wind]],0)),0),0)</f>
        <v>6.1091999999999995</v>
      </c>
    </row>
    <row r="55" spans="1:44" x14ac:dyDescent="0.35">
      <c r="A55" t="str">
        <f>UserInput!$B$2</f>
        <v>Current Projects</v>
      </c>
      <c r="B55">
        <v>2036</v>
      </c>
      <c r="C55" t="s">
        <v>41</v>
      </c>
      <c r="D55" t="s">
        <v>80</v>
      </c>
      <c r="E55" s="66">
        <f>INDEX(UserInput!$C$2:$M$22,MATCH(UserMade_Scenario!B55,UserInput!$A$2:$A$22,0),MATCH(LEFT(IF(RIGHT(C55,2)="H2",UserMade_Scenario!C55,D55),3),UserInput!$C$25:$M$25,0))</f>
        <v>13320</v>
      </c>
      <c r="F55" t="s">
        <v>81</v>
      </c>
      <c r="G55" s="14">
        <f t="shared" si="29"/>
        <v>8.1581835219351098E-2</v>
      </c>
      <c r="H55" s="63">
        <f t="shared" si="6"/>
        <v>2.2111402359081032</v>
      </c>
      <c r="I55" s="63">
        <f t="shared" si="7"/>
        <v>1.7068371301226108</v>
      </c>
      <c r="J55" s="63">
        <f t="shared" si="8"/>
        <v>2.7154433190308627</v>
      </c>
      <c r="K55" s="30">
        <f>IF(OR(LEFT($D55,5)="Solar",$D55="Wind"),INDEX(Land_Use[AVG],MATCH(LEFT($D55,5),Land_Use[Tech],0)),0)*$E55</f>
        <v>46620</v>
      </c>
      <c r="L55" s="30">
        <f>IF(OR(LEFT($D55,5)="Solar",$D55="Wind"),INDEX(Land_Use[MIN],MATCH(LEFT($D55,5),Land_Use[Tech],0)),0)*$E55</f>
        <v>37296</v>
      </c>
      <c r="M55" s="30">
        <f>IF(OR(LEFT($D55,5)="Solar",$D55="Wind"),INDEX(Land_Use[MAX],MATCH(LEFT($D55,5),Land_Use[Tech],0)),0)*$E55</f>
        <v>55944</v>
      </c>
      <c r="N55" s="15">
        <f t="shared" si="24"/>
        <v>0</v>
      </c>
      <c r="O55" s="11">
        <f t="shared" si="25"/>
        <v>652680</v>
      </c>
      <c r="P55" s="11">
        <f t="shared" si="26"/>
        <v>65267.999999999993</v>
      </c>
      <c r="Q55" s="11">
        <f t="shared" si="27"/>
        <v>11655000</v>
      </c>
      <c r="R55" s="11">
        <f t="shared" si="28"/>
        <v>14452.2</v>
      </c>
      <c r="S55" s="30">
        <f t="shared" si="10"/>
        <v>0</v>
      </c>
      <c r="T55" s="30">
        <f t="shared" si="11"/>
        <v>0</v>
      </c>
      <c r="U55" s="30">
        <f t="shared" si="12"/>
        <v>0</v>
      </c>
      <c r="V55" s="30">
        <f t="shared" si="13"/>
        <v>0</v>
      </c>
      <c r="W55" s="30">
        <f t="shared" si="14"/>
        <v>0</v>
      </c>
      <c r="X55" s="30">
        <f t="shared" si="15"/>
        <v>0</v>
      </c>
      <c r="Z55" s="23" t="s">
        <v>76</v>
      </c>
      <c r="AA55" s="40">
        <f>IF(C55="Electricity",E55*SUMIFS(Electricity!S:S,Electricity!P:P,UserMade_Scenario!B55,Electricity!M:M,UserMade_Scenario!Z55,Electricity!O:O,UserMade_Scenario!D55),"")</f>
        <v>22662737.865151875</v>
      </c>
      <c r="AB55" s="76">
        <f>1/Assumptions!$B$23/1000000000000</f>
        <v>3.5998225679871703E-9</v>
      </c>
      <c r="AC55" s="67" t="s">
        <v>82</v>
      </c>
      <c r="AD55" s="69">
        <f>INDEX(Table11[AVG
CO2e MT per MWh],MATCH(UserMade_Scenario!$B55,Table11[[Year]:[Year]],0))</f>
        <v>-9.756721579999994E-2</v>
      </c>
      <c r="AE55" s="69">
        <f>INDEX(Table11[MIN
CO2e MT per MWh],MATCH(UserMade_Scenario!$B55,Table11[[Year]:[Year]],0))</f>
        <v>-7.5314692350000073E-2</v>
      </c>
      <c r="AF55" s="69">
        <f>INDEX(Table11[MAX CO2e MT per MWh],MATCH(UserMade_Scenario!$B55,Table11[[Year]:[Year]],0))</f>
        <v>-0.11981973825000006</v>
      </c>
      <c r="AG55" s="68">
        <f>IFERROR(INDEX(WaterUseH2[Average Direct Water Consumption (Gal/ kg h2)],MATCH(LEFT(D55,3),WaterUseH2[Key],0)),0)</f>
        <v>0</v>
      </c>
      <c r="AH55">
        <v>14</v>
      </c>
      <c r="AI55">
        <v>1.4</v>
      </c>
      <c r="AJ55">
        <v>250</v>
      </c>
      <c r="AK55">
        <v>0.31</v>
      </c>
      <c r="AL55" s="63">
        <f>IFERROR(INDEX(Job_Training[[Solar]:[Wind]],MATCH(AL$1,Job_Training[[`Typical Entry Level Education`]:[`Typical Entry Level Education`]],0),MATCH(LEFT($D55,5),Job_Training[[#Headers],[Solar]:[Wind]],0)),0)</f>
        <v>3.4599999999999999E-2</v>
      </c>
      <c r="AM55" s="63">
        <f>IFERROR(INDEX(Job_Training[[Solar]:[Wind]],MATCH(AM$1,Job_Training[[`Typical Entry Level Education`]:[`Typical Entry Level Education`]],0),MATCH(LEFT($D55,5),Job_Training[[#Headers],[Solar]:[Wind]],0)),0)</f>
        <v>2.8199999999999999E-2</v>
      </c>
      <c r="AN55" s="63">
        <f>IFERROR(INDEX(Job_Training[[Solar]:[Wind]],MATCH(AN$1,Job_Training[[`Typical Entry Level Education`]:[`Typical Entry Level Education`]],0),MATCH(LEFT($D55,5),Job_Training[[#Headers],[Solar]:[Wind]],0)),0)</f>
        <v>3.3399999999999999E-2</v>
      </c>
      <c r="AO55" s="63">
        <f>IFERROR(INDEX(Job_Training[[Solar]:[Wind]],MATCH(AO$1,Job_Training[[`Typical Entry Level Education`]:[`Typical Entry Level Education`]],0),MATCH(LEFT($D55,5),Job_Training[[#Headers],[Solar]:[Wind]],0)),0)</f>
        <v>5.62E-3</v>
      </c>
      <c r="AP55">
        <f t="shared" si="16"/>
        <v>-3.637978807091713E-12</v>
      </c>
      <c r="AQ55" s="63">
        <f>IF(AP55&gt;0,IFERROR(INDEX(Assumptions!$C$165:$D$165,MATCH(LEFT($D55,5),Job_Training[[#Headers],[Solar]:[Wind]],0)),0),0)</f>
        <v>0</v>
      </c>
      <c r="AR55">
        <f>IF(AP55&gt;0,IFERROR(INDEX(Assumptions!$C$166:$D$166,MATCH(LEFT($D55,5),Job_Training[[#Headers],[Solar]:[Wind]],0)),0),0)</f>
        <v>0</v>
      </c>
    </row>
    <row r="56" spans="1:44" x14ac:dyDescent="0.35">
      <c r="A56" t="str">
        <f>UserInput!$B$2</f>
        <v>Current Projects</v>
      </c>
      <c r="B56">
        <v>2037</v>
      </c>
      <c r="C56" t="s">
        <v>41</v>
      </c>
      <c r="D56" t="s">
        <v>80</v>
      </c>
      <c r="E56" s="66">
        <f>INDEX(UserInput!$C$2:$M$22,MATCH(UserMade_Scenario!B56,UserInput!$A$2:$A$22,0),MATCH(LEFT(IF(RIGHT(C56,2)="H2",UserMade_Scenario!C56,D56),3),UserInput!$C$25:$M$25,0))</f>
        <v>13320</v>
      </c>
      <c r="F56" t="s">
        <v>81</v>
      </c>
      <c r="G56" s="14">
        <f t="shared" si="29"/>
        <v>7.8998531001333736E-2</v>
      </c>
      <c r="H56" s="63">
        <f t="shared" si="6"/>
        <v>2.0484295478352617</v>
      </c>
      <c r="I56" s="63">
        <f t="shared" si="7"/>
        <v>1.539602001403479</v>
      </c>
      <c r="J56" s="63">
        <f t="shared" si="8"/>
        <v>2.5572570723219323</v>
      </c>
      <c r="K56" s="30">
        <f>IF(OR(LEFT($D56,5)="Solar",$D56="Wind"),INDEX(Land_Use[AVG],MATCH(LEFT($D56,5),Land_Use[Tech],0)),0)*$E56</f>
        <v>46620</v>
      </c>
      <c r="L56" s="30">
        <f>IF(OR(LEFT($D56,5)="Solar",$D56="Wind"),INDEX(Land_Use[MIN],MATCH(LEFT($D56,5),Land_Use[Tech],0)),0)*$E56</f>
        <v>37296</v>
      </c>
      <c r="M56" s="30">
        <f>IF(OR(LEFT($D56,5)="Solar",$D56="Wind"),INDEX(Land_Use[MAX],MATCH(LEFT($D56,5),Land_Use[Tech],0)),0)*$E56</f>
        <v>55944</v>
      </c>
      <c r="N56" s="15">
        <f t="shared" si="24"/>
        <v>0</v>
      </c>
      <c r="O56" s="11">
        <f t="shared" si="25"/>
        <v>652680</v>
      </c>
      <c r="P56" s="11">
        <f t="shared" si="26"/>
        <v>65267.999999999993</v>
      </c>
      <c r="Q56" s="11">
        <f t="shared" si="27"/>
        <v>11655000</v>
      </c>
      <c r="R56" s="11">
        <f t="shared" si="28"/>
        <v>14452.2</v>
      </c>
      <c r="S56" s="30">
        <f t="shared" si="10"/>
        <v>0</v>
      </c>
      <c r="T56" s="30">
        <f t="shared" si="11"/>
        <v>0</v>
      </c>
      <c r="U56" s="30">
        <f t="shared" si="12"/>
        <v>0</v>
      </c>
      <c r="V56" s="30">
        <f t="shared" si="13"/>
        <v>0</v>
      </c>
      <c r="W56" s="30">
        <f t="shared" si="14"/>
        <v>0</v>
      </c>
      <c r="X56" s="30">
        <f t="shared" si="15"/>
        <v>0</v>
      </c>
      <c r="Z56" s="23" t="s">
        <v>76</v>
      </c>
      <c r="AA56" s="40">
        <f>IF(C56="Electricity",E56*SUMIFS(Electricity!S:S,Electricity!P:P,UserMade_Scenario!B56,Electricity!M:M,UserMade_Scenario!Z56,Electricity!O:O,UserMade_Scenario!D56),"")</f>
        <v>21945117.991052967</v>
      </c>
      <c r="AB56" s="76">
        <f>1/Assumptions!$B$23/1000000000000</f>
        <v>3.5998225679871703E-9</v>
      </c>
      <c r="AC56" s="67" t="s">
        <v>82</v>
      </c>
      <c r="AD56" s="69">
        <f>INDEX(Table11[AVG
CO2e MT per MWh],MATCH(UserMade_Scenario!$B56,Table11[[Year]:[Year]],0))</f>
        <v>-9.3343291599999934E-2</v>
      </c>
      <c r="AE56" s="69">
        <f>INDEX(Table11[MIN
CO2e MT per MWh],MATCH(UserMade_Scenario!$B56,Table11[[Year]:[Year]],0))</f>
        <v>-7.0156925200000081E-2</v>
      </c>
      <c r="AF56" s="69">
        <f>INDEX(Table11[MAX CO2e MT per MWh],MATCH(UserMade_Scenario!$B56,Table11[[Year]:[Year]],0))</f>
        <v>-0.11652965700000005</v>
      </c>
      <c r="AG56" s="68">
        <f>IFERROR(INDEX(WaterUseH2[Average Direct Water Consumption (Gal/ kg h2)],MATCH(LEFT(D56,3),WaterUseH2[Key],0)),0)</f>
        <v>0</v>
      </c>
      <c r="AH56">
        <v>14</v>
      </c>
      <c r="AI56">
        <v>1.4</v>
      </c>
      <c r="AJ56">
        <v>250</v>
      </c>
      <c r="AK56">
        <v>0.31</v>
      </c>
      <c r="AL56" s="63">
        <f>IFERROR(INDEX(Job_Training[[Solar]:[Wind]],MATCH(AL$1,Job_Training[[`Typical Entry Level Education`]:[`Typical Entry Level Education`]],0),MATCH(LEFT($D56,5),Job_Training[[#Headers],[Solar]:[Wind]],0)),0)</f>
        <v>3.4599999999999999E-2</v>
      </c>
      <c r="AM56" s="63">
        <f>IFERROR(INDEX(Job_Training[[Solar]:[Wind]],MATCH(AM$1,Job_Training[[`Typical Entry Level Education`]:[`Typical Entry Level Education`]],0),MATCH(LEFT($D56,5),Job_Training[[#Headers],[Solar]:[Wind]],0)),0)</f>
        <v>2.8199999999999999E-2</v>
      </c>
      <c r="AN56" s="63">
        <f>IFERROR(INDEX(Job_Training[[Solar]:[Wind]],MATCH(AN$1,Job_Training[[`Typical Entry Level Education`]:[`Typical Entry Level Education`]],0),MATCH(LEFT($D56,5),Job_Training[[#Headers],[Solar]:[Wind]],0)),0)</f>
        <v>3.3399999999999999E-2</v>
      </c>
      <c r="AO56" s="63">
        <f>IFERROR(INDEX(Job_Training[[Solar]:[Wind]],MATCH(AO$1,Job_Training[[`Typical Entry Level Education`]:[`Typical Entry Level Education`]],0),MATCH(LEFT($D56,5),Job_Training[[#Headers],[Solar]:[Wind]],0)),0)</f>
        <v>5.62E-3</v>
      </c>
      <c r="AP56">
        <f t="shared" si="16"/>
        <v>0</v>
      </c>
      <c r="AQ56" s="63">
        <f>IF(AP56&gt;0,IFERROR(INDEX(Assumptions!$C$165:$D$165,MATCH(LEFT($D56,5),Job_Training[[#Headers],[Solar]:[Wind]],0)),0),0)</f>
        <v>0</v>
      </c>
      <c r="AR56">
        <f>IF(AP56&gt;0,IFERROR(INDEX(Assumptions!$C$166:$D$166,MATCH(LEFT($D56,5),Job_Training[[#Headers],[Solar]:[Wind]],0)),0),0)</f>
        <v>0</v>
      </c>
    </row>
    <row r="57" spans="1:44" x14ac:dyDescent="0.35">
      <c r="A57" t="str">
        <f>UserInput!$B$2</f>
        <v>Current Projects</v>
      </c>
      <c r="B57">
        <v>2038</v>
      </c>
      <c r="C57" t="s">
        <v>41</v>
      </c>
      <c r="D57" t="s">
        <v>80</v>
      </c>
      <c r="E57" s="66">
        <f>INDEX(UserInput!$C$2:$M$22,MATCH(UserMade_Scenario!B57,UserInput!$A$2:$A$22,0),MATCH(LEFT(IF(RIGHT(C57,2)="H2",UserMade_Scenario!C57,D57),3),UserInput!$C$25:$M$25,0))</f>
        <v>13320</v>
      </c>
      <c r="F57" t="s">
        <v>81</v>
      </c>
      <c r="G57" s="14">
        <f t="shared" si="29"/>
        <v>7.6415226783316387E-2</v>
      </c>
      <c r="H57" s="63">
        <f t="shared" si="6"/>
        <v>1.8917812036676354</v>
      </c>
      <c r="I57" s="63">
        <f t="shared" si="7"/>
        <v>1.3797695051099761</v>
      </c>
      <c r="J57" s="63">
        <f t="shared" si="8"/>
        <v>2.4037928809978024</v>
      </c>
      <c r="K57" s="30">
        <f>IF(OR(LEFT($D57,5)="Solar",$D57="Wind"),INDEX(Land_Use[AVG],MATCH(LEFT($D57,5),Land_Use[Tech],0)),0)*$E57</f>
        <v>46620</v>
      </c>
      <c r="L57" s="30">
        <f>IF(OR(LEFT($D57,5)="Solar",$D57="Wind"),INDEX(Land_Use[MIN],MATCH(LEFT($D57,5),Land_Use[Tech],0)),0)*$E57</f>
        <v>37296</v>
      </c>
      <c r="M57" s="30">
        <f>IF(OR(LEFT($D57,5)="Solar",$D57="Wind"),INDEX(Land_Use[MAX],MATCH(LEFT($D57,5),Land_Use[Tech],0)),0)*$E57</f>
        <v>55944</v>
      </c>
      <c r="N57" s="15">
        <f t="shared" si="24"/>
        <v>0</v>
      </c>
      <c r="O57" s="11">
        <f t="shared" si="25"/>
        <v>652680</v>
      </c>
      <c r="P57" s="11">
        <f t="shared" si="26"/>
        <v>65267.999999999993</v>
      </c>
      <c r="Q57" s="11">
        <f t="shared" si="27"/>
        <v>11655000</v>
      </c>
      <c r="R57" s="11">
        <f t="shared" si="28"/>
        <v>14452.2</v>
      </c>
      <c r="S57" s="30">
        <f t="shared" si="10"/>
        <v>0</v>
      </c>
      <c r="T57" s="30">
        <f t="shared" si="11"/>
        <v>0</v>
      </c>
      <c r="U57" s="30">
        <f t="shared" si="12"/>
        <v>0</v>
      </c>
      <c r="V57" s="30">
        <f t="shared" si="13"/>
        <v>0</v>
      </c>
      <c r="W57" s="30">
        <f t="shared" si="14"/>
        <v>0</v>
      </c>
      <c r="X57" s="30">
        <f t="shared" si="15"/>
        <v>0</v>
      </c>
      <c r="Z57" s="23" t="s">
        <v>76</v>
      </c>
      <c r="AA57" s="40">
        <f>IF(C57="Electricity",E57*SUMIFS(Electricity!S:S,Electricity!P:P,UserMade_Scenario!B57,Electricity!M:M,UserMade_Scenario!Z57,Electricity!O:O,UserMade_Scenario!D57),"")</f>
        <v>21227498.116954058</v>
      </c>
      <c r="AB57" s="76">
        <f>1/Assumptions!$B$23/1000000000000</f>
        <v>3.5998225679871703E-9</v>
      </c>
      <c r="AC57" s="67" t="s">
        <v>82</v>
      </c>
      <c r="AD57" s="69">
        <f>INDEX(Table11[AVG
CO2e MT per MWh],MATCH(UserMade_Scenario!$B57,Table11[[Year]:[Year]],0))</f>
        <v>-8.9119367399999927E-2</v>
      </c>
      <c r="AE57" s="69">
        <f>INDEX(Table11[MIN
CO2e MT per MWh],MATCH(UserMade_Scenario!$B57,Table11[[Year]:[Year]],0))</f>
        <v>-6.4999158050000089E-2</v>
      </c>
      <c r="AF57" s="69">
        <f>INDEX(Table11[MAX CO2e MT per MWh],MATCH(UserMade_Scenario!$B57,Table11[[Year]:[Year]],0))</f>
        <v>-0.11323957575000004</v>
      </c>
      <c r="AG57" s="68">
        <f>IFERROR(INDEX(WaterUseH2[Average Direct Water Consumption (Gal/ kg h2)],MATCH(LEFT(D57,3),WaterUseH2[Key],0)),0)</f>
        <v>0</v>
      </c>
      <c r="AH57">
        <v>14</v>
      </c>
      <c r="AI57">
        <v>1.4</v>
      </c>
      <c r="AJ57">
        <v>250</v>
      </c>
      <c r="AK57">
        <v>0.31</v>
      </c>
      <c r="AL57" s="63">
        <f>IFERROR(INDEX(Job_Training[[Solar]:[Wind]],MATCH(AL$1,Job_Training[[`Typical Entry Level Education`]:[`Typical Entry Level Education`]],0),MATCH(LEFT($D57,5),Job_Training[[#Headers],[Solar]:[Wind]],0)),0)</f>
        <v>3.4599999999999999E-2</v>
      </c>
      <c r="AM57" s="63">
        <f>IFERROR(INDEX(Job_Training[[Solar]:[Wind]],MATCH(AM$1,Job_Training[[`Typical Entry Level Education`]:[`Typical Entry Level Education`]],0),MATCH(LEFT($D57,5),Job_Training[[#Headers],[Solar]:[Wind]],0)),0)</f>
        <v>2.8199999999999999E-2</v>
      </c>
      <c r="AN57" s="63">
        <f>IFERROR(INDEX(Job_Training[[Solar]:[Wind]],MATCH(AN$1,Job_Training[[`Typical Entry Level Education`]:[`Typical Entry Level Education`]],0),MATCH(LEFT($D57,5),Job_Training[[#Headers],[Solar]:[Wind]],0)),0)</f>
        <v>3.3399999999999999E-2</v>
      </c>
      <c r="AO57" s="63">
        <f>IFERROR(INDEX(Job_Training[[Solar]:[Wind]],MATCH(AO$1,Job_Training[[`Typical Entry Level Education`]:[`Typical Entry Level Education`]],0),MATCH(LEFT($D57,5),Job_Training[[#Headers],[Solar]:[Wind]],0)),0)</f>
        <v>5.62E-3</v>
      </c>
      <c r="AP57">
        <f t="shared" si="16"/>
        <v>0</v>
      </c>
      <c r="AQ57" s="63">
        <f>IF(AP57&gt;0,IFERROR(INDEX(Assumptions!$C$165:$D$165,MATCH(LEFT($D57,5),Job_Training[[#Headers],[Solar]:[Wind]],0)),0),0)</f>
        <v>0</v>
      </c>
      <c r="AR57">
        <f>IF(AP57&gt;0,IFERROR(INDEX(Assumptions!$C$166:$D$166,MATCH(LEFT($D57,5),Job_Training[[#Headers],[Solar]:[Wind]],0)),0),0)</f>
        <v>0</v>
      </c>
    </row>
    <row r="58" spans="1:44" x14ac:dyDescent="0.35">
      <c r="A58" t="str">
        <f>UserInput!$B$2</f>
        <v>Current Projects</v>
      </c>
      <c r="B58">
        <v>2039</v>
      </c>
      <c r="C58" t="s">
        <v>41</v>
      </c>
      <c r="D58" t="s">
        <v>80</v>
      </c>
      <c r="E58" s="66">
        <f>INDEX(UserInput!$C$2:$M$22,MATCH(UserMade_Scenario!B58,UserInput!$A$2:$A$22,0),MATCH(LEFT(IF(RIGHT(C58,2)="H2",UserMade_Scenario!C58,D58),3),UserInput!$C$25:$M$25,0))</f>
        <v>13320</v>
      </c>
      <c r="F58" t="s">
        <v>81</v>
      </c>
      <c r="G58" s="14">
        <f t="shared" si="29"/>
        <v>7.3831922565299038E-2</v>
      </c>
      <c r="H58" s="63">
        <f t="shared" si="6"/>
        <v>1.741195203405224</v>
      </c>
      <c r="I58" s="63">
        <f t="shared" si="7"/>
        <v>1.2273396412421023</v>
      </c>
      <c r="J58" s="63">
        <f t="shared" si="8"/>
        <v>2.2550507450584734</v>
      </c>
      <c r="K58" s="30">
        <f>IF(OR(LEFT($D58,5)="Solar",$D58="Wind"),INDEX(Land_Use[AVG],MATCH(LEFT($D58,5),Land_Use[Tech],0)),0)*$E58</f>
        <v>46620</v>
      </c>
      <c r="L58" s="30">
        <f>IF(OR(LEFT($D58,5)="Solar",$D58="Wind"),INDEX(Land_Use[MIN],MATCH(LEFT($D58,5),Land_Use[Tech],0)),0)*$E58</f>
        <v>37296</v>
      </c>
      <c r="M58" s="30">
        <f>IF(OR(LEFT($D58,5)="Solar",$D58="Wind"),INDEX(Land_Use[MAX],MATCH(LEFT($D58,5),Land_Use[Tech],0)),0)*$E58</f>
        <v>55944</v>
      </c>
      <c r="N58" s="15">
        <f t="shared" si="24"/>
        <v>0</v>
      </c>
      <c r="O58" s="11">
        <f t="shared" si="25"/>
        <v>652680</v>
      </c>
      <c r="P58" s="11">
        <f t="shared" si="26"/>
        <v>65267.999999999993</v>
      </c>
      <c r="Q58" s="11">
        <f t="shared" si="27"/>
        <v>11655000</v>
      </c>
      <c r="R58" s="11">
        <f t="shared" si="28"/>
        <v>14452.2</v>
      </c>
      <c r="S58" s="30">
        <f t="shared" si="10"/>
        <v>0</v>
      </c>
      <c r="T58" s="30">
        <f t="shared" si="11"/>
        <v>0</v>
      </c>
      <c r="U58" s="30">
        <f t="shared" si="12"/>
        <v>0</v>
      </c>
      <c r="V58" s="30">
        <f t="shared" si="13"/>
        <v>0</v>
      </c>
      <c r="W58" s="30">
        <f t="shared" si="14"/>
        <v>0</v>
      </c>
      <c r="X58" s="30">
        <f t="shared" si="15"/>
        <v>0</v>
      </c>
      <c r="Z58" s="23" t="s">
        <v>76</v>
      </c>
      <c r="AA58" s="40">
        <f>IF(C58="Electricity",E58*SUMIFS(Electricity!S:S,Electricity!P:P,UserMade_Scenario!B58,Electricity!M:M,UserMade_Scenario!Z58,Electricity!O:O,UserMade_Scenario!D58),"")</f>
        <v>20509878.242855154</v>
      </c>
      <c r="AB58" s="76">
        <f>1/Assumptions!$B$23/1000000000000</f>
        <v>3.5998225679871703E-9</v>
      </c>
      <c r="AC58" s="67" t="s">
        <v>82</v>
      </c>
      <c r="AD58" s="69">
        <f>INDEX(Table11[AVG
CO2e MT per MWh],MATCH(UserMade_Scenario!$B58,Table11[[Year]:[Year]],0))</f>
        <v>-8.489544319999992E-2</v>
      </c>
      <c r="AE58" s="69">
        <f>INDEX(Table11[MIN
CO2e MT per MWh],MATCH(UserMade_Scenario!$B58,Table11[[Year]:[Year]],0))</f>
        <v>-5.984139090000009E-2</v>
      </c>
      <c r="AF58" s="69">
        <f>INDEX(Table11[MAX CO2e MT per MWh],MATCH(UserMade_Scenario!$B58,Table11[[Year]:[Year]],0))</f>
        <v>-0.10994949450000004</v>
      </c>
      <c r="AG58" s="68">
        <f>IFERROR(INDEX(WaterUseH2[Average Direct Water Consumption (Gal/ kg h2)],MATCH(LEFT(D58,3),WaterUseH2[Key],0)),0)</f>
        <v>0</v>
      </c>
      <c r="AH58">
        <v>14</v>
      </c>
      <c r="AI58">
        <v>1.4</v>
      </c>
      <c r="AJ58">
        <v>250</v>
      </c>
      <c r="AK58">
        <v>0.31</v>
      </c>
      <c r="AL58" s="63">
        <f>IFERROR(INDEX(Job_Training[[Solar]:[Wind]],MATCH(AL$1,Job_Training[[`Typical Entry Level Education`]:[`Typical Entry Level Education`]],0),MATCH(LEFT($D58,5),Job_Training[[#Headers],[Solar]:[Wind]],0)),0)</f>
        <v>3.4599999999999999E-2</v>
      </c>
      <c r="AM58" s="63">
        <f>IFERROR(INDEX(Job_Training[[Solar]:[Wind]],MATCH(AM$1,Job_Training[[`Typical Entry Level Education`]:[`Typical Entry Level Education`]],0),MATCH(LEFT($D58,5),Job_Training[[#Headers],[Solar]:[Wind]],0)),0)</f>
        <v>2.8199999999999999E-2</v>
      </c>
      <c r="AN58" s="63">
        <f>IFERROR(INDEX(Job_Training[[Solar]:[Wind]],MATCH(AN$1,Job_Training[[`Typical Entry Level Education`]:[`Typical Entry Level Education`]],0),MATCH(LEFT($D58,5),Job_Training[[#Headers],[Solar]:[Wind]],0)),0)</f>
        <v>3.3399999999999999E-2</v>
      </c>
      <c r="AO58" s="63">
        <f>IFERROR(INDEX(Job_Training[[Solar]:[Wind]],MATCH(AO$1,Job_Training[[`Typical Entry Level Education`]:[`Typical Entry Level Education`]],0),MATCH(LEFT($D58,5),Job_Training[[#Headers],[Solar]:[Wind]],0)),0)</f>
        <v>5.62E-3</v>
      </c>
      <c r="AP58">
        <f t="shared" si="16"/>
        <v>0</v>
      </c>
      <c r="AQ58" s="63">
        <f>IF(AP58&gt;0,IFERROR(INDEX(Assumptions!$C$165:$D$165,MATCH(LEFT($D58,5),Job_Training[[#Headers],[Solar]:[Wind]],0)),0),0)</f>
        <v>0</v>
      </c>
      <c r="AR58">
        <f>IF(AP58&gt;0,IFERROR(INDEX(Assumptions!$C$166:$D$166,MATCH(LEFT($D58,5),Job_Training[[#Headers],[Solar]:[Wind]],0)),0),0)</f>
        <v>0</v>
      </c>
    </row>
    <row r="59" spans="1:44" x14ac:dyDescent="0.35">
      <c r="A59" t="str">
        <f>UserInput!$B$2</f>
        <v>Current Projects</v>
      </c>
      <c r="B59">
        <v>2040</v>
      </c>
      <c r="C59" t="s">
        <v>41</v>
      </c>
      <c r="D59" t="s">
        <v>80</v>
      </c>
      <c r="E59" s="66">
        <f>INDEX(UserInput!$C$2:$M$22,MATCH(UserMade_Scenario!B59,UserInput!$A$2:$A$22,0),MATCH(LEFT(IF(RIGHT(C59,2)="H2",UserMade_Scenario!C59,D59),3),UserInput!$C$25:$M$25,0))</f>
        <v>13320</v>
      </c>
      <c r="F59" t="s">
        <v>81</v>
      </c>
      <c r="G59" s="14">
        <f t="shared" si="29"/>
        <v>7.1248618347281675E-2</v>
      </c>
      <c r="H59" s="63">
        <f t="shared" si="6"/>
        <v>1.5966715470480268</v>
      </c>
      <c r="I59" s="63">
        <f t="shared" si="7"/>
        <v>1.0823124097998571</v>
      </c>
      <c r="J59" s="63">
        <f t="shared" si="8"/>
        <v>2.1110306645039438</v>
      </c>
      <c r="K59" s="30">
        <f>IF(OR(LEFT($D59,5)="Solar",$D59="Wind"),INDEX(Land_Use[AVG],MATCH(LEFT($D59,5),Land_Use[Tech],0)),0)*$E59</f>
        <v>46620</v>
      </c>
      <c r="L59" s="30">
        <f>IF(OR(LEFT($D59,5)="Solar",$D59="Wind"),INDEX(Land_Use[MIN],MATCH(LEFT($D59,5),Land_Use[Tech],0)),0)*$E59</f>
        <v>37296</v>
      </c>
      <c r="M59" s="30">
        <f>IF(OR(LEFT($D59,5)="Solar",$D59="Wind"),INDEX(Land_Use[MAX],MATCH(LEFT($D59,5),Land_Use[Tech],0)),0)*$E59</f>
        <v>55944</v>
      </c>
      <c r="N59" s="15">
        <f t="shared" si="24"/>
        <v>0</v>
      </c>
      <c r="O59" s="11">
        <f t="shared" si="25"/>
        <v>652680</v>
      </c>
      <c r="P59" s="11">
        <f t="shared" si="26"/>
        <v>65267.999999999993</v>
      </c>
      <c r="Q59" s="11">
        <f t="shared" si="27"/>
        <v>11655000</v>
      </c>
      <c r="R59" s="11">
        <f t="shared" si="28"/>
        <v>14452.2</v>
      </c>
      <c r="S59" s="30">
        <f t="shared" si="10"/>
        <v>0</v>
      </c>
      <c r="T59" s="30">
        <f t="shared" si="11"/>
        <v>0</v>
      </c>
      <c r="U59" s="30">
        <f t="shared" si="12"/>
        <v>0</v>
      </c>
      <c r="V59" s="30">
        <f t="shared" si="13"/>
        <v>0</v>
      </c>
      <c r="W59" s="30">
        <f t="shared" si="14"/>
        <v>0</v>
      </c>
      <c r="X59" s="30">
        <f t="shared" si="15"/>
        <v>0</v>
      </c>
      <c r="Z59" s="23" t="s">
        <v>76</v>
      </c>
      <c r="AA59" s="40">
        <f>IF(C59="Electricity",E59*SUMIFS(Electricity!S:S,Electricity!P:P,UserMade_Scenario!B59,Electricity!M:M,UserMade_Scenario!Z59,Electricity!O:O,UserMade_Scenario!D59),"")</f>
        <v>19792258.368756246</v>
      </c>
      <c r="AB59" s="76">
        <f>1/Assumptions!$B$23/1000000000000</f>
        <v>3.5998225679871703E-9</v>
      </c>
      <c r="AC59" s="67" t="s">
        <v>82</v>
      </c>
      <c r="AD59" s="69">
        <f>INDEX(Table11[AVG
CO2e MT per MWh],MATCH(UserMade_Scenario!$B59,Table11[[Year]:[Year]],0))</f>
        <v>-8.0671518999999914E-2</v>
      </c>
      <c r="AE59" s="69">
        <f>INDEX(Table11[MIN
CO2e MT per MWh],MATCH(UserMade_Scenario!$B59,Table11[[Year]:[Year]],0))</f>
        <v>-5.468362375000009E-2</v>
      </c>
      <c r="AF59" s="69">
        <f>INDEX(Table11[MAX CO2e MT per MWh],MATCH(UserMade_Scenario!$B59,Table11[[Year]:[Year]],0))</f>
        <v>-0.10665941325000003</v>
      </c>
      <c r="AG59" s="68">
        <f>IFERROR(INDEX(WaterUseH2[Average Direct Water Consumption (Gal/ kg h2)],MATCH(LEFT(D59,3),WaterUseH2[Key],0)),0)</f>
        <v>0</v>
      </c>
      <c r="AH59">
        <v>14</v>
      </c>
      <c r="AI59">
        <v>1.4</v>
      </c>
      <c r="AJ59">
        <v>250</v>
      </c>
      <c r="AK59">
        <v>0.31</v>
      </c>
      <c r="AL59" s="63">
        <f>IFERROR(INDEX(Job_Training[[Solar]:[Wind]],MATCH(AL$1,Job_Training[[`Typical Entry Level Education`]:[`Typical Entry Level Education`]],0),MATCH(LEFT($D59,5),Job_Training[[#Headers],[Solar]:[Wind]],0)),0)</f>
        <v>3.4599999999999999E-2</v>
      </c>
      <c r="AM59" s="63">
        <f>IFERROR(INDEX(Job_Training[[Solar]:[Wind]],MATCH(AM$1,Job_Training[[`Typical Entry Level Education`]:[`Typical Entry Level Education`]],0),MATCH(LEFT($D59,5),Job_Training[[#Headers],[Solar]:[Wind]],0)),0)</f>
        <v>2.8199999999999999E-2</v>
      </c>
      <c r="AN59" s="63">
        <f>IFERROR(INDEX(Job_Training[[Solar]:[Wind]],MATCH(AN$1,Job_Training[[`Typical Entry Level Education`]:[`Typical Entry Level Education`]],0),MATCH(LEFT($D59,5),Job_Training[[#Headers],[Solar]:[Wind]],0)),0)</f>
        <v>3.3399999999999999E-2</v>
      </c>
      <c r="AO59" s="63">
        <f>IFERROR(INDEX(Job_Training[[Solar]:[Wind]],MATCH(AO$1,Job_Training[[`Typical Entry Level Education`]:[`Typical Entry Level Education`]],0),MATCH(LEFT($D59,5),Job_Training[[#Headers],[Solar]:[Wind]],0)),0)</f>
        <v>5.62E-3</v>
      </c>
      <c r="AP59">
        <f t="shared" si="16"/>
        <v>0</v>
      </c>
      <c r="AQ59" s="63">
        <f>IF(AP59&gt;0,IFERROR(INDEX(Assumptions!$C$165:$D$165,MATCH(LEFT($D59,5),Job_Training[[#Headers],[Solar]:[Wind]],0)),0),0)</f>
        <v>0</v>
      </c>
      <c r="AR59">
        <f>IF(AP59&gt;0,IFERROR(INDEX(Assumptions!$C$166:$D$166,MATCH(LEFT($D59,5),Job_Training[[#Headers],[Solar]:[Wind]],0)),0),0)</f>
        <v>0</v>
      </c>
    </row>
    <row r="60" spans="1:44" x14ac:dyDescent="0.35">
      <c r="A60" t="str">
        <f>UserInput!$B$2</f>
        <v>Current Projects</v>
      </c>
      <c r="B60">
        <v>2041</v>
      </c>
      <c r="C60" t="s">
        <v>41</v>
      </c>
      <c r="D60" t="s">
        <v>80</v>
      </c>
      <c r="E60" s="66">
        <f>INDEX(UserInput!$C$2:$M$22,MATCH(UserMade_Scenario!B60,UserInput!$A$2:$A$22,0),MATCH(LEFT(IF(RIGHT(C60,2)="H2",UserMade_Scenario!C60,D60),3),UserInput!$C$25:$M$25,0))</f>
        <v>13320</v>
      </c>
      <c r="F60" t="s">
        <v>81</v>
      </c>
      <c r="G60" s="14">
        <f t="shared" si="29"/>
        <v>6.8665314129264313E-2</v>
      </c>
      <c r="H60" s="63">
        <f t="shared" si="6"/>
        <v>1.4582102345960444</v>
      </c>
      <c r="I60" s="63">
        <f t="shared" si="7"/>
        <v>0.94468781078324104</v>
      </c>
      <c r="J60" s="63">
        <f t="shared" si="8"/>
        <v>1.9717326393342152</v>
      </c>
      <c r="K60" s="30">
        <f>IF(OR(LEFT($D60,5)="Solar",$D60="Wind"),INDEX(Land_Use[AVG],MATCH(LEFT($D60,5),Land_Use[Tech],0)),0)*$E60</f>
        <v>46620</v>
      </c>
      <c r="L60" s="30">
        <f>IF(OR(LEFT($D60,5)="Solar",$D60="Wind"),INDEX(Land_Use[MIN],MATCH(LEFT($D60,5),Land_Use[Tech],0)),0)*$E60</f>
        <v>37296</v>
      </c>
      <c r="M60" s="30">
        <f>IF(OR(LEFT($D60,5)="Solar",$D60="Wind"),INDEX(Land_Use[MAX],MATCH(LEFT($D60,5),Land_Use[Tech],0)),0)*$E60</f>
        <v>55944</v>
      </c>
      <c r="N60" s="15">
        <f t="shared" si="24"/>
        <v>0</v>
      </c>
      <c r="O60" s="11">
        <f t="shared" si="25"/>
        <v>652680</v>
      </c>
      <c r="P60" s="11">
        <f t="shared" si="26"/>
        <v>65267.999999999993</v>
      </c>
      <c r="Q60" s="11">
        <f t="shared" si="27"/>
        <v>11655000</v>
      </c>
      <c r="R60" s="11">
        <f t="shared" si="28"/>
        <v>14452.2</v>
      </c>
      <c r="S60" s="30">
        <f t="shared" si="10"/>
        <v>0</v>
      </c>
      <c r="T60" s="30">
        <f t="shared" si="11"/>
        <v>0</v>
      </c>
      <c r="U60" s="30">
        <f t="shared" si="12"/>
        <v>0</v>
      </c>
      <c r="V60" s="30">
        <f t="shared" si="13"/>
        <v>0</v>
      </c>
      <c r="W60" s="30">
        <f t="shared" si="14"/>
        <v>0</v>
      </c>
      <c r="X60" s="30">
        <f t="shared" si="15"/>
        <v>0</v>
      </c>
      <c r="Z60" s="23" t="s">
        <v>76</v>
      </c>
      <c r="AA60" s="40">
        <f>IF(C60="Electricity",E60*SUMIFS(Electricity!S:S,Electricity!P:P,UserMade_Scenario!B60,Electricity!M:M,UserMade_Scenario!Z60,Electricity!O:O,UserMade_Scenario!D60),"")</f>
        <v>19074638.494657338</v>
      </c>
      <c r="AB60" s="76">
        <f>1/Assumptions!$B$23/1000000000000</f>
        <v>3.5998225679871703E-9</v>
      </c>
      <c r="AC60" s="67" t="s">
        <v>82</v>
      </c>
      <c r="AD60" s="69">
        <f>INDEX(Table11[AVG
CO2e MT per MWh],MATCH(UserMade_Scenario!$B60,Table11[[Year]:[Year]],0))</f>
        <v>-7.6447594799999907E-2</v>
      </c>
      <c r="AE60" s="69">
        <f>INDEX(Table11[MIN
CO2e MT per MWh],MATCH(UserMade_Scenario!$B60,Table11[[Year]:[Year]],0))</f>
        <v>-4.9525856600000091E-2</v>
      </c>
      <c r="AF60" s="69">
        <f>INDEX(Table11[MAX CO2e MT per MWh],MATCH(UserMade_Scenario!$B60,Table11[[Year]:[Year]],0))</f>
        <v>-0.10336933200000002</v>
      </c>
      <c r="AG60" s="68">
        <f>IFERROR(INDEX(WaterUseH2[Average Direct Water Consumption (Gal/ kg h2)],MATCH(LEFT(D60,3),WaterUseH2[Key],0)),0)</f>
        <v>0</v>
      </c>
      <c r="AH60">
        <v>14</v>
      </c>
      <c r="AI60">
        <v>1.4</v>
      </c>
      <c r="AJ60">
        <v>250</v>
      </c>
      <c r="AK60">
        <v>0.31</v>
      </c>
      <c r="AL60" s="63">
        <f>IFERROR(INDEX(Job_Training[[Solar]:[Wind]],MATCH(AL$1,Job_Training[[`Typical Entry Level Education`]:[`Typical Entry Level Education`]],0),MATCH(LEFT($D60,5),Job_Training[[#Headers],[Solar]:[Wind]],0)),0)</f>
        <v>3.4599999999999999E-2</v>
      </c>
      <c r="AM60" s="63">
        <f>IFERROR(INDEX(Job_Training[[Solar]:[Wind]],MATCH(AM$1,Job_Training[[`Typical Entry Level Education`]:[`Typical Entry Level Education`]],0),MATCH(LEFT($D60,5),Job_Training[[#Headers],[Solar]:[Wind]],0)),0)</f>
        <v>2.8199999999999999E-2</v>
      </c>
      <c r="AN60" s="63">
        <f>IFERROR(INDEX(Job_Training[[Solar]:[Wind]],MATCH(AN$1,Job_Training[[`Typical Entry Level Education`]:[`Typical Entry Level Education`]],0),MATCH(LEFT($D60,5),Job_Training[[#Headers],[Solar]:[Wind]],0)),0)</f>
        <v>3.3399999999999999E-2</v>
      </c>
      <c r="AO60" s="63">
        <f>IFERROR(INDEX(Job_Training[[Solar]:[Wind]],MATCH(AO$1,Job_Training[[`Typical Entry Level Education`]:[`Typical Entry Level Education`]],0),MATCH(LEFT($D60,5),Job_Training[[#Headers],[Solar]:[Wind]],0)),0)</f>
        <v>5.62E-3</v>
      </c>
      <c r="AP60">
        <f t="shared" si="16"/>
        <v>0</v>
      </c>
      <c r="AQ60" s="63">
        <f>IF(AP60&gt;0,IFERROR(INDEX(Assumptions!$C$165:$D$165,MATCH(LEFT($D60,5),Job_Training[[#Headers],[Solar]:[Wind]],0)),0),0)</f>
        <v>0</v>
      </c>
      <c r="AR60">
        <f>IF(AP60&gt;0,IFERROR(INDEX(Assumptions!$C$166:$D$166,MATCH(LEFT($D60,5),Job_Training[[#Headers],[Solar]:[Wind]],0)),0),0)</f>
        <v>0</v>
      </c>
    </row>
    <row r="61" spans="1:44" x14ac:dyDescent="0.35">
      <c r="A61" t="str">
        <f>UserInput!$B$2</f>
        <v>Current Projects</v>
      </c>
      <c r="B61">
        <v>2042</v>
      </c>
      <c r="C61" t="s">
        <v>41</v>
      </c>
      <c r="D61" t="s">
        <v>80</v>
      </c>
      <c r="E61" s="66">
        <f>INDEX(UserInput!$C$2:$M$22,MATCH(UserMade_Scenario!B61,UserInput!$A$2:$A$22,0),MATCH(LEFT(IF(RIGHT(C61,2)="H2",UserMade_Scenario!C61,D61),3),UserInput!$C$25:$M$25,0))</f>
        <v>13320</v>
      </c>
      <c r="F61" t="s">
        <v>81</v>
      </c>
      <c r="G61" s="14">
        <f t="shared" si="29"/>
        <v>6.608200991124695E-2</v>
      </c>
      <c r="H61" s="63">
        <f t="shared" si="6"/>
        <v>1.3258112660492765</v>
      </c>
      <c r="I61" s="63">
        <f t="shared" si="7"/>
        <v>0.81446584419225365</v>
      </c>
      <c r="J61" s="63">
        <f t="shared" si="8"/>
        <v>1.8371566695492862</v>
      </c>
      <c r="K61" s="30">
        <f>IF(OR(LEFT($D61,5)="Solar",$D61="Wind"),INDEX(Land_Use[AVG],MATCH(LEFT($D61,5),Land_Use[Tech],0)),0)*$E61</f>
        <v>46620</v>
      </c>
      <c r="L61" s="30">
        <f>IF(OR(LEFT($D61,5)="Solar",$D61="Wind"),INDEX(Land_Use[MIN],MATCH(LEFT($D61,5),Land_Use[Tech],0)),0)*$E61</f>
        <v>37296</v>
      </c>
      <c r="M61" s="30">
        <f>IF(OR(LEFT($D61,5)="Solar",$D61="Wind"),INDEX(Land_Use[MAX],MATCH(LEFT($D61,5),Land_Use[Tech],0)),0)*$E61</f>
        <v>55944</v>
      </c>
      <c r="N61" s="15">
        <f t="shared" si="24"/>
        <v>0</v>
      </c>
      <c r="O61" s="11">
        <f t="shared" si="25"/>
        <v>652680</v>
      </c>
      <c r="P61" s="11">
        <f t="shared" si="26"/>
        <v>65267.999999999993</v>
      </c>
      <c r="Q61" s="11">
        <f t="shared" si="27"/>
        <v>11655000</v>
      </c>
      <c r="R61" s="11">
        <f t="shared" si="28"/>
        <v>14452.2</v>
      </c>
      <c r="S61" s="30">
        <f t="shared" si="10"/>
        <v>0</v>
      </c>
      <c r="T61" s="30">
        <f t="shared" si="11"/>
        <v>0</v>
      </c>
      <c r="U61" s="30">
        <f t="shared" si="12"/>
        <v>0</v>
      </c>
      <c r="V61" s="30">
        <f t="shared" si="13"/>
        <v>0</v>
      </c>
      <c r="W61" s="30">
        <f t="shared" si="14"/>
        <v>0</v>
      </c>
      <c r="X61" s="30">
        <f t="shared" si="15"/>
        <v>0</v>
      </c>
      <c r="Z61" s="23" t="s">
        <v>76</v>
      </c>
      <c r="AA61" s="40">
        <f>IF(C61="Electricity",E61*SUMIFS(Electricity!S:S,Electricity!P:P,UserMade_Scenario!B61,Electricity!M:M,UserMade_Scenario!Z61,Electricity!O:O,UserMade_Scenario!D61),"")</f>
        <v>18357018.62055843</v>
      </c>
      <c r="AB61" s="76">
        <f>1/Assumptions!$B$23/1000000000000</f>
        <v>3.5998225679871703E-9</v>
      </c>
      <c r="AC61" s="67" t="s">
        <v>82</v>
      </c>
      <c r="AD61" s="69">
        <f>INDEX(Table11[AVG
CO2e MT per MWh],MATCH(UserMade_Scenario!$B61,Table11[[Year]:[Year]],0))</f>
        <v>-7.2223670599999901E-2</v>
      </c>
      <c r="AE61" s="69">
        <f>INDEX(Table11[MIN
CO2e MT per MWh],MATCH(UserMade_Scenario!$B61,Table11[[Year]:[Year]],0))</f>
        <v>-4.4368089450000092E-2</v>
      </c>
      <c r="AF61" s="69">
        <f>INDEX(Table11[MAX CO2e MT per MWh],MATCH(UserMade_Scenario!$B61,Table11[[Year]:[Year]],0))</f>
        <v>-0.10007925075000002</v>
      </c>
      <c r="AG61" s="68">
        <f>IFERROR(INDEX(WaterUseH2[Average Direct Water Consumption (Gal/ kg h2)],MATCH(LEFT(D61,3),WaterUseH2[Key],0)),0)</f>
        <v>0</v>
      </c>
      <c r="AH61">
        <v>14</v>
      </c>
      <c r="AI61">
        <v>1.4</v>
      </c>
      <c r="AJ61">
        <v>250</v>
      </c>
      <c r="AK61">
        <v>0.31</v>
      </c>
      <c r="AL61" s="63">
        <f>IFERROR(INDEX(Job_Training[[Solar]:[Wind]],MATCH(AL$1,Job_Training[[`Typical Entry Level Education`]:[`Typical Entry Level Education`]],0),MATCH(LEFT($D61,5),Job_Training[[#Headers],[Solar]:[Wind]],0)),0)</f>
        <v>3.4599999999999999E-2</v>
      </c>
      <c r="AM61" s="63">
        <f>IFERROR(INDEX(Job_Training[[Solar]:[Wind]],MATCH(AM$1,Job_Training[[`Typical Entry Level Education`]:[`Typical Entry Level Education`]],0),MATCH(LEFT($D61,5),Job_Training[[#Headers],[Solar]:[Wind]],0)),0)</f>
        <v>2.8199999999999999E-2</v>
      </c>
      <c r="AN61" s="63">
        <f>IFERROR(INDEX(Job_Training[[Solar]:[Wind]],MATCH(AN$1,Job_Training[[`Typical Entry Level Education`]:[`Typical Entry Level Education`]],0),MATCH(LEFT($D61,5),Job_Training[[#Headers],[Solar]:[Wind]],0)),0)</f>
        <v>3.3399999999999999E-2</v>
      </c>
      <c r="AO61" s="63">
        <f>IFERROR(INDEX(Job_Training[[Solar]:[Wind]],MATCH(AO$1,Job_Training[[`Typical Entry Level Education`]:[`Typical Entry Level Education`]],0),MATCH(LEFT($D61,5),Job_Training[[#Headers],[Solar]:[Wind]],0)),0)</f>
        <v>5.62E-3</v>
      </c>
      <c r="AP61">
        <f t="shared" si="16"/>
        <v>0</v>
      </c>
      <c r="AQ61" s="63">
        <f>IF(AP61&gt;0,IFERROR(INDEX(Assumptions!$C$165:$D$165,MATCH(LEFT($D61,5),Job_Training[[#Headers],[Solar]:[Wind]],0)),0),0)</f>
        <v>0</v>
      </c>
      <c r="AR61">
        <f>IF(AP61&gt;0,IFERROR(INDEX(Assumptions!$C$166:$D$166,MATCH(LEFT($D61,5),Job_Training[[#Headers],[Solar]:[Wind]],0)),0),0)</f>
        <v>0</v>
      </c>
    </row>
    <row r="62" spans="1:44" x14ac:dyDescent="0.35">
      <c r="A62" t="str">
        <f>UserInput!$B$2</f>
        <v>Current Projects</v>
      </c>
      <c r="B62">
        <v>2043</v>
      </c>
      <c r="C62" t="s">
        <v>41</v>
      </c>
      <c r="D62" t="s">
        <v>80</v>
      </c>
      <c r="E62" s="66">
        <f>INDEX(UserInput!$C$2:$M$22,MATCH(UserMade_Scenario!B62,UserInput!$A$2:$A$22,0),MATCH(LEFT(IF(RIGHT(C62,2)="H2",UserMade_Scenario!C62,D62),3),UserInput!$C$25:$M$25,0))</f>
        <v>13320</v>
      </c>
      <c r="F62" t="s">
        <v>81</v>
      </c>
      <c r="G62" s="14">
        <f t="shared" si="29"/>
        <v>6.3498705693229587E-2</v>
      </c>
      <c r="H62" s="63">
        <f t="shared" si="6"/>
        <v>1.1994746414077233</v>
      </c>
      <c r="I62" s="63">
        <f t="shared" si="7"/>
        <v>0.69164651002689537</v>
      </c>
      <c r="J62" s="63">
        <f t="shared" si="8"/>
        <v>1.7073027551491582</v>
      </c>
      <c r="K62" s="30">
        <f>IF(OR(LEFT($D62,5)="Solar",$D62="Wind"),INDEX(Land_Use[AVG],MATCH(LEFT($D62,5),Land_Use[Tech],0)),0)*$E62</f>
        <v>46620</v>
      </c>
      <c r="L62" s="30">
        <f>IF(OR(LEFT($D62,5)="Solar",$D62="Wind"),INDEX(Land_Use[MIN],MATCH(LEFT($D62,5),Land_Use[Tech],0)),0)*$E62</f>
        <v>37296</v>
      </c>
      <c r="M62" s="30">
        <f>IF(OR(LEFT($D62,5)="Solar",$D62="Wind"),INDEX(Land_Use[MAX],MATCH(LEFT($D62,5),Land_Use[Tech],0)),0)*$E62</f>
        <v>55944</v>
      </c>
      <c r="N62" s="15">
        <f t="shared" si="24"/>
        <v>0</v>
      </c>
      <c r="O62" s="11">
        <f t="shared" si="25"/>
        <v>652680</v>
      </c>
      <c r="P62" s="11">
        <f t="shared" si="26"/>
        <v>65267.999999999993</v>
      </c>
      <c r="Q62" s="11">
        <f t="shared" si="27"/>
        <v>11655000</v>
      </c>
      <c r="R62" s="11">
        <f t="shared" si="28"/>
        <v>14452.2</v>
      </c>
      <c r="S62" s="30">
        <f t="shared" si="10"/>
        <v>0</v>
      </c>
      <c r="T62" s="30">
        <f t="shared" si="11"/>
        <v>0</v>
      </c>
      <c r="U62" s="30">
        <f t="shared" si="12"/>
        <v>0</v>
      </c>
      <c r="V62" s="30">
        <f t="shared" si="13"/>
        <v>0</v>
      </c>
      <c r="W62" s="30">
        <f t="shared" si="14"/>
        <v>0</v>
      </c>
      <c r="X62" s="30">
        <f t="shared" si="15"/>
        <v>0</v>
      </c>
      <c r="Z62" s="23" t="s">
        <v>76</v>
      </c>
      <c r="AA62" s="40">
        <f>IF(C62="Electricity",E62*SUMIFS(Electricity!S:S,Electricity!P:P,UserMade_Scenario!B62,Electricity!M:M,UserMade_Scenario!Z62,Electricity!O:O,UserMade_Scenario!D62),"")</f>
        <v>17639398.746459521</v>
      </c>
      <c r="AB62" s="76">
        <f>1/Assumptions!$B$23/1000000000000</f>
        <v>3.5998225679871703E-9</v>
      </c>
      <c r="AC62" s="67" t="s">
        <v>82</v>
      </c>
      <c r="AD62" s="69">
        <f>INDEX(Table11[AVG
CO2e MT per MWh],MATCH(UserMade_Scenario!$B62,Table11[[Year]:[Year]],0))</f>
        <v>-6.7999746399999894E-2</v>
      </c>
      <c r="AE62" s="69">
        <f>INDEX(Table11[MIN
CO2e MT per MWh],MATCH(UserMade_Scenario!$B62,Table11[[Year]:[Year]],0))</f>
        <v>-3.9210322300000093E-2</v>
      </c>
      <c r="AF62" s="69">
        <f>INDEX(Table11[MAX CO2e MT per MWh],MATCH(UserMade_Scenario!$B62,Table11[[Year]:[Year]],0))</f>
        <v>-9.6789169500000008E-2</v>
      </c>
      <c r="AG62" s="68">
        <f>IFERROR(INDEX(WaterUseH2[Average Direct Water Consumption (Gal/ kg h2)],MATCH(LEFT(D62,3),WaterUseH2[Key],0)),0)</f>
        <v>0</v>
      </c>
      <c r="AH62">
        <v>14</v>
      </c>
      <c r="AI62">
        <v>1.4</v>
      </c>
      <c r="AJ62">
        <v>250</v>
      </c>
      <c r="AK62">
        <v>0.31</v>
      </c>
      <c r="AL62" s="63">
        <f>IFERROR(INDEX(Job_Training[[Solar]:[Wind]],MATCH(AL$1,Job_Training[[`Typical Entry Level Education`]:[`Typical Entry Level Education`]],0),MATCH(LEFT($D62,5),Job_Training[[#Headers],[Solar]:[Wind]],0)),0)</f>
        <v>3.4599999999999999E-2</v>
      </c>
      <c r="AM62" s="63">
        <f>IFERROR(INDEX(Job_Training[[Solar]:[Wind]],MATCH(AM$1,Job_Training[[`Typical Entry Level Education`]:[`Typical Entry Level Education`]],0),MATCH(LEFT($D62,5),Job_Training[[#Headers],[Solar]:[Wind]],0)),0)</f>
        <v>2.8199999999999999E-2</v>
      </c>
      <c r="AN62" s="63">
        <f>IFERROR(INDEX(Job_Training[[Solar]:[Wind]],MATCH(AN$1,Job_Training[[`Typical Entry Level Education`]:[`Typical Entry Level Education`]],0),MATCH(LEFT($D62,5),Job_Training[[#Headers],[Solar]:[Wind]],0)),0)</f>
        <v>3.3399999999999999E-2</v>
      </c>
      <c r="AO62" s="63">
        <f>IFERROR(INDEX(Job_Training[[Solar]:[Wind]],MATCH(AO$1,Job_Training[[`Typical Entry Level Education`]:[`Typical Entry Level Education`]],0),MATCH(LEFT($D62,5),Job_Training[[#Headers],[Solar]:[Wind]],0)),0)</f>
        <v>5.62E-3</v>
      </c>
      <c r="AP62">
        <f t="shared" si="16"/>
        <v>0</v>
      </c>
      <c r="AQ62" s="63">
        <f>IF(AP62&gt;0,IFERROR(INDEX(Assumptions!$C$165:$D$165,MATCH(LEFT($D62,5),Job_Training[[#Headers],[Solar]:[Wind]],0)),0),0)</f>
        <v>0</v>
      </c>
      <c r="AR62">
        <f>IF(AP62&gt;0,IFERROR(INDEX(Assumptions!$C$166:$D$166,MATCH(LEFT($D62,5),Job_Training[[#Headers],[Solar]:[Wind]],0)),0),0)</f>
        <v>0</v>
      </c>
    </row>
    <row r="63" spans="1:44" x14ac:dyDescent="0.35">
      <c r="A63" t="str">
        <f>UserInput!$B$2</f>
        <v>Current Projects</v>
      </c>
      <c r="B63">
        <v>2044</v>
      </c>
      <c r="C63" t="s">
        <v>41</v>
      </c>
      <c r="D63" t="s">
        <v>80</v>
      </c>
      <c r="E63" s="66">
        <f>INDEX(UserInput!$C$2:$M$22,MATCH(UserMade_Scenario!B63,UserInput!$A$2:$A$22,0),MATCH(LEFT(IF(RIGHT(C63,2)="H2",UserMade_Scenario!C63,D63),3),UserInput!$C$25:$M$25,0))</f>
        <v>13320</v>
      </c>
      <c r="F63" t="s">
        <v>81</v>
      </c>
      <c r="G63" s="14">
        <f t="shared" si="29"/>
        <v>6.0915401475212225E-2</v>
      </c>
      <c r="H63" s="63">
        <f t="shared" si="6"/>
        <v>1.0792003606713849</v>
      </c>
      <c r="I63" s="63">
        <f t="shared" si="7"/>
        <v>0.57622980828716619</v>
      </c>
      <c r="J63" s="63">
        <f t="shared" si="8"/>
        <v>1.5821708961338303</v>
      </c>
      <c r="K63" s="30">
        <f>IF(OR(LEFT($D63,5)="Solar",$D63="Wind"),INDEX(Land_Use[AVG],MATCH(LEFT($D63,5),Land_Use[Tech],0)),0)*$E63</f>
        <v>46620</v>
      </c>
      <c r="L63" s="30">
        <f>IF(OR(LEFT($D63,5)="Solar",$D63="Wind"),INDEX(Land_Use[MIN],MATCH(LEFT($D63,5),Land_Use[Tech],0)),0)*$E63</f>
        <v>37296</v>
      </c>
      <c r="M63" s="30">
        <f>IF(OR(LEFT($D63,5)="Solar",$D63="Wind"),INDEX(Land_Use[MAX],MATCH(LEFT($D63,5),Land_Use[Tech],0)),0)*$E63</f>
        <v>55944</v>
      </c>
      <c r="N63" s="15">
        <f t="shared" si="24"/>
        <v>0</v>
      </c>
      <c r="O63" s="11">
        <f t="shared" si="25"/>
        <v>652680</v>
      </c>
      <c r="P63" s="11">
        <f t="shared" si="26"/>
        <v>65267.999999999993</v>
      </c>
      <c r="Q63" s="11">
        <f t="shared" si="27"/>
        <v>11655000</v>
      </c>
      <c r="R63" s="11">
        <f t="shared" si="28"/>
        <v>14452.2</v>
      </c>
      <c r="S63" s="30">
        <f t="shared" si="10"/>
        <v>0</v>
      </c>
      <c r="T63" s="30">
        <f t="shared" si="11"/>
        <v>0</v>
      </c>
      <c r="U63" s="30">
        <f t="shared" si="12"/>
        <v>0</v>
      </c>
      <c r="V63" s="30">
        <f t="shared" si="13"/>
        <v>0</v>
      </c>
      <c r="W63" s="30">
        <f t="shared" si="14"/>
        <v>0</v>
      </c>
      <c r="X63" s="30">
        <f t="shared" si="15"/>
        <v>0</v>
      </c>
      <c r="Z63" s="23" t="s">
        <v>76</v>
      </c>
      <c r="AA63" s="40">
        <f>IF(C63="Electricity",E63*SUMIFS(Electricity!S:S,Electricity!P:P,UserMade_Scenario!B63,Electricity!M:M,UserMade_Scenario!Z63,Electricity!O:O,UserMade_Scenario!D63),"")</f>
        <v>16921778.872360613</v>
      </c>
      <c r="AB63" s="76">
        <f>1/Assumptions!$B$23/1000000000000</f>
        <v>3.5998225679871703E-9</v>
      </c>
      <c r="AC63" s="67" t="s">
        <v>82</v>
      </c>
      <c r="AD63" s="69">
        <f>INDEX(Table11[AVG
CO2e MT per MWh],MATCH(UserMade_Scenario!$B63,Table11[[Year]:[Year]],0))</f>
        <v>-6.3775822199999888E-2</v>
      </c>
      <c r="AE63" s="69">
        <f>INDEX(Table11[MIN
CO2e MT per MWh],MATCH(UserMade_Scenario!$B63,Table11[[Year]:[Year]],0))</f>
        <v>-3.4052555150000094E-2</v>
      </c>
      <c r="AF63" s="69">
        <f>INDEX(Table11[MAX CO2e MT per MWh],MATCH(UserMade_Scenario!$B63,Table11[[Year]:[Year]],0))</f>
        <v>-9.3499088250000001E-2</v>
      </c>
      <c r="AG63" s="68">
        <f>IFERROR(INDEX(WaterUseH2[Average Direct Water Consumption (Gal/ kg h2)],MATCH(LEFT(D63,3),WaterUseH2[Key],0)),0)</f>
        <v>0</v>
      </c>
      <c r="AH63">
        <v>14</v>
      </c>
      <c r="AI63">
        <v>1.4</v>
      </c>
      <c r="AJ63">
        <v>250</v>
      </c>
      <c r="AK63">
        <v>0.31</v>
      </c>
      <c r="AL63" s="63">
        <f>IFERROR(INDEX(Job_Training[[Solar]:[Wind]],MATCH(AL$1,Job_Training[[`Typical Entry Level Education`]:[`Typical Entry Level Education`]],0),MATCH(LEFT($D63,5),Job_Training[[#Headers],[Solar]:[Wind]],0)),0)</f>
        <v>3.4599999999999999E-2</v>
      </c>
      <c r="AM63" s="63">
        <f>IFERROR(INDEX(Job_Training[[Solar]:[Wind]],MATCH(AM$1,Job_Training[[`Typical Entry Level Education`]:[`Typical Entry Level Education`]],0),MATCH(LEFT($D63,5),Job_Training[[#Headers],[Solar]:[Wind]],0)),0)</f>
        <v>2.8199999999999999E-2</v>
      </c>
      <c r="AN63" s="63">
        <f>IFERROR(INDEX(Job_Training[[Solar]:[Wind]],MATCH(AN$1,Job_Training[[`Typical Entry Level Education`]:[`Typical Entry Level Education`]],0),MATCH(LEFT($D63,5),Job_Training[[#Headers],[Solar]:[Wind]],0)),0)</f>
        <v>3.3399999999999999E-2</v>
      </c>
      <c r="AO63" s="63">
        <f>IFERROR(INDEX(Job_Training[[Solar]:[Wind]],MATCH(AO$1,Job_Training[[`Typical Entry Level Education`]:[`Typical Entry Level Education`]],0),MATCH(LEFT($D63,5),Job_Training[[#Headers],[Solar]:[Wind]],0)),0)</f>
        <v>5.62E-3</v>
      </c>
      <c r="AP63">
        <f t="shared" si="16"/>
        <v>0</v>
      </c>
      <c r="AQ63" s="63">
        <f>IF(AP63&gt;0,IFERROR(INDEX(Assumptions!$C$165:$D$165,MATCH(LEFT($D63,5),Job_Training[[#Headers],[Solar]:[Wind]],0)),0),0)</f>
        <v>0</v>
      </c>
      <c r="AR63">
        <f>IF(AP63&gt;0,IFERROR(INDEX(Assumptions!$C$166:$D$166,MATCH(LEFT($D63,5),Job_Training[[#Headers],[Solar]:[Wind]],0)),0),0)</f>
        <v>0</v>
      </c>
    </row>
    <row r="64" spans="1:44" x14ac:dyDescent="0.35">
      <c r="A64" t="str">
        <f>UserInput!$B$2</f>
        <v>Current Projects</v>
      </c>
      <c r="B64">
        <v>2045</v>
      </c>
      <c r="C64" t="s">
        <v>41</v>
      </c>
      <c r="D64" t="s">
        <v>80</v>
      </c>
      <c r="E64" s="66">
        <f>INDEX(UserInput!$C$2:$M$22,MATCH(UserMade_Scenario!B64,UserInput!$A$2:$A$22,0),MATCH(LEFT(IF(RIGHT(C64,2)="H2",UserMade_Scenario!C64,D64),3),UserInput!$C$25:$M$25,0))</f>
        <v>13320</v>
      </c>
      <c r="F64" t="s">
        <v>81</v>
      </c>
      <c r="G64" s="14">
        <f t="shared" si="29"/>
        <v>5.8332097257194869E-2</v>
      </c>
      <c r="H64" s="63">
        <f t="shared" si="6"/>
        <v>0.96498842384026162</v>
      </c>
      <c r="I64" s="63">
        <f t="shared" si="7"/>
        <v>0.46821573897306595</v>
      </c>
      <c r="J64" s="63">
        <f t="shared" si="8"/>
        <v>1.4617610925033033</v>
      </c>
      <c r="K64" s="30">
        <f>IF(OR(LEFT($D64,5)="Solar",$D64="Wind"),INDEX(Land_Use[AVG],MATCH(LEFT($D64,5),Land_Use[Tech],0)),0)*$E64</f>
        <v>46620</v>
      </c>
      <c r="L64" s="30">
        <f>IF(OR(LEFT($D64,5)="Solar",$D64="Wind"),INDEX(Land_Use[MIN],MATCH(LEFT($D64,5),Land_Use[Tech],0)),0)*$E64</f>
        <v>37296</v>
      </c>
      <c r="M64" s="30">
        <f>IF(OR(LEFT($D64,5)="Solar",$D64="Wind"),INDEX(Land_Use[MAX],MATCH(LEFT($D64,5),Land_Use[Tech],0)),0)*$E64</f>
        <v>55944</v>
      </c>
      <c r="N64" s="15">
        <f t="shared" si="24"/>
        <v>0</v>
      </c>
      <c r="O64" s="11">
        <f t="shared" si="25"/>
        <v>652680</v>
      </c>
      <c r="P64" s="11">
        <f t="shared" si="26"/>
        <v>65267.999999999993</v>
      </c>
      <c r="Q64" s="11">
        <f t="shared" si="27"/>
        <v>11655000</v>
      </c>
      <c r="R64" s="11">
        <f t="shared" si="28"/>
        <v>14452.2</v>
      </c>
      <c r="S64" s="30">
        <f t="shared" si="10"/>
        <v>0</v>
      </c>
      <c r="T64" s="30">
        <f t="shared" si="11"/>
        <v>0</v>
      </c>
      <c r="U64" s="30">
        <f t="shared" si="12"/>
        <v>0</v>
      </c>
      <c r="V64" s="30">
        <f t="shared" si="13"/>
        <v>0</v>
      </c>
      <c r="W64" s="30">
        <f t="shared" si="14"/>
        <v>0</v>
      </c>
      <c r="X64" s="30">
        <f t="shared" si="15"/>
        <v>0</v>
      </c>
      <c r="Z64" s="23" t="s">
        <v>76</v>
      </c>
      <c r="AA64" s="40">
        <f>IF(C64="Electricity",E64*SUMIFS(Electricity!S:S,Electricity!P:P,UserMade_Scenario!B64,Electricity!M:M,UserMade_Scenario!Z64,Electricity!O:O,UserMade_Scenario!D64),"")</f>
        <v>16204158.998261707</v>
      </c>
      <c r="AB64" s="76">
        <f>1/Assumptions!$B$23/1000000000000</f>
        <v>3.5998225679871703E-9</v>
      </c>
      <c r="AC64" s="67" t="s">
        <v>82</v>
      </c>
      <c r="AD64" s="69">
        <f>INDEX(Table11[AVG
CO2e MT per MWh],MATCH(UserMade_Scenario!$B64,Table11[[Year]:[Year]],0))</f>
        <v>-5.9551897999999888E-2</v>
      </c>
      <c r="AE64" s="69">
        <f>INDEX(Table11[MIN
CO2e MT per MWh],MATCH(UserMade_Scenario!$B64,Table11[[Year]:[Year]],0))</f>
        <v>-2.8894788000000095E-2</v>
      </c>
      <c r="AF64" s="69">
        <f>INDEX(Table11[MAX CO2e MT per MWh],MATCH(UserMade_Scenario!$B64,Table11[[Year]:[Year]],0))</f>
        <v>-9.0209006999999994E-2</v>
      </c>
      <c r="AG64" s="68">
        <f>IFERROR(INDEX(WaterUseH2[Average Direct Water Consumption (Gal/ kg h2)],MATCH(LEFT(D64,3),WaterUseH2[Key],0)),0)</f>
        <v>0</v>
      </c>
      <c r="AH64">
        <v>14</v>
      </c>
      <c r="AI64">
        <v>1.4</v>
      </c>
      <c r="AJ64">
        <v>250</v>
      </c>
      <c r="AK64">
        <v>0.31</v>
      </c>
      <c r="AL64" s="63">
        <f>IFERROR(INDEX(Job_Training[[Solar]:[Wind]],MATCH(AL$1,Job_Training[[`Typical Entry Level Education`]:[`Typical Entry Level Education`]],0),MATCH(LEFT($D64,5),Job_Training[[#Headers],[Solar]:[Wind]],0)),0)</f>
        <v>3.4599999999999999E-2</v>
      </c>
      <c r="AM64" s="63">
        <f>IFERROR(INDEX(Job_Training[[Solar]:[Wind]],MATCH(AM$1,Job_Training[[`Typical Entry Level Education`]:[`Typical Entry Level Education`]],0),MATCH(LEFT($D64,5),Job_Training[[#Headers],[Solar]:[Wind]],0)),0)</f>
        <v>2.8199999999999999E-2</v>
      </c>
      <c r="AN64" s="63">
        <f>IFERROR(INDEX(Job_Training[[Solar]:[Wind]],MATCH(AN$1,Job_Training[[`Typical Entry Level Education`]:[`Typical Entry Level Education`]],0),MATCH(LEFT($D64,5),Job_Training[[#Headers],[Solar]:[Wind]],0)),0)</f>
        <v>3.3399999999999999E-2</v>
      </c>
      <c r="AO64" s="63">
        <f>IFERROR(INDEX(Job_Training[[Solar]:[Wind]],MATCH(AO$1,Job_Training[[`Typical Entry Level Education`]:[`Typical Entry Level Education`]],0),MATCH(LEFT($D64,5),Job_Training[[#Headers],[Solar]:[Wind]],0)),0)</f>
        <v>5.62E-3</v>
      </c>
      <c r="AP64">
        <f t="shared" si="16"/>
        <v>0</v>
      </c>
      <c r="AQ64" s="63">
        <f>IF(AP64&gt;0,IFERROR(INDEX(Assumptions!$C$165:$D$165,MATCH(LEFT($D64,5),Job_Training[[#Headers],[Solar]:[Wind]],0)),0),0)</f>
        <v>0</v>
      </c>
      <c r="AR64">
        <f>IF(AP64&gt;0,IFERROR(INDEX(Assumptions!$C$166:$D$166,MATCH(LEFT($D64,5),Job_Training[[#Headers],[Solar]:[Wind]],0)),0),0)</f>
        <v>0</v>
      </c>
    </row>
    <row r="65" spans="1:44" x14ac:dyDescent="0.35">
      <c r="A65" t="str">
        <f>UserInput!$B$2</f>
        <v>Current Projects</v>
      </c>
      <c r="B65">
        <v>2025</v>
      </c>
      <c r="C65" t="s">
        <v>41</v>
      </c>
      <c r="D65" t="s">
        <v>83</v>
      </c>
      <c r="E65" s="66">
        <f>INDEX(UserInput!$C$2:$M$22,MATCH(UserMade_Scenario!B65,UserInput!$A$2:$A$22,0),MATCH(LEFT(IF(RIGHT(C65,2)="H2",UserMade_Scenario!C65,D65),3),UserInput!$C$25:$M$25,0))</f>
        <v>24.90909090909091</v>
      </c>
      <c r="F65" t="s">
        <v>81</v>
      </c>
      <c r="G65" s="14">
        <f t="shared" si="29"/>
        <v>2.2442261949444557E-4</v>
      </c>
      <c r="H65" s="63">
        <f t="shared" si="6"/>
        <v>8.9792413389139149E-3</v>
      </c>
      <c r="I65" s="63">
        <f t="shared" si="7"/>
        <v>8.2323602744051438E-3</v>
      </c>
      <c r="J65" s="63">
        <f t="shared" si="8"/>
        <v>9.7261223410799943E-3</v>
      </c>
      <c r="K65" s="30">
        <f>IF(OR(LEFT($D65,5)="Solar",$D65="Wind"),INDEX(Land_Use[AVG],MATCH(LEFT($D65,5),Land_Use[Tech],0)),0)*$E65</f>
        <v>62.272727272727273</v>
      </c>
      <c r="L65" s="30">
        <f>IF(OR(LEFT($D65,5)="Solar",$D65="Wind"),INDEX(Land_Use[MIN],MATCH(LEFT($D65,5),Land_Use[Tech],0)),0)*$E65</f>
        <v>19.927272727272729</v>
      </c>
      <c r="M65" s="30">
        <f>IF(OR(LEFT($D65,5)="Solar",$D65="Wind"),INDEX(Land_Use[MAX],MATCH(LEFT($D65,5),Land_Use[Tech],0)),0)*$E65</f>
        <v>104.61818181818182</v>
      </c>
      <c r="N65" s="15">
        <f t="shared" si="24"/>
        <v>0</v>
      </c>
      <c r="O65" s="11">
        <f t="shared" si="25"/>
        <v>871.81818181818187</v>
      </c>
      <c r="P65" s="11">
        <f t="shared" si="26"/>
        <v>87.181818181818173</v>
      </c>
      <c r="Q65" s="11">
        <f t="shared" si="27"/>
        <v>15568.181818181818</v>
      </c>
      <c r="R65" s="11">
        <f t="shared" si="28"/>
        <v>19.304545454545455</v>
      </c>
      <c r="S65" s="30">
        <f t="shared" si="10"/>
        <v>0.58785454545454552</v>
      </c>
      <c r="T65" s="30">
        <f t="shared" si="11"/>
        <v>1.0187818181818182</v>
      </c>
      <c r="U65" s="30">
        <f t="shared" si="12"/>
        <v>0.49818181818181823</v>
      </c>
      <c r="V65" s="30">
        <f t="shared" si="13"/>
        <v>2.8147272727272726E-2</v>
      </c>
      <c r="W65" s="30">
        <f t="shared" si="14"/>
        <v>2.1329654545454551</v>
      </c>
      <c r="X65" s="30">
        <f t="shared" si="15"/>
        <v>17.06372363636364</v>
      </c>
      <c r="Z65" s="23" t="s">
        <v>76</v>
      </c>
      <c r="AA65" s="40">
        <f>IF(C65="Electricity",E65*SUMIFS(Electricity!S:S,Electricity!P:P,UserMade_Scenario!B65,Electricity!M:M,UserMade_Scenario!Z65,Electricity!O:O,UserMade_Scenario!D65),"")</f>
        <v>62342.689189798257</v>
      </c>
      <c r="AB65" s="76">
        <f>1/Assumptions!$B$23/1000000000000</f>
        <v>3.5998225679871703E-9</v>
      </c>
      <c r="AC65" s="67" t="s">
        <v>82</v>
      </c>
      <c r="AD65" s="69">
        <f>INDEX(Table11[AVG
CO2e MT per MWh],MATCH(UserMade_Scenario!$B65,Table11[[Year]:[Year]],0))</f>
        <v>-0.14403038200000001</v>
      </c>
      <c r="AE65" s="69">
        <f>INDEX(Table11[MIN
CO2e MT per MWh],MATCH(UserMade_Scenario!$B65,Table11[[Year]:[Year]],0))</f>
        <v>-0.13205013099999999</v>
      </c>
      <c r="AF65" s="69">
        <f>INDEX(Table11[MAX CO2e MT per MWh],MATCH(UserMade_Scenario!$B65,Table11[[Year]:[Year]],0))</f>
        <v>-0.15601063200000001</v>
      </c>
      <c r="AG65" s="68">
        <f>IFERROR(INDEX(WaterUseH2[Average Direct Water Consumption (Gal/ kg h2)],MATCH(LEFT(D65,3),WaterUseH2[Key],0)),0)</f>
        <v>0</v>
      </c>
      <c r="AH65">
        <v>14</v>
      </c>
      <c r="AI65">
        <v>1.4</v>
      </c>
      <c r="AJ65">
        <v>250</v>
      </c>
      <c r="AK65">
        <v>0.31</v>
      </c>
      <c r="AL65" s="63">
        <f>IFERROR(INDEX(Job_Training[[Solar]:[Wind]],MATCH(AL$1,Job_Training[[`Typical Entry Level Education`]:[`Typical Entry Level Education`]],0),MATCH(LEFT($D65,5),Job_Training[[#Headers],[Solar]:[Wind]],0)),0)</f>
        <v>2.3599999999999999E-2</v>
      </c>
      <c r="AM65" s="63">
        <f>IFERROR(INDEX(Job_Training[[Solar]:[Wind]],MATCH(AM$1,Job_Training[[`Typical Entry Level Education`]:[`Typical Entry Level Education`]],0),MATCH(LEFT($D65,5),Job_Training[[#Headers],[Solar]:[Wind]],0)),0)</f>
        <v>4.0899999999999999E-2</v>
      </c>
      <c r="AN65" s="63">
        <f>IFERROR(INDEX(Job_Training[[Solar]:[Wind]],MATCH(AN$1,Job_Training[[`Typical Entry Level Education`]:[`Typical Entry Level Education`]],0),MATCH(LEFT($D65,5),Job_Training[[#Headers],[Solar]:[Wind]],0)),0)</f>
        <v>0.02</v>
      </c>
      <c r="AO65" s="63">
        <f>IFERROR(INDEX(Job_Training[[Solar]:[Wind]],MATCH(AO$1,Job_Training[[`Typical Entry Level Education`]:[`Typical Entry Level Education`]],0),MATCH(LEFT($D65,5),Job_Training[[#Headers],[Solar]:[Wind]],0)),0)</f>
        <v>1.1299999999999999E-3</v>
      </c>
      <c r="AP65">
        <f t="shared" si="16"/>
        <v>24.90909090909091</v>
      </c>
      <c r="AQ65" s="63">
        <f>IF(AP65&gt;0,IFERROR(INDEX(Assumptions!$C$165:$D$165,MATCH(LEFT($D65,5),Job_Training[[#Headers],[Solar]:[Wind]],0)),0),0)</f>
        <v>8.5630000000000012E-2</v>
      </c>
      <c r="AR65">
        <f>IF(AP65&gt;0,IFERROR(INDEX(Assumptions!$C$166:$D$166,MATCH(LEFT($D65,5),Job_Training[[#Headers],[Solar]:[Wind]],0)),0),0)</f>
        <v>0.68504000000000009</v>
      </c>
    </row>
    <row r="66" spans="1:44" x14ac:dyDescent="0.35">
      <c r="A66" t="str">
        <f>UserInput!$B$2</f>
        <v>Current Projects</v>
      </c>
      <c r="B66">
        <v>2026</v>
      </c>
      <c r="C66" t="s">
        <v>41</v>
      </c>
      <c r="D66" t="s">
        <v>83</v>
      </c>
      <c r="E66" s="66">
        <f>INDEX(UserInput!$C$2:$M$22,MATCH(UserMade_Scenario!B66,UserInput!$A$2:$A$22,0),MATCH(LEFT(IF(RIGHT(C66,2)="H2",UserMade_Scenario!C66,D66),3),UserInput!$C$25:$M$25,0))</f>
        <v>49.81818181818182</v>
      </c>
      <c r="F66" t="s">
        <v>81</v>
      </c>
      <c r="G66" s="14">
        <f t="shared" si="29"/>
        <v>4.4525105261724077E-4</v>
      </c>
      <c r="H66" s="63">
        <f t="shared" si="6"/>
        <v>1.7292233526094086E-2</v>
      </c>
      <c r="I66" s="63">
        <f t="shared" si="7"/>
        <v>1.5694928710026292E-2</v>
      </c>
      <c r="J66" s="63">
        <f t="shared" si="8"/>
        <v>1.8889538218474937E-2</v>
      </c>
      <c r="K66" s="30">
        <f>IF(OR(LEFT($D66,5)="Solar",$D66="Wind"),INDEX(Land_Use[AVG],MATCH(LEFT($D66,5),Land_Use[Tech],0)),0)*$E66</f>
        <v>124.54545454545455</v>
      </c>
      <c r="L66" s="30">
        <f>IF(OR(LEFT($D66,5)="Solar",$D66="Wind"),INDEX(Land_Use[MIN],MATCH(LEFT($D66,5),Land_Use[Tech],0)),0)*$E66</f>
        <v>39.854545454545459</v>
      </c>
      <c r="M66" s="30">
        <f>IF(OR(LEFT($D66,5)="Solar",$D66="Wind"),INDEX(Land_Use[MAX],MATCH(LEFT($D66,5),Land_Use[Tech],0)),0)*$E66</f>
        <v>209.23636363636365</v>
      </c>
      <c r="N66" s="15">
        <f t="shared" si="24"/>
        <v>0</v>
      </c>
      <c r="O66" s="11">
        <f t="shared" si="25"/>
        <v>1743.6363636363637</v>
      </c>
      <c r="P66" s="11">
        <f t="shared" si="26"/>
        <v>174.36363636363635</v>
      </c>
      <c r="Q66" s="11">
        <f t="shared" si="27"/>
        <v>31136.363636363636</v>
      </c>
      <c r="R66" s="11">
        <f t="shared" si="28"/>
        <v>38.609090909090909</v>
      </c>
      <c r="S66" s="30">
        <f t="shared" si="10"/>
        <v>0.58785454545454552</v>
      </c>
      <c r="T66" s="30">
        <f t="shared" si="11"/>
        <v>1.0187818181818182</v>
      </c>
      <c r="U66" s="30">
        <f t="shared" si="12"/>
        <v>0.49818181818181823</v>
      </c>
      <c r="V66" s="30">
        <f t="shared" si="13"/>
        <v>2.8147272727272726E-2</v>
      </c>
      <c r="W66" s="30">
        <f t="shared" si="14"/>
        <v>2.1329654545454551</v>
      </c>
      <c r="X66" s="30">
        <f t="shared" si="15"/>
        <v>17.06372363636364</v>
      </c>
      <c r="Z66" s="23" t="s">
        <v>76</v>
      </c>
      <c r="AA66" s="40">
        <f>IF(C66="Electricity",E66*SUMIFS(Electricity!S:S,Electricity!P:P,UserMade_Scenario!B66,Electricity!M:M,UserMade_Scenario!Z66,Electricity!O:O,UserMade_Scenario!D66),"")</f>
        <v>123686.94406685758</v>
      </c>
      <c r="AB66" s="76">
        <f>1/Assumptions!$B$23/1000000000000</f>
        <v>3.5998225679871703E-9</v>
      </c>
      <c r="AC66" s="67" t="s">
        <v>82</v>
      </c>
      <c r="AD66" s="69">
        <f>INDEX(Table11[AVG
CO2e MT per MWh],MATCH(UserMade_Scenario!$B66,Table11[[Year]:[Year]],0))</f>
        <v>-0.13980645780000001</v>
      </c>
      <c r="AE66" s="69">
        <f>INDEX(Table11[MIN
CO2e MT per MWh],MATCH(UserMade_Scenario!$B66,Table11[[Year]:[Year]],0))</f>
        <v>-0.12689236385</v>
      </c>
      <c r="AF66" s="69">
        <f>INDEX(Table11[MAX CO2e MT per MWh],MATCH(UserMade_Scenario!$B66,Table11[[Year]:[Year]],0))</f>
        <v>-0.15272055075000002</v>
      </c>
      <c r="AG66" s="68">
        <f>IFERROR(INDEX(WaterUseH2[Average Direct Water Consumption (Gal/ kg h2)],MATCH(LEFT(D66,3),WaterUseH2[Key],0)),0)</f>
        <v>0</v>
      </c>
      <c r="AH66">
        <v>14</v>
      </c>
      <c r="AI66">
        <v>1.4</v>
      </c>
      <c r="AJ66">
        <v>250</v>
      </c>
      <c r="AK66">
        <v>0.31</v>
      </c>
      <c r="AL66" s="63">
        <f>IFERROR(INDEX(Job_Training[[Solar]:[Wind]],MATCH(AL$1,Job_Training[[`Typical Entry Level Education`]:[`Typical Entry Level Education`]],0),MATCH(LEFT($D66,5),Job_Training[[#Headers],[Solar]:[Wind]],0)),0)</f>
        <v>2.3599999999999999E-2</v>
      </c>
      <c r="AM66" s="63">
        <f>IFERROR(INDEX(Job_Training[[Solar]:[Wind]],MATCH(AM$1,Job_Training[[`Typical Entry Level Education`]:[`Typical Entry Level Education`]],0),MATCH(LEFT($D66,5),Job_Training[[#Headers],[Solar]:[Wind]],0)),0)</f>
        <v>4.0899999999999999E-2</v>
      </c>
      <c r="AN66" s="63">
        <f>IFERROR(INDEX(Job_Training[[Solar]:[Wind]],MATCH(AN$1,Job_Training[[`Typical Entry Level Education`]:[`Typical Entry Level Education`]],0),MATCH(LEFT($D66,5),Job_Training[[#Headers],[Solar]:[Wind]],0)),0)</f>
        <v>0.02</v>
      </c>
      <c r="AO66" s="63">
        <f>IFERROR(INDEX(Job_Training[[Solar]:[Wind]],MATCH(AO$1,Job_Training[[`Typical Entry Level Education`]:[`Typical Entry Level Education`]],0),MATCH(LEFT($D66,5),Job_Training[[#Headers],[Solar]:[Wind]],0)),0)</f>
        <v>1.1299999999999999E-3</v>
      </c>
      <c r="AP66">
        <f t="shared" si="16"/>
        <v>24.90909090909091</v>
      </c>
      <c r="AQ66" s="63">
        <f>IF(AP66&gt;0,IFERROR(INDEX(Assumptions!$C$165:$D$165,MATCH(LEFT($D66,5),Job_Training[[#Headers],[Solar]:[Wind]],0)),0),0)</f>
        <v>8.5630000000000012E-2</v>
      </c>
      <c r="AR66">
        <f>IF(AP66&gt;0,IFERROR(INDEX(Assumptions!$C$166:$D$166,MATCH(LEFT($D66,5),Job_Training[[#Headers],[Solar]:[Wind]],0)),0),0)</f>
        <v>0.68504000000000009</v>
      </c>
    </row>
    <row r="67" spans="1:44" x14ac:dyDescent="0.35">
      <c r="A67" t="str">
        <f>UserInput!$B$2</f>
        <v>Current Projects</v>
      </c>
      <c r="B67">
        <v>2027</v>
      </c>
      <c r="C67" t="s">
        <v>41</v>
      </c>
      <c r="D67" t="s">
        <v>83</v>
      </c>
      <c r="E67" s="66">
        <f>INDEX(UserInput!$C$2:$M$22,MATCH(UserMade_Scenario!B67,UserInput!$A$2:$A$22,0),MATCH(LEFT(IF(RIGHT(C67,2)="H2",UserMade_Scenario!C67,D67),3),UserInput!$C$25:$M$25,0))</f>
        <v>74.727272727272734</v>
      </c>
      <c r="F67" t="s">
        <v>81</v>
      </c>
      <c r="G67" s="14">
        <f t="shared" si="29"/>
        <v>6.6248529936838553E-4</v>
      </c>
      <c r="H67" s="63">
        <f t="shared" ref="H67:H130" si="30">IF($C67="Electricity",$AA67/1000000,$G67)*AD67*-1</f>
        <v>2.4951628494107578E-2</v>
      </c>
      <c r="I67" s="63">
        <f t="shared" ref="I67:I130" si="31">IF($C67="Electricity",$AA67/1000000,$G67)*AE67*-1</f>
        <v>2.2403154381962474E-2</v>
      </c>
      <c r="J67" s="63">
        <f t="shared" ref="J67:J130" si="32">IF($C67="Electricity",$AA67/1000000,$G67)*AF67*-1</f>
        <v>2.7500102422219921E-2</v>
      </c>
      <c r="K67" s="30">
        <f>IF(OR(LEFT($D67,5)="Solar",$D67="Wind"),INDEX(Land_Use[AVG],MATCH(LEFT($D67,5),Land_Use[Tech],0)),0)*$E67</f>
        <v>186.81818181818184</v>
      </c>
      <c r="L67" s="30">
        <f>IF(OR(LEFT($D67,5)="Solar",$D67="Wind"),INDEX(Land_Use[MIN],MATCH(LEFT($D67,5),Land_Use[Tech],0)),0)*$E67</f>
        <v>59.781818181818188</v>
      </c>
      <c r="M67" s="30">
        <f>IF(OR(LEFT($D67,5)="Solar",$D67="Wind"),INDEX(Land_Use[MAX],MATCH(LEFT($D67,5),Land_Use[Tech],0)),0)*$E67</f>
        <v>313.85454545454547</v>
      </c>
      <c r="N67" s="15">
        <f t="shared" si="24"/>
        <v>0</v>
      </c>
      <c r="O67" s="11">
        <f t="shared" si="25"/>
        <v>2615.454545454546</v>
      </c>
      <c r="P67" s="11">
        <f t="shared" si="26"/>
        <v>261.54545454545456</v>
      </c>
      <c r="Q67" s="11">
        <f t="shared" si="27"/>
        <v>46704.545454545463</v>
      </c>
      <c r="R67" s="11">
        <f t="shared" si="28"/>
        <v>57.913636363636371</v>
      </c>
      <c r="S67" s="30">
        <f t="shared" ref="S67:S130" si="33">MAX($AP67*AL67,0)</f>
        <v>0.58785454545454552</v>
      </c>
      <c r="T67" s="30">
        <f t="shared" ref="T67:T130" si="34">MAX($AP67*AM67,0)</f>
        <v>1.0187818181818182</v>
      </c>
      <c r="U67" s="30">
        <f t="shared" ref="U67:U130" si="35">MAX($AP67*AN67,0)</f>
        <v>0.49818181818181828</v>
      </c>
      <c r="V67" s="30">
        <f t="shared" ref="V67:V130" si="36">MAX($AP67*AO67,0)</f>
        <v>2.8147272727272729E-2</v>
      </c>
      <c r="W67" s="30">
        <f t="shared" ref="W67:W130" si="37">$AP67*AQ67</f>
        <v>2.1329654545454551</v>
      </c>
      <c r="X67" s="30">
        <f t="shared" ref="X67:X130" si="38">$AP67*AR67</f>
        <v>17.06372363636364</v>
      </c>
      <c r="Z67" s="23" t="s">
        <v>76</v>
      </c>
      <c r="AA67" s="40">
        <f>IF(C67="Electricity",E67*SUMIFS(Electricity!S:S,Electricity!P:P,UserMade_Scenario!B67,Electricity!M:M,UserMade_Scenario!Z67,Electricity!O:O,UserMade_Scenario!D67),"")</f>
        <v>184032.76463117797</v>
      </c>
      <c r="AB67" s="76">
        <f>1/Assumptions!$B$23/1000000000000</f>
        <v>3.5998225679871703E-9</v>
      </c>
      <c r="AC67" s="67" t="s">
        <v>82</v>
      </c>
      <c r="AD67" s="69">
        <f>INDEX(Table11[AVG
CO2e MT per MWh],MATCH(UserMade_Scenario!$B67,Table11[[Year]:[Year]],0))</f>
        <v>-0.1355825336</v>
      </c>
      <c r="AE67" s="69">
        <f>INDEX(Table11[MIN
CO2e MT per MWh],MATCH(UserMade_Scenario!$B67,Table11[[Year]:[Year]],0))</f>
        <v>-0.1217345967</v>
      </c>
      <c r="AF67" s="69">
        <f>INDEX(Table11[MAX CO2e MT per MWh],MATCH(UserMade_Scenario!$B67,Table11[[Year]:[Year]],0))</f>
        <v>-0.14943046950000002</v>
      </c>
      <c r="AG67" s="68">
        <f>IFERROR(INDEX(WaterUseH2[Average Direct Water Consumption (Gal/ kg h2)],MATCH(LEFT(D67,3),WaterUseH2[Key],0)),0)</f>
        <v>0</v>
      </c>
      <c r="AH67">
        <v>14</v>
      </c>
      <c r="AI67">
        <v>1.4</v>
      </c>
      <c r="AJ67">
        <v>250</v>
      </c>
      <c r="AK67">
        <v>0.31</v>
      </c>
      <c r="AL67" s="63">
        <f>IFERROR(INDEX(Job_Training[[Solar]:[Wind]],MATCH(AL$1,Job_Training[[`Typical Entry Level Education`]:[`Typical Entry Level Education`]],0),MATCH(LEFT($D67,5),Job_Training[[#Headers],[Solar]:[Wind]],0)),0)</f>
        <v>2.3599999999999999E-2</v>
      </c>
      <c r="AM67" s="63">
        <f>IFERROR(INDEX(Job_Training[[Solar]:[Wind]],MATCH(AM$1,Job_Training[[`Typical Entry Level Education`]:[`Typical Entry Level Education`]],0),MATCH(LEFT($D67,5),Job_Training[[#Headers],[Solar]:[Wind]],0)),0)</f>
        <v>4.0899999999999999E-2</v>
      </c>
      <c r="AN67" s="63">
        <f>IFERROR(INDEX(Job_Training[[Solar]:[Wind]],MATCH(AN$1,Job_Training[[`Typical Entry Level Education`]:[`Typical Entry Level Education`]],0),MATCH(LEFT($D67,5),Job_Training[[#Headers],[Solar]:[Wind]],0)),0)</f>
        <v>0.02</v>
      </c>
      <c r="AO67" s="63">
        <f>IFERROR(INDEX(Job_Training[[Solar]:[Wind]],MATCH(AO$1,Job_Training[[`Typical Entry Level Education`]:[`Typical Entry Level Education`]],0),MATCH(LEFT($D67,5),Job_Training[[#Headers],[Solar]:[Wind]],0)),0)</f>
        <v>1.1299999999999999E-3</v>
      </c>
      <c r="AP67">
        <f t="shared" ref="AP67:AP130" si="39">IF(OR($C67="Electricity",$D67="Solar (Off-Grid)"),IF($B67=2025,$E67,$E67-$E66),0)</f>
        <v>24.909090909090914</v>
      </c>
      <c r="AQ67" s="63">
        <f>IF(AP67&gt;0,IFERROR(INDEX(Assumptions!$C$165:$D$165,MATCH(LEFT($D67,5),Job_Training[[#Headers],[Solar]:[Wind]],0)),0),0)</f>
        <v>8.5630000000000012E-2</v>
      </c>
      <c r="AR67">
        <f>IF(AP67&gt;0,IFERROR(INDEX(Assumptions!$C$166:$D$166,MATCH(LEFT($D67,5),Job_Training[[#Headers],[Solar]:[Wind]],0)),0),0)</f>
        <v>0.68504000000000009</v>
      </c>
    </row>
    <row r="68" spans="1:44" x14ac:dyDescent="0.35">
      <c r="A68" t="str">
        <f>UserInput!$B$2</f>
        <v>Current Projects</v>
      </c>
      <c r="B68">
        <v>2028</v>
      </c>
      <c r="C68" t="s">
        <v>41</v>
      </c>
      <c r="D68" t="s">
        <v>83</v>
      </c>
      <c r="E68" s="66">
        <f>INDEX(UserInput!$C$2:$M$22,MATCH(UserMade_Scenario!B68,UserInput!$A$2:$A$22,0),MATCH(LEFT(IF(RIGHT(C68,2)="H2",UserMade_Scenario!C68,D68),3),UserInput!$C$25:$M$25,0))</f>
        <v>99.63636363636364</v>
      </c>
      <c r="F68" t="s">
        <v>81</v>
      </c>
      <c r="G68" s="14">
        <f t="shared" si="29"/>
        <v>8.7612535974787998E-4</v>
      </c>
      <c r="H68" s="63">
        <f t="shared" si="30"/>
        <v>3.1970078175521457E-2</v>
      </c>
      <c r="I68" s="63">
        <f t="shared" si="31"/>
        <v>2.8372486365312727E-2</v>
      </c>
      <c r="J68" s="63">
        <f t="shared" si="32"/>
        <v>3.5567669742350046E-2</v>
      </c>
      <c r="K68" s="30">
        <f>IF(OR(LEFT($D68,5)="Solar",$D68="Wind"),INDEX(Land_Use[AVG],MATCH(LEFT($D68,5),Land_Use[Tech],0)),0)*$E68</f>
        <v>249.09090909090909</v>
      </c>
      <c r="L68" s="30">
        <f>IF(OR(LEFT($D68,5)="Solar",$D68="Wind"),INDEX(Land_Use[MIN],MATCH(LEFT($D68,5),Land_Use[Tech],0)),0)*$E68</f>
        <v>79.709090909090918</v>
      </c>
      <c r="M68" s="30">
        <f>IF(OR(LEFT($D68,5)="Solar",$D68="Wind"),INDEX(Land_Use[MAX],MATCH(LEFT($D68,5),Land_Use[Tech],0)),0)*$E68</f>
        <v>418.4727272727273</v>
      </c>
      <c r="N68" s="15">
        <f t="shared" si="24"/>
        <v>0</v>
      </c>
      <c r="O68" s="11">
        <f t="shared" si="25"/>
        <v>3487.2727272727275</v>
      </c>
      <c r="P68" s="11">
        <f t="shared" si="26"/>
        <v>348.72727272727269</v>
      </c>
      <c r="Q68" s="11">
        <f t="shared" si="27"/>
        <v>62272.727272727272</v>
      </c>
      <c r="R68" s="11">
        <f t="shared" si="28"/>
        <v>77.218181818181819</v>
      </c>
      <c r="S68" s="30">
        <f t="shared" si="33"/>
        <v>0.58785454545454541</v>
      </c>
      <c r="T68" s="30">
        <f t="shared" si="34"/>
        <v>1.018781818181818</v>
      </c>
      <c r="U68" s="30">
        <f t="shared" si="35"/>
        <v>0.49818181818181811</v>
      </c>
      <c r="V68" s="30">
        <f t="shared" si="36"/>
        <v>2.8147272727272722E-2</v>
      </c>
      <c r="W68" s="30">
        <f t="shared" si="37"/>
        <v>2.1329654545454546</v>
      </c>
      <c r="X68" s="30">
        <f t="shared" si="38"/>
        <v>17.063723636363637</v>
      </c>
      <c r="Z68" s="23" t="s">
        <v>76</v>
      </c>
      <c r="AA68" s="40">
        <f>IF(C68="Electricity",E68*SUMIFS(Electricity!S:S,Electricity!P:P,UserMade_Scenario!B68,Electricity!M:M,UserMade_Scenario!Z68,Electricity!O:O,UserMade_Scenario!D68),"")</f>
        <v>243380.15088275942</v>
      </c>
      <c r="AB68" s="76">
        <f>1/Assumptions!$B$23/1000000000000</f>
        <v>3.5998225679871703E-9</v>
      </c>
      <c r="AC68" s="67" t="s">
        <v>82</v>
      </c>
      <c r="AD68" s="69">
        <f>INDEX(Table11[AVG
CO2e MT per MWh],MATCH(UserMade_Scenario!$B68,Table11[[Year]:[Year]],0))</f>
        <v>-0.13135860939999999</v>
      </c>
      <c r="AE68" s="69">
        <f>INDEX(Table11[MIN
CO2e MT per MWh],MATCH(UserMade_Scenario!$B68,Table11[[Year]:[Year]],0))</f>
        <v>-0.11657682955000001</v>
      </c>
      <c r="AF68" s="69">
        <f>INDEX(Table11[MAX CO2e MT per MWh],MATCH(UserMade_Scenario!$B68,Table11[[Year]:[Year]],0))</f>
        <v>-0.14614038825000003</v>
      </c>
      <c r="AG68" s="68">
        <f>IFERROR(INDEX(WaterUseH2[Average Direct Water Consumption (Gal/ kg h2)],MATCH(LEFT(D68,3),WaterUseH2[Key],0)),0)</f>
        <v>0</v>
      </c>
      <c r="AH68">
        <v>14</v>
      </c>
      <c r="AI68">
        <v>1.4</v>
      </c>
      <c r="AJ68">
        <v>250</v>
      </c>
      <c r="AK68">
        <v>0.31</v>
      </c>
      <c r="AL68" s="63">
        <f>IFERROR(INDEX(Job_Training[[Solar]:[Wind]],MATCH(AL$1,Job_Training[[`Typical Entry Level Education`]:[`Typical Entry Level Education`]],0),MATCH(LEFT($D68,5),Job_Training[[#Headers],[Solar]:[Wind]],0)),0)</f>
        <v>2.3599999999999999E-2</v>
      </c>
      <c r="AM68" s="63">
        <f>IFERROR(INDEX(Job_Training[[Solar]:[Wind]],MATCH(AM$1,Job_Training[[`Typical Entry Level Education`]:[`Typical Entry Level Education`]],0),MATCH(LEFT($D68,5),Job_Training[[#Headers],[Solar]:[Wind]],0)),0)</f>
        <v>4.0899999999999999E-2</v>
      </c>
      <c r="AN68" s="63">
        <f>IFERROR(INDEX(Job_Training[[Solar]:[Wind]],MATCH(AN$1,Job_Training[[`Typical Entry Level Education`]:[`Typical Entry Level Education`]],0),MATCH(LEFT($D68,5),Job_Training[[#Headers],[Solar]:[Wind]],0)),0)</f>
        <v>0.02</v>
      </c>
      <c r="AO68" s="63">
        <f>IFERROR(INDEX(Job_Training[[Solar]:[Wind]],MATCH(AO$1,Job_Training[[`Typical Entry Level Education`]:[`Typical Entry Level Education`]],0),MATCH(LEFT($D68,5),Job_Training[[#Headers],[Solar]:[Wind]],0)),0)</f>
        <v>1.1299999999999999E-3</v>
      </c>
      <c r="AP68">
        <f t="shared" si="39"/>
        <v>24.909090909090907</v>
      </c>
      <c r="AQ68" s="63">
        <f>IF(AP68&gt;0,IFERROR(INDEX(Assumptions!$C$165:$D$165,MATCH(LEFT($D68,5),Job_Training[[#Headers],[Solar]:[Wind]],0)),0),0)</f>
        <v>8.5630000000000012E-2</v>
      </c>
      <c r="AR68">
        <f>IF(AP68&gt;0,IFERROR(INDEX(Assumptions!$C$166:$D$166,MATCH(LEFT($D68,5),Job_Training[[#Headers],[Solar]:[Wind]],0)),0),0)</f>
        <v>0.68504000000000009</v>
      </c>
    </row>
    <row r="69" spans="1:44" x14ac:dyDescent="0.35">
      <c r="A69" t="str">
        <f>UserInput!$B$2</f>
        <v>Current Projects</v>
      </c>
      <c r="B69">
        <v>2029</v>
      </c>
      <c r="C69" t="s">
        <v>41</v>
      </c>
      <c r="D69" t="s">
        <v>83</v>
      </c>
      <c r="E69" s="66">
        <f>INDEX(UserInput!$C$2:$M$22,MATCH(UserMade_Scenario!B69,UserInput!$A$2:$A$22,0),MATCH(LEFT(IF(RIGHT(C69,2)="H2",UserMade_Scenario!C69,D69),3),UserInput!$C$25:$M$25,0))</f>
        <v>124.54545454545455</v>
      </c>
      <c r="F69" t="s">
        <v>81</v>
      </c>
      <c r="G69" s="14">
        <f t="shared" si="29"/>
        <v>1.0861712337557239E-3</v>
      </c>
      <c r="H69" s="63">
        <f t="shared" si="30"/>
        <v>3.8360234502902789E-2</v>
      </c>
      <c r="I69" s="63">
        <f t="shared" si="31"/>
        <v>3.3618373735176087E-2</v>
      </c>
      <c r="J69" s="63">
        <f t="shared" si="32"/>
        <v>4.3102094968900412E-2</v>
      </c>
      <c r="K69" s="30">
        <f>IF(OR(LEFT($D69,5)="Solar",$D69="Wind"),INDEX(Land_Use[AVG],MATCH(LEFT($D69,5),Land_Use[Tech],0)),0)*$E69</f>
        <v>311.36363636363637</v>
      </c>
      <c r="L69" s="30">
        <f>IF(OR(LEFT($D69,5)="Solar",$D69="Wind"),INDEX(Land_Use[MIN],MATCH(LEFT($D69,5),Land_Use[Tech],0)),0)*$E69</f>
        <v>99.63636363636364</v>
      </c>
      <c r="M69" s="30">
        <f>IF(OR(LEFT($D69,5)="Solar",$D69="Wind"),INDEX(Land_Use[MAX],MATCH(LEFT($D69,5),Land_Use[Tech],0)),0)*$E69</f>
        <v>523.09090909090912</v>
      </c>
      <c r="N69" s="15">
        <f t="shared" si="24"/>
        <v>0</v>
      </c>
      <c r="O69" s="11">
        <f t="shared" si="25"/>
        <v>4359.090909090909</v>
      </c>
      <c r="P69" s="11">
        <f t="shared" si="26"/>
        <v>435.90909090909088</v>
      </c>
      <c r="Q69" s="11">
        <f t="shared" si="27"/>
        <v>77840.909090909088</v>
      </c>
      <c r="R69" s="11">
        <f t="shared" si="28"/>
        <v>96.52272727272728</v>
      </c>
      <c r="S69" s="30">
        <f t="shared" si="33"/>
        <v>0.58785454545454541</v>
      </c>
      <c r="T69" s="30">
        <f t="shared" si="34"/>
        <v>1.018781818181818</v>
      </c>
      <c r="U69" s="30">
        <f t="shared" si="35"/>
        <v>0.49818181818181811</v>
      </c>
      <c r="V69" s="30">
        <f t="shared" si="36"/>
        <v>2.8147272727272722E-2</v>
      </c>
      <c r="W69" s="30">
        <f t="shared" si="37"/>
        <v>2.1329654545454546</v>
      </c>
      <c r="X69" s="30">
        <f t="shared" si="38"/>
        <v>17.063723636363637</v>
      </c>
      <c r="Z69" s="23" t="s">
        <v>76</v>
      </c>
      <c r="AA69" s="40">
        <f>IF(C69="Electricity",E69*SUMIFS(Electricity!S:S,Electricity!P:P,UserMade_Scenario!B69,Electricity!M:M,UserMade_Scenario!Z69,Electricity!O:O,UserMade_Scenario!D69),"")</f>
        <v>301729.1028216019</v>
      </c>
      <c r="AB69" s="76">
        <f>1/Assumptions!$B$23/1000000000000</f>
        <v>3.5998225679871703E-9</v>
      </c>
      <c r="AC69" s="67" t="s">
        <v>82</v>
      </c>
      <c r="AD69" s="69">
        <f>INDEX(Table11[AVG
CO2e MT per MWh],MATCH(UserMade_Scenario!$B69,Table11[[Year]:[Year]],0))</f>
        <v>-0.12713468519999999</v>
      </c>
      <c r="AE69" s="69">
        <f>INDEX(Table11[MIN
CO2e MT per MWh],MATCH(UserMade_Scenario!$B69,Table11[[Year]:[Year]],0))</f>
        <v>-0.11141906240000002</v>
      </c>
      <c r="AF69" s="69">
        <f>INDEX(Table11[MAX CO2e MT per MWh],MATCH(UserMade_Scenario!$B69,Table11[[Year]:[Year]],0))</f>
        <v>-0.14285030700000004</v>
      </c>
      <c r="AG69" s="68">
        <f>IFERROR(INDEX(WaterUseH2[Average Direct Water Consumption (Gal/ kg h2)],MATCH(LEFT(D69,3),WaterUseH2[Key],0)),0)</f>
        <v>0</v>
      </c>
      <c r="AH69">
        <v>14</v>
      </c>
      <c r="AI69">
        <v>1.4</v>
      </c>
      <c r="AJ69">
        <v>250</v>
      </c>
      <c r="AK69">
        <v>0.31</v>
      </c>
      <c r="AL69" s="63">
        <f>IFERROR(INDEX(Job_Training[[Solar]:[Wind]],MATCH(AL$1,Job_Training[[`Typical Entry Level Education`]:[`Typical Entry Level Education`]],0),MATCH(LEFT($D69,5),Job_Training[[#Headers],[Solar]:[Wind]],0)),0)</f>
        <v>2.3599999999999999E-2</v>
      </c>
      <c r="AM69" s="63">
        <f>IFERROR(INDEX(Job_Training[[Solar]:[Wind]],MATCH(AM$1,Job_Training[[`Typical Entry Level Education`]:[`Typical Entry Level Education`]],0),MATCH(LEFT($D69,5),Job_Training[[#Headers],[Solar]:[Wind]],0)),0)</f>
        <v>4.0899999999999999E-2</v>
      </c>
      <c r="AN69" s="63">
        <f>IFERROR(INDEX(Job_Training[[Solar]:[Wind]],MATCH(AN$1,Job_Training[[`Typical Entry Level Education`]:[`Typical Entry Level Education`]],0),MATCH(LEFT($D69,5),Job_Training[[#Headers],[Solar]:[Wind]],0)),0)</f>
        <v>0.02</v>
      </c>
      <c r="AO69" s="63">
        <f>IFERROR(INDEX(Job_Training[[Solar]:[Wind]],MATCH(AO$1,Job_Training[[`Typical Entry Level Education`]:[`Typical Entry Level Education`]],0),MATCH(LEFT($D69,5),Job_Training[[#Headers],[Solar]:[Wind]],0)),0)</f>
        <v>1.1299999999999999E-3</v>
      </c>
      <c r="AP69">
        <f t="shared" si="39"/>
        <v>24.909090909090907</v>
      </c>
      <c r="AQ69" s="63">
        <f>IF(AP69&gt;0,IFERROR(INDEX(Assumptions!$C$165:$D$165,MATCH(LEFT($D69,5),Job_Training[[#Headers],[Solar]:[Wind]],0)),0),0)</f>
        <v>8.5630000000000012E-2</v>
      </c>
      <c r="AR69">
        <f>IF(AP69&gt;0,IFERROR(INDEX(Assumptions!$C$166:$D$166,MATCH(LEFT($D69,5),Job_Training[[#Headers],[Solar]:[Wind]],0)),0),0)</f>
        <v>0.68504000000000009</v>
      </c>
    </row>
    <row r="70" spans="1:44" x14ac:dyDescent="0.35">
      <c r="A70" t="str">
        <f>UserInput!$B$2</f>
        <v>Current Projects</v>
      </c>
      <c r="B70">
        <v>2030</v>
      </c>
      <c r="C70" t="s">
        <v>41</v>
      </c>
      <c r="D70" t="s">
        <v>83</v>
      </c>
      <c r="E70" s="66">
        <f>INDEX(UserInput!$C$2:$M$22,MATCH(UserMade_Scenario!B70,UserInput!$A$2:$A$22,0),MATCH(LEFT(IF(RIGHT(C70,2)="H2",UserMade_Scenario!C70,D70),3),UserInput!$C$25:$M$25,0))</f>
        <v>149.45454545454547</v>
      </c>
      <c r="F70" t="s">
        <v>81</v>
      </c>
      <c r="G70" s="14">
        <f t="shared" si="29"/>
        <v>1.2926229213919176E-3</v>
      </c>
      <c r="H70" s="63">
        <f t="shared" si="30"/>
        <v>4.413474940881864E-2</v>
      </c>
      <c r="I70" s="63">
        <f t="shared" si="31"/>
        <v>3.8156265566651582E-2</v>
      </c>
      <c r="J70" s="63">
        <f t="shared" si="32"/>
        <v>5.0113232891906112E-2</v>
      </c>
      <c r="K70" s="30">
        <f>IF(OR(LEFT($D70,5)="Solar",$D70="Wind"),INDEX(Land_Use[AVG],MATCH(LEFT($D70,5),Land_Use[Tech],0)),0)*$E70</f>
        <v>373.63636363636368</v>
      </c>
      <c r="L70" s="30">
        <f>IF(OR(LEFT($D70,5)="Solar",$D70="Wind"),INDEX(Land_Use[MIN],MATCH(LEFT($D70,5),Land_Use[Tech],0)),0)*$E70</f>
        <v>119.56363636363638</v>
      </c>
      <c r="M70" s="30">
        <f>IF(OR(LEFT($D70,5)="Solar",$D70="Wind"),INDEX(Land_Use[MAX],MATCH(LEFT($D70,5),Land_Use[Tech],0)),0)*$E70</f>
        <v>627.70909090909095</v>
      </c>
      <c r="N70" s="15">
        <f t="shared" si="24"/>
        <v>0</v>
      </c>
      <c r="O70" s="11">
        <f t="shared" si="25"/>
        <v>5230.9090909090919</v>
      </c>
      <c r="P70" s="11">
        <f t="shared" si="26"/>
        <v>523.09090909090912</v>
      </c>
      <c r="Q70" s="11">
        <f t="shared" si="27"/>
        <v>93409.090909090926</v>
      </c>
      <c r="R70" s="11">
        <f t="shared" si="28"/>
        <v>115.82727272727274</v>
      </c>
      <c r="S70" s="30">
        <f t="shared" si="33"/>
        <v>0.58785454545454574</v>
      </c>
      <c r="T70" s="30">
        <f t="shared" si="34"/>
        <v>1.0187818181818187</v>
      </c>
      <c r="U70" s="30">
        <f t="shared" si="35"/>
        <v>0.49818181818181845</v>
      </c>
      <c r="V70" s="30">
        <f t="shared" si="36"/>
        <v>2.814727272727274E-2</v>
      </c>
      <c r="W70" s="30">
        <f t="shared" si="37"/>
        <v>2.1329654545454559</v>
      </c>
      <c r="X70" s="30">
        <f t="shared" si="38"/>
        <v>17.063723636363648</v>
      </c>
      <c r="Z70" s="23" t="s">
        <v>76</v>
      </c>
      <c r="AA70" s="40">
        <f>IF(C70="Electricity",E70*SUMIFS(Electricity!S:S,Electricity!P:P,UserMade_Scenario!B70,Electricity!M:M,UserMade_Scenario!Z70,Electricity!O:O,UserMade_Scenario!D70),"")</f>
        <v>359079.6204477055</v>
      </c>
      <c r="AB70" s="76">
        <f>1/Assumptions!$B$23/1000000000000</f>
        <v>3.5998225679871703E-9</v>
      </c>
      <c r="AC70" s="67" t="s">
        <v>82</v>
      </c>
      <c r="AD70" s="69">
        <f>INDEX(Table11[AVG
CO2e MT per MWh],MATCH(UserMade_Scenario!$B70,Table11[[Year]:[Year]],0))</f>
        <v>-0.12291076099999998</v>
      </c>
      <c r="AE70" s="69">
        <f>INDEX(Table11[MIN
CO2e MT per MWh],MATCH(UserMade_Scenario!$B70,Table11[[Year]:[Year]],0))</f>
        <v>-0.10626129525000003</v>
      </c>
      <c r="AF70" s="69">
        <f>INDEX(Table11[MAX CO2e MT per MWh],MATCH(UserMade_Scenario!$B70,Table11[[Year]:[Year]],0))</f>
        <v>-0.13956022575000004</v>
      </c>
      <c r="AG70" s="68">
        <f>IFERROR(INDEX(WaterUseH2[Average Direct Water Consumption (Gal/ kg h2)],MATCH(LEFT(D70,3),WaterUseH2[Key],0)),0)</f>
        <v>0</v>
      </c>
      <c r="AH70">
        <v>14</v>
      </c>
      <c r="AI70">
        <v>1.4</v>
      </c>
      <c r="AJ70">
        <v>250</v>
      </c>
      <c r="AK70">
        <v>0.31</v>
      </c>
      <c r="AL70" s="63">
        <f>IFERROR(INDEX(Job_Training[[Solar]:[Wind]],MATCH(AL$1,Job_Training[[`Typical Entry Level Education`]:[`Typical Entry Level Education`]],0),MATCH(LEFT($D70,5),Job_Training[[#Headers],[Solar]:[Wind]],0)),0)</f>
        <v>2.3599999999999999E-2</v>
      </c>
      <c r="AM70" s="63">
        <f>IFERROR(INDEX(Job_Training[[Solar]:[Wind]],MATCH(AM$1,Job_Training[[`Typical Entry Level Education`]:[`Typical Entry Level Education`]],0),MATCH(LEFT($D70,5),Job_Training[[#Headers],[Solar]:[Wind]],0)),0)</f>
        <v>4.0899999999999999E-2</v>
      </c>
      <c r="AN70" s="63">
        <f>IFERROR(INDEX(Job_Training[[Solar]:[Wind]],MATCH(AN$1,Job_Training[[`Typical Entry Level Education`]:[`Typical Entry Level Education`]],0),MATCH(LEFT($D70,5),Job_Training[[#Headers],[Solar]:[Wind]],0)),0)</f>
        <v>0.02</v>
      </c>
      <c r="AO70" s="63">
        <f>IFERROR(INDEX(Job_Training[[Solar]:[Wind]],MATCH(AO$1,Job_Training[[`Typical Entry Level Education`]:[`Typical Entry Level Education`]],0),MATCH(LEFT($D70,5),Job_Training[[#Headers],[Solar]:[Wind]],0)),0)</f>
        <v>1.1299999999999999E-3</v>
      </c>
      <c r="AP70">
        <f t="shared" si="39"/>
        <v>24.909090909090921</v>
      </c>
      <c r="AQ70" s="63">
        <f>IF(AP70&gt;0,IFERROR(INDEX(Assumptions!$C$165:$D$165,MATCH(LEFT($D70,5),Job_Training[[#Headers],[Solar]:[Wind]],0)),0),0)</f>
        <v>8.5630000000000012E-2</v>
      </c>
      <c r="AR70">
        <f>IF(AP70&gt;0,IFERROR(INDEX(Assumptions!$C$166:$D$166,MATCH(LEFT($D70,5),Job_Training[[#Headers],[Solar]:[Wind]],0)),0),0)</f>
        <v>0.68504000000000009</v>
      </c>
    </row>
    <row r="71" spans="1:44" x14ac:dyDescent="0.35">
      <c r="A71" t="str">
        <f>UserInput!$B$2</f>
        <v>Current Projects</v>
      </c>
      <c r="B71">
        <v>2031</v>
      </c>
      <c r="C71" t="s">
        <v>41</v>
      </c>
      <c r="D71" t="s">
        <v>83</v>
      </c>
      <c r="E71" s="66">
        <f>INDEX(UserInput!$C$2:$M$22,MATCH(UserMade_Scenario!B71,UserInput!$A$2:$A$22,0),MATCH(LEFT(IF(RIGHT(C71,2)="H2",UserMade_Scenario!C71,D71),3),UserInput!$C$25:$M$25,0))</f>
        <v>174.36363636363637</v>
      </c>
      <c r="F71" t="s">
        <v>81</v>
      </c>
      <c r="G71" s="14">
        <f t="shared" si="29"/>
        <v>1.495480422656461E-3</v>
      </c>
      <c r="H71" s="63">
        <f t="shared" si="30"/>
        <v>4.9306274825836063E-2</v>
      </c>
      <c r="I71" s="63">
        <f t="shared" si="31"/>
        <v>4.2001610934838243E-2</v>
      </c>
      <c r="J71" s="63">
        <f t="shared" si="32"/>
        <v>5.6610938301402243E-2</v>
      </c>
      <c r="K71" s="30">
        <f>IF(OR(LEFT($D71,5)="Solar",$D71="Wind"),INDEX(Land_Use[AVG],MATCH(LEFT($D71,5),Land_Use[Tech],0)),0)*$E71</f>
        <v>435.90909090909093</v>
      </c>
      <c r="L71" s="30">
        <f>IF(OR(LEFT($D71,5)="Solar",$D71="Wind"),INDEX(Land_Use[MIN],MATCH(LEFT($D71,5),Land_Use[Tech],0)),0)*$E71</f>
        <v>139.4909090909091</v>
      </c>
      <c r="M71" s="30">
        <f>IF(OR(LEFT($D71,5)="Solar",$D71="Wind"),INDEX(Land_Use[MAX],MATCH(LEFT($D71,5),Land_Use[Tech],0)),0)*$E71</f>
        <v>732.32727272727277</v>
      </c>
      <c r="N71" s="15">
        <f t="shared" si="24"/>
        <v>0</v>
      </c>
      <c r="O71" s="11">
        <f t="shared" si="25"/>
        <v>6102.727272727273</v>
      </c>
      <c r="P71" s="11">
        <f t="shared" si="26"/>
        <v>610.27272727272725</v>
      </c>
      <c r="Q71" s="11">
        <f t="shared" si="27"/>
        <v>108977.27272727274</v>
      </c>
      <c r="R71" s="11">
        <f t="shared" si="28"/>
        <v>135.13181818181818</v>
      </c>
      <c r="S71" s="30">
        <f t="shared" si="33"/>
        <v>0.58785454545454541</v>
      </c>
      <c r="T71" s="30">
        <f t="shared" si="34"/>
        <v>1.018781818181818</v>
      </c>
      <c r="U71" s="30">
        <f t="shared" si="35"/>
        <v>0.49818181818181811</v>
      </c>
      <c r="V71" s="30">
        <f t="shared" si="36"/>
        <v>2.8147272727272722E-2</v>
      </c>
      <c r="W71" s="30">
        <f t="shared" si="37"/>
        <v>2.1329654545454546</v>
      </c>
      <c r="X71" s="30">
        <f t="shared" si="38"/>
        <v>17.063723636363637</v>
      </c>
      <c r="Z71" s="23" t="s">
        <v>76</v>
      </c>
      <c r="AA71" s="40">
        <f>IF(C71="Electricity",E71*SUMIFS(Electricity!S:S,Electricity!P:P,UserMade_Scenario!B71,Electricity!M:M,UserMade_Scenario!Z71,Electricity!O:O,UserMade_Scenario!D71),"")</f>
        <v>415431.70376107015</v>
      </c>
      <c r="AB71" s="76">
        <f>1/Assumptions!$B$23/1000000000000</f>
        <v>3.5998225679871703E-9</v>
      </c>
      <c r="AC71" s="67" t="s">
        <v>82</v>
      </c>
      <c r="AD71" s="69">
        <f>INDEX(Table11[AVG
CO2e MT per MWh],MATCH(UserMade_Scenario!$B71,Table11[[Year]:[Year]],0))</f>
        <v>-0.11868683679999997</v>
      </c>
      <c r="AE71" s="69">
        <f>INDEX(Table11[MIN
CO2e MT per MWh],MATCH(UserMade_Scenario!$B71,Table11[[Year]:[Year]],0))</f>
        <v>-0.10110352810000003</v>
      </c>
      <c r="AF71" s="69">
        <f>INDEX(Table11[MAX CO2e MT per MWh],MATCH(UserMade_Scenario!$B71,Table11[[Year]:[Year]],0))</f>
        <v>-0.13627014450000005</v>
      </c>
      <c r="AG71" s="68">
        <f>IFERROR(INDEX(WaterUseH2[Average Direct Water Consumption (Gal/ kg h2)],MATCH(LEFT(D71,3),WaterUseH2[Key],0)),0)</f>
        <v>0</v>
      </c>
      <c r="AH71">
        <v>14</v>
      </c>
      <c r="AI71">
        <v>1.4</v>
      </c>
      <c r="AJ71">
        <v>250</v>
      </c>
      <c r="AK71">
        <v>0.31</v>
      </c>
      <c r="AL71" s="63">
        <f>IFERROR(INDEX(Job_Training[[Solar]:[Wind]],MATCH(AL$1,Job_Training[[`Typical Entry Level Education`]:[`Typical Entry Level Education`]],0),MATCH(LEFT($D71,5),Job_Training[[#Headers],[Solar]:[Wind]],0)),0)</f>
        <v>2.3599999999999999E-2</v>
      </c>
      <c r="AM71" s="63">
        <f>IFERROR(INDEX(Job_Training[[Solar]:[Wind]],MATCH(AM$1,Job_Training[[`Typical Entry Level Education`]:[`Typical Entry Level Education`]],0),MATCH(LEFT($D71,5),Job_Training[[#Headers],[Solar]:[Wind]],0)),0)</f>
        <v>4.0899999999999999E-2</v>
      </c>
      <c r="AN71" s="63">
        <f>IFERROR(INDEX(Job_Training[[Solar]:[Wind]],MATCH(AN$1,Job_Training[[`Typical Entry Level Education`]:[`Typical Entry Level Education`]],0),MATCH(LEFT($D71,5),Job_Training[[#Headers],[Solar]:[Wind]],0)),0)</f>
        <v>0.02</v>
      </c>
      <c r="AO71" s="63">
        <f>IFERROR(INDEX(Job_Training[[Solar]:[Wind]],MATCH(AO$1,Job_Training[[`Typical Entry Level Education`]:[`Typical Entry Level Education`]],0),MATCH(LEFT($D71,5),Job_Training[[#Headers],[Solar]:[Wind]],0)),0)</f>
        <v>1.1299999999999999E-3</v>
      </c>
      <c r="AP71">
        <f t="shared" si="39"/>
        <v>24.909090909090907</v>
      </c>
      <c r="AQ71" s="63">
        <f>IF(AP71&gt;0,IFERROR(INDEX(Assumptions!$C$165:$D$165,MATCH(LEFT($D71,5),Job_Training[[#Headers],[Solar]:[Wind]],0)),0),0)</f>
        <v>8.5630000000000012E-2</v>
      </c>
      <c r="AR71">
        <f>IF(AP71&gt;0,IFERROR(INDEX(Assumptions!$C$166:$D$166,MATCH(LEFT($D71,5),Job_Training[[#Headers],[Solar]:[Wind]],0)),0),0)</f>
        <v>0.68504000000000009</v>
      </c>
    </row>
    <row r="72" spans="1:44" x14ac:dyDescent="0.35">
      <c r="A72" t="str">
        <f>UserInput!$B$2</f>
        <v>Current Projects</v>
      </c>
      <c r="B72">
        <v>2032</v>
      </c>
      <c r="C72" t="s">
        <v>41</v>
      </c>
      <c r="D72" t="s">
        <v>83</v>
      </c>
      <c r="E72" s="66">
        <f>INDEX(UserInput!$C$2:$M$22,MATCH(UserMade_Scenario!B72,UserInput!$A$2:$A$22,0),MATCH(LEFT(IF(RIGHT(C72,2)="H2",UserMade_Scenario!C72,D72),3),UserInput!$C$25:$M$25,0))</f>
        <v>199.27272727272728</v>
      </c>
      <c r="F72" t="s">
        <v>81</v>
      </c>
      <c r="G72" s="14">
        <f t="shared" si="29"/>
        <v>1.6947437375493537E-3</v>
      </c>
      <c r="H72" s="63">
        <f t="shared" si="30"/>
        <v>5.3887462686522142E-2</v>
      </c>
      <c r="I72" s="63">
        <f t="shared" si="31"/>
        <v>4.5169858914835111E-2</v>
      </c>
      <c r="J72" s="63">
        <f t="shared" si="32"/>
        <v>6.2605065987423894E-2</v>
      </c>
      <c r="K72" s="30">
        <f>IF(OR(LEFT($D72,5)="Solar",$D72="Wind"),INDEX(Land_Use[AVG],MATCH(LEFT($D72,5),Land_Use[Tech],0)),0)*$E72</f>
        <v>498.18181818181819</v>
      </c>
      <c r="L72" s="30">
        <f>IF(OR(LEFT($D72,5)="Solar",$D72="Wind"),INDEX(Land_Use[MIN],MATCH(LEFT($D72,5),Land_Use[Tech],0)),0)*$E72</f>
        <v>159.41818181818184</v>
      </c>
      <c r="M72" s="30">
        <f>IF(OR(LEFT($D72,5)="Solar",$D72="Wind"),INDEX(Land_Use[MAX],MATCH(LEFT($D72,5),Land_Use[Tech],0)),0)*$E72</f>
        <v>836.9454545454546</v>
      </c>
      <c r="N72" s="15">
        <f t="shared" si="24"/>
        <v>0</v>
      </c>
      <c r="O72" s="11">
        <f t="shared" si="25"/>
        <v>6974.545454545455</v>
      </c>
      <c r="P72" s="11">
        <f t="shared" si="26"/>
        <v>697.45454545454538</v>
      </c>
      <c r="Q72" s="11">
        <f t="shared" si="27"/>
        <v>124545.45454545454</v>
      </c>
      <c r="R72" s="11">
        <f t="shared" si="28"/>
        <v>154.43636363636364</v>
      </c>
      <c r="S72" s="30">
        <f t="shared" si="33"/>
        <v>0.58785454545454541</v>
      </c>
      <c r="T72" s="30">
        <f t="shared" si="34"/>
        <v>1.018781818181818</v>
      </c>
      <c r="U72" s="30">
        <f t="shared" si="35"/>
        <v>0.49818181818181811</v>
      </c>
      <c r="V72" s="30">
        <f t="shared" si="36"/>
        <v>2.8147272727272722E-2</v>
      </c>
      <c r="W72" s="30">
        <f t="shared" si="37"/>
        <v>2.1329654545454546</v>
      </c>
      <c r="X72" s="30">
        <f t="shared" si="38"/>
        <v>17.063723636363637</v>
      </c>
      <c r="Z72" s="23" t="s">
        <v>76</v>
      </c>
      <c r="AA72" s="40">
        <f>IF(C72="Electricity",E72*SUMIFS(Electricity!S:S,Electricity!P:P,UserMade_Scenario!B72,Electricity!M:M,UserMade_Scenario!Z72,Electricity!O:O,UserMade_Scenario!D72),"")</f>
        <v>470785.3527616958</v>
      </c>
      <c r="AB72" s="76">
        <f>1/Assumptions!$B$23/1000000000000</f>
        <v>3.5998225679871703E-9</v>
      </c>
      <c r="AC72" s="67" t="s">
        <v>82</v>
      </c>
      <c r="AD72" s="69">
        <f>INDEX(Table11[AVG
CO2e MT per MWh],MATCH(UserMade_Scenario!$B72,Table11[[Year]:[Year]],0))</f>
        <v>-0.11446291259999997</v>
      </c>
      <c r="AE72" s="69">
        <f>INDEX(Table11[MIN
CO2e MT per MWh],MATCH(UserMade_Scenario!$B72,Table11[[Year]:[Year]],0))</f>
        <v>-9.5945760950000042E-2</v>
      </c>
      <c r="AF72" s="69">
        <f>INDEX(Table11[MAX CO2e MT per MWh],MATCH(UserMade_Scenario!$B72,Table11[[Year]:[Year]],0))</f>
        <v>-0.13298006325000006</v>
      </c>
      <c r="AG72" s="68">
        <f>IFERROR(INDEX(WaterUseH2[Average Direct Water Consumption (Gal/ kg h2)],MATCH(LEFT(D72,3),WaterUseH2[Key],0)),0)</f>
        <v>0</v>
      </c>
      <c r="AH72">
        <v>14</v>
      </c>
      <c r="AI72">
        <v>1.4</v>
      </c>
      <c r="AJ72">
        <v>250</v>
      </c>
      <c r="AK72">
        <v>0.31</v>
      </c>
      <c r="AL72" s="63">
        <f>IFERROR(INDEX(Job_Training[[Solar]:[Wind]],MATCH(AL$1,Job_Training[[`Typical Entry Level Education`]:[`Typical Entry Level Education`]],0),MATCH(LEFT($D72,5),Job_Training[[#Headers],[Solar]:[Wind]],0)),0)</f>
        <v>2.3599999999999999E-2</v>
      </c>
      <c r="AM72" s="63">
        <f>IFERROR(INDEX(Job_Training[[Solar]:[Wind]],MATCH(AM$1,Job_Training[[`Typical Entry Level Education`]:[`Typical Entry Level Education`]],0),MATCH(LEFT($D72,5),Job_Training[[#Headers],[Solar]:[Wind]],0)),0)</f>
        <v>4.0899999999999999E-2</v>
      </c>
      <c r="AN72" s="63">
        <f>IFERROR(INDEX(Job_Training[[Solar]:[Wind]],MATCH(AN$1,Job_Training[[`Typical Entry Level Education`]:[`Typical Entry Level Education`]],0),MATCH(LEFT($D72,5),Job_Training[[#Headers],[Solar]:[Wind]],0)),0)</f>
        <v>0.02</v>
      </c>
      <c r="AO72" s="63">
        <f>IFERROR(INDEX(Job_Training[[Solar]:[Wind]],MATCH(AO$1,Job_Training[[`Typical Entry Level Education`]:[`Typical Entry Level Education`]],0),MATCH(LEFT($D72,5),Job_Training[[#Headers],[Solar]:[Wind]],0)),0)</f>
        <v>1.1299999999999999E-3</v>
      </c>
      <c r="AP72">
        <f t="shared" si="39"/>
        <v>24.909090909090907</v>
      </c>
      <c r="AQ72" s="63">
        <f>IF(AP72&gt;0,IFERROR(INDEX(Assumptions!$C$165:$D$165,MATCH(LEFT($D72,5),Job_Training[[#Headers],[Solar]:[Wind]],0)),0),0)</f>
        <v>8.5630000000000012E-2</v>
      </c>
      <c r="AR72">
        <f>IF(AP72&gt;0,IFERROR(INDEX(Assumptions!$C$166:$D$166,MATCH(LEFT($D72,5),Job_Training[[#Headers],[Solar]:[Wind]],0)),0),0)</f>
        <v>0.68504000000000009</v>
      </c>
    </row>
    <row r="73" spans="1:44" x14ac:dyDescent="0.35">
      <c r="A73" t="str">
        <f>UserInput!$B$2</f>
        <v>Current Projects</v>
      </c>
      <c r="B73">
        <v>2033</v>
      </c>
      <c r="C73" t="s">
        <v>41</v>
      </c>
      <c r="D73" t="s">
        <v>83</v>
      </c>
      <c r="E73" s="66">
        <f>INDEX(UserInput!$C$2:$M$22,MATCH(UserMade_Scenario!B73,UserInput!$A$2:$A$22,0),MATCH(LEFT(IF(RIGHT(C73,2)="H2",UserMade_Scenario!C73,D73),3),UserInput!$C$25:$M$25,0))</f>
        <v>224.18181818181819</v>
      </c>
      <c r="F73" t="s">
        <v>81</v>
      </c>
      <c r="G73" s="14">
        <f t="shared" si="29"/>
        <v>1.8904128660705963E-3</v>
      </c>
      <c r="H73" s="63">
        <f t="shared" si="30"/>
        <v>5.7890964923443936E-2</v>
      </c>
      <c r="I73" s="63">
        <f t="shared" si="31"/>
        <v>4.7676458581741216E-2</v>
      </c>
      <c r="J73" s="63">
        <f t="shared" si="32"/>
        <v>6.8105470740006183E-2</v>
      </c>
      <c r="K73" s="30">
        <f>IF(OR(LEFT($D73,5)="Solar",$D73="Wind"),INDEX(Land_Use[AVG],MATCH(LEFT($D73,5),Land_Use[Tech],0)),0)*$E73</f>
        <v>560.4545454545455</v>
      </c>
      <c r="L73" s="30">
        <f>IF(OR(LEFT($D73,5)="Solar",$D73="Wind"),INDEX(Land_Use[MIN],MATCH(LEFT($D73,5),Land_Use[Tech],0)),0)*$E73</f>
        <v>179.34545454545457</v>
      </c>
      <c r="M73" s="30">
        <f>IF(OR(LEFT($D73,5)="Solar",$D73="Wind"),INDEX(Land_Use[MAX],MATCH(LEFT($D73,5),Land_Use[Tech],0)),0)*$E73</f>
        <v>941.56363636363642</v>
      </c>
      <c r="N73" s="15">
        <f t="shared" si="24"/>
        <v>0</v>
      </c>
      <c r="O73" s="11">
        <f t="shared" si="25"/>
        <v>7846.3636363636369</v>
      </c>
      <c r="P73" s="11">
        <f t="shared" si="26"/>
        <v>784.63636363636363</v>
      </c>
      <c r="Q73" s="11">
        <f t="shared" si="27"/>
        <v>140113.63636363638</v>
      </c>
      <c r="R73" s="11">
        <f t="shared" si="28"/>
        <v>173.7409090909091</v>
      </c>
      <c r="S73" s="30">
        <f t="shared" si="33"/>
        <v>0.58785454545454541</v>
      </c>
      <c r="T73" s="30">
        <f t="shared" si="34"/>
        <v>1.018781818181818</v>
      </c>
      <c r="U73" s="30">
        <f t="shared" si="35"/>
        <v>0.49818181818181811</v>
      </c>
      <c r="V73" s="30">
        <f t="shared" si="36"/>
        <v>2.8147272727272722E-2</v>
      </c>
      <c r="W73" s="30">
        <f t="shared" si="37"/>
        <v>2.1329654545454546</v>
      </c>
      <c r="X73" s="30">
        <f t="shared" si="38"/>
        <v>17.063723636363637</v>
      </c>
      <c r="Z73" s="23" t="s">
        <v>76</v>
      </c>
      <c r="AA73" s="40">
        <f>IF(C73="Electricity",E73*SUMIFS(Electricity!S:S,Electricity!P:P,UserMade_Scenario!B73,Electricity!M:M,UserMade_Scenario!Z73,Electricity!O:O,UserMade_Scenario!D73),"")</f>
        <v>525140.56744958262</v>
      </c>
      <c r="AB73" s="76">
        <f>1/Assumptions!$B$23/1000000000000</f>
        <v>3.5998225679871703E-9</v>
      </c>
      <c r="AC73" s="67" t="s">
        <v>82</v>
      </c>
      <c r="AD73" s="69">
        <f>INDEX(Table11[AVG
CO2e MT per MWh],MATCH(UserMade_Scenario!$B73,Table11[[Year]:[Year]],0))</f>
        <v>-0.11023898839999996</v>
      </c>
      <c r="AE73" s="69">
        <f>INDEX(Table11[MIN
CO2e MT per MWh],MATCH(UserMade_Scenario!$B73,Table11[[Year]:[Year]],0))</f>
        <v>-9.078799380000005E-2</v>
      </c>
      <c r="AF73" s="69">
        <f>INDEX(Table11[MAX CO2e MT per MWh],MATCH(UserMade_Scenario!$B73,Table11[[Year]:[Year]],0))</f>
        <v>-0.12968998200000006</v>
      </c>
      <c r="AG73" s="68">
        <f>IFERROR(INDEX(WaterUseH2[Average Direct Water Consumption (Gal/ kg h2)],MATCH(LEFT(D73,3),WaterUseH2[Key],0)),0)</f>
        <v>0</v>
      </c>
      <c r="AH73">
        <v>14</v>
      </c>
      <c r="AI73">
        <v>1.4</v>
      </c>
      <c r="AJ73">
        <v>250</v>
      </c>
      <c r="AK73">
        <v>0.31</v>
      </c>
      <c r="AL73" s="63">
        <f>IFERROR(INDEX(Job_Training[[Solar]:[Wind]],MATCH(AL$1,Job_Training[[`Typical Entry Level Education`]:[`Typical Entry Level Education`]],0),MATCH(LEFT($D73,5),Job_Training[[#Headers],[Solar]:[Wind]],0)),0)</f>
        <v>2.3599999999999999E-2</v>
      </c>
      <c r="AM73" s="63">
        <f>IFERROR(INDEX(Job_Training[[Solar]:[Wind]],MATCH(AM$1,Job_Training[[`Typical Entry Level Education`]:[`Typical Entry Level Education`]],0),MATCH(LEFT($D73,5),Job_Training[[#Headers],[Solar]:[Wind]],0)),0)</f>
        <v>4.0899999999999999E-2</v>
      </c>
      <c r="AN73" s="63">
        <f>IFERROR(INDEX(Job_Training[[Solar]:[Wind]],MATCH(AN$1,Job_Training[[`Typical Entry Level Education`]:[`Typical Entry Level Education`]],0),MATCH(LEFT($D73,5),Job_Training[[#Headers],[Solar]:[Wind]],0)),0)</f>
        <v>0.02</v>
      </c>
      <c r="AO73" s="63">
        <f>IFERROR(INDEX(Job_Training[[Solar]:[Wind]],MATCH(AO$1,Job_Training[[`Typical Entry Level Education`]:[`Typical Entry Level Education`]],0),MATCH(LEFT($D73,5),Job_Training[[#Headers],[Solar]:[Wind]],0)),0)</f>
        <v>1.1299999999999999E-3</v>
      </c>
      <c r="AP73">
        <f t="shared" si="39"/>
        <v>24.909090909090907</v>
      </c>
      <c r="AQ73" s="63">
        <f>IF(AP73&gt;0,IFERROR(INDEX(Assumptions!$C$165:$D$165,MATCH(LEFT($D73,5),Job_Training[[#Headers],[Solar]:[Wind]],0)),0),0)</f>
        <v>8.5630000000000012E-2</v>
      </c>
      <c r="AR73">
        <f>IF(AP73&gt;0,IFERROR(INDEX(Assumptions!$C$166:$D$166,MATCH(LEFT($D73,5),Job_Training[[#Headers],[Solar]:[Wind]],0)),0),0)</f>
        <v>0.68504000000000009</v>
      </c>
    </row>
    <row r="74" spans="1:44" x14ac:dyDescent="0.35">
      <c r="A74" t="str">
        <f>UserInput!$B$2</f>
        <v>Current Projects</v>
      </c>
      <c r="B74">
        <v>2034</v>
      </c>
      <c r="C74" t="s">
        <v>41</v>
      </c>
      <c r="D74" t="s">
        <v>83</v>
      </c>
      <c r="E74" s="66">
        <f>INDEX(UserInput!$C$2:$M$22,MATCH(UserMade_Scenario!B74,UserInput!$A$2:$A$22,0),MATCH(LEFT(IF(RIGHT(C74,2)="H2",UserMade_Scenario!C74,D74),3),UserInput!$C$25:$M$25,0))</f>
        <v>249.09090909090909</v>
      </c>
      <c r="F74" t="s">
        <v>81</v>
      </c>
      <c r="G74" s="14">
        <f t="shared" si="29"/>
        <v>2.0824878082201883E-3</v>
      </c>
      <c r="H74" s="63">
        <f t="shared" si="30"/>
        <v>6.1329433469168498E-2</v>
      </c>
      <c r="I74" s="63">
        <f t="shared" si="31"/>
        <v>4.9536859010655583E-2</v>
      </c>
      <c r="J74" s="63">
        <f t="shared" si="32"/>
        <v>7.3122007349184184E-2</v>
      </c>
      <c r="K74" s="30">
        <f>IF(OR(LEFT($D74,5)="Solar",$D74="Wind"),INDEX(Land_Use[AVG],MATCH(LEFT($D74,5),Land_Use[Tech],0)),0)*$E74</f>
        <v>622.72727272727275</v>
      </c>
      <c r="L74" s="30">
        <f>IF(OR(LEFT($D74,5)="Solar",$D74="Wind"),INDEX(Land_Use[MIN],MATCH(LEFT($D74,5),Land_Use[Tech],0)),0)*$E74</f>
        <v>199.27272727272728</v>
      </c>
      <c r="M74" s="30">
        <f>IF(OR(LEFT($D74,5)="Solar",$D74="Wind"),INDEX(Land_Use[MAX],MATCH(LEFT($D74,5),Land_Use[Tech],0)),0)*$E74</f>
        <v>1046.1818181818182</v>
      </c>
      <c r="N74" s="15">
        <f t="shared" si="24"/>
        <v>0</v>
      </c>
      <c r="O74" s="11">
        <f t="shared" si="25"/>
        <v>8718.181818181818</v>
      </c>
      <c r="P74" s="11">
        <f t="shared" si="26"/>
        <v>871.81818181818176</v>
      </c>
      <c r="Q74" s="11">
        <f t="shared" si="27"/>
        <v>155681.81818181818</v>
      </c>
      <c r="R74" s="11">
        <f t="shared" si="28"/>
        <v>193.04545454545456</v>
      </c>
      <c r="S74" s="30">
        <f t="shared" si="33"/>
        <v>0.58785454545454541</v>
      </c>
      <c r="T74" s="30">
        <f t="shared" si="34"/>
        <v>1.018781818181818</v>
      </c>
      <c r="U74" s="30">
        <f t="shared" si="35"/>
        <v>0.49818181818181811</v>
      </c>
      <c r="V74" s="30">
        <f t="shared" si="36"/>
        <v>2.8147272727272722E-2</v>
      </c>
      <c r="W74" s="30">
        <f t="shared" si="37"/>
        <v>2.1329654545454546</v>
      </c>
      <c r="X74" s="30">
        <f t="shared" si="38"/>
        <v>17.063723636363637</v>
      </c>
      <c r="Z74" s="23" t="s">
        <v>76</v>
      </c>
      <c r="AA74" s="40">
        <f>IF(C74="Electricity",E74*SUMIFS(Electricity!S:S,Electricity!P:P,UserMade_Scenario!B74,Electricity!M:M,UserMade_Scenario!Z74,Electricity!O:O,UserMade_Scenario!D74),"")</f>
        <v>578497.34782473044</v>
      </c>
      <c r="AB74" s="76">
        <f>1/Assumptions!$B$23/1000000000000</f>
        <v>3.5998225679871703E-9</v>
      </c>
      <c r="AC74" s="67" t="s">
        <v>82</v>
      </c>
      <c r="AD74" s="69">
        <f>INDEX(Table11[AVG
CO2e MT per MWh],MATCH(UserMade_Scenario!$B74,Table11[[Year]:[Year]],0))</f>
        <v>-0.10601506419999995</v>
      </c>
      <c r="AE74" s="69">
        <f>INDEX(Table11[MIN
CO2e MT per MWh],MATCH(UserMade_Scenario!$B74,Table11[[Year]:[Year]],0))</f>
        <v>-8.5630226650000058E-2</v>
      </c>
      <c r="AF74" s="69">
        <f>INDEX(Table11[MAX CO2e MT per MWh],MATCH(UserMade_Scenario!$B74,Table11[[Year]:[Year]],0))</f>
        <v>-0.12639990075000007</v>
      </c>
      <c r="AG74" s="68">
        <f>IFERROR(INDEX(WaterUseH2[Average Direct Water Consumption (Gal/ kg h2)],MATCH(LEFT(D74,3),WaterUseH2[Key],0)),0)</f>
        <v>0</v>
      </c>
      <c r="AH74">
        <v>14</v>
      </c>
      <c r="AI74">
        <v>1.4</v>
      </c>
      <c r="AJ74">
        <v>250</v>
      </c>
      <c r="AK74">
        <v>0.31</v>
      </c>
      <c r="AL74" s="63">
        <f>IFERROR(INDEX(Job_Training[[Solar]:[Wind]],MATCH(AL$1,Job_Training[[`Typical Entry Level Education`]:[`Typical Entry Level Education`]],0),MATCH(LEFT($D74,5),Job_Training[[#Headers],[Solar]:[Wind]],0)),0)</f>
        <v>2.3599999999999999E-2</v>
      </c>
      <c r="AM74" s="63">
        <f>IFERROR(INDEX(Job_Training[[Solar]:[Wind]],MATCH(AM$1,Job_Training[[`Typical Entry Level Education`]:[`Typical Entry Level Education`]],0),MATCH(LEFT($D74,5),Job_Training[[#Headers],[Solar]:[Wind]],0)),0)</f>
        <v>4.0899999999999999E-2</v>
      </c>
      <c r="AN74" s="63">
        <f>IFERROR(INDEX(Job_Training[[Solar]:[Wind]],MATCH(AN$1,Job_Training[[`Typical Entry Level Education`]:[`Typical Entry Level Education`]],0),MATCH(LEFT($D74,5),Job_Training[[#Headers],[Solar]:[Wind]],0)),0)</f>
        <v>0.02</v>
      </c>
      <c r="AO74" s="63">
        <f>IFERROR(INDEX(Job_Training[[Solar]:[Wind]],MATCH(AO$1,Job_Training[[`Typical Entry Level Education`]:[`Typical Entry Level Education`]],0),MATCH(LEFT($D74,5),Job_Training[[#Headers],[Solar]:[Wind]],0)),0)</f>
        <v>1.1299999999999999E-3</v>
      </c>
      <c r="AP74">
        <f t="shared" si="39"/>
        <v>24.909090909090907</v>
      </c>
      <c r="AQ74" s="63">
        <f>IF(AP74&gt;0,IFERROR(INDEX(Assumptions!$C$165:$D$165,MATCH(LEFT($D74,5),Job_Training[[#Headers],[Solar]:[Wind]],0)),0),0)</f>
        <v>8.5630000000000012E-2</v>
      </c>
      <c r="AR74">
        <f>IF(AP74&gt;0,IFERROR(INDEX(Assumptions!$C$166:$D$166,MATCH(LEFT($D74,5),Job_Training[[#Headers],[Solar]:[Wind]],0)),0),0)</f>
        <v>0.68504000000000009</v>
      </c>
    </row>
    <row r="75" spans="1:44" x14ac:dyDescent="0.35">
      <c r="A75" t="str">
        <f>UserInput!$B$2</f>
        <v>Current Projects</v>
      </c>
      <c r="B75">
        <v>2035</v>
      </c>
      <c r="C75" t="s">
        <v>41</v>
      </c>
      <c r="D75" t="s">
        <v>83</v>
      </c>
      <c r="E75" s="66">
        <f>INDEX(UserInput!$C$2:$M$22,MATCH(UserMade_Scenario!B75,UserInput!$A$2:$A$22,0),MATCH(LEFT(IF(RIGHT(C75,2)="H2",UserMade_Scenario!C75,D75),3),UserInput!$C$25:$M$25,0))</f>
        <v>274</v>
      </c>
      <c r="F75" t="s">
        <v>81</v>
      </c>
      <c r="G75" s="14">
        <f t="shared" si="29"/>
        <v>2.2709685639981303E-3</v>
      </c>
      <c r="H75" s="63">
        <f t="shared" si="30"/>
        <v>6.4215520256262912E-2</v>
      </c>
      <c r="I75" s="63">
        <f t="shared" si="31"/>
        <v>5.0766509276677259E-2</v>
      </c>
      <c r="J75" s="63">
        <f t="shared" si="32"/>
        <v>7.7664530604993023E-2</v>
      </c>
      <c r="K75" s="30">
        <f>IF(OR(LEFT($D75,5)="Solar",$D75="Wind"),INDEX(Land_Use[AVG],MATCH(LEFT($D75,5),Land_Use[Tech],0)),0)*$E75</f>
        <v>685</v>
      </c>
      <c r="L75" s="30">
        <f>IF(OR(LEFT($D75,5)="Solar",$D75="Wind"),INDEX(Land_Use[MIN],MATCH(LEFT($D75,5),Land_Use[Tech],0)),0)*$E75</f>
        <v>219.20000000000002</v>
      </c>
      <c r="M75" s="30">
        <f>IF(OR(LEFT($D75,5)="Solar",$D75="Wind"),INDEX(Land_Use[MAX],MATCH(LEFT($D75,5),Land_Use[Tech],0)),0)*$E75</f>
        <v>1150.8</v>
      </c>
      <c r="N75" s="15">
        <f t="shared" si="24"/>
        <v>0</v>
      </c>
      <c r="O75" s="11">
        <f t="shared" si="25"/>
        <v>9590</v>
      </c>
      <c r="P75" s="11">
        <f t="shared" si="26"/>
        <v>958.99999999999989</v>
      </c>
      <c r="Q75" s="11">
        <f t="shared" si="27"/>
        <v>171250</v>
      </c>
      <c r="R75" s="11">
        <f t="shared" si="28"/>
        <v>212.35</v>
      </c>
      <c r="S75" s="30">
        <f t="shared" si="33"/>
        <v>0.58785454545454541</v>
      </c>
      <c r="T75" s="30">
        <f t="shared" si="34"/>
        <v>1.018781818181818</v>
      </c>
      <c r="U75" s="30">
        <f t="shared" si="35"/>
        <v>0.49818181818181811</v>
      </c>
      <c r="V75" s="30">
        <f t="shared" si="36"/>
        <v>2.8147272727272722E-2</v>
      </c>
      <c r="W75" s="30">
        <f t="shared" si="37"/>
        <v>2.1329654545454546</v>
      </c>
      <c r="X75" s="30">
        <f t="shared" si="38"/>
        <v>17.063723636363637</v>
      </c>
      <c r="Z75" s="23" t="s">
        <v>76</v>
      </c>
      <c r="AA75" s="40">
        <f>IF(C75="Electricity",E75*SUMIFS(Electricity!S:S,Electricity!P:P,UserMade_Scenario!B75,Electricity!M:M,UserMade_Scenario!Z75,Electricity!O:O,UserMade_Scenario!D75),"")</f>
        <v>630855.69388713932</v>
      </c>
      <c r="AB75" s="76">
        <f>1/Assumptions!$B$23/1000000000000</f>
        <v>3.5998225679871703E-9</v>
      </c>
      <c r="AC75" s="67" t="s">
        <v>82</v>
      </c>
      <c r="AD75" s="69">
        <f>INDEX(Table11[AVG
CO2e MT per MWh],MATCH(UserMade_Scenario!$B75,Table11[[Year]:[Year]],0))</f>
        <v>-0.10179113999999995</v>
      </c>
      <c r="AE75" s="69">
        <f>INDEX(Table11[MIN
CO2e MT per MWh],MATCH(UserMade_Scenario!$B75,Table11[[Year]:[Year]],0))</f>
        <v>-8.0472459500000065E-2</v>
      </c>
      <c r="AF75" s="69">
        <f>INDEX(Table11[MAX CO2e MT per MWh],MATCH(UserMade_Scenario!$B75,Table11[[Year]:[Year]],0))</f>
        <v>-0.12310981950000006</v>
      </c>
      <c r="AG75" s="68">
        <f>IFERROR(INDEX(WaterUseH2[Average Direct Water Consumption (Gal/ kg h2)],MATCH(LEFT(D75,3),WaterUseH2[Key],0)),0)</f>
        <v>0</v>
      </c>
      <c r="AH75">
        <v>14</v>
      </c>
      <c r="AI75">
        <v>1.4</v>
      </c>
      <c r="AJ75">
        <v>250</v>
      </c>
      <c r="AK75">
        <v>0.31</v>
      </c>
      <c r="AL75" s="63">
        <f>IFERROR(INDEX(Job_Training[[Solar]:[Wind]],MATCH(AL$1,Job_Training[[`Typical Entry Level Education`]:[`Typical Entry Level Education`]],0),MATCH(LEFT($D75,5),Job_Training[[#Headers],[Solar]:[Wind]],0)),0)</f>
        <v>2.3599999999999999E-2</v>
      </c>
      <c r="AM75" s="63">
        <f>IFERROR(INDEX(Job_Training[[Solar]:[Wind]],MATCH(AM$1,Job_Training[[`Typical Entry Level Education`]:[`Typical Entry Level Education`]],0),MATCH(LEFT($D75,5),Job_Training[[#Headers],[Solar]:[Wind]],0)),0)</f>
        <v>4.0899999999999999E-2</v>
      </c>
      <c r="AN75" s="63">
        <f>IFERROR(INDEX(Job_Training[[Solar]:[Wind]],MATCH(AN$1,Job_Training[[`Typical Entry Level Education`]:[`Typical Entry Level Education`]],0),MATCH(LEFT($D75,5),Job_Training[[#Headers],[Solar]:[Wind]],0)),0)</f>
        <v>0.02</v>
      </c>
      <c r="AO75" s="63">
        <f>IFERROR(INDEX(Job_Training[[Solar]:[Wind]],MATCH(AO$1,Job_Training[[`Typical Entry Level Education`]:[`Typical Entry Level Education`]],0),MATCH(LEFT($D75,5),Job_Training[[#Headers],[Solar]:[Wind]],0)),0)</f>
        <v>1.1299999999999999E-3</v>
      </c>
      <c r="AP75">
        <f t="shared" si="39"/>
        <v>24.909090909090907</v>
      </c>
      <c r="AQ75" s="63">
        <f>IF(AP75&gt;0,IFERROR(INDEX(Assumptions!$C$165:$D$165,MATCH(LEFT($D75,5),Job_Training[[#Headers],[Solar]:[Wind]],0)),0),0)</f>
        <v>8.5630000000000012E-2</v>
      </c>
      <c r="AR75">
        <f>IF(AP75&gt;0,IFERROR(INDEX(Assumptions!$C$166:$D$166,MATCH(LEFT($D75,5),Job_Training[[#Headers],[Solar]:[Wind]],0)),0),0)</f>
        <v>0.68504000000000009</v>
      </c>
    </row>
    <row r="76" spans="1:44" x14ac:dyDescent="0.35">
      <c r="A76" t="str">
        <f>UserInput!$B$2</f>
        <v>Current Projects</v>
      </c>
      <c r="B76">
        <v>2036</v>
      </c>
      <c r="C76" t="s">
        <v>41</v>
      </c>
      <c r="D76" t="s">
        <v>83</v>
      </c>
      <c r="E76" s="66">
        <f>INDEX(UserInput!$C$2:$M$22,MATCH(UserMade_Scenario!B76,UserInput!$A$2:$A$22,0),MATCH(LEFT(IF(RIGHT(C76,2)="H2",UserMade_Scenario!C76,D76),3),UserInput!$C$25:$M$25,0))</f>
        <v>274</v>
      </c>
      <c r="F76" t="s">
        <v>81</v>
      </c>
      <c r="G76" s="14">
        <f t="shared" si="29"/>
        <v>2.2512005389540529E-3</v>
      </c>
      <c r="H76" s="63">
        <f t="shared" si="30"/>
        <v>6.1015054115853035E-2</v>
      </c>
      <c r="I76" s="63">
        <f t="shared" si="31"/>
        <v>4.7099120250329821E-2</v>
      </c>
      <c r="J76" s="63">
        <f t="shared" si="32"/>
        <v>7.4930987356012099E-2</v>
      </c>
      <c r="K76" s="30">
        <f>IF(OR(LEFT($D76,5)="Solar",$D76="Wind"),INDEX(Land_Use[AVG],MATCH(LEFT($D76,5),Land_Use[Tech],0)),0)*$E76</f>
        <v>685</v>
      </c>
      <c r="L76" s="30">
        <f>IF(OR(LEFT($D76,5)="Solar",$D76="Wind"),INDEX(Land_Use[MIN],MATCH(LEFT($D76,5),Land_Use[Tech],0)),0)*$E76</f>
        <v>219.20000000000002</v>
      </c>
      <c r="M76" s="30">
        <f>IF(OR(LEFT($D76,5)="Solar",$D76="Wind"),INDEX(Land_Use[MAX],MATCH(LEFT($D76,5),Land_Use[Tech],0)),0)*$E76</f>
        <v>1150.8</v>
      </c>
      <c r="N76" s="15">
        <f t="shared" si="24"/>
        <v>0</v>
      </c>
      <c r="O76" s="11">
        <f t="shared" si="25"/>
        <v>9590</v>
      </c>
      <c r="P76" s="11">
        <f t="shared" si="26"/>
        <v>958.99999999999989</v>
      </c>
      <c r="Q76" s="11">
        <f t="shared" si="27"/>
        <v>171250</v>
      </c>
      <c r="R76" s="11">
        <f t="shared" si="28"/>
        <v>212.35</v>
      </c>
      <c r="S76" s="30">
        <f t="shared" si="33"/>
        <v>0</v>
      </c>
      <c r="T76" s="30">
        <f t="shared" si="34"/>
        <v>0</v>
      </c>
      <c r="U76" s="30">
        <f t="shared" si="35"/>
        <v>0</v>
      </c>
      <c r="V76" s="30">
        <f t="shared" si="36"/>
        <v>0</v>
      </c>
      <c r="W76" s="30">
        <f t="shared" si="37"/>
        <v>0</v>
      </c>
      <c r="X76" s="30">
        <f t="shared" si="38"/>
        <v>0</v>
      </c>
      <c r="Z76" s="23" t="s">
        <v>76</v>
      </c>
      <c r="AA76" s="40">
        <f>IF(C76="Electricity",E76*SUMIFS(Electricity!S:S,Electricity!P:P,UserMade_Scenario!B76,Electricity!M:M,UserMade_Scenario!Z76,Electricity!O:O,UserMade_Scenario!D76),"")</f>
        <v>625364.30516707513</v>
      </c>
      <c r="AB76" s="76">
        <f>1/Assumptions!$B$23/1000000000000</f>
        <v>3.5998225679871703E-9</v>
      </c>
      <c r="AC76" s="67" t="s">
        <v>82</v>
      </c>
      <c r="AD76" s="69">
        <f>INDEX(Table11[AVG
CO2e MT per MWh],MATCH(UserMade_Scenario!$B76,Table11[[Year]:[Year]],0))</f>
        <v>-9.756721579999994E-2</v>
      </c>
      <c r="AE76" s="69">
        <f>INDEX(Table11[MIN
CO2e MT per MWh],MATCH(UserMade_Scenario!$B76,Table11[[Year]:[Year]],0))</f>
        <v>-7.5314692350000073E-2</v>
      </c>
      <c r="AF76" s="69">
        <f>INDEX(Table11[MAX CO2e MT per MWh],MATCH(UserMade_Scenario!$B76,Table11[[Year]:[Year]],0))</f>
        <v>-0.11981973825000006</v>
      </c>
      <c r="AG76" s="68">
        <f>IFERROR(INDEX(WaterUseH2[Average Direct Water Consumption (Gal/ kg h2)],MATCH(LEFT(D76,3),WaterUseH2[Key],0)),0)</f>
        <v>0</v>
      </c>
      <c r="AH76">
        <v>14</v>
      </c>
      <c r="AI76">
        <v>1.4</v>
      </c>
      <c r="AJ76">
        <v>250</v>
      </c>
      <c r="AK76">
        <v>0.31</v>
      </c>
      <c r="AL76" s="63">
        <f>IFERROR(INDEX(Job_Training[[Solar]:[Wind]],MATCH(AL$1,Job_Training[[`Typical Entry Level Education`]:[`Typical Entry Level Education`]],0),MATCH(LEFT($D76,5),Job_Training[[#Headers],[Solar]:[Wind]],0)),0)</f>
        <v>2.3599999999999999E-2</v>
      </c>
      <c r="AM76" s="63">
        <f>IFERROR(INDEX(Job_Training[[Solar]:[Wind]],MATCH(AM$1,Job_Training[[`Typical Entry Level Education`]:[`Typical Entry Level Education`]],0),MATCH(LEFT($D76,5),Job_Training[[#Headers],[Solar]:[Wind]],0)),0)</f>
        <v>4.0899999999999999E-2</v>
      </c>
      <c r="AN76" s="63">
        <f>IFERROR(INDEX(Job_Training[[Solar]:[Wind]],MATCH(AN$1,Job_Training[[`Typical Entry Level Education`]:[`Typical Entry Level Education`]],0),MATCH(LEFT($D76,5),Job_Training[[#Headers],[Solar]:[Wind]],0)),0)</f>
        <v>0.02</v>
      </c>
      <c r="AO76" s="63">
        <f>IFERROR(INDEX(Job_Training[[Solar]:[Wind]],MATCH(AO$1,Job_Training[[`Typical Entry Level Education`]:[`Typical Entry Level Education`]],0),MATCH(LEFT($D76,5),Job_Training[[#Headers],[Solar]:[Wind]],0)),0)</f>
        <v>1.1299999999999999E-3</v>
      </c>
      <c r="AP76">
        <f t="shared" si="39"/>
        <v>0</v>
      </c>
      <c r="AQ76" s="63">
        <f>IF(AP76&gt;0,IFERROR(INDEX(Assumptions!$C$165:$D$165,MATCH(LEFT($D76,5),Job_Training[[#Headers],[Solar]:[Wind]],0)),0),0)</f>
        <v>0</v>
      </c>
      <c r="AR76">
        <f>IF(AP76&gt;0,IFERROR(INDEX(Assumptions!$C$166:$D$166,MATCH(LEFT($D76,5),Job_Training[[#Headers],[Solar]:[Wind]],0)),0),0)</f>
        <v>0</v>
      </c>
    </row>
    <row r="77" spans="1:44" x14ac:dyDescent="0.35">
      <c r="A77" t="str">
        <f>UserInput!$B$2</f>
        <v>Current Projects</v>
      </c>
      <c r="B77">
        <v>2037</v>
      </c>
      <c r="C77" t="s">
        <v>41</v>
      </c>
      <c r="D77" t="s">
        <v>83</v>
      </c>
      <c r="E77" s="66">
        <f>INDEX(UserInput!$C$2:$M$22,MATCH(UserMade_Scenario!B77,UserInput!$A$2:$A$22,0),MATCH(LEFT(IF(RIGHT(C77,2)="H2",UserMade_Scenario!C77,D77),3),UserInput!$C$25:$M$25,0))</f>
        <v>274</v>
      </c>
      <c r="F77" t="s">
        <v>81</v>
      </c>
      <c r="G77" s="14">
        <f t="shared" si="29"/>
        <v>2.2314325139099755E-3</v>
      </c>
      <c r="H77" s="63">
        <f t="shared" si="30"/>
        <v>5.7860978394855739E-2</v>
      </c>
      <c r="I77" s="63">
        <f t="shared" si="31"/>
        <v>4.3488377832678844E-2</v>
      </c>
      <c r="J77" s="63">
        <f t="shared" si="32"/>
        <v>7.2233578337159876E-2</v>
      </c>
      <c r="K77" s="30">
        <f>IF(OR(LEFT($D77,5)="Solar",$D77="Wind"),INDEX(Land_Use[AVG],MATCH(LEFT($D77,5),Land_Use[Tech],0)),0)*$E77</f>
        <v>685</v>
      </c>
      <c r="L77" s="30">
        <f>IF(OR(LEFT($D77,5)="Solar",$D77="Wind"),INDEX(Land_Use[MIN],MATCH(LEFT($D77,5),Land_Use[Tech],0)),0)*$E77</f>
        <v>219.20000000000002</v>
      </c>
      <c r="M77" s="30">
        <f>IF(OR(LEFT($D77,5)="Solar",$D77="Wind"),INDEX(Land_Use[MAX],MATCH(LEFT($D77,5),Land_Use[Tech],0)),0)*$E77</f>
        <v>1150.8</v>
      </c>
      <c r="N77" s="15">
        <f t="shared" si="24"/>
        <v>0</v>
      </c>
      <c r="O77" s="11">
        <f t="shared" si="25"/>
        <v>9590</v>
      </c>
      <c r="P77" s="11">
        <f t="shared" si="26"/>
        <v>958.99999999999989</v>
      </c>
      <c r="Q77" s="11">
        <f t="shared" si="27"/>
        <v>171250</v>
      </c>
      <c r="R77" s="11">
        <f t="shared" si="28"/>
        <v>212.35</v>
      </c>
      <c r="S77" s="30">
        <f t="shared" si="33"/>
        <v>0</v>
      </c>
      <c r="T77" s="30">
        <f t="shared" si="34"/>
        <v>0</v>
      </c>
      <c r="U77" s="30">
        <f t="shared" si="35"/>
        <v>0</v>
      </c>
      <c r="V77" s="30">
        <f t="shared" si="36"/>
        <v>0</v>
      </c>
      <c r="W77" s="30">
        <f t="shared" si="37"/>
        <v>0</v>
      </c>
      <c r="X77" s="30">
        <f t="shared" si="38"/>
        <v>0</v>
      </c>
      <c r="Z77" s="23" t="s">
        <v>76</v>
      </c>
      <c r="AA77" s="40">
        <f>IF(C77="Electricity",E77*SUMIFS(Electricity!S:S,Electricity!P:P,UserMade_Scenario!B77,Electricity!M:M,UserMade_Scenario!Z77,Electricity!O:O,UserMade_Scenario!D77),"")</f>
        <v>619872.91644701094</v>
      </c>
      <c r="AB77" s="76">
        <f>1/Assumptions!$B$23/1000000000000</f>
        <v>3.5998225679871703E-9</v>
      </c>
      <c r="AC77" s="67" t="s">
        <v>82</v>
      </c>
      <c r="AD77" s="69">
        <f>INDEX(Table11[AVG
CO2e MT per MWh],MATCH(UserMade_Scenario!$B77,Table11[[Year]:[Year]],0))</f>
        <v>-9.3343291599999934E-2</v>
      </c>
      <c r="AE77" s="69">
        <f>INDEX(Table11[MIN
CO2e MT per MWh],MATCH(UserMade_Scenario!$B77,Table11[[Year]:[Year]],0))</f>
        <v>-7.0156925200000081E-2</v>
      </c>
      <c r="AF77" s="69">
        <f>INDEX(Table11[MAX CO2e MT per MWh],MATCH(UserMade_Scenario!$B77,Table11[[Year]:[Year]],0))</f>
        <v>-0.11652965700000005</v>
      </c>
      <c r="AG77" s="68">
        <f>IFERROR(INDEX(WaterUseH2[Average Direct Water Consumption (Gal/ kg h2)],MATCH(LEFT(D77,3),WaterUseH2[Key],0)),0)</f>
        <v>0</v>
      </c>
      <c r="AH77">
        <v>14</v>
      </c>
      <c r="AI77">
        <v>1.4</v>
      </c>
      <c r="AJ77">
        <v>250</v>
      </c>
      <c r="AK77">
        <v>0.31</v>
      </c>
      <c r="AL77" s="63">
        <f>IFERROR(INDEX(Job_Training[[Solar]:[Wind]],MATCH(AL$1,Job_Training[[`Typical Entry Level Education`]:[`Typical Entry Level Education`]],0),MATCH(LEFT($D77,5),Job_Training[[#Headers],[Solar]:[Wind]],0)),0)</f>
        <v>2.3599999999999999E-2</v>
      </c>
      <c r="AM77" s="63">
        <f>IFERROR(INDEX(Job_Training[[Solar]:[Wind]],MATCH(AM$1,Job_Training[[`Typical Entry Level Education`]:[`Typical Entry Level Education`]],0),MATCH(LEFT($D77,5),Job_Training[[#Headers],[Solar]:[Wind]],0)),0)</f>
        <v>4.0899999999999999E-2</v>
      </c>
      <c r="AN77" s="63">
        <f>IFERROR(INDEX(Job_Training[[Solar]:[Wind]],MATCH(AN$1,Job_Training[[`Typical Entry Level Education`]:[`Typical Entry Level Education`]],0),MATCH(LEFT($D77,5),Job_Training[[#Headers],[Solar]:[Wind]],0)),0)</f>
        <v>0.02</v>
      </c>
      <c r="AO77" s="63">
        <f>IFERROR(INDEX(Job_Training[[Solar]:[Wind]],MATCH(AO$1,Job_Training[[`Typical Entry Level Education`]:[`Typical Entry Level Education`]],0),MATCH(LEFT($D77,5),Job_Training[[#Headers],[Solar]:[Wind]],0)),0)</f>
        <v>1.1299999999999999E-3</v>
      </c>
      <c r="AP77">
        <f t="shared" si="39"/>
        <v>0</v>
      </c>
      <c r="AQ77" s="63">
        <f>IF(AP77&gt;0,IFERROR(INDEX(Assumptions!$C$165:$D$165,MATCH(LEFT($D77,5),Job_Training[[#Headers],[Solar]:[Wind]],0)),0),0)</f>
        <v>0</v>
      </c>
      <c r="AR77">
        <f>IF(AP77&gt;0,IFERROR(INDEX(Assumptions!$C$166:$D$166,MATCH(LEFT($D77,5),Job_Training[[#Headers],[Solar]:[Wind]],0)),0),0)</f>
        <v>0</v>
      </c>
    </row>
    <row r="78" spans="1:44" x14ac:dyDescent="0.35">
      <c r="A78" t="str">
        <f>UserInput!$B$2</f>
        <v>Current Projects</v>
      </c>
      <c r="B78">
        <v>2038</v>
      </c>
      <c r="C78" t="s">
        <v>41</v>
      </c>
      <c r="D78" t="s">
        <v>83</v>
      </c>
      <c r="E78" s="66">
        <f>INDEX(UserInput!$C$2:$M$22,MATCH(UserMade_Scenario!B78,UserInput!$A$2:$A$22,0),MATCH(LEFT(IF(RIGHT(C78,2)="H2",UserMade_Scenario!C78,D78),3),UserInput!$C$25:$M$25,0))</f>
        <v>274</v>
      </c>
      <c r="F78" t="s">
        <v>81</v>
      </c>
      <c r="G78" s="14">
        <f t="shared" si="29"/>
        <v>2.2116644888658982E-3</v>
      </c>
      <c r="H78" s="63">
        <f t="shared" si="30"/>
        <v>5.475329309327101E-2</v>
      </c>
      <c r="I78" s="63">
        <f t="shared" si="31"/>
        <v>3.9934282023724323E-2</v>
      </c>
      <c r="J78" s="63">
        <f t="shared" si="32"/>
        <v>6.957230354843634E-2</v>
      </c>
      <c r="K78" s="30">
        <f>IF(OR(LEFT($D78,5)="Solar",$D78="Wind"),INDEX(Land_Use[AVG],MATCH(LEFT($D78,5),Land_Use[Tech],0)),0)*$E78</f>
        <v>685</v>
      </c>
      <c r="L78" s="30">
        <f>IF(OR(LEFT($D78,5)="Solar",$D78="Wind"),INDEX(Land_Use[MIN],MATCH(LEFT($D78,5),Land_Use[Tech],0)),0)*$E78</f>
        <v>219.20000000000002</v>
      </c>
      <c r="M78" s="30">
        <f>IF(OR(LEFT($D78,5)="Solar",$D78="Wind"),INDEX(Land_Use[MAX],MATCH(LEFT($D78,5),Land_Use[Tech],0)),0)*$E78</f>
        <v>1150.8</v>
      </c>
      <c r="N78" s="15">
        <f t="shared" si="24"/>
        <v>0</v>
      </c>
      <c r="O78" s="11">
        <f t="shared" si="25"/>
        <v>9590</v>
      </c>
      <c r="P78" s="11">
        <f t="shared" si="26"/>
        <v>958.99999999999989</v>
      </c>
      <c r="Q78" s="11">
        <f t="shared" si="27"/>
        <v>171250</v>
      </c>
      <c r="R78" s="11">
        <f t="shared" si="28"/>
        <v>212.35</v>
      </c>
      <c r="S78" s="30">
        <f t="shared" si="33"/>
        <v>0</v>
      </c>
      <c r="T78" s="30">
        <f t="shared" si="34"/>
        <v>0</v>
      </c>
      <c r="U78" s="30">
        <f t="shared" si="35"/>
        <v>0</v>
      </c>
      <c r="V78" s="30">
        <f t="shared" si="36"/>
        <v>0</v>
      </c>
      <c r="W78" s="30">
        <f t="shared" si="37"/>
        <v>0</v>
      </c>
      <c r="X78" s="30">
        <f t="shared" si="38"/>
        <v>0</v>
      </c>
      <c r="Z78" s="23" t="s">
        <v>76</v>
      </c>
      <c r="AA78" s="40">
        <f>IF(C78="Electricity",E78*SUMIFS(Electricity!S:S,Electricity!P:P,UserMade_Scenario!B78,Electricity!M:M,UserMade_Scenario!Z78,Electricity!O:O,UserMade_Scenario!D78),"")</f>
        <v>614381.52772694675</v>
      </c>
      <c r="AB78" s="76">
        <f>1/Assumptions!$B$23/1000000000000</f>
        <v>3.5998225679871703E-9</v>
      </c>
      <c r="AC78" s="67" t="s">
        <v>82</v>
      </c>
      <c r="AD78" s="69">
        <f>INDEX(Table11[AVG
CO2e MT per MWh],MATCH(UserMade_Scenario!$B78,Table11[[Year]:[Year]],0))</f>
        <v>-8.9119367399999927E-2</v>
      </c>
      <c r="AE78" s="69">
        <f>INDEX(Table11[MIN
CO2e MT per MWh],MATCH(UserMade_Scenario!$B78,Table11[[Year]:[Year]],0))</f>
        <v>-6.4999158050000089E-2</v>
      </c>
      <c r="AF78" s="69">
        <f>INDEX(Table11[MAX CO2e MT per MWh],MATCH(UserMade_Scenario!$B78,Table11[[Year]:[Year]],0))</f>
        <v>-0.11323957575000004</v>
      </c>
      <c r="AG78" s="68">
        <f>IFERROR(INDEX(WaterUseH2[Average Direct Water Consumption (Gal/ kg h2)],MATCH(LEFT(D78,3),WaterUseH2[Key],0)),0)</f>
        <v>0</v>
      </c>
      <c r="AH78">
        <v>14</v>
      </c>
      <c r="AI78">
        <v>1.4</v>
      </c>
      <c r="AJ78">
        <v>250</v>
      </c>
      <c r="AK78">
        <v>0.31</v>
      </c>
      <c r="AL78" s="63">
        <f>IFERROR(INDEX(Job_Training[[Solar]:[Wind]],MATCH(AL$1,Job_Training[[`Typical Entry Level Education`]:[`Typical Entry Level Education`]],0),MATCH(LEFT($D78,5),Job_Training[[#Headers],[Solar]:[Wind]],0)),0)</f>
        <v>2.3599999999999999E-2</v>
      </c>
      <c r="AM78" s="63">
        <f>IFERROR(INDEX(Job_Training[[Solar]:[Wind]],MATCH(AM$1,Job_Training[[`Typical Entry Level Education`]:[`Typical Entry Level Education`]],0),MATCH(LEFT($D78,5),Job_Training[[#Headers],[Solar]:[Wind]],0)),0)</f>
        <v>4.0899999999999999E-2</v>
      </c>
      <c r="AN78" s="63">
        <f>IFERROR(INDEX(Job_Training[[Solar]:[Wind]],MATCH(AN$1,Job_Training[[`Typical Entry Level Education`]:[`Typical Entry Level Education`]],0),MATCH(LEFT($D78,5),Job_Training[[#Headers],[Solar]:[Wind]],0)),0)</f>
        <v>0.02</v>
      </c>
      <c r="AO78" s="63">
        <f>IFERROR(INDEX(Job_Training[[Solar]:[Wind]],MATCH(AO$1,Job_Training[[`Typical Entry Level Education`]:[`Typical Entry Level Education`]],0),MATCH(LEFT($D78,5),Job_Training[[#Headers],[Solar]:[Wind]],0)),0)</f>
        <v>1.1299999999999999E-3</v>
      </c>
      <c r="AP78">
        <f t="shared" si="39"/>
        <v>0</v>
      </c>
      <c r="AQ78" s="63">
        <f>IF(AP78&gt;0,IFERROR(INDEX(Assumptions!$C$165:$D$165,MATCH(LEFT($D78,5),Job_Training[[#Headers],[Solar]:[Wind]],0)),0),0)</f>
        <v>0</v>
      </c>
      <c r="AR78">
        <f>IF(AP78&gt;0,IFERROR(INDEX(Assumptions!$C$166:$D$166,MATCH(LEFT($D78,5),Job_Training[[#Headers],[Solar]:[Wind]],0)),0),0)</f>
        <v>0</v>
      </c>
    </row>
    <row r="79" spans="1:44" x14ac:dyDescent="0.35">
      <c r="A79" t="str">
        <f>UserInput!$B$2</f>
        <v>Current Projects</v>
      </c>
      <c r="B79">
        <v>2039</v>
      </c>
      <c r="C79" t="s">
        <v>41</v>
      </c>
      <c r="D79" t="s">
        <v>83</v>
      </c>
      <c r="E79" s="66">
        <f>INDEX(UserInput!$C$2:$M$22,MATCH(UserMade_Scenario!B79,UserInput!$A$2:$A$22,0),MATCH(LEFT(IF(RIGHT(C79,2)="H2",UserMade_Scenario!C79,D79),3),UserInput!$C$25:$M$25,0))</f>
        <v>274</v>
      </c>
      <c r="F79" t="s">
        <v>81</v>
      </c>
      <c r="G79" s="14">
        <f t="shared" si="29"/>
        <v>2.1918964638218213E-3</v>
      </c>
      <c r="H79" s="63">
        <f t="shared" si="30"/>
        <v>5.169199821109887E-2</v>
      </c>
      <c r="I79" s="63">
        <f t="shared" si="31"/>
        <v>3.6436832823466263E-2</v>
      </c>
      <c r="J79" s="63">
        <f t="shared" si="32"/>
        <v>6.6947162989841505E-2</v>
      </c>
      <c r="K79" s="30">
        <f>IF(OR(LEFT($D79,5)="Solar",$D79="Wind"),INDEX(Land_Use[AVG],MATCH(LEFT($D79,5),Land_Use[Tech],0)),0)*$E79</f>
        <v>685</v>
      </c>
      <c r="L79" s="30">
        <f>IF(OR(LEFT($D79,5)="Solar",$D79="Wind"),INDEX(Land_Use[MIN],MATCH(LEFT($D79,5),Land_Use[Tech],0)),0)*$E79</f>
        <v>219.20000000000002</v>
      </c>
      <c r="M79" s="30">
        <f>IF(OR(LEFT($D79,5)="Solar",$D79="Wind"),INDEX(Land_Use[MAX],MATCH(LEFT($D79,5),Land_Use[Tech],0)),0)*$E79</f>
        <v>1150.8</v>
      </c>
      <c r="N79" s="15">
        <f t="shared" si="24"/>
        <v>0</v>
      </c>
      <c r="O79" s="11">
        <f t="shared" si="25"/>
        <v>9590</v>
      </c>
      <c r="P79" s="11">
        <f t="shared" si="26"/>
        <v>958.99999999999989</v>
      </c>
      <c r="Q79" s="11">
        <f t="shared" si="27"/>
        <v>171250</v>
      </c>
      <c r="R79" s="11">
        <f t="shared" si="28"/>
        <v>212.35</v>
      </c>
      <c r="S79" s="30">
        <f t="shared" si="33"/>
        <v>0</v>
      </c>
      <c r="T79" s="30">
        <f t="shared" si="34"/>
        <v>0</v>
      </c>
      <c r="U79" s="30">
        <f t="shared" si="35"/>
        <v>0</v>
      </c>
      <c r="V79" s="30">
        <f t="shared" si="36"/>
        <v>0</v>
      </c>
      <c r="W79" s="30">
        <f t="shared" si="37"/>
        <v>0</v>
      </c>
      <c r="X79" s="30">
        <f t="shared" si="38"/>
        <v>0</v>
      </c>
      <c r="Z79" s="23" t="s">
        <v>76</v>
      </c>
      <c r="AA79" s="40">
        <f>IF(C79="Electricity",E79*SUMIFS(Electricity!S:S,Electricity!P:P,UserMade_Scenario!B79,Electricity!M:M,UserMade_Scenario!Z79,Electricity!O:O,UserMade_Scenario!D79),"")</f>
        <v>608890.13900688267</v>
      </c>
      <c r="AB79" s="76">
        <f>1/Assumptions!$B$23/1000000000000</f>
        <v>3.5998225679871703E-9</v>
      </c>
      <c r="AC79" s="67" t="s">
        <v>82</v>
      </c>
      <c r="AD79" s="69">
        <f>INDEX(Table11[AVG
CO2e MT per MWh],MATCH(UserMade_Scenario!$B79,Table11[[Year]:[Year]],0))</f>
        <v>-8.489544319999992E-2</v>
      </c>
      <c r="AE79" s="69">
        <f>INDEX(Table11[MIN
CO2e MT per MWh],MATCH(UserMade_Scenario!$B79,Table11[[Year]:[Year]],0))</f>
        <v>-5.984139090000009E-2</v>
      </c>
      <c r="AF79" s="69">
        <f>INDEX(Table11[MAX CO2e MT per MWh],MATCH(UserMade_Scenario!$B79,Table11[[Year]:[Year]],0))</f>
        <v>-0.10994949450000004</v>
      </c>
      <c r="AG79" s="68">
        <f>IFERROR(INDEX(WaterUseH2[Average Direct Water Consumption (Gal/ kg h2)],MATCH(LEFT(D79,3),WaterUseH2[Key],0)),0)</f>
        <v>0</v>
      </c>
      <c r="AH79">
        <v>14</v>
      </c>
      <c r="AI79">
        <v>1.4</v>
      </c>
      <c r="AJ79">
        <v>250</v>
      </c>
      <c r="AK79">
        <v>0.31</v>
      </c>
      <c r="AL79" s="63">
        <f>IFERROR(INDEX(Job_Training[[Solar]:[Wind]],MATCH(AL$1,Job_Training[[`Typical Entry Level Education`]:[`Typical Entry Level Education`]],0),MATCH(LEFT($D79,5),Job_Training[[#Headers],[Solar]:[Wind]],0)),0)</f>
        <v>2.3599999999999999E-2</v>
      </c>
      <c r="AM79" s="63">
        <f>IFERROR(INDEX(Job_Training[[Solar]:[Wind]],MATCH(AM$1,Job_Training[[`Typical Entry Level Education`]:[`Typical Entry Level Education`]],0),MATCH(LEFT($D79,5),Job_Training[[#Headers],[Solar]:[Wind]],0)),0)</f>
        <v>4.0899999999999999E-2</v>
      </c>
      <c r="AN79" s="63">
        <f>IFERROR(INDEX(Job_Training[[Solar]:[Wind]],MATCH(AN$1,Job_Training[[`Typical Entry Level Education`]:[`Typical Entry Level Education`]],0),MATCH(LEFT($D79,5),Job_Training[[#Headers],[Solar]:[Wind]],0)),0)</f>
        <v>0.02</v>
      </c>
      <c r="AO79" s="63">
        <f>IFERROR(INDEX(Job_Training[[Solar]:[Wind]],MATCH(AO$1,Job_Training[[`Typical Entry Level Education`]:[`Typical Entry Level Education`]],0),MATCH(LEFT($D79,5),Job_Training[[#Headers],[Solar]:[Wind]],0)),0)</f>
        <v>1.1299999999999999E-3</v>
      </c>
      <c r="AP79">
        <f t="shared" si="39"/>
        <v>0</v>
      </c>
      <c r="AQ79" s="63">
        <f>IF(AP79&gt;0,IFERROR(INDEX(Assumptions!$C$165:$D$165,MATCH(LEFT($D79,5),Job_Training[[#Headers],[Solar]:[Wind]],0)),0),0)</f>
        <v>0</v>
      </c>
      <c r="AR79">
        <f>IF(AP79&gt;0,IFERROR(INDEX(Assumptions!$C$166:$D$166,MATCH(LEFT($D79,5),Job_Training[[#Headers],[Solar]:[Wind]],0)),0),0)</f>
        <v>0</v>
      </c>
    </row>
    <row r="80" spans="1:44" x14ac:dyDescent="0.35">
      <c r="A80" t="str">
        <f>UserInput!$B$2</f>
        <v>Current Projects</v>
      </c>
      <c r="B80">
        <v>2040</v>
      </c>
      <c r="C80" t="s">
        <v>41</v>
      </c>
      <c r="D80" t="s">
        <v>83</v>
      </c>
      <c r="E80" s="66">
        <f>INDEX(UserInput!$C$2:$M$22,MATCH(UserMade_Scenario!B80,UserInput!$A$2:$A$22,0),MATCH(LEFT(IF(RIGHT(C80,2)="H2",UserMade_Scenario!C80,D80),3),UserInput!$C$25:$M$25,0))</f>
        <v>274</v>
      </c>
      <c r="F80" t="s">
        <v>81</v>
      </c>
      <c r="G80" s="14">
        <f t="shared" si="29"/>
        <v>2.1721284387777443E-3</v>
      </c>
      <c r="H80" s="63">
        <f t="shared" si="30"/>
        <v>4.8677093748339277E-2</v>
      </c>
      <c r="I80" s="63">
        <f t="shared" si="31"/>
        <v>3.2996030231904637E-2</v>
      </c>
      <c r="J80" s="63">
        <f t="shared" si="32"/>
        <v>6.4358156661375343E-2</v>
      </c>
      <c r="K80" s="30">
        <f>IF(OR(LEFT($D80,5)="Solar",$D80="Wind"),INDEX(Land_Use[AVG],MATCH(LEFT($D80,5),Land_Use[Tech],0)),0)*$E80</f>
        <v>685</v>
      </c>
      <c r="L80" s="30">
        <f>IF(OR(LEFT($D80,5)="Solar",$D80="Wind"),INDEX(Land_Use[MIN],MATCH(LEFT($D80,5),Land_Use[Tech],0)),0)*$E80</f>
        <v>219.20000000000002</v>
      </c>
      <c r="M80" s="30">
        <f>IF(OR(LEFT($D80,5)="Solar",$D80="Wind"),INDEX(Land_Use[MAX],MATCH(LEFT($D80,5),Land_Use[Tech],0)),0)*$E80</f>
        <v>1150.8</v>
      </c>
      <c r="N80" s="15">
        <f t="shared" si="24"/>
        <v>0</v>
      </c>
      <c r="O80" s="11">
        <f t="shared" si="25"/>
        <v>9590</v>
      </c>
      <c r="P80" s="11">
        <f t="shared" si="26"/>
        <v>958.99999999999989</v>
      </c>
      <c r="Q80" s="11">
        <f t="shared" si="27"/>
        <v>171250</v>
      </c>
      <c r="R80" s="11">
        <f t="shared" si="28"/>
        <v>212.35</v>
      </c>
      <c r="S80" s="30">
        <f t="shared" si="33"/>
        <v>0</v>
      </c>
      <c r="T80" s="30">
        <f t="shared" si="34"/>
        <v>0</v>
      </c>
      <c r="U80" s="30">
        <f t="shared" si="35"/>
        <v>0</v>
      </c>
      <c r="V80" s="30">
        <f t="shared" si="36"/>
        <v>0</v>
      </c>
      <c r="W80" s="30">
        <f t="shared" si="37"/>
        <v>0</v>
      </c>
      <c r="X80" s="30">
        <f t="shared" si="38"/>
        <v>0</v>
      </c>
      <c r="Z80" s="23" t="s">
        <v>76</v>
      </c>
      <c r="AA80" s="40">
        <f>IF(C80="Electricity",E80*SUMIFS(Electricity!S:S,Electricity!P:P,UserMade_Scenario!B80,Electricity!M:M,UserMade_Scenario!Z80,Electricity!O:O,UserMade_Scenario!D80),"")</f>
        <v>603398.75028681848</v>
      </c>
      <c r="AB80" s="76">
        <f>1/Assumptions!$B$23/1000000000000</f>
        <v>3.5998225679871703E-9</v>
      </c>
      <c r="AC80" s="67" t="s">
        <v>82</v>
      </c>
      <c r="AD80" s="69">
        <f>INDEX(Table11[AVG
CO2e MT per MWh],MATCH(UserMade_Scenario!$B80,Table11[[Year]:[Year]],0))</f>
        <v>-8.0671518999999914E-2</v>
      </c>
      <c r="AE80" s="69">
        <f>INDEX(Table11[MIN
CO2e MT per MWh],MATCH(UserMade_Scenario!$B80,Table11[[Year]:[Year]],0))</f>
        <v>-5.468362375000009E-2</v>
      </c>
      <c r="AF80" s="69">
        <f>INDEX(Table11[MAX CO2e MT per MWh],MATCH(UserMade_Scenario!$B80,Table11[[Year]:[Year]],0))</f>
        <v>-0.10665941325000003</v>
      </c>
      <c r="AG80" s="68">
        <f>IFERROR(INDEX(WaterUseH2[Average Direct Water Consumption (Gal/ kg h2)],MATCH(LEFT(D80,3),WaterUseH2[Key],0)),0)</f>
        <v>0</v>
      </c>
      <c r="AH80">
        <v>14</v>
      </c>
      <c r="AI80">
        <v>1.4</v>
      </c>
      <c r="AJ80">
        <v>250</v>
      </c>
      <c r="AK80">
        <v>0.31</v>
      </c>
      <c r="AL80" s="63">
        <f>IFERROR(INDEX(Job_Training[[Solar]:[Wind]],MATCH(AL$1,Job_Training[[`Typical Entry Level Education`]:[`Typical Entry Level Education`]],0),MATCH(LEFT($D80,5),Job_Training[[#Headers],[Solar]:[Wind]],0)),0)</f>
        <v>2.3599999999999999E-2</v>
      </c>
      <c r="AM80" s="63">
        <f>IFERROR(INDEX(Job_Training[[Solar]:[Wind]],MATCH(AM$1,Job_Training[[`Typical Entry Level Education`]:[`Typical Entry Level Education`]],0),MATCH(LEFT($D80,5),Job_Training[[#Headers],[Solar]:[Wind]],0)),0)</f>
        <v>4.0899999999999999E-2</v>
      </c>
      <c r="AN80" s="63">
        <f>IFERROR(INDEX(Job_Training[[Solar]:[Wind]],MATCH(AN$1,Job_Training[[`Typical Entry Level Education`]:[`Typical Entry Level Education`]],0),MATCH(LEFT($D80,5),Job_Training[[#Headers],[Solar]:[Wind]],0)),0)</f>
        <v>0.02</v>
      </c>
      <c r="AO80" s="63">
        <f>IFERROR(INDEX(Job_Training[[Solar]:[Wind]],MATCH(AO$1,Job_Training[[`Typical Entry Level Education`]:[`Typical Entry Level Education`]],0),MATCH(LEFT($D80,5),Job_Training[[#Headers],[Solar]:[Wind]],0)),0)</f>
        <v>1.1299999999999999E-3</v>
      </c>
      <c r="AP80">
        <f t="shared" si="39"/>
        <v>0</v>
      </c>
      <c r="AQ80" s="63">
        <f>IF(AP80&gt;0,IFERROR(INDEX(Assumptions!$C$165:$D$165,MATCH(LEFT($D80,5),Job_Training[[#Headers],[Solar]:[Wind]],0)),0),0)</f>
        <v>0</v>
      </c>
      <c r="AR80">
        <f>IF(AP80&gt;0,IFERROR(INDEX(Assumptions!$C$166:$D$166,MATCH(LEFT($D80,5),Job_Training[[#Headers],[Solar]:[Wind]],0)),0),0)</f>
        <v>0</v>
      </c>
    </row>
    <row r="81" spans="1:44" x14ac:dyDescent="0.35">
      <c r="A81" t="str">
        <f>UserInput!$B$2</f>
        <v>Current Projects</v>
      </c>
      <c r="B81">
        <v>2041</v>
      </c>
      <c r="C81" t="s">
        <v>41</v>
      </c>
      <c r="D81" t="s">
        <v>83</v>
      </c>
      <c r="E81" s="66">
        <f>INDEX(UserInput!$C$2:$M$22,MATCH(UserMade_Scenario!B81,UserInput!$A$2:$A$22,0),MATCH(LEFT(IF(RIGHT(C81,2)="H2",UserMade_Scenario!C81,D81),3),UserInput!$C$25:$M$25,0))</f>
        <v>274</v>
      </c>
      <c r="F81" t="s">
        <v>81</v>
      </c>
      <c r="G81" s="14">
        <f t="shared" si="29"/>
        <v>2.152360413733667E-3</v>
      </c>
      <c r="H81" s="63">
        <f t="shared" si="30"/>
        <v>4.5708579704992272E-2</v>
      </c>
      <c r="I81" s="63">
        <f t="shared" si="31"/>
        <v>2.961187424903948E-2</v>
      </c>
      <c r="J81" s="63">
        <f t="shared" si="32"/>
        <v>6.1805284563037875E-2</v>
      </c>
      <c r="K81" s="30">
        <f>IF(OR(LEFT($D81,5)="Solar",$D81="Wind"),INDEX(Land_Use[AVG],MATCH(LEFT($D81,5),Land_Use[Tech],0)),0)*$E81</f>
        <v>685</v>
      </c>
      <c r="L81" s="30">
        <f>IF(OR(LEFT($D81,5)="Solar",$D81="Wind"),INDEX(Land_Use[MIN],MATCH(LEFT($D81,5),Land_Use[Tech],0)),0)*$E81</f>
        <v>219.20000000000002</v>
      </c>
      <c r="M81" s="30">
        <f>IF(OR(LEFT($D81,5)="Solar",$D81="Wind"),INDEX(Land_Use[MAX],MATCH(LEFT($D81,5),Land_Use[Tech],0)),0)*$E81</f>
        <v>1150.8</v>
      </c>
      <c r="N81" s="15">
        <f t="shared" si="24"/>
        <v>0</v>
      </c>
      <c r="O81" s="11">
        <f t="shared" si="25"/>
        <v>9590</v>
      </c>
      <c r="P81" s="11">
        <f t="shared" si="26"/>
        <v>958.99999999999989</v>
      </c>
      <c r="Q81" s="11">
        <f t="shared" si="27"/>
        <v>171250</v>
      </c>
      <c r="R81" s="11">
        <f t="shared" si="28"/>
        <v>212.35</v>
      </c>
      <c r="S81" s="30">
        <f t="shared" si="33"/>
        <v>0</v>
      </c>
      <c r="T81" s="30">
        <f t="shared" si="34"/>
        <v>0</v>
      </c>
      <c r="U81" s="30">
        <f t="shared" si="35"/>
        <v>0</v>
      </c>
      <c r="V81" s="30">
        <f t="shared" si="36"/>
        <v>0</v>
      </c>
      <c r="W81" s="30">
        <f t="shared" si="37"/>
        <v>0</v>
      </c>
      <c r="X81" s="30">
        <f t="shared" si="38"/>
        <v>0</v>
      </c>
      <c r="Z81" s="23" t="s">
        <v>76</v>
      </c>
      <c r="AA81" s="40">
        <f>IF(C81="Electricity",E81*SUMIFS(Electricity!S:S,Electricity!P:P,UserMade_Scenario!B81,Electricity!M:M,UserMade_Scenario!Z81,Electricity!O:O,UserMade_Scenario!D81),"")</f>
        <v>597907.36156675429</v>
      </c>
      <c r="AB81" s="76">
        <f>1/Assumptions!$B$23/1000000000000</f>
        <v>3.5998225679871703E-9</v>
      </c>
      <c r="AC81" s="67" t="s">
        <v>82</v>
      </c>
      <c r="AD81" s="69">
        <f>INDEX(Table11[AVG
CO2e MT per MWh],MATCH(UserMade_Scenario!$B81,Table11[[Year]:[Year]],0))</f>
        <v>-7.6447594799999907E-2</v>
      </c>
      <c r="AE81" s="69">
        <f>INDEX(Table11[MIN
CO2e MT per MWh],MATCH(UserMade_Scenario!$B81,Table11[[Year]:[Year]],0))</f>
        <v>-4.9525856600000091E-2</v>
      </c>
      <c r="AF81" s="69">
        <f>INDEX(Table11[MAX CO2e MT per MWh],MATCH(UserMade_Scenario!$B81,Table11[[Year]:[Year]],0))</f>
        <v>-0.10336933200000002</v>
      </c>
      <c r="AG81" s="68">
        <f>IFERROR(INDEX(WaterUseH2[Average Direct Water Consumption (Gal/ kg h2)],MATCH(LEFT(D81,3),WaterUseH2[Key],0)),0)</f>
        <v>0</v>
      </c>
      <c r="AH81">
        <v>14</v>
      </c>
      <c r="AI81">
        <v>1.4</v>
      </c>
      <c r="AJ81">
        <v>250</v>
      </c>
      <c r="AK81">
        <v>0.31</v>
      </c>
      <c r="AL81" s="63">
        <f>IFERROR(INDEX(Job_Training[[Solar]:[Wind]],MATCH(AL$1,Job_Training[[`Typical Entry Level Education`]:[`Typical Entry Level Education`]],0),MATCH(LEFT($D81,5),Job_Training[[#Headers],[Solar]:[Wind]],0)),0)</f>
        <v>2.3599999999999999E-2</v>
      </c>
      <c r="AM81" s="63">
        <f>IFERROR(INDEX(Job_Training[[Solar]:[Wind]],MATCH(AM$1,Job_Training[[`Typical Entry Level Education`]:[`Typical Entry Level Education`]],0),MATCH(LEFT($D81,5),Job_Training[[#Headers],[Solar]:[Wind]],0)),0)</f>
        <v>4.0899999999999999E-2</v>
      </c>
      <c r="AN81" s="63">
        <f>IFERROR(INDEX(Job_Training[[Solar]:[Wind]],MATCH(AN$1,Job_Training[[`Typical Entry Level Education`]:[`Typical Entry Level Education`]],0),MATCH(LEFT($D81,5),Job_Training[[#Headers],[Solar]:[Wind]],0)),0)</f>
        <v>0.02</v>
      </c>
      <c r="AO81" s="63">
        <f>IFERROR(INDEX(Job_Training[[Solar]:[Wind]],MATCH(AO$1,Job_Training[[`Typical Entry Level Education`]:[`Typical Entry Level Education`]],0),MATCH(LEFT($D81,5),Job_Training[[#Headers],[Solar]:[Wind]],0)),0)</f>
        <v>1.1299999999999999E-3</v>
      </c>
      <c r="AP81">
        <f t="shared" si="39"/>
        <v>0</v>
      </c>
      <c r="AQ81" s="63">
        <f>IF(AP81&gt;0,IFERROR(INDEX(Assumptions!$C$165:$D$165,MATCH(LEFT($D81,5),Job_Training[[#Headers],[Solar]:[Wind]],0)),0),0)</f>
        <v>0</v>
      </c>
      <c r="AR81">
        <f>IF(AP81&gt;0,IFERROR(INDEX(Assumptions!$C$166:$D$166,MATCH(LEFT($D81,5),Job_Training[[#Headers],[Solar]:[Wind]],0)),0),0)</f>
        <v>0</v>
      </c>
    </row>
    <row r="82" spans="1:44" x14ac:dyDescent="0.35">
      <c r="A82" t="str">
        <f>UserInput!$B$2</f>
        <v>Current Projects</v>
      </c>
      <c r="B82">
        <v>2042</v>
      </c>
      <c r="C82" t="s">
        <v>41</v>
      </c>
      <c r="D82" t="s">
        <v>83</v>
      </c>
      <c r="E82" s="66">
        <f>INDEX(UserInput!$C$2:$M$22,MATCH(UserMade_Scenario!B82,UserInput!$A$2:$A$22,0),MATCH(LEFT(IF(RIGHT(C82,2)="H2",UserMade_Scenario!C82,D82),3),UserInput!$C$25:$M$25,0))</f>
        <v>274</v>
      </c>
      <c r="F82" t="s">
        <v>81</v>
      </c>
      <c r="G82" s="14">
        <f t="shared" si="29"/>
        <v>2.1325923886895901E-3</v>
      </c>
      <c r="H82" s="63">
        <f t="shared" si="30"/>
        <v>4.2786456081057841E-2</v>
      </c>
      <c r="I82" s="63">
        <f t="shared" si="31"/>
        <v>2.6284364874870778E-2</v>
      </c>
      <c r="J82" s="63">
        <f t="shared" si="32"/>
        <v>5.9288546694829108E-2</v>
      </c>
      <c r="K82" s="30">
        <f>IF(OR(LEFT($D82,5)="Solar",$D82="Wind"),INDEX(Land_Use[AVG],MATCH(LEFT($D82,5),Land_Use[Tech],0)),0)*$E82</f>
        <v>685</v>
      </c>
      <c r="L82" s="30">
        <f>IF(OR(LEFT($D82,5)="Solar",$D82="Wind"),INDEX(Land_Use[MIN],MATCH(LEFT($D82,5),Land_Use[Tech],0)),0)*$E82</f>
        <v>219.20000000000002</v>
      </c>
      <c r="M82" s="30">
        <f>IF(OR(LEFT($D82,5)="Solar",$D82="Wind"),INDEX(Land_Use[MAX],MATCH(LEFT($D82,5),Land_Use[Tech],0)),0)*$E82</f>
        <v>1150.8</v>
      </c>
      <c r="N82" s="15">
        <f t="shared" si="24"/>
        <v>0</v>
      </c>
      <c r="O82" s="11">
        <f t="shared" si="25"/>
        <v>9590</v>
      </c>
      <c r="P82" s="11">
        <f t="shared" si="26"/>
        <v>958.99999999999989</v>
      </c>
      <c r="Q82" s="11">
        <f t="shared" si="27"/>
        <v>171250</v>
      </c>
      <c r="R82" s="11">
        <f t="shared" si="28"/>
        <v>212.35</v>
      </c>
      <c r="S82" s="30">
        <f t="shared" si="33"/>
        <v>0</v>
      </c>
      <c r="T82" s="30">
        <f t="shared" si="34"/>
        <v>0</v>
      </c>
      <c r="U82" s="30">
        <f t="shared" si="35"/>
        <v>0</v>
      </c>
      <c r="V82" s="30">
        <f t="shared" si="36"/>
        <v>0</v>
      </c>
      <c r="W82" s="30">
        <f t="shared" si="37"/>
        <v>0</v>
      </c>
      <c r="X82" s="30">
        <f t="shared" si="38"/>
        <v>0</v>
      </c>
      <c r="Z82" s="23" t="s">
        <v>76</v>
      </c>
      <c r="AA82" s="40">
        <f>IF(C82="Electricity",E82*SUMIFS(Electricity!S:S,Electricity!P:P,UserMade_Scenario!B82,Electricity!M:M,UserMade_Scenario!Z82,Electricity!O:O,UserMade_Scenario!D82),"")</f>
        <v>592415.97284669022</v>
      </c>
      <c r="AB82" s="76">
        <f>1/Assumptions!$B$23/1000000000000</f>
        <v>3.5998225679871703E-9</v>
      </c>
      <c r="AC82" s="67" t="s">
        <v>82</v>
      </c>
      <c r="AD82" s="69">
        <f>INDEX(Table11[AVG
CO2e MT per MWh],MATCH(UserMade_Scenario!$B82,Table11[[Year]:[Year]],0))</f>
        <v>-7.2223670599999901E-2</v>
      </c>
      <c r="AE82" s="69">
        <f>INDEX(Table11[MIN
CO2e MT per MWh],MATCH(UserMade_Scenario!$B82,Table11[[Year]:[Year]],0))</f>
        <v>-4.4368089450000092E-2</v>
      </c>
      <c r="AF82" s="69">
        <f>INDEX(Table11[MAX CO2e MT per MWh],MATCH(UserMade_Scenario!$B82,Table11[[Year]:[Year]],0))</f>
        <v>-0.10007925075000002</v>
      </c>
      <c r="AG82" s="68">
        <f>IFERROR(INDEX(WaterUseH2[Average Direct Water Consumption (Gal/ kg h2)],MATCH(LEFT(D82,3),WaterUseH2[Key],0)),0)</f>
        <v>0</v>
      </c>
      <c r="AH82">
        <v>14</v>
      </c>
      <c r="AI82">
        <v>1.4</v>
      </c>
      <c r="AJ82">
        <v>250</v>
      </c>
      <c r="AK82">
        <v>0.31</v>
      </c>
      <c r="AL82" s="63">
        <f>IFERROR(INDEX(Job_Training[[Solar]:[Wind]],MATCH(AL$1,Job_Training[[`Typical Entry Level Education`]:[`Typical Entry Level Education`]],0),MATCH(LEFT($D82,5),Job_Training[[#Headers],[Solar]:[Wind]],0)),0)</f>
        <v>2.3599999999999999E-2</v>
      </c>
      <c r="AM82" s="63">
        <f>IFERROR(INDEX(Job_Training[[Solar]:[Wind]],MATCH(AM$1,Job_Training[[`Typical Entry Level Education`]:[`Typical Entry Level Education`]],0),MATCH(LEFT($D82,5),Job_Training[[#Headers],[Solar]:[Wind]],0)),0)</f>
        <v>4.0899999999999999E-2</v>
      </c>
      <c r="AN82" s="63">
        <f>IFERROR(INDEX(Job_Training[[Solar]:[Wind]],MATCH(AN$1,Job_Training[[`Typical Entry Level Education`]:[`Typical Entry Level Education`]],0),MATCH(LEFT($D82,5),Job_Training[[#Headers],[Solar]:[Wind]],0)),0)</f>
        <v>0.02</v>
      </c>
      <c r="AO82" s="63">
        <f>IFERROR(INDEX(Job_Training[[Solar]:[Wind]],MATCH(AO$1,Job_Training[[`Typical Entry Level Education`]:[`Typical Entry Level Education`]],0),MATCH(LEFT($D82,5),Job_Training[[#Headers],[Solar]:[Wind]],0)),0)</f>
        <v>1.1299999999999999E-3</v>
      </c>
      <c r="AP82">
        <f t="shared" si="39"/>
        <v>0</v>
      </c>
      <c r="AQ82" s="63">
        <f>IF(AP82&gt;0,IFERROR(INDEX(Assumptions!$C$165:$D$165,MATCH(LEFT($D82,5),Job_Training[[#Headers],[Solar]:[Wind]],0)),0),0)</f>
        <v>0</v>
      </c>
      <c r="AR82">
        <f>IF(AP82&gt;0,IFERROR(INDEX(Assumptions!$C$166:$D$166,MATCH(LEFT($D82,5),Job_Training[[#Headers],[Solar]:[Wind]],0)),0),0)</f>
        <v>0</v>
      </c>
    </row>
    <row r="83" spans="1:44" x14ac:dyDescent="0.35">
      <c r="A83" t="str">
        <f>UserInput!$B$2</f>
        <v>Current Projects</v>
      </c>
      <c r="B83">
        <v>2043</v>
      </c>
      <c r="C83" t="s">
        <v>41</v>
      </c>
      <c r="D83" t="s">
        <v>83</v>
      </c>
      <c r="E83" s="66">
        <f>INDEX(UserInput!$C$2:$M$22,MATCH(UserMade_Scenario!B83,UserInput!$A$2:$A$22,0),MATCH(LEFT(IF(RIGHT(C83,2)="H2",UserMade_Scenario!C83,D83),3),UserInput!$C$25:$M$25,0))</f>
        <v>274</v>
      </c>
      <c r="F83" t="s">
        <v>81</v>
      </c>
      <c r="G83" s="14">
        <f t="shared" si="29"/>
        <v>2.1128243636455127E-3</v>
      </c>
      <c r="H83" s="63">
        <f t="shared" si="30"/>
        <v>3.9910722876535978E-2</v>
      </c>
      <c r="I83" s="63">
        <f t="shared" si="31"/>
        <v>2.3013502109398527E-2</v>
      </c>
      <c r="J83" s="63">
        <f t="shared" si="32"/>
        <v>5.6807943056749022E-2</v>
      </c>
      <c r="K83" s="30">
        <f>IF(OR(LEFT($D83,5)="Solar",$D83="Wind"),INDEX(Land_Use[AVG],MATCH(LEFT($D83,5),Land_Use[Tech],0)),0)*$E83</f>
        <v>685</v>
      </c>
      <c r="L83" s="30">
        <f>IF(OR(LEFT($D83,5)="Solar",$D83="Wind"),INDEX(Land_Use[MIN],MATCH(LEFT($D83,5),Land_Use[Tech],0)),0)*$E83</f>
        <v>219.20000000000002</v>
      </c>
      <c r="M83" s="30">
        <f>IF(OR(LEFT($D83,5)="Solar",$D83="Wind"),INDEX(Land_Use[MAX],MATCH(LEFT($D83,5),Land_Use[Tech],0)),0)*$E83</f>
        <v>1150.8</v>
      </c>
      <c r="N83" s="15">
        <f t="shared" si="24"/>
        <v>0</v>
      </c>
      <c r="O83" s="11">
        <f t="shared" si="25"/>
        <v>9590</v>
      </c>
      <c r="P83" s="11">
        <f t="shared" si="26"/>
        <v>958.99999999999989</v>
      </c>
      <c r="Q83" s="11">
        <f t="shared" si="27"/>
        <v>171250</v>
      </c>
      <c r="R83" s="11">
        <f t="shared" si="28"/>
        <v>212.35</v>
      </c>
      <c r="S83" s="30">
        <f t="shared" si="33"/>
        <v>0</v>
      </c>
      <c r="T83" s="30">
        <f t="shared" si="34"/>
        <v>0</v>
      </c>
      <c r="U83" s="30">
        <f t="shared" si="35"/>
        <v>0</v>
      </c>
      <c r="V83" s="30">
        <f t="shared" si="36"/>
        <v>0</v>
      </c>
      <c r="W83" s="30">
        <f t="shared" si="37"/>
        <v>0</v>
      </c>
      <c r="X83" s="30">
        <f t="shared" si="38"/>
        <v>0</v>
      </c>
      <c r="Z83" s="23" t="s">
        <v>76</v>
      </c>
      <c r="AA83" s="40">
        <f>IF(C83="Electricity",E83*SUMIFS(Electricity!S:S,Electricity!P:P,UserMade_Scenario!B83,Electricity!M:M,UserMade_Scenario!Z83,Electricity!O:O,UserMade_Scenario!D83),"")</f>
        <v>586924.58412662602</v>
      </c>
      <c r="AB83" s="76">
        <f>1/Assumptions!$B$23/1000000000000</f>
        <v>3.5998225679871703E-9</v>
      </c>
      <c r="AC83" s="67" t="s">
        <v>82</v>
      </c>
      <c r="AD83" s="69">
        <f>INDEX(Table11[AVG
CO2e MT per MWh],MATCH(UserMade_Scenario!$B83,Table11[[Year]:[Year]],0))</f>
        <v>-6.7999746399999894E-2</v>
      </c>
      <c r="AE83" s="69">
        <f>INDEX(Table11[MIN
CO2e MT per MWh],MATCH(UserMade_Scenario!$B83,Table11[[Year]:[Year]],0))</f>
        <v>-3.9210322300000093E-2</v>
      </c>
      <c r="AF83" s="69">
        <f>INDEX(Table11[MAX CO2e MT per MWh],MATCH(UserMade_Scenario!$B83,Table11[[Year]:[Year]],0))</f>
        <v>-9.6789169500000008E-2</v>
      </c>
      <c r="AG83" s="68">
        <f>IFERROR(INDEX(WaterUseH2[Average Direct Water Consumption (Gal/ kg h2)],MATCH(LEFT(D83,3),WaterUseH2[Key],0)),0)</f>
        <v>0</v>
      </c>
      <c r="AH83">
        <v>14</v>
      </c>
      <c r="AI83">
        <v>1.4</v>
      </c>
      <c r="AJ83">
        <v>250</v>
      </c>
      <c r="AK83">
        <v>0.31</v>
      </c>
      <c r="AL83" s="63">
        <f>IFERROR(INDEX(Job_Training[[Solar]:[Wind]],MATCH(AL$1,Job_Training[[`Typical Entry Level Education`]:[`Typical Entry Level Education`]],0),MATCH(LEFT($D83,5),Job_Training[[#Headers],[Solar]:[Wind]],0)),0)</f>
        <v>2.3599999999999999E-2</v>
      </c>
      <c r="AM83" s="63">
        <f>IFERROR(INDEX(Job_Training[[Solar]:[Wind]],MATCH(AM$1,Job_Training[[`Typical Entry Level Education`]:[`Typical Entry Level Education`]],0),MATCH(LEFT($D83,5),Job_Training[[#Headers],[Solar]:[Wind]],0)),0)</f>
        <v>4.0899999999999999E-2</v>
      </c>
      <c r="AN83" s="63">
        <f>IFERROR(INDEX(Job_Training[[Solar]:[Wind]],MATCH(AN$1,Job_Training[[`Typical Entry Level Education`]:[`Typical Entry Level Education`]],0),MATCH(LEFT($D83,5),Job_Training[[#Headers],[Solar]:[Wind]],0)),0)</f>
        <v>0.02</v>
      </c>
      <c r="AO83" s="63">
        <f>IFERROR(INDEX(Job_Training[[Solar]:[Wind]],MATCH(AO$1,Job_Training[[`Typical Entry Level Education`]:[`Typical Entry Level Education`]],0),MATCH(LEFT($D83,5),Job_Training[[#Headers],[Solar]:[Wind]],0)),0)</f>
        <v>1.1299999999999999E-3</v>
      </c>
      <c r="AP83">
        <f t="shared" si="39"/>
        <v>0</v>
      </c>
      <c r="AQ83" s="63">
        <f>IF(AP83&gt;0,IFERROR(INDEX(Assumptions!$C$165:$D$165,MATCH(LEFT($D83,5),Job_Training[[#Headers],[Solar]:[Wind]],0)),0),0)</f>
        <v>0</v>
      </c>
      <c r="AR83">
        <f>IF(AP83&gt;0,IFERROR(INDEX(Assumptions!$C$166:$D$166,MATCH(LEFT($D83,5),Job_Training[[#Headers],[Solar]:[Wind]],0)),0),0)</f>
        <v>0</v>
      </c>
    </row>
    <row r="84" spans="1:44" x14ac:dyDescent="0.35">
      <c r="A84" t="str">
        <f>UserInput!$B$2</f>
        <v>Current Projects</v>
      </c>
      <c r="B84">
        <v>2044</v>
      </c>
      <c r="C84" t="s">
        <v>41</v>
      </c>
      <c r="D84" t="s">
        <v>83</v>
      </c>
      <c r="E84" s="66">
        <f>INDEX(UserInput!$C$2:$M$22,MATCH(UserMade_Scenario!B84,UserInput!$A$2:$A$22,0),MATCH(LEFT(IF(RIGHT(C84,2)="H2",UserMade_Scenario!C84,D84),3),UserInput!$C$25:$M$25,0))</f>
        <v>274</v>
      </c>
      <c r="F84" t="s">
        <v>81</v>
      </c>
      <c r="G84" s="14">
        <f t="shared" si="29"/>
        <v>2.0930563386014358E-3</v>
      </c>
      <c r="H84" s="63">
        <f t="shared" si="30"/>
        <v>3.7081380091426676E-2</v>
      </c>
      <c r="I84" s="63">
        <f t="shared" si="31"/>
        <v>1.9799285952622727E-2</v>
      </c>
      <c r="J84" s="63">
        <f t="shared" si="32"/>
        <v>5.4363473648797615E-2</v>
      </c>
      <c r="K84" s="30">
        <f>IF(OR(LEFT($D84,5)="Solar",$D84="Wind"),INDEX(Land_Use[AVG],MATCH(LEFT($D84,5),Land_Use[Tech],0)),0)*$E84</f>
        <v>685</v>
      </c>
      <c r="L84" s="30">
        <f>IF(OR(LEFT($D84,5)="Solar",$D84="Wind"),INDEX(Land_Use[MIN],MATCH(LEFT($D84,5),Land_Use[Tech],0)),0)*$E84</f>
        <v>219.20000000000002</v>
      </c>
      <c r="M84" s="30">
        <f>IF(OR(LEFT($D84,5)="Solar",$D84="Wind"),INDEX(Land_Use[MAX],MATCH(LEFT($D84,5),Land_Use[Tech],0)),0)*$E84</f>
        <v>1150.8</v>
      </c>
      <c r="N84" s="15">
        <f t="shared" si="24"/>
        <v>0</v>
      </c>
      <c r="O84" s="11">
        <f t="shared" si="25"/>
        <v>9590</v>
      </c>
      <c r="P84" s="11">
        <f t="shared" si="26"/>
        <v>958.99999999999989</v>
      </c>
      <c r="Q84" s="11">
        <f t="shared" si="27"/>
        <v>171250</v>
      </c>
      <c r="R84" s="11">
        <f t="shared" si="28"/>
        <v>212.35</v>
      </c>
      <c r="S84" s="30">
        <f t="shared" si="33"/>
        <v>0</v>
      </c>
      <c r="T84" s="30">
        <f t="shared" si="34"/>
        <v>0</v>
      </c>
      <c r="U84" s="30">
        <f t="shared" si="35"/>
        <v>0</v>
      </c>
      <c r="V84" s="30">
        <f t="shared" si="36"/>
        <v>0</v>
      </c>
      <c r="W84" s="30">
        <f t="shared" si="37"/>
        <v>0</v>
      </c>
      <c r="X84" s="30">
        <f t="shared" si="38"/>
        <v>0</v>
      </c>
      <c r="Z84" s="23" t="s">
        <v>76</v>
      </c>
      <c r="AA84" s="40">
        <f>IF(C84="Electricity",E84*SUMIFS(Electricity!S:S,Electricity!P:P,UserMade_Scenario!B84,Electricity!M:M,UserMade_Scenario!Z84,Electricity!O:O,UserMade_Scenario!D84),"")</f>
        <v>581433.19540656183</v>
      </c>
      <c r="AB84" s="76">
        <f>1/Assumptions!$B$23/1000000000000</f>
        <v>3.5998225679871703E-9</v>
      </c>
      <c r="AC84" s="67" t="s">
        <v>82</v>
      </c>
      <c r="AD84" s="69">
        <f>INDEX(Table11[AVG
CO2e MT per MWh],MATCH(UserMade_Scenario!$B84,Table11[[Year]:[Year]],0))</f>
        <v>-6.3775822199999888E-2</v>
      </c>
      <c r="AE84" s="69">
        <f>INDEX(Table11[MIN
CO2e MT per MWh],MATCH(UserMade_Scenario!$B84,Table11[[Year]:[Year]],0))</f>
        <v>-3.4052555150000094E-2</v>
      </c>
      <c r="AF84" s="69">
        <f>INDEX(Table11[MAX CO2e MT per MWh],MATCH(UserMade_Scenario!$B84,Table11[[Year]:[Year]],0))</f>
        <v>-9.3499088250000001E-2</v>
      </c>
      <c r="AG84" s="68">
        <f>IFERROR(INDEX(WaterUseH2[Average Direct Water Consumption (Gal/ kg h2)],MATCH(LEFT(D84,3),WaterUseH2[Key],0)),0)</f>
        <v>0</v>
      </c>
      <c r="AH84">
        <v>14</v>
      </c>
      <c r="AI84">
        <v>1.4</v>
      </c>
      <c r="AJ84">
        <v>250</v>
      </c>
      <c r="AK84">
        <v>0.31</v>
      </c>
      <c r="AL84" s="63">
        <f>IFERROR(INDEX(Job_Training[[Solar]:[Wind]],MATCH(AL$1,Job_Training[[`Typical Entry Level Education`]:[`Typical Entry Level Education`]],0),MATCH(LEFT($D84,5),Job_Training[[#Headers],[Solar]:[Wind]],0)),0)</f>
        <v>2.3599999999999999E-2</v>
      </c>
      <c r="AM84" s="63">
        <f>IFERROR(INDEX(Job_Training[[Solar]:[Wind]],MATCH(AM$1,Job_Training[[`Typical Entry Level Education`]:[`Typical Entry Level Education`]],0),MATCH(LEFT($D84,5),Job_Training[[#Headers],[Solar]:[Wind]],0)),0)</f>
        <v>4.0899999999999999E-2</v>
      </c>
      <c r="AN84" s="63">
        <f>IFERROR(INDEX(Job_Training[[Solar]:[Wind]],MATCH(AN$1,Job_Training[[`Typical Entry Level Education`]:[`Typical Entry Level Education`]],0),MATCH(LEFT($D84,5),Job_Training[[#Headers],[Solar]:[Wind]],0)),0)</f>
        <v>0.02</v>
      </c>
      <c r="AO84" s="63">
        <f>IFERROR(INDEX(Job_Training[[Solar]:[Wind]],MATCH(AO$1,Job_Training[[`Typical Entry Level Education`]:[`Typical Entry Level Education`]],0),MATCH(LEFT($D84,5),Job_Training[[#Headers],[Solar]:[Wind]],0)),0)</f>
        <v>1.1299999999999999E-3</v>
      </c>
      <c r="AP84">
        <f t="shared" si="39"/>
        <v>0</v>
      </c>
      <c r="AQ84" s="63">
        <f>IF(AP84&gt;0,IFERROR(INDEX(Assumptions!$C$165:$D$165,MATCH(LEFT($D84,5),Job_Training[[#Headers],[Solar]:[Wind]],0)),0),0)</f>
        <v>0</v>
      </c>
      <c r="AR84">
        <f>IF(AP84&gt;0,IFERROR(INDEX(Assumptions!$C$166:$D$166,MATCH(LEFT($D84,5),Job_Training[[#Headers],[Solar]:[Wind]],0)),0),0)</f>
        <v>0</v>
      </c>
    </row>
    <row r="85" spans="1:44" x14ac:dyDescent="0.35">
      <c r="A85" t="str">
        <f>UserInput!$B$2</f>
        <v>Current Projects</v>
      </c>
      <c r="B85">
        <v>2045</v>
      </c>
      <c r="C85" t="s">
        <v>41</v>
      </c>
      <c r="D85" t="s">
        <v>83</v>
      </c>
      <c r="E85" s="66">
        <f>INDEX(UserInput!$C$2:$M$22,MATCH(UserMade_Scenario!B85,UserInput!$A$2:$A$22,0),MATCH(LEFT(IF(RIGHT(C85,2)="H2",UserMade_Scenario!C85,D85),3),UserInput!$C$25:$M$25,0))</f>
        <v>274</v>
      </c>
      <c r="F85" t="s">
        <v>81</v>
      </c>
      <c r="G85" s="14">
        <f t="shared" si="29"/>
        <v>2.0732883135573589E-3</v>
      </c>
      <c r="H85" s="63">
        <f t="shared" si="30"/>
        <v>3.4298427725729969E-2</v>
      </c>
      <c r="I85" s="63">
        <f t="shared" si="31"/>
        <v>1.6641716404543389E-2</v>
      </c>
      <c r="J85" s="63">
        <f t="shared" si="32"/>
        <v>5.1955138470974917E-2</v>
      </c>
      <c r="K85" s="30">
        <f>IF(OR(LEFT($D85,5)="Solar",$D85="Wind"),INDEX(Land_Use[AVG],MATCH(LEFT($D85,5),Land_Use[Tech],0)),0)*$E85</f>
        <v>685</v>
      </c>
      <c r="L85" s="30">
        <f>IF(OR(LEFT($D85,5)="Solar",$D85="Wind"),INDEX(Land_Use[MIN],MATCH(LEFT($D85,5),Land_Use[Tech],0)),0)*$E85</f>
        <v>219.20000000000002</v>
      </c>
      <c r="M85" s="30">
        <f>IF(OR(LEFT($D85,5)="Solar",$D85="Wind"),INDEX(Land_Use[MAX],MATCH(LEFT($D85,5),Land_Use[Tech],0)),0)*$E85</f>
        <v>1150.8</v>
      </c>
      <c r="N85" s="15">
        <f t="shared" si="24"/>
        <v>0</v>
      </c>
      <c r="O85" s="11">
        <f t="shared" si="25"/>
        <v>9590</v>
      </c>
      <c r="P85" s="11">
        <f t="shared" si="26"/>
        <v>958.99999999999989</v>
      </c>
      <c r="Q85" s="11">
        <f t="shared" si="27"/>
        <v>171250</v>
      </c>
      <c r="R85" s="11">
        <f t="shared" si="28"/>
        <v>212.35</v>
      </c>
      <c r="S85" s="30">
        <f t="shared" si="33"/>
        <v>0</v>
      </c>
      <c r="T85" s="30">
        <f t="shared" si="34"/>
        <v>0</v>
      </c>
      <c r="U85" s="30">
        <f t="shared" si="35"/>
        <v>0</v>
      </c>
      <c r="V85" s="30">
        <f t="shared" si="36"/>
        <v>0</v>
      </c>
      <c r="W85" s="30">
        <f t="shared" si="37"/>
        <v>0</v>
      </c>
      <c r="X85" s="30">
        <f t="shared" si="38"/>
        <v>0</v>
      </c>
      <c r="Z85" s="23" t="s">
        <v>76</v>
      </c>
      <c r="AA85" s="40">
        <f>IF(C85="Electricity",E85*SUMIFS(Electricity!S:S,Electricity!P:P,UserMade_Scenario!B85,Electricity!M:M,UserMade_Scenario!Z85,Electricity!O:O,UserMade_Scenario!D85),"")</f>
        <v>575941.80668649776</v>
      </c>
      <c r="AB85" s="76">
        <f>1/Assumptions!$B$23/1000000000000</f>
        <v>3.5998225679871703E-9</v>
      </c>
      <c r="AC85" s="67" t="s">
        <v>82</v>
      </c>
      <c r="AD85" s="69">
        <f>INDEX(Table11[AVG
CO2e MT per MWh],MATCH(UserMade_Scenario!$B85,Table11[[Year]:[Year]],0))</f>
        <v>-5.9551897999999888E-2</v>
      </c>
      <c r="AE85" s="69">
        <f>INDEX(Table11[MIN
CO2e MT per MWh],MATCH(UserMade_Scenario!$B85,Table11[[Year]:[Year]],0))</f>
        <v>-2.8894788000000095E-2</v>
      </c>
      <c r="AF85" s="69">
        <f>INDEX(Table11[MAX CO2e MT per MWh],MATCH(UserMade_Scenario!$B85,Table11[[Year]:[Year]],0))</f>
        <v>-9.0209006999999994E-2</v>
      </c>
      <c r="AG85" s="68">
        <f>IFERROR(INDEX(WaterUseH2[Average Direct Water Consumption (Gal/ kg h2)],MATCH(LEFT(D85,3),WaterUseH2[Key],0)),0)</f>
        <v>0</v>
      </c>
      <c r="AH85">
        <v>14</v>
      </c>
      <c r="AI85">
        <v>1.4</v>
      </c>
      <c r="AJ85">
        <v>250</v>
      </c>
      <c r="AK85">
        <v>0.31</v>
      </c>
      <c r="AL85" s="63">
        <f>IFERROR(INDEX(Job_Training[[Solar]:[Wind]],MATCH(AL$1,Job_Training[[`Typical Entry Level Education`]:[`Typical Entry Level Education`]],0),MATCH(LEFT($D85,5),Job_Training[[#Headers],[Solar]:[Wind]],0)),0)</f>
        <v>2.3599999999999999E-2</v>
      </c>
      <c r="AM85" s="63">
        <f>IFERROR(INDEX(Job_Training[[Solar]:[Wind]],MATCH(AM$1,Job_Training[[`Typical Entry Level Education`]:[`Typical Entry Level Education`]],0),MATCH(LEFT($D85,5),Job_Training[[#Headers],[Solar]:[Wind]],0)),0)</f>
        <v>4.0899999999999999E-2</v>
      </c>
      <c r="AN85" s="63">
        <f>IFERROR(INDEX(Job_Training[[Solar]:[Wind]],MATCH(AN$1,Job_Training[[`Typical Entry Level Education`]:[`Typical Entry Level Education`]],0),MATCH(LEFT($D85,5),Job_Training[[#Headers],[Solar]:[Wind]],0)),0)</f>
        <v>0.02</v>
      </c>
      <c r="AO85" s="63">
        <f>IFERROR(INDEX(Job_Training[[Solar]:[Wind]],MATCH(AO$1,Job_Training[[`Typical Entry Level Education`]:[`Typical Entry Level Education`]],0),MATCH(LEFT($D85,5),Job_Training[[#Headers],[Solar]:[Wind]],0)),0)</f>
        <v>1.1299999999999999E-3</v>
      </c>
      <c r="AP85">
        <f t="shared" si="39"/>
        <v>0</v>
      </c>
      <c r="AQ85" s="63">
        <f>IF(AP85&gt;0,IFERROR(INDEX(Assumptions!$C$165:$D$165,MATCH(LEFT($D85,5),Job_Training[[#Headers],[Solar]:[Wind]],0)),0),0)</f>
        <v>0</v>
      </c>
      <c r="AR85">
        <f>IF(AP85&gt;0,IFERROR(INDEX(Assumptions!$C$166:$D$166,MATCH(LEFT($D85,5),Job_Training[[#Headers],[Solar]:[Wind]],0)),0),0)</f>
        <v>0</v>
      </c>
    </row>
    <row r="86" spans="1:44" x14ac:dyDescent="0.35">
      <c r="A86" t="str">
        <f>UserInput!$B$2</f>
        <v>Current Projects</v>
      </c>
      <c r="B86">
        <v>2025</v>
      </c>
      <c r="C86" t="s">
        <v>41</v>
      </c>
      <c r="D86" t="s">
        <v>84</v>
      </c>
      <c r="E86" s="66">
        <f>INDEX(UserInput!$C$2:$M$22,MATCH(UserMade_Scenario!B86,UserInput!$A$2:$A$22,0),MATCH(LEFT(IF(RIGHT(C86,2)="H2",UserMade_Scenario!C86,D86),3),UserInput!$C$25:$M$25,0))</f>
        <v>0</v>
      </c>
      <c r="F86" t="s">
        <v>81</v>
      </c>
      <c r="G86" s="14">
        <f t="shared" si="29"/>
        <v>0</v>
      </c>
      <c r="H86" s="63">
        <f t="shared" si="30"/>
        <v>0</v>
      </c>
      <c r="I86" s="63">
        <f t="shared" si="31"/>
        <v>0</v>
      </c>
      <c r="J86" s="63">
        <f t="shared" si="32"/>
        <v>0</v>
      </c>
      <c r="K86" s="30">
        <f>IF(OR(LEFT($D86,5)="Solar",$D86="Wind"),INDEX(Land_Use[AVG],MATCH(LEFT($D86,5),Land_Use[Tech],0)),0)*$E86</f>
        <v>0</v>
      </c>
      <c r="L86" s="30">
        <f>IF(OR(LEFT($D86,5)="Solar",$D86="Wind"),INDEX(Land_Use[MIN],MATCH(LEFT($D86,5),Land_Use[Tech],0)),0)*$E86</f>
        <v>0</v>
      </c>
      <c r="M86" s="30">
        <f>IF(OR(LEFT($D86,5)="Solar",$D86="Wind"),INDEX(Land_Use[MAX],MATCH(LEFT($D86,5),Land_Use[Tech],0)),0)*$E86</f>
        <v>0</v>
      </c>
      <c r="N86" s="15">
        <f t="shared" si="18"/>
        <v>0</v>
      </c>
      <c r="O86" s="11">
        <f t="shared" si="19"/>
        <v>0</v>
      </c>
      <c r="P86" s="11">
        <f t="shared" si="20"/>
        <v>0</v>
      </c>
      <c r="Q86" s="11">
        <f t="shared" si="21"/>
        <v>0</v>
      </c>
      <c r="R86" s="11">
        <f t="shared" si="22"/>
        <v>0</v>
      </c>
      <c r="S86" s="30">
        <f t="shared" si="33"/>
        <v>0</v>
      </c>
      <c r="T86" s="30">
        <f t="shared" si="34"/>
        <v>0</v>
      </c>
      <c r="U86" s="30">
        <f t="shared" si="35"/>
        <v>0</v>
      </c>
      <c r="V86" s="30">
        <f t="shared" si="36"/>
        <v>0</v>
      </c>
      <c r="W86" s="30">
        <f t="shared" si="37"/>
        <v>0</v>
      </c>
      <c r="X86" s="30">
        <f t="shared" si="38"/>
        <v>0</v>
      </c>
      <c r="Z86" s="23" t="s">
        <v>76</v>
      </c>
      <c r="AA86" s="40">
        <f>IF(C86="Electricity",E86*SUMIFS(Electricity!S:S,Electricity!P:P,UserMade_Scenario!B86,Electricity!M:M,UserMade_Scenario!Z86,Electricity!O:O,UserMade_Scenario!D86),"")</f>
        <v>0</v>
      </c>
      <c r="AB86" s="76">
        <f>1/Assumptions!$B$23/1000000000000</f>
        <v>3.5998225679871703E-9</v>
      </c>
      <c r="AC86" s="67" t="s">
        <v>82</v>
      </c>
      <c r="AD86" s="69">
        <f>INDEX(Table11[AVG
CO2e MT per MWh],MATCH(UserMade_Scenario!$B86,Table11[[Year]:[Year]],0))</f>
        <v>-0.14403038200000001</v>
      </c>
      <c r="AE86" s="69">
        <f>INDEX(Table11[MIN
CO2e MT per MWh],MATCH(UserMade_Scenario!$B86,Table11[[Year]:[Year]],0))</f>
        <v>-0.13205013099999999</v>
      </c>
      <c r="AF86" s="69">
        <f>INDEX(Table11[MAX CO2e MT per MWh],MATCH(UserMade_Scenario!$B86,Table11[[Year]:[Year]],0))</f>
        <v>-0.15601063200000001</v>
      </c>
      <c r="AG86" s="68">
        <f>IFERROR(INDEX(WaterUseH2[Average Direct Water Consumption (Gal/ kg h2)],MATCH(LEFT(D86,3),WaterUseH2[Key],0)),0)</f>
        <v>4.0999999999999996</v>
      </c>
      <c r="AH86">
        <v>14</v>
      </c>
      <c r="AI86">
        <v>1.4</v>
      </c>
      <c r="AJ86">
        <v>250</v>
      </c>
      <c r="AK86">
        <v>0.31</v>
      </c>
      <c r="AL86" s="63">
        <f>IFERROR(INDEX(Job_Training[[Solar]:[Wind]],MATCH(AL$1,Job_Training[[`Typical Entry Level Education`]:[`Typical Entry Level Education`]],0),MATCH(LEFT($D86,5),Job_Training[[#Headers],[Solar]:[Wind]],0)),0)</f>
        <v>0</v>
      </c>
      <c r="AM86" s="63">
        <f>IFERROR(INDEX(Job_Training[[Solar]:[Wind]],MATCH(AM$1,Job_Training[[`Typical Entry Level Education`]:[`Typical Entry Level Education`]],0),MATCH(LEFT($D86,5),Job_Training[[#Headers],[Solar]:[Wind]],0)),0)</f>
        <v>0</v>
      </c>
      <c r="AN86" s="63">
        <f>IFERROR(INDEX(Job_Training[[Solar]:[Wind]],MATCH(AN$1,Job_Training[[`Typical Entry Level Education`]:[`Typical Entry Level Education`]],0),MATCH(LEFT($D86,5),Job_Training[[#Headers],[Solar]:[Wind]],0)),0)</f>
        <v>0</v>
      </c>
      <c r="AO86" s="63">
        <f>IFERROR(INDEX(Job_Training[[Solar]:[Wind]],MATCH(AO$1,Job_Training[[`Typical Entry Level Education`]:[`Typical Entry Level Education`]],0),MATCH(LEFT($D86,5),Job_Training[[#Headers],[Solar]:[Wind]],0)),0)</f>
        <v>0</v>
      </c>
      <c r="AP86">
        <f t="shared" si="39"/>
        <v>0</v>
      </c>
      <c r="AQ86" s="63">
        <f>IF(AP86&gt;0,IFERROR(INDEX(Assumptions!$C$165:$D$165,MATCH(LEFT($D86,5),Job_Training[[#Headers],[Solar]:[Wind]],0)),0),0)</f>
        <v>0</v>
      </c>
      <c r="AR86">
        <f>IF(AP86&gt;0,IFERROR(INDEX(Assumptions!$C$166:$D$166,MATCH(LEFT($D86,5),Job_Training[[#Headers],[Solar]:[Wind]],0)),0),0)</f>
        <v>0</v>
      </c>
    </row>
    <row r="87" spans="1:44" x14ac:dyDescent="0.35">
      <c r="A87" t="str">
        <f>UserInput!$B$2</f>
        <v>Current Projects</v>
      </c>
      <c r="B87">
        <v>2026</v>
      </c>
      <c r="C87" t="s">
        <v>41</v>
      </c>
      <c r="D87" t="s">
        <v>84</v>
      </c>
      <c r="E87" s="66">
        <f>INDEX(UserInput!$C$2:$M$22,MATCH(UserMade_Scenario!B87,UserInput!$A$2:$A$22,0),MATCH(LEFT(IF(RIGHT(C87,2)="H2",UserMade_Scenario!C87,D87),3),UserInput!$C$25:$M$25,0))</f>
        <v>5</v>
      </c>
      <c r="F87" t="s">
        <v>81</v>
      </c>
      <c r="G87" s="14">
        <f t="shared" si="29"/>
        <v>1.0784054976135365E-4</v>
      </c>
      <c r="H87" s="63">
        <f t="shared" si="30"/>
        <v>4.1882078865263742E-3</v>
      </c>
      <c r="I87" s="63">
        <f t="shared" si="31"/>
        <v>3.8013379880978866E-3</v>
      </c>
      <c r="J87" s="63">
        <f t="shared" si="32"/>
        <v>4.5750777549976767E-3</v>
      </c>
      <c r="K87" s="30">
        <f>IF(OR(LEFT($D87,5)="Solar",$D87="Wind"),INDEX(Land_Use[AVG],MATCH(LEFT($D87,5),Land_Use[Tech],0)),0)*$E87</f>
        <v>0</v>
      </c>
      <c r="L87" s="30">
        <f>IF(OR(LEFT($D87,5)="Solar",$D87="Wind"),INDEX(Land_Use[MIN],MATCH(LEFT($D87,5),Land_Use[Tech],0)),0)*$E87</f>
        <v>0</v>
      </c>
      <c r="M87" s="30">
        <f>IF(OR(LEFT($D87,5)="Solar",$D87="Wind"),INDEX(Land_Use[MAX],MATCH(LEFT($D87,5),Land_Use[Tech],0)),0)*$E87</f>
        <v>0</v>
      </c>
      <c r="N87" s="15">
        <f t="shared" si="18"/>
        <v>2.0500000000000001E-2</v>
      </c>
      <c r="O87" s="11">
        <f t="shared" si="19"/>
        <v>0</v>
      </c>
      <c r="P87" s="11">
        <f t="shared" si="20"/>
        <v>0</v>
      </c>
      <c r="Q87" s="11">
        <f t="shared" si="21"/>
        <v>0</v>
      </c>
      <c r="R87" s="11">
        <f t="shared" si="22"/>
        <v>0</v>
      </c>
      <c r="S87" s="30">
        <f t="shared" si="33"/>
        <v>0</v>
      </c>
      <c r="T87" s="30">
        <f t="shared" si="34"/>
        <v>0</v>
      </c>
      <c r="U87" s="30">
        <f t="shared" si="35"/>
        <v>0</v>
      </c>
      <c r="V87" s="30">
        <f t="shared" si="36"/>
        <v>0</v>
      </c>
      <c r="W87" s="30">
        <f t="shared" si="37"/>
        <v>0</v>
      </c>
      <c r="X87" s="30">
        <f t="shared" si="38"/>
        <v>0</v>
      </c>
      <c r="Z87" s="23" t="s">
        <v>76</v>
      </c>
      <c r="AA87" s="40">
        <f>IF(C87="Electricity",E87*SUMIFS(Electricity!S:S,Electricity!P:P,UserMade_Scenario!B87,Electricity!M:M,UserMade_Scenario!Z87,Electricity!O:O,UserMade_Scenario!D87),"")</f>
        <v>29957.184756928829</v>
      </c>
      <c r="AB87" s="76">
        <f>1/Assumptions!$B$23/1000000000000</f>
        <v>3.5998225679871703E-9</v>
      </c>
      <c r="AC87" s="67" t="s">
        <v>82</v>
      </c>
      <c r="AD87" s="69">
        <f>INDEX(Table11[AVG
CO2e MT per MWh],MATCH(UserMade_Scenario!$B87,Table11[[Year]:[Year]],0))</f>
        <v>-0.13980645780000001</v>
      </c>
      <c r="AE87" s="69">
        <f>INDEX(Table11[MIN
CO2e MT per MWh],MATCH(UserMade_Scenario!$B87,Table11[[Year]:[Year]],0))</f>
        <v>-0.12689236385</v>
      </c>
      <c r="AF87" s="69">
        <f>INDEX(Table11[MAX CO2e MT per MWh],MATCH(UserMade_Scenario!$B87,Table11[[Year]:[Year]],0))</f>
        <v>-0.15272055075000002</v>
      </c>
      <c r="AG87" s="68">
        <f>IFERROR(INDEX(WaterUseH2[Average Direct Water Consumption (Gal/ kg h2)],MATCH(LEFT(D87,3),WaterUseH2[Key],0)),0)</f>
        <v>4.0999999999999996</v>
      </c>
      <c r="AH87">
        <v>14</v>
      </c>
      <c r="AI87">
        <v>1.4</v>
      </c>
      <c r="AJ87">
        <v>250</v>
      </c>
      <c r="AK87">
        <v>0.31</v>
      </c>
      <c r="AL87" s="63">
        <f>IFERROR(INDEX(Job_Training[[Solar]:[Wind]],MATCH(AL$1,Job_Training[[`Typical Entry Level Education`]:[`Typical Entry Level Education`]],0),MATCH(LEFT($D87,5),Job_Training[[#Headers],[Solar]:[Wind]],0)),0)</f>
        <v>0</v>
      </c>
      <c r="AM87" s="63">
        <f>IFERROR(INDEX(Job_Training[[Solar]:[Wind]],MATCH(AM$1,Job_Training[[`Typical Entry Level Education`]:[`Typical Entry Level Education`]],0),MATCH(LEFT($D87,5),Job_Training[[#Headers],[Solar]:[Wind]],0)),0)</f>
        <v>0</v>
      </c>
      <c r="AN87" s="63">
        <f>IFERROR(INDEX(Job_Training[[Solar]:[Wind]],MATCH(AN$1,Job_Training[[`Typical Entry Level Education`]:[`Typical Entry Level Education`]],0),MATCH(LEFT($D87,5),Job_Training[[#Headers],[Solar]:[Wind]],0)),0)</f>
        <v>0</v>
      </c>
      <c r="AO87" s="63">
        <f>IFERROR(INDEX(Job_Training[[Solar]:[Wind]],MATCH(AO$1,Job_Training[[`Typical Entry Level Education`]:[`Typical Entry Level Education`]],0),MATCH(LEFT($D87,5),Job_Training[[#Headers],[Solar]:[Wind]],0)),0)</f>
        <v>0</v>
      </c>
      <c r="AP87">
        <f t="shared" si="39"/>
        <v>5</v>
      </c>
      <c r="AQ87" s="63">
        <f>IF(AP87&gt;0,IFERROR(INDEX(Assumptions!$C$165:$D$165,MATCH(LEFT($D87,5),Job_Training[[#Headers],[Solar]:[Wind]],0)),0),0)</f>
        <v>0</v>
      </c>
      <c r="AR87">
        <f>IF(AP87&gt;0,IFERROR(INDEX(Assumptions!$C$166:$D$166,MATCH(LEFT($D87,5),Job_Training[[#Headers],[Solar]:[Wind]],0)),0),0)</f>
        <v>0</v>
      </c>
    </row>
    <row r="88" spans="1:44" x14ac:dyDescent="0.35">
      <c r="A88" t="str">
        <f>UserInput!$B$2</f>
        <v>Current Projects</v>
      </c>
      <c r="B88">
        <v>2027</v>
      </c>
      <c r="C88" t="s">
        <v>41</v>
      </c>
      <c r="D88" t="s">
        <v>84</v>
      </c>
      <c r="E88" s="66">
        <f>INDEX(UserInput!$C$2:$M$22,MATCH(UserMade_Scenario!B88,UserInput!$A$2:$A$22,0),MATCH(LEFT(IF(RIGHT(C88,2)="H2",UserMade_Scenario!C88,D88),3),UserInput!$C$25:$M$25,0))</f>
        <v>5</v>
      </c>
      <c r="F88" t="s">
        <v>81</v>
      </c>
      <c r="G88" s="14">
        <f t="shared" si="29"/>
        <v>1.0705490865668688E-4</v>
      </c>
      <c r="H88" s="63">
        <f t="shared" si="30"/>
        <v>4.0320808806157552E-3</v>
      </c>
      <c r="I88" s="63">
        <f t="shared" si="31"/>
        <v>3.6202579110347871E-3</v>
      </c>
      <c r="J88" s="63">
        <f t="shared" si="32"/>
        <v>4.4439038204577841E-3</v>
      </c>
      <c r="K88" s="30">
        <f>IF(OR(LEFT($D88,5)="Solar",$D88="Wind"),INDEX(Land_Use[AVG],MATCH(LEFT($D88,5),Land_Use[Tech],0)),0)*$E88</f>
        <v>0</v>
      </c>
      <c r="L88" s="30">
        <f>IF(OR(LEFT($D88,5)="Solar",$D88="Wind"),INDEX(Land_Use[MIN],MATCH(LEFT($D88,5),Land_Use[Tech],0)),0)*$E88</f>
        <v>0</v>
      </c>
      <c r="M88" s="30">
        <f>IF(OR(LEFT($D88,5)="Solar",$D88="Wind"),INDEX(Land_Use[MAX],MATCH(LEFT($D88,5),Land_Use[Tech],0)),0)*$E88</f>
        <v>0</v>
      </c>
      <c r="N88" s="15">
        <f t="shared" si="18"/>
        <v>2.0500000000000001E-2</v>
      </c>
      <c r="O88" s="11">
        <f t="shared" si="19"/>
        <v>0</v>
      </c>
      <c r="P88" s="11">
        <f t="shared" si="20"/>
        <v>0</v>
      </c>
      <c r="Q88" s="11">
        <f t="shared" si="21"/>
        <v>0</v>
      </c>
      <c r="R88" s="11">
        <f t="shared" si="22"/>
        <v>0</v>
      </c>
      <c r="S88" s="30">
        <f t="shared" si="33"/>
        <v>0</v>
      </c>
      <c r="T88" s="30">
        <f t="shared" si="34"/>
        <v>0</v>
      </c>
      <c r="U88" s="30">
        <f t="shared" si="35"/>
        <v>0</v>
      </c>
      <c r="V88" s="30">
        <f t="shared" si="36"/>
        <v>0</v>
      </c>
      <c r="W88" s="30">
        <f t="shared" si="37"/>
        <v>0</v>
      </c>
      <c r="X88" s="30">
        <f t="shared" si="38"/>
        <v>0</v>
      </c>
      <c r="Z88" s="23" t="s">
        <v>76</v>
      </c>
      <c r="AA88" s="40">
        <f>IF(C88="Electricity",E88*SUMIFS(Electricity!S:S,Electricity!P:P,UserMade_Scenario!B88,Electricity!M:M,UserMade_Scenario!Z88,Electricity!O:O,UserMade_Scenario!D88),"")</f>
        <v>29738.940360204004</v>
      </c>
      <c r="AB88" s="76">
        <f>1/Assumptions!$B$23/1000000000000</f>
        <v>3.5998225679871703E-9</v>
      </c>
      <c r="AC88" s="67" t="s">
        <v>82</v>
      </c>
      <c r="AD88" s="69">
        <f>INDEX(Table11[AVG
CO2e MT per MWh],MATCH(UserMade_Scenario!$B88,Table11[[Year]:[Year]],0))</f>
        <v>-0.1355825336</v>
      </c>
      <c r="AE88" s="69">
        <f>INDEX(Table11[MIN
CO2e MT per MWh],MATCH(UserMade_Scenario!$B88,Table11[[Year]:[Year]],0))</f>
        <v>-0.1217345967</v>
      </c>
      <c r="AF88" s="69">
        <f>INDEX(Table11[MAX CO2e MT per MWh],MATCH(UserMade_Scenario!$B88,Table11[[Year]:[Year]],0))</f>
        <v>-0.14943046950000002</v>
      </c>
      <c r="AG88" s="68">
        <f>IFERROR(INDEX(WaterUseH2[Average Direct Water Consumption (Gal/ kg h2)],MATCH(LEFT(D88,3),WaterUseH2[Key],0)),0)</f>
        <v>4.0999999999999996</v>
      </c>
      <c r="AH88">
        <v>14</v>
      </c>
      <c r="AI88">
        <v>1.4</v>
      </c>
      <c r="AJ88">
        <v>250</v>
      </c>
      <c r="AK88">
        <v>0.31</v>
      </c>
      <c r="AL88" s="63">
        <f>IFERROR(INDEX(Job_Training[[Solar]:[Wind]],MATCH(AL$1,Job_Training[[`Typical Entry Level Education`]:[`Typical Entry Level Education`]],0),MATCH(LEFT($D88,5),Job_Training[[#Headers],[Solar]:[Wind]],0)),0)</f>
        <v>0</v>
      </c>
      <c r="AM88" s="63">
        <f>IFERROR(INDEX(Job_Training[[Solar]:[Wind]],MATCH(AM$1,Job_Training[[`Typical Entry Level Education`]:[`Typical Entry Level Education`]],0),MATCH(LEFT($D88,5),Job_Training[[#Headers],[Solar]:[Wind]],0)),0)</f>
        <v>0</v>
      </c>
      <c r="AN88" s="63">
        <f>IFERROR(INDEX(Job_Training[[Solar]:[Wind]],MATCH(AN$1,Job_Training[[`Typical Entry Level Education`]:[`Typical Entry Level Education`]],0),MATCH(LEFT($D88,5),Job_Training[[#Headers],[Solar]:[Wind]],0)),0)</f>
        <v>0</v>
      </c>
      <c r="AO88" s="63">
        <f>IFERROR(INDEX(Job_Training[[Solar]:[Wind]],MATCH(AO$1,Job_Training[[`Typical Entry Level Education`]:[`Typical Entry Level Education`]],0),MATCH(LEFT($D88,5),Job_Training[[#Headers],[Solar]:[Wind]],0)),0)</f>
        <v>0</v>
      </c>
      <c r="AP88">
        <f t="shared" si="39"/>
        <v>0</v>
      </c>
      <c r="AQ88" s="63">
        <f>IF(AP88&gt;0,IFERROR(INDEX(Assumptions!$C$165:$D$165,MATCH(LEFT($D88,5),Job_Training[[#Headers],[Solar]:[Wind]],0)),0),0)</f>
        <v>0</v>
      </c>
      <c r="AR88">
        <f>IF(AP88&gt;0,IFERROR(INDEX(Assumptions!$C$166:$D$166,MATCH(LEFT($D88,5),Job_Training[[#Headers],[Solar]:[Wind]],0)),0),0)</f>
        <v>0</v>
      </c>
    </row>
    <row r="89" spans="1:44" x14ac:dyDescent="0.35">
      <c r="A89" t="str">
        <f>UserInput!$B$2</f>
        <v>Current Projects</v>
      </c>
      <c r="B89">
        <v>2028</v>
      </c>
      <c r="C89" t="s">
        <v>41</v>
      </c>
      <c r="D89" t="s">
        <v>84</v>
      </c>
      <c r="E89" s="66">
        <f>INDEX(UserInput!$C$2:$M$22,MATCH(UserMade_Scenario!B89,UserInput!$A$2:$A$22,0),MATCH(LEFT(IF(RIGHT(C89,2)="H2",UserMade_Scenario!C89,D89),3),UserInput!$C$25:$M$25,0))</f>
        <v>5</v>
      </c>
      <c r="F89" t="s">
        <v>81</v>
      </c>
      <c r="G89" s="14">
        <f t="shared" si="29"/>
        <v>1.0626926755202014E-4</v>
      </c>
      <c r="H89" s="63">
        <f t="shared" si="30"/>
        <v>3.8777975702828189E-3</v>
      </c>
      <c r="I89" s="63">
        <f t="shared" si="31"/>
        <v>3.4414291415318862E-3</v>
      </c>
      <c r="J89" s="63">
        <f t="shared" si="32"/>
        <v>4.3141659695130567E-3</v>
      </c>
      <c r="K89" s="30">
        <f>IF(OR(LEFT($D89,5)="Solar",$D89="Wind"),INDEX(Land_Use[AVG],MATCH(LEFT($D89,5),Land_Use[Tech],0)),0)*$E89</f>
        <v>0</v>
      </c>
      <c r="L89" s="30">
        <f>IF(OR(LEFT($D89,5)="Solar",$D89="Wind"),INDEX(Land_Use[MIN],MATCH(LEFT($D89,5),Land_Use[Tech],0)),0)*$E89</f>
        <v>0</v>
      </c>
      <c r="M89" s="30">
        <f>IF(OR(LEFT($D89,5)="Solar",$D89="Wind"),INDEX(Land_Use[MAX],MATCH(LEFT($D89,5),Land_Use[Tech],0)),0)*$E89</f>
        <v>0</v>
      </c>
      <c r="N89" s="15">
        <f t="shared" si="18"/>
        <v>2.0500000000000001E-2</v>
      </c>
      <c r="O89" s="11">
        <f t="shared" si="19"/>
        <v>0</v>
      </c>
      <c r="P89" s="11">
        <f t="shared" si="20"/>
        <v>0</v>
      </c>
      <c r="Q89" s="11">
        <f t="shared" si="21"/>
        <v>0</v>
      </c>
      <c r="R89" s="11">
        <f t="shared" si="22"/>
        <v>0</v>
      </c>
      <c r="S89" s="30">
        <f t="shared" si="33"/>
        <v>0</v>
      </c>
      <c r="T89" s="30">
        <f t="shared" si="34"/>
        <v>0</v>
      </c>
      <c r="U89" s="30">
        <f t="shared" si="35"/>
        <v>0</v>
      </c>
      <c r="V89" s="30">
        <f t="shared" si="36"/>
        <v>0</v>
      </c>
      <c r="W89" s="30">
        <f t="shared" si="37"/>
        <v>0</v>
      </c>
      <c r="X89" s="30">
        <f t="shared" si="38"/>
        <v>0</v>
      </c>
      <c r="Z89" s="23" t="s">
        <v>76</v>
      </c>
      <c r="AA89" s="40">
        <f>IF(C89="Electricity",E89*SUMIFS(Electricity!S:S,Electricity!P:P,UserMade_Scenario!B89,Electricity!M:M,UserMade_Scenario!Z89,Electricity!O:O,UserMade_Scenario!D89),"")</f>
        <v>29520.695963479186</v>
      </c>
      <c r="AB89" s="76">
        <f>1/Assumptions!$B$23/1000000000000</f>
        <v>3.5998225679871703E-9</v>
      </c>
      <c r="AC89" s="67" t="s">
        <v>82</v>
      </c>
      <c r="AD89" s="69">
        <f>INDEX(Table11[AVG
CO2e MT per MWh],MATCH(UserMade_Scenario!$B89,Table11[[Year]:[Year]],0))</f>
        <v>-0.13135860939999999</v>
      </c>
      <c r="AE89" s="69">
        <f>INDEX(Table11[MIN
CO2e MT per MWh],MATCH(UserMade_Scenario!$B89,Table11[[Year]:[Year]],0))</f>
        <v>-0.11657682955000001</v>
      </c>
      <c r="AF89" s="69">
        <f>INDEX(Table11[MAX CO2e MT per MWh],MATCH(UserMade_Scenario!$B89,Table11[[Year]:[Year]],0))</f>
        <v>-0.14614038825000003</v>
      </c>
      <c r="AG89" s="68">
        <f>IFERROR(INDEX(WaterUseH2[Average Direct Water Consumption (Gal/ kg h2)],MATCH(LEFT(D89,3),WaterUseH2[Key],0)),0)</f>
        <v>4.0999999999999996</v>
      </c>
      <c r="AH89">
        <v>14</v>
      </c>
      <c r="AI89">
        <v>1.4</v>
      </c>
      <c r="AJ89">
        <v>250</v>
      </c>
      <c r="AK89">
        <v>0.31</v>
      </c>
      <c r="AL89" s="63">
        <f>IFERROR(INDEX(Job_Training[[Solar]:[Wind]],MATCH(AL$1,Job_Training[[`Typical Entry Level Education`]:[`Typical Entry Level Education`]],0),MATCH(LEFT($D89,5),Job_Training[[#Headers],[Solar]:[Wind]],0)),0)</f>
        <v>0</v>
      </c>
      <c r="AM89" s="63">
        <f>IFERROR(INDEX(Job_Training[[Solar]:[Wind]],MATCH(AM$1,Job_Training[[`Typical Entry Level Education`]:[`Typical Entry Level Education`]],0),MATCH(LEFT($D89,5),Job_Training[[#Headers],[Solar]:[Wind]],0)),0)</f>
        <v>0</v>
      </c>
      <c r="AN89" s="63">
        <f>IFERROR(INDEX(Job_Training[[Solar]:[Wind]],MATCH(AN$1,Job_Training[[`Typical Entry Level Education`]:[`Typical Entry Level Education`]],0),MATCH(LEFT($D89,5),Job_Training[[#Headers],[Solar]:[Wind]],0)),0)</f>
        <v>0</v>
      </c>
      <c r="AO89" s="63">
        <f>IFERROR(INDEX(Job_Training[[Solar]:[Wind]],MATCH(AO$1,Job_Training[[`Typical Entry Level Education`]:[`Typical Entry Level Education`]],0),MATCH(LEFT($D89,5),Job_Training[[#Headers],[Solar]:[Wind]],0)),0)</f>
        <v>0</v>
      </c>
      <c r="AP89">
        <f t="shared" si="39"/>
        <v>0</v>
      </c>
      <c r="AQ89" s="63">
        <f>IF(AP89&gt;0,IFERROR(INDEX(Assumptions!$C$165:$D$165,MATCH(LEFT($D89,5),Job_Training[[#Headers],[Solar]:[Wind]],0)),0),0)</f>
        <v>0</v>
      </c>
      <c r="AR89">
        <f>IF(AP89&gt;0,IFERROR(INDEX(Assumptions!$C$166:$D$166,MATCH(LEFT($D89,5),Job_Training[[#Headers],[Solar]:[Wind]],0)),0),0)</f>
        <v>0</v>
      </c>
    </row>
    <row r="90" spans="1:44" x14ac:dyDescent="0.35">
      <c r="A90" t="str">
        <f>UserInput!$B$2</f>
        <v>Current Projects</v>
      </c>
      <c r="B90">
        <v>2029</v>
      </c>
      <c r="C90" t="s">
        <v>41</v>
      </c>
      <c r="D90" t="s">
        <v>84</v>
      </c>
      <c r="E90" s="66">
        <f>INDEX(UserInput!$C$2:$M$22,MATCH(UserMade_Scenario!B90,UserInput!$A$2:$A$22,0),MATCH(LEFT(IF(RIGHT(C90,2)="H2",UserMade_Scenario!C90,D90),3),UserInput!$C$25:$M$25,0))</f>
        <v>5</v>
      </c>
      <c r="F90" t="s">
        <v>81</v>
      </c>
      <c r="G90" s="14">
        <f t="shared" si="29"/>
        <v>1.0548362644735336E-4</v>
      </c>
      <c r="H90" s="63">
        <f t="shared" si="30"/>
        <v>3.7253579555275619E-3</v>
      </c>
      <c r="I90" s="63">
        <f t="shared" si="31"/>
        <v>3.2648516795891823E-3</v>
      </c>
      <c r="J90" s="63">
        <f t="shared" si="32"/>
        <v>4.1858642021634926E-3</v>
      </c>
      <c r="K90" s="30">
        <f>IF(OR(LEFT($D90,5)="Solar",$D90="Wind"),INDEX(Land_Use[AVG],MATCH(LEFT($D90,5),Land_Use[Tech],0)),0)*$E90</f>
        <v>0</v>
      </c>
      <c r="L90" s="30">
        <f>IF(OR(LEFT($D90,5)="Solar",$D90="Wind"),INDEX(Land_Use[MIN],MATCH(LEFT($D90,5),Land_Use[Tech],0)),0)*$E90</f>
        <v>0</v>
      </c>
      <c r="M90" s="30">
        <f>IF(OR(LEFT($D90,5)="Solar",$D90="Wind"),INDEX(Land_Use[MAX],MATCH(LEFT($D90,5),Land_Use[Tech],0)),0)*$E90</f>
        <v>0</v>
      </c>
      <c r="N90" s="15">
        <f t="shared" si="18"/>
        <v>2.0500000000000001E-2</v>
      </c>
      <c r="O90" s="11">
        <f t="shared" si="19"/>
        <v>0</v>
      </c>
      <c r="P90" s="11">
        <f t="shared" si="20"/>
        <v>0</v>
      </c>
      <c r="Q90" s="11">
        <f t="shared" si="21"/>
        <v>0</v>
      </c>
      <c r="R90" s="11">
        <f t="shared" si="22"/>
        <v>0</v>
      </c>
      <c r="S90" s="30">
        <f t="shared" si="33"/>
        <v>0</v>
      </c>
      <c r="T90" s="30">
        <f t="shared" si="34"/>
        <v>0</v>
      </c>
      <c r="U90" s="30">
        <f t="shared" si="35"/>
        <v>0</v>
      </c>
      <c r="V90" s="30">
        <f t="shared" si="36"/>
        <v>0</v>
      </c>
      <c r="W90" s="30">
        <f t="shared" si="37"/>
        <v>0</v>
      </c>
      <c r="X90" s="30">
        <f t="shared" si="38"/>
        <v>0</v>
      </c>
      <c r="Z90" s="23" t="s">
        <v>76</v>
      </c>
      <c r="AA90" s="40">
        <f>IF(C90="Electricity",E90*SUMIFS(Electricity!S:S,Electricity!P:P,UserMade_Scenario!B90,Electricity!M:M,UserMade_Scenario!Z90,Electricity!O:O,UserMade_Scenario!D90),"")</f>
        <v>29302.45156675436</v>
      </c>
      <c r="AB90" s="76">
        <f>1/Assumptions!$B$23/1000000000000</f>
        <v>3.5998225679871703E-9</v>
      </c>
      <c r="AC90" s="67" t="s">
        <v>82</v>
      </c>
      <c r="AD90" s="69">
        <f>INDEX(Table11[AVG
CO2e MT per MWh],MATCH(UserMade_Scenario!$B90,Table11[[Year]:[Year]],0))</f>
        <v>-0.12713468519999999</v>
      </c>
      <c r="AE90" s="69">
        <f>INDEX(Table11[MIN
CO2e MT per MWh],MATCH(UserMade_Scenario!$B90,Table11[[Year]:[Year]],0))</f>
        <v>-0.11141906240000002</v>
      </c>
      <c r="AF90" s="69">
        <f>INDEX(Table11[MAX CO2e MT per MWh],MATCH(UserMade_Scenario!$B90,Table11[[Year]:[Year]],0))</f>
        <v>-0.14285030700000004</v>
      </c>
      <c r="AG90" s="68">
        <f>IFERROR(INDEX(WaterUseH2[Average Direct Water Consumption (Gal/ kg h2)],MATCH(LEFT(D90,3),WaterUseH2[Key],0)),0)</f>
        <v>4.0999999999999996</v>
      </c>
      <c r="AH90">
        <v>14</v>
      </c>
      <c r="AI90">
        <v>1.4</v>
      </c>
      <c r="AJ90">
        <v>250</v>
      </c>
      <c r="AK90">
        <v>0.31</v>
      </c>
      <c r="AL90" s="63">
        <f>IFERROR(INDEX(Job_Training[[Solar]:[Wind]],MATCH(AL$1,Job_Training[[`Typical Entry Level Education`]:[`Typical Entry Level Education`]],0),MATCH(LEFT($D90,5),Job_Training[[#Headers],[Solar]:[Wind]],0)),0)</f>
        <v>0</v>
      </c>
      <c r="AM90" s="63">
        <f>IFERROR(INDEX(Job_Training[[Solar]:[Wind]],MATCH(AM$1,Job_Training[[`Typical Entry Level Education`]:[`Typical Entry Level Education`]],0),MATCH(LEFT($D90,5),Job_Training[[#Headers],[Solar]:[Wind]],0)),0)</f>
        <v>0</v>
      </c>
      <c r="AN90" s="63">
        <f>IFERROR(INDEX(Job_Training[[Solar]:[Wind]],MATCH(AN$1,Job_Training[[`Typical Entry Level Education`]:[`Typical Entry Level Education`]],0),MATCH(LEFT($D90,5),Job_Training[[#Headers],[Solar]:[Wind]],0)),0)</f>
        <v>0</v>
      </c>
      <c r="AO90" s="63">
        <f>IFERROR(INDEX(Job_Training[[Solar]:[Wind]],MATCH(AO$1,Job_Training[[`Typical Entry Level Education`]:[`Typical Entry Level Education`]],0),MATCH(LEFT($D90,5),Job_Training[[#Headers],[Solar]:[Wind]],0)),0)</f>
        <v>0</v>
      </c>
      <c r="AP90">
        <f t="shared" si="39"/>
        <v>0</v>
      </c>
      <c r="AQ90" s="63">
        <f>IF(AP90&gt;0,IFERROR(INDEX(Assumptions!$C$165:$D$165,MATCH(LEFT($D90,5),Job_Training[[#Headers],[Solar]:[Wind]],0)),0),0)</f>
        <v>0</v>
      </c>
      <c r="AR90">
        <f>IF(AP90&gt;0,IFERROR(INDEX(Assumptions!$C$166:$D$166,MATCH(LEFT($D90,5),Job_Training[[#Headers],[Solar]:[Wind]],0)),0),0)</f>
        <v>0</v>
      </c>
    </row>
    <row r="91" spans="1:44" x14ac:dyDescent="0.35">
      <c r="A91" t="str">
        <f>UserInput!$B$2</f>
        <v>Current Projects</v>
      </c>
      <c r="B91">
        <v>2030</v>
      </c>
      <c r="C91" t="s">
        <v>41</v>
      </c>
      <c r="D91" t="s">
        <v>84</v>
      </c>
      <c r="E91" s="66">
        <f>INDEX(UserInput!$C$2:$M$22,MATCH(UserMade_Scenario!B91,UserInput!$A$2:$A$22,0),MATCH(LEFT(IF(RIGHT(C91,2)="H2",UserMade_Scenario!C91,D91),3),UserInput!$C$25:$M$25,0))</f>
        <v>10</v>
      </c>
      <c r="F91" t="s">
        <v>81</v>
      </c>
      <c r="G91" s="14">
        <f t="shared" si="29"/>
        <v>2.0939597068537322E-4</v>
      </c>
      <c r="H91" s="63">
        <f t="shared" si="30"/>
        <v>7.1495240726999736E-3</v>
      </c>
      <c r="I91" s="63">
        <f t="shared" si="31"/>
        <v>6.181051050413354E-3</v>
      </c>
      <c r="J91" s="63">
        <f t="shared" si="32"/>
        <v>8.1179970368181857E-3</v>
      </c>
      <c r="K91" s="30">
        <f>IF(OR(LEFT($D91,5)="Solar",$D91="Wind"),INDEX(Land_Use[AVG],MATCH(LEFT($D91,5),Land_Use[Tech],0)),0)*$E91</f>
        <v>0</v>
      </c>
      <c r="L91" s="30">
        <f>IF(OR(LEFT($D91,5)="Solar",$D91="Wind"),INDEX(Land_Use[MIN],MATCH(LEFT($D91,5),Land_Use[Tech],0)),0)*$E91</f>
        <v>0</v>
      </c>
      <c r="M91" s="30">
        <f>IF(OR(LEFT($D91,5)="Solar",$D91="Wind"),INDEX(Land_Use[MAX],MATCH(LEFT($D91,5),Land_Use[Tech],0)),0)*$E91</f>
        <v>0</v>
      </c>
      <c r="N91" s="15">
        <f t="shared" si="18"/>
        <v>4.1000000000000002E-2</v>
      </c>
      <c r="O91" s="11">
        <f t="shared" si="19"/>
        <v>0</v>
      </c>
      <c r="P91" s="11">
        <f t="shared" si="20"/>
        <v>0</v>
      </c>
      <c r="Q91" s="11">
        <f t="shared" si="21"/>
        <v>0</v>
      </c>
      <c r="R91" s="11">
        <f t="shared" si="22"/>
        <v>0</v>
      </c>
      <c r="S91" s="30">
        <f t="shared" si="33"/>
        <v>0</v>
      </c>
      <c r="T91" s="30">
        <f t="shared" si="34"/>
        <v>0</v>
      </c>
      <c r="U91" s="30">
        <f t="shared" si="35"/>
        <v>0</v>
      </c>
      <c r="V91" s="30">
        <f t="shared" si="36"/>
        <v>0</v>
      </c>
      <c r="W91" s="30">
        <f t="shared" si="37"/>
        <v>0</v>
      </c>
      <c r="X91" s="30">
        <f t="shared" si="38"/>
        <v>0</v>
      </c>
      <c r="Z91" s="23" t="s">
        <v>76</v>
      </c>
      <c r="AA91" s="40">
        <f>IF(C91="Electricity",E91*SUMIFS(Electricity!S:S,Electricity!P:P,UserMade_Scenario!B91,Electricity!M:M,UserMade_Scenario!Z91,Electricity!O:O,UserMade_Scenario!D91),"")</f>
        <v>58168.414340059084</v>
      </c>
      <c r="AB91" s="76">
        <f>1/Assumptions!$B$23/1000000000000</f>
        <v>3.5998225679871703E-9</v>
      </c>
      <c r="AC91" s="67" t="s">
        <v>82</v>
      </c>
      <c r="AD91" s="69">
        <f>INDEX(Table11[AVG
CO2e MT per MWh],MATCH(UserMade_Scenario!$B91,Table11[[Year]:[Year]],0))</f>
        <v>-0.12291076099999998</v>
      </c>
      <c r="AE91" s="69">
        <f>INDEX(Table11[MIN
CO2e MT per MWh],MATCH(UserMade_Scenario!$B91,Table11[[Year]:[Year]],0))</f>
        <v>-0.10626129525000003</v>
      </c>
      <c r="AF91" s="69">
        <f>INDEX(Table11[MAX CO2e MT per MWh],MATCH(UserMade_Scenario!$B91,Table11[[Year]:[Year]],0))</f>
        <v>-0.13956022575000004</v>
      </c>
      <c r="AG91" s="68">
        <f>IFERROR(INDEX(WaterUseH2[Average Direct Water Consumption (Gal/ kg h2)],MATCH(LEFT(D91,3),WaterUseH2[Key],0)),0)</f>
        <v>4.0999999999999996</v>
      </c>
      <c r="AH91">
        <v>14</v>
      </c>
      <c r="AI91">
        <v>1.4</v>
      </c>
      <c r="AJ91">
        <v>250</v>
      </c>
      <c r="AK91">
        <v>0.31</v>
      </c>
      <c r="AL91" s="63">
        <f>IFERROR(INDEX(Job_Training[[Solar]:[Wind]],MATCH(AL$1,Job_Training[[`Typical Entry Level Education`]:[`Typical Entry Level Education`]],0),MATCH(LEFT($D91,5),Job_Training[[#Headers],[Solar]:[Wind]],0)),0)</f>
        <v>0</v>
      </c>
      <c r="AM91" s="63">
        <f>IFERROR(INDEX(Job_Training[[Solar]:[Wind]],MATCH(AM$1,Job_Training[[`Typical Entry Level Education`]:[`Typical Entry Level Education`]],0),MATCH(LEFT($D91,5),Job_Training[[#Headers],[Solar]:[Wind]],0)),0)</f>
        <v>0</v>
      </c>
      <c r="AN91" s="63">
        <f>IFERROR(INDEX(Job_Training[[Solar]:[Wind]],MATCH(AN$1,Job_Training[[`Typical Entry Level Education`]:[`Typical Entry Level Education`]],0),MATCH(LEFT($D91,5),Job_Training[[#Headers],[Solar]:[Wind]],0)),0)</f>
        <v>0</v>
      </c>
      <c r="AO91" s="63">
        <f>IFERROR(INDEX(Job_Training[[Solar]:[Wind]],MATCH(AO$1,Job_Training[[`Typical Entry Level Education`]:[`Typical Entry Level Education`]],0),MATCH(LEFT($D91,5),Job_Training[[#Headers],[Solar]:[Wind]],0)),0)</f>
        <v>0</v>
      </c>
      <c r="AP91">
        <f t="shared" si="39"/>
        <v>5</v>
      </c>
      <c r="AQ91" s="63">
        <f>IF(AP91&gt;0,IFERROR(INDEX(Assumptions!$C$165:$D$165,MATCH(LEFT($D91,5),Job_Training[[#Headers],[Solar]:[Wind]],0)),0),0)</f>
        <v>0</v>
      </c>
      <c r="AR91">
        <f>IF(AP91&gt;0,IFERROR(INDEX(Assumptions!$C$166:$D$166,MATCH(LEFT($D91,5),Job_Training[[#Headers],[Solar]:[Wind]],0)),0),0)</f>
        <v>0</v>
      </c>
    </row>
    <row r="92" spans="1:44" x14ac:dyDescent="0.35">
      <c r="A92" t="str">
        <f>UserInput!$B$2</f>
        <v>Current Projects</v>
      </c>
      <c r="B92">
        <v>2031</v>
      </c>
      <c r="C92" t="s">
        <v>41</v>
      </c>
      <c r="D92" t="s">
        <v>84</v>
      </c>
      <c r="E92" s="66">
        <f>INDEX(UserInput!$C$2:$M$22,MATCH(UserMade_Scenario!B92,UserInput!$A$2:$A$22,0),MATCH(LEFT(IF(RIGHT(C92,2)="H2",UserMade_Scenario!C92,D92),3),UserInput!$C$25:$M$25,0))</f>
        <v>10</v>
      </c>
      <c r="F92" t="s">
        <v>81</v>
      </c>
      <c r="G92" s="14">
        <f t="shared" si="29"/>
        <v>2.078246884760397E-4</v>
      </c>
      <c r="H92" s="63">
        <f t="shared" si="30"/>
        <v>6.8520196255001829E-3</v>
      </c>
      <c r="I92" s="63">
        <f t="shared" si="31"/>
        <v>5.8369013567687372E-3</v>
      </c>
      <c r="J92" s="63">
        <f t="shared" si="32"/>
        <v>7.8671378364997113E-3</v>
      </c>
      <c r="K92" s="30">
        <f>IF(OR(LEFT($D92,5)="Solar",$D92="Wind"),INDEX(Land_Use[AVG],MATCH(LEFT($D92,5),Land_Use[Tech],0)),0)*$E92</f>
        <v>0</v>
      </c>
      <c r="L92" s="30">
        <f>IF(OR(LEFT($D92,5)="Solar",$D92="Wind"),INDEX(Land_Use[MIN],MATCH(LEFT($D92,5),Land_Use[Tech],0)),0)*$E92</f>
        <v>0</v>
      </c>
      <c r="M92" s="30">
        <f>IF(OR(LEFT($D92,5)="Solar",$D92="Wind"),INDEX(Land_Use[MAX],MATCH(LEFT($D92,5),Land_Use[Tech],0)),0)*$E92</f>
        <v>0</v>
      </c>
      <c r="N92" s="15">
        <f t="shared" si="18"/>
        <v>4.1000000000000002E-2</v>
      </c>
      <c r="O92" s="11">
        <f t="shared" si="19"/>
        <v>0</v>
      </c>
      <c r="P92" s="11">
        <f t="shared" si="20"/>
        <v>0</v>
      </c>
      <c r="Q92" s="11">
        <f t="shared" si="21"/>
        <v>0</v>
      </c>
      <c r="R92" s="11">
        <f t="shared" si="22"/>
        <v>0</v>
      </c>
      <c r="S92" s="30">
        <f t="shared" si="33"/>
        <v>0</v>
      </c>
      <c r="T92" s="30">
        <f t="shared" si="34"/>
        <v>0</v>
      </c>
      <c r="U92" s="30">
        <f t="shared" si="35"/>
        <v>0</v>
      </c>
      <c r="V92" s="30">
        <f t="shared" si="36"/>
        <v>0</v>
      </c>
      <c r="W92" s="30">
        <f t="shared" si="37"/>
        <v>0</v>
      </c>
      <c r="X92" s="30">
        <f t="shared" si="38"/>
        <v>0</v>
      </c>
      <c r="Z92" s="23" t="s">
        <v>76</v>
      </c>
      <c r="AA92" s="40">
        <f>IF(C92="Electricity",E92*SUMIFS(Electricity!S:S,Electricity!P:P,UserMade_Scenario!B92,Electricity!M:M,UserMade_Scenario!Z92,Electricity!O:O,UserMade_Scenario!D92),"")</f>
        <v>57731.925546609433</v>
      </c>
      <c r="AB92" s="76">
        <f>1/Assumptions!$B$23/1000000000000</f>
        <v>3.5998225679871703E-9</v>
      </c>
      <c r="AC92" s="67" t="s">
        <v>82</v>
      </c>
      <c r="AD92" s="69">
        <f>INDEX(Table11[AVG
CO2e MT per MWh],MATCH(UserMade_Scenario!$B92,Table11[[Year]:[Year]],0))</f>
        <v>-0.11868683679999997</v>
      </c>
      <c r="AE92" s="69">
        <f>INDEX(Table11[MIN
CO2e MT per MWh],MATCH(UserMade_Scenario!$B92,Table11[[Year]:[Year]],0))</f>
        <v>-0.10110352810000003</v>
      </c>
      <c r="AF92" s="69">
        <f>INDEX(Table11[MAX CO2e MT per MWh],MATCH(UserMade_Scenario!$B92,Table11[[Year]:[Year]],0))</f>
        <v>-0.13627014450000005</v>
      </c>
      <c r="AG92" s="68">
        <f>IFERROR(INDEX(WaterUseH2[Average Direct Water Consumption (Gal/ kg h2)],MATCH(LEFT(D92,3),WaterUseH2[Key],0)),0)</f>
        <v>4.0999999999999996</v>
      </c>
      <c r="AH92">
        <v>14</v>
      </c>
      <c r="AI92">
        <v>1.4</v>
      </c>
      <c r="AJ92">
        <v>250</v>
      </c>
      <c r="AK92">
        <v>0.31</v>
      </c>
      <c r="AL92" s="63">
        <f>IFERROR(INDEX(Job_Training[[Solar]:[Wind]],MATCH(AL$1,Job_Training[[`Typical Entry Level Education`]:[`Typical Entry Level Education`]],0),MATCH(LEFT($D92,5),Job_Training[[#Headers],[Solar]:[Wind]],0)),0)</f>
        <v>0</v>
      </c>
      <c r="AM92" s="63">
        <f>IFERROR(INDEX(Job_Training[[Solar]:[Wind]],MATCH(AM$1,Job_Training[[`Typical Entry Level Education`]:[`Typical Entry Level Education`]],0),MATCH(LEFT($D92,5),Job_Training[[#Headers],[Solar]:[Wind]],0)),0)</f>
        <v>0</v>
      </c>
      <c r="AN92" s="63">
        <f>IFERROR(INDEX(Job_Training[[Solar]:[Wind]],MATCH(AN$1,Job_Training[[`Typical Entry Level Education`]:[`Typical Entry Level Education`]],0),MATCH(LEFT($D92,5),Job_Training[[#Headers],[Solar]:[Wind]],0)),0)</f>
        <v>0</v>
      </c>
      <c r="AO92" s="63">
        <f>IFERROR(INDEX(Job_Training[[Solar]:[Wind]],MATCH(AO$1,Job_Training[[`Typical Entry Level Education`]:[`Typical Entry Level Education`]],0),MATCH(LEFT($D92,5),Job_Training[[#Headers],[Solar]:[Wind]],0)),0)</f>
        <v>0</v>
      </c>
      <c r="AP92">
        <f t="shared" si="39"/>
        <v>0</v>
      </c>
      <c r="AQ92" s="63">
        <f>IF(AP92&gt;0,IFERROR(INDEX(Assumptions!$C$165:$D$165,MATCH(LEFT($D92,5),Job_Training[[#Headers],[Solar]:[Wind]],0)),0),0)</f>
        <v>0</v>
      </c>
      <c r="AR92">
        <f>IF(AP92&gt;0,IFERROR(INDEX(Assumptions!$C$166:$D$166,MATCH(LEFT($D92,5),Job_Training[[#Headers],[Solar]:[Wind]],0)),0),0)</f>
        <v>0</v>
      </c>
    </row>
    <row r="93" spans="1:44" x14ac:dyDescent="0.35">
      <c r="A93" t="str">
        <f>UserInput!$B$2</f>
        <v>Current Projects</v>
      </c>
      <c r="B93">
        <v>2032</v>
      </c>
      <c r="C93" t="s">
        <v>41</v>
      </c>
      <c r="D93" t="s">
        <v>84</v>
      </c>
      <c r="E93" s="66">
        <f>INDEX(UserInput!$C$2:$M$22,MATCH(UserMade_Scenario!B93,UserInput!$A$2:$A$22,0),MATCH(LEFT(IF(RIGHT(C93,2)="H2",UserMade_Scenario!C93,D93),3),UserInput!$C$25:$M$25,0))</f>
        <v>15</v>
      </c>
      <c r="F93" t="s">
        <v>81</v>
      </c>
      <c r="G93" s="14">
        <f t="shared" si="29"/>
        <v>3.0938010940005932E-4</v>
      </c>
      <c r="H93" s="63">
        <f t="shared" si="30"/>
        <v>9.8373038541836339E-3</v>
      </c>
      <c r="I93" s="63">
        <f t="shared" si="31"/>
        <v>8.2458814173667749E-3</v>
      </c>
      <c r="J93" s="63">
        <f t="shared" si="32"/>
        <v>1.1428726205057351E-2</v>
      </c>
      <c r="K93" s="30">
        <f>IF(OR(LEFT($D93,5)="Solar",$D93="Wind"),INDEX(Land_Use[AVG],MATCH(LEFT($D93,5),Land_Use[Tech],0)),0)*$E93</f>
        <v>0</v>
      </c>
      <c r="L93" s="30">
        <f>IF(OR(LEFT($D93,5)="Solar",$D93="Wind"),INDEX(Land_Use[MIN],MATCH(LEFT($D93,5),Land_Use[Tech],0)),0)*$E93</f>
        <v>0</v>
      </c>
      <c r="M93" s="30">
        <f>IF(OR(LEFT($D93,5)="Solar",$D93="Wind"),INDEX(Land_Use[MAX],MATCH(LEFT($D93,5),Land_Use[Tech],0)),0)*$E93</f>
        <v>0</v>
      </c>
      <c r="N93" s="15">
        <f t="shared" si="18"/>
        <v>6.1499999999999992E-2</v>
      </c>
      <c r="O93" s="11">
        <f t="shared" si="19"/>
        <v>0</v>
      </c>
      <c r="P93" s="11">
        <f t="shared" si="20"/>
        <v>0</v>
      </c>
      <c r="Q93" s="11">
        <f t="shared" si="21"/>
        <v>0</v>
      </c>
      <c r="R93" s="11">
        <f t="shared" si="22"/>
        <v>0</v>
      </c>
      <c r="S93" s="30">
        <f t="shared" si="33"/>
        <v>0</v>
      </c>
      <c r="T93" s="30">
        <f t="shared" si="34"/>
        <v>0</v>
      </c>
      <c r="U93" s="30">
        <f t="shared" si="35"/>
        <v>0</v>
      </c>
      <c r="V93" s="30">
        <f t="shared" si="36"/>
        <v>0</v>
      </c>
      <c r="W93" s="30">
        <f t="shared" si="37"/>
        <v>0</v>
      </c>
      <c r="X93" s="30">
        <f t="shared" si="38"/>
        <v>0</v>
      </c>
      <c r="Z93" s="23" t="s">
        <v>76</v>
      </c>
      <c r="AA93" s="40">
        <f>IF(C93="Electricity",E93*SUMIFS(Electricity!S:S,Electricity!P:P,UserMade_Scenario!B93,Electricity!M:M,UserMade_Scenario!Z93,Electricity!O:O,UserMade_Scenario!D93),"")</f>
        <v>85943.155129739695</v>
      </c>
      <c r="AB93" s="76">
        <f>1/Assumptions!$B$23/1000000000000</f>
        <v>3.5998225679871703E-9</v>
      </c>
      <c r="AC93" s="67" t="s">
        <v>82</v>
      </c>
      <c r="AD93" s="69">
        <f>INDEX(Table11[AVG
CO2e MT per MWh],MATCH(UserMade_Scenario!$B93,Table11[[Year]:[Year]],0))</f>
        <v>-0.11446291259999997</v>
      </c>
      <c r="AE93" s="69">
        <f>INDEX(Table11[MIN
CO2e MT per MWh],MATCH(UserMade_Scenario!$B93,Table11[[Year]:[Year]],0))</f>
        <v>-9.5945760950000042E-2</v>
      </c>
      <c r="AF93" s="69">
        <f>INDEX(Table11[MAX CO2e MT per MWh],MATCH(UserMade_Scenario!$B93,Table11[[Year]:[Year]],0))</f>
        <v>-0.13298006325000006</v>
      </c>
      <c r="AG93" s="68">
        <f>IFERROR(INDEX(WaterUseH2[Average Direct Water Consumption (Gal/ kg h2)],MATCH(LEFT(D93,3),WaterUseH2[Key],0)),0)</f>
        <v>4.0999999999999996</v>
      </c>
      <c r="AH93">
        <v>14</v>
      </c>
      <c r="AI93">
        <v>1.4</v>
      </c>
      <c r="AJ93">
        <v>250</v>
      </c>
      <c r="AK93">
        <v>0.31</v>
      </c>
      <c r="AL93" s="63">
        <f>IFERROR(INDEX(Job_Training[[Solar]:[Wind]],MATCH(AL$1,Job_Training[[`Typical Entry Level Education`]:[`Typical Entry Level Education`]],0),MATCH(LEFT($D93,5),Job_Training[[#Headers],[Solar]:[Wind]],0)),0)</f>
        <v>0</v>
      </c>
      <c r="AM93" s="63">
        <f>IFERROR(INDEX(Job_Training[[Solar]:[Wind]],MATCH(AM$1,Job_Training[[`Typical Entry Level Education`]:[`Typical Entry Level Education`]],0),MATCH(LEFT($D93,5),Job_Training[[#Headers],[Solar]:[Wind]],0)),0)</f>
        <v>0</v>
      </c>
      <c r="AN93" s="63">
        <f>IFERROR(INDEX(Job_Training[[Solar]:[Wind]],MATCH(AN$1,Job_Training[[`Typical Entry Level Education`]:[`Typical Entry Level Education`]],0),MATCH(LEFT($D93,5),Job_Training[[#Headers],[Solar]:[Wind]],0)),0)</f>
        <v>0</v>
      </c>
      <c r="AO93" s="63">
        <f>IFERROR(INDEX(Job_Training[[Solar]:[Wind]],MATCH(AO$1,Job_Training[[`Typical Entry Level Education`]:[`Typical Entry Level Education`]],0),MATCH(LEFT($D93,5),Job_Training[[#Headers],[Solar]:[Wind]],0)),0)</f>
        <v>0</v>
      </c>
      <c r="AP93">
        <f t="shared" si="39"/>
        <v>5</v>
      </c>
      <c r="AQ93" s="63">
        <f>IF(AP93&gt;0,IFERROR(INDEX(Assumptions!$C$165:$D$165,MATCH(LEFT($D93,5),Job_Training[[#Headers],[Solar]:[Wind]],0)),0),0)</f>
        <v>0</v>
      </c>
      <c r="AR93">
        <f>IF(AP93&gt;0,IFERROR(INDEX(Assumptions!$C$166:$D$166,MATCH(LEFT($D93,5),Job_Training[[#Headers],[Solar]:[Wind]],0)),0),0)</f>
        <v>0</v>
      </c>
    </row>
    <row r="94" spans="1:44" x14ac:dyDescent="0.35">
      <c r="A94" t="str">
        <f>UserInput!$B$2</f>
        <v>Current Projects</v>
      </c>
      <c r="B94">
        <v>2033</v>
      </c>
      <c r="C94" t="s">
        <v>41</v>
      </c>
      <c r="D94" t="s">
        <v>84</v>
      </c>
      <c r="E94" s="66">
        <f>INDEX(UserInput!$C$2:$M$22,MATCH(UserMade_Scenario!B94,UserInput!$A$2:$A$22,0),MATCH(LEFT(IF(RIGHT(C94,2)="H2",UserMade_Scenario!C94,D94),3),UserInput!$C$25:$M$25,0))</f>
        <v>15</v>
      </c>
      <c r="F94" t="s">
        <v>81</v>
      </c>
      <c r="G94" s="14">
        <f t="shared" si="29"/>
        <v>3.0702318608605896E-4</v>
      </c>
      <c r="H94" s="63">
        <f t="shared" si="30"/>
        <v>9.4021093568500327E-3</v>
      </c>
      <c r="I94" s="63">
        <f t="shared" si="31"/>
        <v>7.7431647222610351E-3</v>
      </c>
      <c r="J94" s="63">
        <f t="shared" si="32"/>
        <v>1.1061053906150625E-2</v>
      </c>
      <c r="K94" s="30">
        <f>IF(OR(LEFT($D94,5)="Solar",$D94="Wind"),INDEX(Land_Use[AVG],MATCH(LEFT($D94,5),Land_Use[Tech],0)),0)*$E94</f>
        <v>0</v>
      </c>
      <c r="L94" s="30">
        <f>IF(OR(LEFT($D94,5)="Solar",$D94="Wind"),INDEX(Land_Use[MIN],MATCH(LEFT($D94,5),Land_Use[Tech],0)),0)*$E94</f>
        <v>0</v>
      </c>
      <c r="M94" s="30">
        <f>IF(OR(LEFT($D94,5)="Solar",$D94="Wind"),INDEX(Land_Use[MAX],MATCH(LEFT($D94,5),Land_Use[Tech],0)),0)*$E94</f>
        <v>0</v>
      </c>
      <c r="N94" s="15">
        <f t="shared" si="18"/>
        <v>6.1499999999999992E-2</v>
      </c>
      <c r="O94" s="11">
        <f t="shared" si="19"/>
        <v>0</v>
      </c>
      <c r="P94" s="11">
        <f t="shared" si="20"/>
        <v>0</v>
      </c>
      <c r="Q94" s="11">
        <f t="shared" si="21"/>
        <v>0</v>
      </c>
      <c r="R94" s="11">
        <f t="shared" si="22"/>
        <v>0</v>
      </c>
      <c r="S94" s="30">
        <f t="shared" si="33"/>
        <v>0</v>
      </c>
      <c r="T94" s="30">
        <f t="shared" si="34"/>
        <v>0</v>
      </c>
      <c r="U94" s="30">
        <f t="shared" si="35"/>
        <v>0</v>
      </c>
      <c r="V94" s="30">
        <f t="shared" si="36"/>
        <v>0</v>
      </c>
      <c r="W94" s="30">
        <f t="shared" si="37"/>
        <v>0</v>
      </c>
      <c r="X94" s="30">
        <f t="shared" si="38"/>
        <v>0</v>
      </c>
      <c r="Z94" s="23" t="s">
        <v>76</v>
      </c>
      <c r="AA94" s="40">
        <f>IF(C94="Electricity",E94*SUMIFS(Electricity!S:S,Electricity!P:P,UserMade_Scenario!B94,Electricity!M:M,UserMade_Scenario!Z94,Electricity!O:O,UserMade_Scenario!D94),"")</f>
        <v>85288.421939565218</v>
      </c>
      <c r="AB94" s="76">
        <f>1/Assumptions!$B$23/1000000000000</f>
        <v>3.5998225679871703E-9</v>
      </c>
      <c r="AC94" s="67" t="s">
        <v>82</v>
      </c>
      <c r="AD94" s="69">
        <f>INDEX(Table11[AVG
CO2e MT per MWh],MATCH(UserMade_Scenario!$B94,Table11[[Year]:[Year]],0))</f>
        <v>-0.11023898839999996</v>
      </c>
      <c r="AE94" s="69">
        <f>INDEX(Table11[MIN
CO2e MT per MWh],MATCH(UserMade_Scenario!$B94,Table11[[Year]:[Year]],0))</f>
        <v>-9.078799380000005E-2</v>
      </c>
      <c r="AF94" s="69">
        <f>INDEX(Table11[MAX CO2e MT per MWh],MATCH(UserMade_Scenario!$B94,Table11[[Year]:[Year]],0))</f>
        <v>-0.12968998200000006</v>
      </c>
      <c r="AG94" s="68">
        <f>IFERROR(INDEX(WaterUseH2[Average Direct Water Consumption (Gal/ kg h2)],MATCH(LEFT(D94,3),WaterUseH2[Key],0)),0)</f>
        <v>4.0999999999999996</v>
      </c>
      <c r="AH94">
        <v>14</v>
      </c>
      <c r="AI94">
        <v>1.4</v>
      </c>
      <c r="AJ94">
        <v>250</v>
      </c>
      <c r="AK94">
        <v>0.31</v>
      </c>
      <c r="AL94" s="63">
        <f>IFERROR(INDEX(Job_Training[[Solar]:[Wind]],MATCH(AL$1,Job_Training[[`Typical Entry Level Education`]:[`Typical Entry Level Education`]],0),MATCH(LEFT($D94,5),Job_Training[[#Headers],[Solar]:[Wind]],0)),0)</f>
        <v>0</v>
      </c>
      <c r="AM94" s="63">
        <f>IFERROR(INDEX(Job_Training[[Solar]:[Wind]],MATCH(AM$1,Job_Training[[`Typical Entry Level Education`]:[`Typical Entry Level Education`]],0),MATCH(LEFT($D94,5),Job_Training[[#Headers],[Solar]:[Wind]],0)),0)</f>
        <v>0</v>
      </c>
      <c r="AN94" s="63">
        <f>IFERROR(INDEX(Job_Training[[Solar]:[Wind]],MATCH(AN$1,Job_Training[[`Typical Entry Level Education`]:[`Typical Entry Level Education`]],0),MATCH(LEFT($D94,5),Job_Training[[#Headers],[Solar]:[Wind]],0)),0)</f>
        <v>0</v>
      </c>
      <c r="AO94" s="63">
        <f>IFERROR(INDEX(Job_Training[[Solar]:[Wind]],MATCH(AO$1,Job_Training[[`Typical Entry Level Education`]:[`Typical Entry Level Education`]],0),MATCH(LEFT($D94,5),Job_Training[[#Headers],[Solar]:[Wind]],0)),0)</f>
        <v>0</v>
      </c>
      <c r="AP94">
        <f t="shared" si="39"/>
        <v>0</v>
      </c>
      <c r="AQ94" s="63">
        <f>IF(AP94&gt;0,IFERROR(INDEX(Assumptions!$C$165:$D$165,MATCH(LEFT($D94,5),Job_Training[[#Headers],[Solar]:[Wind]],0)),0),0)</f>
        <v>0</v>
      </c>
      <c r="AR94">
        <f>IF(AP94&gt;0,IFERROR(INDEX(Assumptions!$C$166:$D$166,MATCH(LEFT($D94,5),Job_Training[[#Headers],[Solar]:[Wind]],0)),0),0)</f>
        <v>0</v>
      </c>
    </row>
    <row r="95" spans="1:44" x14ac:dyDescent="0.35">
      <c r="A95" t="str">
        <f>UserInput!$B$2</f>
        <v>Current Projects</v>
      </c>
      <c r="B95">
        <v>2034</v>
      </c>
      <c r="C95" t="s">
        <v>41</v>
      </c>
      <c r="D95" t="s">
        <v>84</v>
      </c>
      <c r="E95" s="66">
        <f>INDEX(UserInput!$C$2:$M$22,MATCH(UserMade_Scenario!B95,UserInput!$A$2:$A$22,0),MATCH(LEFT(IF(RIGHT(C95,2)="H2",UserMade_Scenario!C95,D95),3),UserInput!$C$25:$M$25,0))</f>
        <v>15</v>
      </c>
      <c r="F95" t="s">
        <v>81</v>
      </c>
      <c r="G95" s="14">
        <f t="shared" si="29"/>
        <v>3.0466626277205871E-4</v>
      </c>
      <c r="H95" s="63">
        <f t="shared" si="30"/>
        <v>8.9724459462494754E-3</v>
      </c>
      <c r="I95" s="63">
        <f t="shared" si="31"/>
        <v>7.2472019498358905E-3</v>
      </c>
      <c r="J95" s="63">
        <f t="shared" si="32"/>
        <v>1.0697689858029389E-2</v>
      </c>
      <c r="K95" s="30">
        <f>IF(OR(LEFT($D95,5)="Solar",$D95="Wind"),INDEX(Land_Use[AVG],MATCH(LEFT($D95,5),Land_Use[Tech],0)),0)*$E95</f>
        <v>0</v>
      </c>
      <c r="L95" s="30">
        <f>IF(OR(LEFT($D95,5)="Solar",$D95="Wind"),INDEX(Land_Use[MIN],MATCH(LEFT($D95,5),Land_Use[Tech],0)),0)*$E95</f>
        <v>0</v>
      </c>
      <c r="M95" s="30">
        <f>IF(OR(LEFT($D95,5)="Solar",$D95="Wind"),INDEX(Land_Use[MAX],MATCH(LEFT($D95,5),Land_Use[Tech],0)),0)*$E95</f>
        <v>0</v>
      </c>
      <c r="N95" s="15">
        <f t="shared" si="18"/>
        <v>6.1499999999999992E-2</v>
      </c>
      <c r="O95" s="11">
        <f t="shared" si="19"/>
        <v>0</v>
      </c>
      <c r="P95" s="11">
        <f t="shared" si="20"/>
        <v>0</v>
      </c>
      <c r="Q95" s="11">
        <f t="shared" si="21"/>
        <v>0</v>
      </c>
      <c r="R95" s="11">
        <f t="shared" si="22"/>
        <v>0</v>
      </c>
      <c r="S95" s="30">
        <f t="shared" si="33"/>
        <v>0</v>
      </c>
      <c r="T95" s="30">
        <f t="shared" si="34"/>
        <v>0</v>
      </c>
      <c r="U95" s="30">
        <f t="shared" si="35"/>
        <v>0</v>
      </c>
      <c r="V95" s="30">
        <f t="shared" si="36"/>
        <v>0</v>
      </c>
      <c r="W95" s="30">
        <f t="shared" si="37"/>
        <v>0</v>
      </c>
      <c r="X95" s="30">
        <f t="shared" si="38"/>
        <v>0</v>
      </c>
      <c r="Z95" s="23" t="s">
        <v>76</v>
      </c>
      <c r="AA95" s="40">
        <f>IF(C95="Electricity",E95*SUMIFS(Electricity!S:S,Electricity!P:P,UserMade_Scenario!B95,Electricity!M:M,UserMade_Scenario!Z95,Electricity!O:O,UserMade_Scenario!D95),"")</f>
        <v>84633.688749390756</v>
      </c>
      <c r="AB95" s="76">
        <f>1/Assumptions!$B$23/1000000000000</f>
        <v>3.5998225679871703E-9</v>
      </c>
      <c r="AC95" s="67" t="s">
        <v>82</v>
      </c>
      <c r="AD95" s="69">
        <f>INDEX(Table11[AVG
CO2e MT per MWh],MATCH(UserMade_Scenario!$B95,Table11[[Year]:[Year]],0))</f>
        <v>-0.10601506419999995</v>
      </c>
      <c r="AE95" s="69">
        <f>INDEX(Table11[MIN
CO2e MT per MWh],MATCH(UserMade_Scenario!$B95,Table11[[Year]:[Year]],0))</f>
        <v>-8.5630226650000058E-2</v>
      </c>
      <c r="AF95" s="69">
        <f>INDEX(Table11[MAX CO2e MT per MWh],MATCH(UserMade_Scenario!$B95,Table11[[Year]:[Year]],0))</f>
        <v>-0.12639990075000007</v>
      </c>
      <c r="AG95" s="68">
        <f>IFERROR(INDEX(WaterUseH2[Average Direct Water Consumption (Gal/ kg h2)],MATCH(LEFT(D95,3),WaterUseH2[Key],0)),0)</f>
        <v>4.0999999999999996</v>
      </c>
      <c r="AH95">
        <v>14</v>
      </c>
      <c r="AI95">
        <v>1.4</v>
      </c>
      <c r="AJ95">
        <v>250</v>
      </c>
      <c r="AK95">
        <v>0.31</v>
      </c>
      <c r="AL95" s="63">
        <f>IFERROR(INDEX(Job_Training[[Solar]:[Wind]],MATCH(AL$1,Job_Training[[`Typical Entry Level Education`]:[`Typical Entry Level Education`]],0),MATCH(LEFT($D95,5),Job_Training[[#Headers],[Solar]:[Wind]],0)),0)</f>
        <v>0</v>
      </c>
      <c r="AM95" s="63">
        <f>IFERROR(INDEX(Job_Training[[Solar]:[Wind]],MATCH(AM$1,Job_Training[[`Typical Entry Level Education`]:[`Typical Entry Level Education`]],0),MATCH(LEFT($D95,5),Job_Training[[#Headers],[Solar]:[Wind]],0)),0)</f>
        <v>0</v>
      </c>
      <c r="AN95" s="63">
        <f>IFERROR(INDEX(Job_Training[[Solar]:[Wind]],MATCH(AN$1,Job_Training[[`Typical Entry Level Education`]:[`Typical Entry Level Education`]],0),MATCH(LEFT($D95,5),Job_Training[[#Headers],[Solar]:[Wind]],0)),0)</f>
        <v>0</v>
      </c>
      <c r="AO95" s="63">
        <f>IFERROR(INDEX(Job_Training[[Solar]:[Wind]],MATCH(AO$1,Job_Training[[`Typical Entry Level Education`]:[`Typical Entry Level Education`]],0),MATCH(LEFT($D95,5),Job_Training[[#Headers],[Solar]:[Wind]],0)),0)</f>
        <v>0</v>
      </c>
      <c r="AP95">
        <f t="shared" si="39"/>
        <v>0</v>
      </c>
      <c r="AQ95" s="63">
        <f>IF(AP95&gt;0,IFERROR(INDEX(Assumptions!$C$165:$D$165,MATCH(LEFT($D95,5),Job_Training[[#Headers],[Solar]:[Wind]],0)),0),0)</f>
        <v>0</v>
      </c>
      <c r="AR95">
        <f>IF(AP95&gt;0,IFERROR(INDEX(Assumptions!$C$166:$D$166,MATCH(LEFT($D95,5),Job_Training[[#Headers],[Solar]:[Wind]],0)),0),0)</f>
        <v>0</v>
      </c>
    </row>
    <row r="96" spans="1:44" x14ac:dyDescent="0.35">
      <c r="A96" t="str">
        <f>UserInput!$B$2</f>
        <v>Current Projects</v>
      </c>
      <c r="B96">
        <v>2035</v>
      </c>
      <c r="C96" t="s">
        <v>41</v>
      </c>
      <c r="D96" t="s">
        <v>84</v>
      </c>
      <c r="E96" s="66">
        <f>INDEX(UserInput!$C$2:$M$22,MATCH(UserMade_Scenario!B96,UserInput!$A$2:$A$22,0),MATCH(LEFT(IF(RIGHT(C96,2)="H2",UserMade_Scenario!C96,D96),3),UserInput!$C$25:$M$25,0))</f>
        <v>19</v>
      </c>
      <c r="F96" t="s">
        <v>81</v>
      </c>
      <c r="G96" s="14">
        <f t="shared" si="29"/>
        <v>3.8292516331354069E-4</v>
      </c>
      <c r="H96" s="63">
        <f t="shared" si="30"/>
        <v>1.0827863921683814E-2</v>
      </c>
      <c r="I96" s="63">
        <f t="shared" si="31"/>
        <v>8.5601245934490283E-3</v>
      </c>
      <c r="J96" s="63">
        <f t="shared" si="32"/>
        <v>1.3095603143545282E-2</v>
      </c>
      <c r="K96" s="30">
        <f>IF(OR(LEFT($D96,5)="Solar",$D96="Wind"),INDEX(Land_Use[AVG],MATCH(LEFT($D96,5),Land_Use[Tech],0)),0)*$E96</f>
        <v>0</v>
      </c>
      <c r="L96" s="30">
        <f>IF(OR(LEFT($D96,5)="Solar",$D96="Wind"),INDEX(Land_Use[MIN],MATCH(LEFT($D96,5),Land_Use[Tech],0)),0)*$E96</f>
        <v>0</v>
      </c>
      <c r="M96" s="30">
        <f>IF(OR(LEFT($D96,5)="Solar",$D96="Wind"),INDEX(Land_Use[MAX],MATCH(LEFT($D96,5),Land_Use[Tech],0)),0)*$E96</f>
        <v>0</v>
      </c>
      <c r="N96" s="15">
        <f t="shared" si="18"/>
        <v>7.7899999999999983E-2</v>
      </c>
      <c r="O96" s="11">
        <f t="shared" si="19"/>
        <v>0</v>
      </c>
      <c r="P96" s="11">
        <f t="shared" si="20"/>
        <v>0</v>
      </c>
      <c r="Q96" s="11">
        <f t="shared" si="21"/>
        <v>0</v>
      </c>
      <c r="R96" s="11">
        <f t="shared" si="22"/>
        <v>0</v>
      </c>
      <c r="S96" s="30">
        <f t="shared" si="33"/>
        <v>0</v>
      </c>
      <c r="T96" s="30">
        <f t="shared" si="34"/>
        <v>0</v>
      </c>
      <c r="U96" s="30">
        <f t="shared" si="35"/>
        <v>0</v>
      </c>
      <c r="V96" s="30">
        <f t="shared" si="36"/>
        <v>0</v>
      </c>
      <c r="W96" s="30">
        <f t="shared" si="37"/>
        <v>0</v>
      </c>
      <c r="X96" s="30">
        <f t="shared" si="38"/>
        <v>0</v>
      </c>
      <c r="Z96" s="23" t="s">
        <v>76</v>
      </c>
      <c r="AA96" s="40">
        <f>IF(C96="Electricity",E96*SUMIFS(Electricity!S:S,Electricity!P:P,UserMade_Scenario!B96,Electricity!M:M,UserMade_Scenario!Z96,Electricity!O:O,UserMade_Scenario!D96),"")</f>
        <v>106373.34370834063</v>
      </c>
      <c r="AB96" s="76">
        <f>1/Assumptions!$B$23/1000000000000</f>
        <v>3.5998225679871703E-9</v>
      </c>
      <c r="AC96" s="67" t="s">
        <v>82</v>
      </c>
      <c r="AD96" s="69">
        <f>INDEX(Table11[AVG
CO2e MT per MWh],MATCH(UserMade_Scenario!$B96,Table11[[Year]:[Year]],0))</f>
        <v>-0.10179113999999995</v>
      </c>
      <c r="AE96" s="69">
        <f>INDEX(Table11[MIN
CO2e MT per MWh],MATCH(UserMade_Scenario!$B96,Table11[[Year]:[Year]],0))</f>
        <v>-8.0472459500000065E-2</v>
      </c>
      <c r="AF96" s="69">
        <f>INDEX(Table11[MAX CO2e MT per MWh],MATCH(UserMade_Scenario!$B96,Table11[[Year]:[Year]],0))</f>
        <v>-0.12310981950000006</v>
      </c>
      <c r="AG96" s="68">
        <f>IFERROR(INDEX(WaterUseH2[Average Direct Water Consumption (Gal/ kg h2)],MATCH(LEFT(D96,3),WaterUseH2[Key],0)),0)</f>
        <v>4.0999999999999996</v>
      </c>
      <c r="AH96">
        <v>14</v>
      </c>
      <c r="AI96">
        <v>1.4</v>
      </c>
      <c r="AJ96">
        <v>250</v>
      </c>
      <c r="AK96">
        <v>0.31</v>
      </c>
      <c r="AL96" s="63">
        <f>IFERROR(INDEX(Job_Training[[Solar]:[Wind]],MATCH(AL$1,Job_Training[[`Typical Entry Level Education`]:[`Typical Entry Level Education`]],0),MATCH(LEFT($D96,5),Job_Training[[#Headers],[Solar]:[Wind]],0)),0)</f>
        <v>0</v>
      </c>
      <c r="AM96" s="63">
        <f>IFERROR(INDEX(Job_Training[[Solar]:[Wind]],MATCH(AM$1,Job_Training[[`Typical Entry Level Education`]:[`Typical Entry Level Education`]],0),MATCH(LEFT($D96,5),Job_Training[[#Headers],[Solar]:[Wind]],0)),0)</f>
        <v>0</v>
      </c>
      <c r="AN96" s="63">
        <f>IFERROR(INDEX(Job_Training[[Solar]:[Wind]],MATCH(AN$1,Job_Training[[`Typical Entry Level Education`]:[`Typical Entry Level Education`]],0),MATCH(LEFT($D96,5),Job_Training[[#Headers],[Solar]:[Wind]],0)),0)</f>
        <v>0</v>
      </c>
      <c r="AO96" s="63">
        <f>IFERROR(INDEX(Job_Training[[Solar]:[Wind]],MATCH(AO$1,Job_Training[[`Typical Entry Level Education`]:[`Typical Entry Level Education`]],0),MATCH(LEFT($D96,5),Job_Training[[#Headers],[Solar]:[Wind]],0)),0)</f>
        <v>0</v>
      </c>
      <c r="AP96">
        <f t="shared" si="39"/>
        <v>4</v>
      </c>
      <c r="AQ96" s="63">
        <f>IF(AP96&gt;0,IFERROR(INDEX(Assumptions!$C$165:$D$165,MATCH(LEFT($D96,5),Job_Training[[#Headers],[Solar]:[Wind]],0)),0),0)</f>
        <v>0</v>
      </c>
      <c r="AR96">
        <f>IF(AP96&gt;0,IFERROR(INDEX(Assumptions!$C$166:$D$166,MATCH(LEFT($D96,5),Job_Training[[#Headers],[Solar]:[Wind]],0)),0),0)</f>
        <v>0</v>
      </c>
    </row>
    <row r="97" spans="1:44" x14ac:dyDescent="0.35">
      <c r="A97" t="str">
        <f>UserInput!$B$2</f>
        <v>Current Projects</v>
      </c>
      <c r="B97">
        <v>2036</v>
      </c>
      <c r="C97" t="s">
        <v>41</v>
      </c>
      <c r="D97" t="s">
        <v>84</v>
      </c>
      <c r="E97" s="66">
        <f>INDEX(UserInput!$C$2:$M$22,MATCH(UserMade_Scenario!B97,UserInput!$A$2:$A$22,0),MATCH(LEFT(IF(RIGHT(C97,2)="H2",UserMade_Scenario!C97,D97),3),UserInput!$C$25:$M$25,0))</f>
        <v>19</v>
      </c>
      <c r="F97" t="s">
        <v>81</v>
      </c>
      <c r="G97" s="14">
        <f t="shared" si="29"/>
        <v>3.79939727115807E-4</v>
      </c>
      <c r="H97" s="63">
        <f t="shared" si="30"/>
        <v>1.0297635687980148E-2</v>
      </c>
      <c r="I97" s="63">
        <f t="shared" si="31"/>
        <v>7.9490150191680129E-3</v>
      </c>
      <c r="J97" s="63">
        <f t="shared" si="32"/>
        <v>1.2646256251248295E-2</v>
      </c>
      <c r="K97" s="30">
        <f>IF(OR(LEFT($D97,5)="Solar",$D97="Wind"),INDEX(Land_Use[AVG],MATCH(LEFT($D97,5),Land_Use[Tech],0)),0)*$E97</f>
        <v>0</v>
      </c>
      <c r="L97" s="30">
        <f>IF(OR(LEFT($D97,5)="Solar",$D97="Wind"),INDEX(Land_Use[MIN],MATCH(LEFT($D97,5),Land_Use[Tech],0)),0)*$E97</f>
        <v>0</v>
      </c>
      <c r="M97" s="30">
        <f>IF(OR(LEFT($D97,5)="Solar",$D97="Wind"),INDEX(Land_Use[MAX],MATCH(LEFT($D97,5),Land_Use[Tech],0)),0)*$E97</f>
        <v>0</v>
      </c>
      <c r="N97" s="15">
        <f t="shared" si="18"/>
        <v>7.7899999999999983E-2</v>
      </c>
      <c r="O97" s="11">
        <f t="shared" si="19"/>
        <v>0</v>
      </c>
      <c r="P97" s="11">
        <f t="shared" si="20"/>
        <v>0</v>
      </c>
      <c r="Q97" s="11">
        <f t="shared" si="21"/>
        <v>0</v>
      </c>
      <c r="R97" s="11">
        <f t="shared" si="22"/>
        <v>0</v>
      </c>
      <c r="S97" s="30">
        <f t="shared" si="33"/>
        <v>0</v>
      </c>
      <c r="T97" s="30">
        <f t="shared" si="34"/>
        <v>0</v>
      </c>
      <c r="U97" s="30">
        <f t="shared" si="35"/>
        <v>0</v>
      </c>
      <c r="V97" s="30">
        <f t="shared" si="36"/>
        <v>0</v>
      </c>
      <c r="W97" s="30">
        <f t="shared" si="37"/>
        <v>0</v>
      </c>
      <c r="X97" s="30">
        <f t="shared" si="38"/>
        <v>0</v>
      </c>
      <c r="Z97" s="23" t="s">
        <v>76</v>
      </c>
      <c r="AA97" s="40">
        <f>IF(C97="Electricity",E97*SUMIFS(Electricity!S:S,Electricity!P:P,UserMade_Scenario!B97,Electricity!M:M,UserMade_Scenario!Z97,Electricity!O:O,UserMade_Scenario!D97),"")</f>
        <v>105544.01500078631</v>
      </c>
      <c r="AB97" s="76">
        <f>1/Assumptions!$B$23/1000000000000</f>
        <v>3.5998225679871703E-9</v>
      </c>
      <c r="AC97" s="67" t="s">
        <v>82</v>
      </c>
      <c r="AD97" s="69">
        <f>INDEX(Table11[AVG
CO2e MT per MWh],MATCH(UserMade_Scenario!$B97,Table11[[Year]:[Year]],0))</f>
        <v>-9.756721579999994E-2</v>
      </c>
      <c r="AE97" s="69">
        <f>INDEX(Table11[MIN
CO2e MT per MWh],MATCH(UserMade_Scenario!$B97,Table11[[Year]:[Year]],0))</f>
        <v>-7.5314692350000073E-2</v>
      </c>
      <c r="AF97" s="69">
        <f>INDEX(Table11[MAX CO2e MT per MWh],MATCH(UserMade_Scenario!$B97,Table11[[Year]:[Year]],0))</f>
        <v>-0.11981973825000006</v>
      </c>
      <c r="AG97" s="68">
        <f>IFERROR(INDEX(WaterUseH2[Average Direct Water Consumption (Gal/ kg h2)],MATCH(LEFT(D97,3),WaterUseH2[Key],0)),0)</f>
        <v>4.0999999999999996</v>
      </c>
      <c r="AH97">
        <v>14</v>
      </c>
      <c r="AI97">
        <v>1.4</v>
      </c>
      <c r="AJ97">
        <v>250</v>
      </c>
      <c r="AK97">
        <v>0.31</v>
      </c>
      <c r="AL97" s="63">
        <f>IFERROR(INDEX(Job_Training[[Solar]:[Wind]],MATCH(AL$1,Job_Training[[`Typical Entry Level Education`]:[`Typical Entry Level Education`]],0),MATCH(LEFT($D97,5),Job_Training[[#Headers],[Solar]:[Wind]],0)),0)</f>
        <v>0</v>
      </c>
      <c r="AM97" s="63">
        <f>IFERROR(INDEX(Job_Training[[Solar]:[Wind]],MATCH(AM$1,Job_Training[[`Typical Entry Level Education`]:[`Typical Entry Level Education`]],0),MATCH(LEFT($D97,5),Job_Training[[#Headers],[Solar]:[Wind]],0)),0)</f>
        <v>0</v>
      </c>
      <c r="AN97" s="63">
        <f>IFERROR(INDEX(Job_Training[[Solar]:[Wind]],MATCH(AN$1,Job_Training[[`Typical Entry Level Education`]:[`Typical Entry Level Education`]],0),MATCH(LEFT($D97,5),Job_Training[[#Headers],[Solar]:[Wind]],0)),0)</f>
        <v>0</v>
      </c>
      <c r="AO97" s="63">
        <f>IFERROR(INDEX(Job_Training[[Solar]:[Wind]],MATCH(AO$1,Job_Training[[`Typical Entry Level Education`]:[`Typical Entry Level Education`]],0),MATCH(LEFT($D97,5),Job_Training[[#Headers],[Solar]:[Wind]],0)),0)</f>
        <v>0</v>
      </c>
      <c r="AP97">
        <f t="shared" si="39"/>
        <v>0</v>
      </c>
      <c r="AQ97" s="63">
        <f>IF(AP97&gt;0,IFERROR(INDEX(Assumptions!$C$165:$D$165,MATCH(LEFT($D97,5),Job_Training[[#Headers],[Solar]:[Wind]],0)),0),0)</f>
        <v>0</v>
      </c>
      <c r="AR97">
        <f>IF(AP97&gt;0,IFERROR(INDEX(Assumptions!$C$166:$D$166,MATCH(LEFT($D97,5),Job_Training[[#Headers],[Solar]:[Wind]],0)),0),0)</f>
        <v>0</v>
      </c>
    </row>
    <row r="98" spans="1:44" x14ac:dyDescent="0.35">
      <c r="A98" t="str">
        <f>UserInput!$B$2</f>
        <v>Current Projects</v>
      </c>
      <c r="B98">
        <v>2037</v>
      </c>
      <c r="C98" t="s">
        <v>41</v>
      </c>
      <c r="D98" t="s">
        <v>84</v>
      </c>
      <c r="E98" s="66">
        <f>INDEX(UserInput!$C$2:$M$22,MATCH(UserMade_Scenario!B98,UserInput!$A$2:$A$22,0),MATCH(LEFT(IF(RIGHT(C98,2)="H2",UserMade_Scenario!C98,D98),3),UserInput!$C$25:$M$25,0))</f>
        <v>19</v>
      </c>
      <c r="F98" t="s">
        <v>81</v>
      </c>
      <c r="G98" s="14">
        <f t="shared" si="29"/>
        <v>3.7695429091807336E-4</v>
      </c>
      <c r="H98" s="63">
        <f t="shared" si="30"/>
        <v>9.7744134974716707E-3</v>
      </c>
      <c r="I98" s="63">
        <f t="shared" si="31"/>
        <v>7.346460413615751E-3</v>
      </c>
      <c r="J98" s="63">
        <f t="shared" si="32"/>
        <v>1.2202366476612931E-2</v>
      </c>
      <c r="K98" s="30">
        <f>IF(OR(LEFT($D98,5)="Solar",$D98="Wind"),INDEX(Land_Use[AVG],MATCH(LEFT($D98,5),Land_Use[Tech],0)),0)*$E98</f>
        <v>0</v>
      </c>
      <c r="L98" s="30">
        <f>IF(OR(LEFT($D98,5)="Solar",$D98="Wind"),INDEX(Land_Use[MIN],MATCH(LEFT($D98,5),Land_Use[Tech],0)),0)*$E98</f>
        <v>0</v>
      </c>
      <c r="M98" s="30">
        <f>IF(OR(LEFT($D98,5)="Solar",$D98="Wind"),INDEX(Land_Use[MAX],MATCH(LEFT($D98,5),Land_Use[Tech],0)),0)*$E98</f>
        <v>0</v>
      </c>
      <c r="N98" s="15">
        <f t="shared" si="18"/>
        <v>7.7899999999999983E-2</v>
      </c>
      <c r="O98" s="11">
        <f t="shared" si="19"/>
        <v>0</v>
      </c>
      <c r="P98" s="11">
        <f t="shared" si="20"/>
        <v>0</v>
      </c>
      <c r="Q98" s="11">
        <f t="shared" si="21"/>
        <v>0</v>
      </c>
      <c r="R98" s="11">
        <f t="shared" si="22"/>
        <v>0</v>
      </c>
      <c r="S98" s="30">
        <f t="shared" si="33"/>
        <v>0</v>
      </c>
      <c r="T98" s="30">
        <f t="shared" si="34"/>
        <v>0</v>
      </c>
      <c r="U98" s="30">
        <f t="shared" si="35"/>
        <v>0</v>
      </c>
      <c r="V98" s="30">
        <f t="shared" si="36"/>
        <v>0</v>
      </c>
      <c r="W98" s="30">
        <f t="shared" si="37"/>
        <v>0</v>
      </c>
      <c r="X98" s="30">
        <f t="shared" si="38"/>
        <v>0</v>
      </c>
      <c r="Z98" s="23" t="s">
        <v>76</v>
      </c>
      <c r="AA98" s="40">
        <f>IF(C98="Electricity",E98*SUMIFS(Electricity!S:S,Electricity!P:P,UserMade_Scenario!B98,Electricity!M:M,UserMade_Scenario!Z98,Electricity!O:O,UserMade_Scenario!D98),"")</f>
        <v>104714.68629323199</v>
      </c>
      <c r="AB98" s="76">
        <f>1/Assumptions!$B$23/1000000000000</f>
        <v>3.5998225679871703E-9</v>
      </c>
      <c r="AC98" s="67" t="s">
        <v>82</v>
      </c>
      <c r="AD98" s="69">
        <f>INDEX(Table11[AVG
CO2e MT per MWh],MATCH(UserMade_Scenario!$B98,Table11[[Year]:[Year]],0))</f>
        <v>-9.3343291599999934E-2</v>
      </c>
      <c r="AE98" s="69">
        <f>INDEX(Table11[MIN
CO2e MT per MWh],MATCH(UserMade_Scenario!$B98,Table11[[Year]:[Year]],0))</f>
        <v>-7.0156925200000081E-2</v>
      </c>
      <c r="AF98" s="69">
        <f>INDEX(Table11[MAX CO2e MT per MWh],MATCH(UserMade_Scenario!$B98,Table11[[Year]:[Year]],0))</f>
        <v>-0.11652965700000005</v>
      </c>
      <c r="AG98" s="68">
        <f>IFERROR(INDEX(WaterUseH2[Average Direct Water Consumption (Gal/ kg h2)],MATCH(LEFT(D98,3),WaterUseH2[Key],0)),0)</f>
        <v>4.0999999999999996</v>
      </c>
      <c r="AH98">
        <v>14</v>
      </c>
      <c r="AI98">
        <v>1.4</v>
      </c>
      <c r="AJ98">
        <v>250</v>
      </c>
      <c r="AK98">
        <v>0.31</v>
      </c>
      <c r="AL98" s="63">
        <f>IFERROR(INDEX(Job_Training[[Solar]:[Wind]],MATCH(AL$1,Job_Training[[`Typical Entry Level Education`]:[`Typical Entry Level Education`]],0),MATCH(LEFT($D98,5),Job_Training[[#Headers],[Solar]:[Wind]],0)),0)</f>
        <v>0</v>
      </c>
      <c r="AM98" s="63">
        <f>IFERROR(INDEX(Job_Training[[Solar]:[Wind]],MATCH(AM$1,Job_Training[[`Typical Entry Level Education`]:[`Typical Entry Level Education`]],0),MATCH(LEFT($D98,5),Job_Training[[#Headers],[Solar]:[Wind]],0)),0)</f>
        <v>0</v>
      </c>
      <c r="AN98" s="63">
        <f>IFERROR(INDEX(Job_Training[[Solar]:[Wind]],MATCH(AN$1,Job_Training[[`Typical Entry Level Education`]:[`Typical Entry Level Education`]],0),MATCH(LEFT($D98,5),Job_Training[[#Headers],[Solar]:[Wind]],0)),0)</f>
        <v>0</v>
      </c>
      <c r="AO98" s="63">
        <f>IFERROR(INDEX(Job_Training[[Solar]:[Wind]],MATCH(AO$1,Job_Training[[`Typical Entry Level Education`]:[`Typical Entry Level Education`]],0),MATCH(LEFT($D98,5),Job_Training[[#Headers],[Solar]:[Wind]],0)),0)</f>
        <v>0</v>
      </c>
      <c r="AP98">
        <f t="shared" si="39"/>
        <v>0</v>
      </c>
      <c r="AQ98" s="63">
        <f>IF(AP98&gt;0,IFERROR(INDEX(Assumptions!$C$165:$D$165,MATCH(LEFT($D98,5),Job_Training[[#Headers],[Solar]:[Wind]],0)),0),0)</f>
        <v>0</v>
      </c>
      <c r="AR98">
        <f>IF(AP98&gt;0,IFERROR(INDEX(Assumptions!$C$166:$D$166,MATCH(LEFT($D98,5),Job_Training[[#Headers],[Solar]:[Wind]],0)),0),0)</f>
        <v>0</v>
      </c>
    </row>
    <row r="99" spans="1:44" x14ac:dyDescent="0.35">
      <c r="A99" t="str">
        <f>UserInput!$B$2</f>
        <v>Current Projects</v>
      </c>
      <c r="B99">
        <v>2038</v>
      </c>
      <c r="C99" t="s">
        <v>41</v>
      </c>
      <c r="D99" t="s">
        <v>84</v>
      </c>
      <c r="E99" s="66">
        <f>INDEX(UserInput!$C$2:$M$22,MATCH(UserMade_Scenario!B99,UserInput!$A$2:$A$22,0),MATCH(LEFT(IF(RIGHT(C99,2)="H2",UserMade_Scenario!C99,D99),3),UserInput!$C$25:$M$25,0))</f>
        <v>19</v>
      </c>
      <c r="F99" t="s">
        <v>81</v>
      </c>
      <c r="G99" s="14">
        <f t="shared" si="29"/>
        <v>3.7396885472033967E-4</v>
      </c>
      <c r="H99" s="63">
        <f t="shared" si="30"/>
        <v>9.2581973501583772E-3</v>
      </c>
      <c r="I99" s="63">
        <f t="shared" si="31"/>
        <v>6.7524607767922382E-3</v>
      </c>
      <c r="J99" s="63">
        <f t="shared" si="32"/>
        <v>1.1763933819639189E-2</v>
      </c>
      <c r="K99" s="30">
        <f>IF(OR(LEFT($D99,5)="Solar",$D99="Wind"),INDEX(Land_Use[AVG],MATCH(LEFT($D99,5),Land_Use[Tech],0)),0)*$E99</f>
        <v>0</v>
      </c>
      <c r="L99" s="30">
        <f>IF(OR(LEFT($D99,5)="Solar",$D99="Wind"),INDEX(Land_Use[MIN],MATCH(LEFT($D99,5),Land_Use[Tech],0)),0)*$E99</f>
        <v>0</v>
      </c>
      <c r="M99" s="30">
        <f>IF(OR(LEFT($D99,5)="Solar",$D99="Wind"),INDEX(Land_Use[MAX],MATCH(LEFT($D99,5),Land_Use[Tech],0)),0)*$E99</f>
        <v>0</v>
      </c>
      <c r="N99" s="15">
        <f t="shared" si="18"/>
        <v>7.7899999999999983E-2</v>
      </c>
      <c r="O99" s="11">
        <f t="shared" si="19"/>
        <v>0</v>
      </c>
      <c r="P99" s="11">
        <f t="shared" si="20"/>
        <v>0</v>
      </c>
      <c r="Q99" s="11">
        <f t="shared" si="21"/>
        <v>0</v>
      </c>
      <c r="R99" s="11">
        <f t="shared" si="22"/>
        <v>0</v>
      </c>
      <c r="S99" s="30">
        <f t="shared" si="33"/>
        <v>0</v>
      </c>
      <c r="T99" s="30">
        <f t="shared" si="34"/>
        <v>0</v>
      </c>
      <c r="U99" s="30">
        <f t="shared" si="35"/>
        <v>0</v>
      </c>
      <c r="V99" s="30">
        <f t="shared" si="36"/>
        <v>0</v>
      </c>
      <c r="W99" s="30">
        <f t="shared" si="37"/>
        <v>0</v>
      </c>
      <c r="X99" s="30">
        <f t="shared" si="38"/>
        <v>0</v>
      </c>
      <c r="Z99" s="23" t="s">
        <v>76</v>
      </c>
      <c r="AA99" s="40">
        <f>IF(C99="Electricity",E99*SUMIFS(Electricity!S:S,Electricity!P:P,UserMade_Scenario!B99,Electricity!M:M,UserMade_Scenario!Z99,Electricity!O:O,UserMade_Scenario!D99),"")</f>
        <v>103885.35758567767</v>
      </c>
      <c r="AB99" s="76">
        <f>1/Assumptions!$B$23/1000000000000</f>
        <v>3.5998225679871703E-9</v>
      </c>
      <c r="AC99" s="67" t="s">
        <v>82</v>
      </c>
      <c r="AD99" s="69">
        <f>INDEX(Table11[AVG
CO2e MT per MWh],MATCH(UserMade_Scenario!$B99,Table11[[Year]:[Year]],0))</f>
        <v>-8.9119367399999927E-2</v>
      </c>
      <c r="AE99" s="69">
        <f>INDEX(Table11[MIN
CO2e MT per MWh],MATCH(UserMade_Scenario!$B99,Table11[[Year]:[Year]],0))</f>
        <v>-6.4999158050000089E-2</v>
      </c>
      <c r="AF99" s="69">
        <f>INDEX(Table11[MAX CO2e MT per MWh],MATCH(UserMade_Scenario!$B99,Table11[[Year]:[Year]],0))</f>
        <v>-0.11323957575000004</v>
      </c>
      <c r="AG99" s="68">
        <f>IFERROR(INDEX(WaterUseH2[Average Direct Water Consumption (Gal/ kg h2)],MATCH(LEFT(D99,3),WaterUseH2[Key],0)),0)</f>
        <v>4.0999999999999996</v>
      </c>
      <c r="AH99">
        <v>14</v>
      </c>
      <c r="AI99">
        <v>1.4</v>
      </c>
      <c r="AJ99">
        <v>250</v>
      </c>
      <c r="AK99">
        <v>0.31</v>
      </c>
      <c r="AL99" s="63">
        <f>IFERROR(INDEX(Job_Training[[Solar]:[Wind]],MATCH(AL$1,Job_Training[[`Typical Entry Level Education`]:[`Typical Entry Level Education`]],0),MATCH(LEFT($D99,5),Job_Training[[#Headers],[Solar]:[Wind]],0)),0)</f>
        <v>0</v>
      </c>
      <c r="AM99" s="63">
        <f>IFERROR(INDEX(Job_Training[[Solar]:[Wind]],MATCH(AM$1,Job_Training[[`Typical Entry Level Education`]:[`Typical Entry Level Education`]],0),MATCH(LEFT($D99,5),Job_Training[[#Headers],[Solar]:[Wind]],0)),0)</f>
        <v>0</v>
      </c>
      <c r="AN99" s="63">
        <f>IFERROR(INDEX(Job_Training[[Solar]:[Wind]],MATCH(AN$1,Job_Training[[`Typical Entry Level Education`]:[`Typical Entry Level Education`]],0),MATCH(LEFT($D99,5),Job_Training[[#Headers],[Solar]:[Wind]],0)),0)</f>
        <v>0</v>
      </c>
      <c r="AO99" s="63">
        <f>IFERROR(INDEX(Job_Training[[Solar]:[Wind]],MATCH(AO$1,Job_Training[[`Typical Entry Level Education`]:[`Typical Entry Level Education`]],0),MATCH(LEFT($D99,5),Job_Training[[#Headers],[Solar]:[Wind]],0)),0)</f>
        <v>0</v>
      </c>
      <c r="AP99">
        <f t="shared" si="39"/>
        <v>0</v>
      </c>
      <c r="AQ99" s="63">
        <f>IF(AP99&gt;0,IFERROR(INDEX(Assumptions!$C$165:$D$165,MATCH(LEFT($D99,5),Job_Training[[#Headers],[Solar]:[Wind]],0)),0),0)</f>
        <v>0</v>
      </c>
      <c r="AR99">
        <f>IF(AP99&gt;0,IFERROR(INDEX(Assumptions!$C$166:$D$166,MATCH(LEFT($D99,5),Job_Training[[#Headers],[Solar]:[Wind]],0)),0),0)</f>
        <v>0</v>
      </c>
    </row>
    <row r="100" spans="1:44" x14ac:dyDescent="0.35">
      <c r="A100" t="str">
        <f>UserInput!$B$2</f>
        <v>Current Projects</v>
      </c>
      <c r="B100">
        <v>2039</v>
      </c>
      <c r="C100" t="s">
        <v>41</v>
      </c>
      <c r="D100" t="s">
        <v>84</v>
      </c>
      <c r="E100" s="66">
        <f>INDEX(UserInput!$C$2:$M$22,MATCH(UserMade_Scenario!B100,UserInput!$A$2:$A$22,0),MATCH(LEFT(IF(RIGHT(C100,2)="H2",UserMade_Scenario!C100,D100),3),UserInput!$C$25:$M$25,0))</f>
        <v>19</v>
      </c>
      <c r="F100" t="s">
        <v>81</v>
      </c>
      <c r="G100" s="14">
        <f t="shared" si="29"/>
        <v>3.7098341852260592E-4</v>
      </c>
      <c r="H100" s="63">
        <f t="shared" si="30"/>
        <v>8.7489872460402712E-3</v>
      </c>
      <c r="I100" s="63">
        <f t="shared" si="31"/>
        <v>6.1670161086974772E-3</v>
      </c>
      <c r="J100" s="63">
        <f t="shared" si="32"/>
        <v>1.1330958280327067E-2</v>
      </c>
      <c r="K100" s="30">
        <f>IF(OR(LEFT($D100,5)="Solar",$D100="Wind"),INDEX(Land_Use[AVG],MATCH(LEFT($D100,5),Land_Use[Tech],0)),0)*$E100</f>
        <v>0</v>
      </c>
      <c r="L100" s="30">
        <f>IF(OR(LEFT($D100,5)="Solar",$D100="Wind"),INDEX(Land_Use[MIN],MATCH(LEFT($D100,5),Land_Use[Tech],0)),0)*$E100</f>
        <v>0</v>
      </c>
      <c r="M100" s="30">
        <f>IF(OR(LEFT($D100,5)="Solar",$D100="Wind"),INDEX(Land_Use[MAX],MATCH(LEFT($D100,5),Land_Use[Tech],0)),0)*$E100</f>
        <v>0</v>
      </c>
      <c r="N100" s="15">
        <f t="shared" si="18"/>
        <v>7.7899999999999983E-2</v>
      </c>
      <c r="O100" s="11">
        <f t="shared" si="19"/>
        <v>0</v>
      </c>
      <c r="P100" s="11">
        <f t="shared" si="20"/>
        <v>0</v>
      </c>
      <c r="Q100" s="11">
        <f t="shared" si="21"/>
        <v>0</v>
      </c>
      <c r="R100" s="11">
        <f t="shared" si="22"/>
        <v>0</v>
      </c>
      <c r="S100" s="30">
        <f t="shared" si="33"/>
        <v>0</v>
      </c>
      <c r="T100" s="30">
        <f t="shared" si="34"/>
        <v>0</v>
      </c>
      <c r="U100" s="30">
        <f t="shared" si="35"/>
        <v>0</v>
      </c>
      <c r="V100" s="30">
        <f t="shared" si="36"/>
        <v>0</v>
      </c>
      <c r="W100" s="30">
        <f t="shared" si="37"/>
        <v>0</v>
      </c>
      <c r="X100" s="30">
        <f t="shared" si="38"/>
        <v>0</v>
      </c>
      <c r="Z100" s="23" t="s">
        <v>76</v>
      </c>
      <c r="AA100" s="40">
        <f>IF(C100="Electricity",E100*SUMIFS(Electricity!S:S,Electricity!P:P,UserMade_Scenario!B100,Electricity!M:M,UserMade_Scenario!Z100,Electricity!O:O,UserMade_Scenario!D100),"")</f>
        <v>103056.02887812334</v>
      </c>
      <c r="AB100" s="76">
        <f>1/Assumptions!$B$23/1000000000000</f>
        <v>3.5998225679871703E-9</v>
      </c>
      <c r="AC100" s="67" t="s">
        <v>82</v>
      </c>
      <c r="AD100" s="69">
        <f>INDEX(Table11[AVG
CO2e MT per MWh],MATCH(UserMade_Scenario!$B100,Table11[[Year]:[Year]],0))</f>
        <v>-8.489544319999992E-2</v>
      </c>
      <c r="AE100" s="69">
        <f>INDEX(Table11[MIN
CO2e MT per MWh],MATCH(UserMade_Scenario!$B100,Table11[[Year]:[Year]],0))</f>
        <v>-5.984139090000009E-2</v>
      </c>
      <c r="AF100" s="69">
        <f>INDEX(Table11[MAX CO2e MT per MWh],MATCH(UserMade_Scenario!$B100,Table11[[Year]:[Year]],0))</f>
        <v>-0.10994949450000004</v>
      </c>
      <c r="AG100" s="68">
        <f>IFERROR(INDEX(WaterUseH2[Average Direct Water Consumption (Gal/ kg h2)],MATCH(LEFT(D100,3),WaterUseH2[Key],0)),0)</f>
        <v>4.0999999999999996</v>
      </c>
      <c r="AH100">
        <v>14</v>
      </c>
      <c r="AI100">
        <v>1.4</v>
      </c>
      <c r="AJ100">
        <v>250</v>
      </c>
      <c r="AK100">
        <v>0.31</v>
      </c>
      <c r="AL100" s="63">
        <f>IFERROR(INDEX(Job_Training[[Solar]:[Wind]],MATCH(AL$1,Job_Training[[`Typical Entry Level Education`]:[`Typical Entry Level Education`]],0),MATCH(LEFT($D100,5),Job_Training[[#Headers],[Solar]:[Wind]],0)),0)</f>
        <v>0</v>
      </c>
      <c r="AM100" s="63">
        <f>IFERROR(INDEX(Job_Training[[Solar]:[Wind]],MATCH(AM$1,Job_Training[[`Typical Entry Level Education`]:[`Typical Entry Level Education`]],0),MATCH(LEFT($D100,5),Job_Training[[#Headers],[Solar]:[Wind]],0)),0)</f>
        <v>0</v>
      </c>
      <c r="AN100" s="63">
        <f>IFERROR(INDEX(Job_Training[[Solar]:[Wind]],MATCH(AN$1,Job_Training[[`Typical Entry Level Education`]:[`Typical Entry Level Education`]],0),MATCH(LEFT($D100,5),Job_Training[[#Headers],[Solar]:[Wind]],0)),0)</f>
        <v>0</v>
      </c>
      <c r="AO100" s="63">
        <f>IFERROR(INDEX(Job_Training[[Solar]:[Wind]],MATCH(AO$1,Job_Training[[`Typical Entry Level Education`]:[`Typical Entry Level Education`]],0),MATCH(LEFT($D100,5),Job_Training[[#Headers],[Solar]:[Wind]],0)),0)</f>
        <v>0</v>
      </c>
      <c r="AP100">
        <f t="shared" si="39"/>
        <v>0</v>
      </c>
      <c r="AQ100" s="63">
        <f>IF(AP100&gt;0,IFERROR(INDEX(Assumptions!$C$165:$D$165,MATCH(LEFT($D100,5),Job_Training[[#Headers],[Solar]:[Wind]],0)),0),0)</f>
        <v>0</v>
      </c>
      <c r="AR100">
        <f>IF(AP100&gt;0,IFERROR(INDEX(Assumptions!$C$166:$D$166,MATCH(LEFT($D100,5),Job_Training[[#Headers],[Solar]:[Wind]],0)),0),0)</f>
        <v>0</v>
      </c>
    </row>
    <row r="101" spans="1:44" x14ac:dyDescent="0.35">
      <c r="A101" t="str">
        <f>UserInput!$B$2</f>
        <v>Current Projects</v>
      </c>
      <c r="B101">
        <v>2040</v>
      </c>
      <c r="C101" t="s">
        <v>41</v>
      </c>
      <c r="D101" t="s">
        <v>84</v>
      </c>
      <c r="E101" s="66">
        <f>INDEX(UserInput!$C$2:$M$22,MATCH(UserMade_Scenario!B101,UserInput!$A$2:$A$22,0),MATCH(LEFT(IF(RIGHT(C101,2)="H2",UserMade_Scenario!C101,D101),3),UserInput!$C$25:$M$25,0))</f>
        <v>19</v>
      </c>
      <c r="F101" t="s">
        <v>81</v>
      </c>
      <c r="G101" s="14">
        <f t="shared" si="29"/>
        <v>3.6799798232487228E-4</v>
      </c>
      <c r="H101" s="63">
        <f t="shared" si="30"/>
        <v>8.2467831851173526E-3</v>
      </c>
      <c r="I101" s="63">
        <f t="shared" si="31"/>
        <v>5.5901264093314662E-3</v>
      </c>
      <c r="J101" s="63">
        <f t="shared" si="32"/>
        <v>1.090343985867657E-2</v>
      </c>
      <c r="K101" s="30">
        <f>IF(OR(LEFT($D101,5)="Solar",$D101="Wind"),INDEX(Land_Use[AVG],MATCH(LEFT($D101,5),Land_Use[Tech],0)),0)*$E101</f>
        <v>0</v>
      </c>
      <c r="L101" s="30">
        <f>IF(OR(LEFT($D101,5)="Solar",$D101="Wind"),INDEX(Land_Use[MIN],MATCH(LEFT($D101,5),Land_Use[Tech],0)),0)*$E101</f>
        <v>0</v>
      </c>
      <c r="M101" s="30">
        <f>IF(OR(LEFT($D101,5)="Solar",$D101="Wind"),INDEX(Land_Use[MAX],MATCH(LEFT($D101,5),Land_Use[Tech],0)),0)*$E101</f>
        <v>0</v>
      </c>
      <c r="N101" s="15">
        <f t="shared" si="18"/>
        <v>7.7899999999999983E-2</v>
      </c>
      <c r="O101" s="11">
        <f t="shared" si="19"/>
        <v>0</v>
      </c>
      <c r="P101" s="11">
        <f t="shared" si="20"/>
        <v>0</v>
      </c>
      <c r="Q101" s="11">
        <f t="shared" si="21"/>
        <v>0</v>
      </c>
      <c r="R101" s="11">
        <f t="shared" si="22"/>
        <v>0</v>
      </c>
      <c r="S101" s="30">
        <f t="shared" si="33"/>
        <v>0</v>
      </c>
      <c r="T101" s="30">
        <f t="shared" si="34"/>
        <v>0</v>
      </c>
      <c r="U101" s="30">
        <f t="shared" si="35"/>
        <v>0</v>
      </c>
      <c r="V101" s="30">
        <f t="shared" si="36"/>
        <v>0</v>
      </c>
      <c r="W101" s="30">
        <f t="shared" si="37"/>
        <v>0</v>
      </c>
      <c r="X101" s="30">
        <f t="shared" si="38"/>
        <v>0</v>
      </c>
      <c r="Z101" s="23" t="s">
        <v>76</v>
      </c>
      <c r="AA101" s="40">
        <f>IF(C101="Electricity",E101*SUMIFS(Electricity!S:S,Electricity!P:P,UserMade_Scenario!B101,Electricity!M:M,UserMade_Scenario!Z101,Electricity!O:O,UserMade_Scenario!D101),"")</f>
        <v>102226.70017056902</v>
      </c>
      <c r="AB101" s="76">
        <f>1/Assumptions!$B$23/1000000000000</f>
        <v>3.5998225679871703E-9</v>
      </c>
      <c r="AC101" s="67" t="s">
        <v>82</v>
      </c>
      <c r="AD101" s="69">
        <f>INDEX(Table11[AVG
CO2e MT per MWh],MATCH(UserMade_Scenario!$B101,Table11[[Year]:[Year]],0))</f>
        <v>-8.0671518999999914E-2</v>
      </c>
      <c r="AE101" s="69">
        <f>INDEX(Table11[MIN
CO2e MT per MWh],MATCH(UserMade_Scenario!$B101,Table11[[Year]:[Year]],0))</f>
        <v>-5.468362375000009E-2</v>
      </c>
      <c r="AF101" s="69">
        <f>INDEX(Table11[MAX CO2e MT per MWh],MATCH(UserMade_Scenario!$B101,Table11[[Year]:[Year]],0))</f>
        <v>-0.10665941325000003</v>
      </c>
      <c r="AG101" s="68">
        <f>IFERROR(INDEX(WaterUseH2[Average Direct Water Consumption (Gal/ kg h2)],MATCH(LEFT(D101,3),WaterUseH2[Key],0)),0)</f>
        <v>4.0999999999999996</v>
      </c>
      <c r="AH101">
        <v>14</v>
      </c>
      <c r="AI101">
        <v>1.4</v>
      </c>
      <c r="AJ101">
        <v>250</v>
      </c>
      <c r="AK101">
        <v>0.31</v>
      </c>
      <c r="AL101" s="63">
        <f>IFERROR(INDEX(Job_Training[[Solar]:[Wind]],MATCH(AL$1,Job_Training[[`Typical Entry Level Education`]:[`Typical Entry Level Education`]],0),MATCH(LEFT($D101,5),Job_Training[[#Headers],[Solar]:[Wind]],0)),0)</f>
        <v>0</v>
      </c>
      <c r="AM101" s="63">
        <f>IFERROR(INDEX(Job_Training[[Solar]:[Wind]],MATCH(AM$1,Job_Training[[`Typical Entry Level Education`]:[`Typical Entry Level Education`]],0),MATCH(LEFT($D101,5),Job_Training[[#Headers],[Solar]:[Wind]],0)),0)</f>
        <v>0</v>
      </c>
      <c r="AN101" s="63">
        <f>IFERROR(INDEX(Job_Training[[Solar]:[Wind]],MATCH(AN$1,Job_Training[[`Typical Entry Level Education`]:[`Typical Entry Level Education`]],0),MATCH(LEFT($D101,5),Job_Training[[#Headers],[Solar]:[Wind]],0)),0)</f>
        <v>0</v>
      </c>
      <c r="AO101" s="63">
        <f>IFERROR(INDEX(Job_Training[[Solar]:[Wind]],MATCH(AO$1,Job_Training[[`Typical Entry Level Education`]:[`Typical Entry Level Education`]],0),MATCH(LEFT($D101,5),Job_Training[[#Headers],[Solar]:[Wind]],0)),0)</f>
        <v>0</v>
      </c>
      <c r="AP101">
        <f t="shared" si="39"/>
        <v>0</v>
      </c>
      <c r="AQ101" s="63">
        <f>IF(AP101&gt;0,IFERROR(INDEX(Assumptions!$C$165:$D$165,MATCH(LEFT($D101,5),Job_Training[[#Headers],[Solar]:[Wind]],0)),0),0)</f>
        <v>0</v>
      </c>
      <c r="AR101">
        <f>IF(AP101&gt;0,IFERROR(INDEX(Assumptions!$C$166:$D$166,MATCH(LEFT($D101,5),Job_Training[[#Headers],[Solar]:[Wind]],0)),0),0)</f>
        <v>0</v>
      </c>
    </row>
    <row r="102" spans="1:44" x14ac:dyDescent="0.35">
      <c r="A102" t="str">
        <f>UserInput!$B$2</f>
        <v>Current Projects</v>
      </c>
      <c r="B102">
        <v>2041</v>
      </c>
      <c r="C102" t="s">
        <v>41</v>
      </c>
      <c r="D102" t="s">
        <v>84</v>
      </c>
      <c r="E102" s="66">
        <f>INDEX(UserInput!$C$2:$M$22,MATCH(UserMade_Scenario!B102,UserInput!$A$2:$A$22,0),MATCH(LEFT(IF(RIGHT(C102,2)="H2",UserMade_Scenario!C102,D102),3),UserInput!$C$25:$M$25,0))</f>
        <v>19</v>
      </c>
      <c r="F102" t="s">
        <v>81</v>
      </c>
      <c r="G102" s="14">
        <f t="shared" si="29"/>
        <v>3.6501254612713858E-4</v>
      </c>
      <c r="H102" s="63">
        <f t="shared" si="30"/>
        <v>7.7515851673896213E-3</v>
      </c>
      <c r="I102" s="63">
        <f t="shared" si="31"/>
        <v>5.021791678694207E-3</v>
      </c>
      <c r="J102" s="63">
        <f t="shared" si="32"/>
        <v>1.0481378554687695E-2</v>
      </c>
      <c r="K102" s="30">
        <f>IF(OR(LEFT($D102,5)="Solar",$D102="Wind"),INDEX(Land_Use[AVG],MATCH(LEFT($D102,5),Land_Use[Tech],0)),0)*$E102</f>
        <v>0</v>
      </c>
      <c r="L102" s="30">
        <f>IF(OR(LEFT($D102,5)="Solar",$D102="Wind"),INDEX(Land_Use[MIN],MATCH(LEFT($D102,5),Land_Use[Tech],0)),0)*$E102</f>
        <v>0</v>
      </c>
      <c r="M102" s="30">
        <f>IF(OR(LEFT($D102,5)="Solar",$D102="Wind"),INDEX(Land_Use[MAX],MATCH(LEFT($D102,5),Land_Use[Tech],0)),0)*$E102</f>
        <v>0</v>
      </c>
      <c r="N102" s="15">
        <f t="shared" si="18"/>
        <v>7.7899999999999983E-2</v>
      </c>
      <c r="O102" s="11">
        <f t="shared" si="19"/>
        <v>0</v>
      </c>
      <c r="P102" s="11">
        <f t="shared" si="20"/>
        <v>0</v>
      </c>
      <c r="Q102" s="11">
        <f t="shared" si="21"/>
        <v>0</v>
      </c>
      <c r="R102" s="11">
        <f t="shared" si="22"/>
        <v>0</v>
      </c>
      <c r="S102" s="30">
        <f t="shared" si="33"/>
        <v>0</v>
      </c>
      <c r="T102" s="30">
        <f t="shared" si="34"/>
        <v>0</v>
      </c>
      <c r="U102" s="30">
        <f t="shared" si="35"/>
        <v>0</v>
      </c>
      <c r="V102" s="30">
        <f t="shared" si="36"/>
        <v>0</v>
      </c>
      <c r="W102" s="30">
        <f t="shared" si="37"/>
        <v>0</v>
      </c>
      <c r="X102" s="30">
        <f t="shared" si="38"/>
        <v>0</v>
      </c>
      <c r="Z102" s="23" t="s">
        <v>76</v>
      </c>
      <c r="AA102" s="40">
        <f>IF(C102="Electricity",E102*SUMIFS(Electricity!S:S,Electricity!P:P,UserMade_Scenario!B102,Electricity!M:M,UserMade_Scenario!Z102,Electricity!O:O,UserMade_Scenario!D102),"")</f>
        <v>101397.3714630147</v>
      </c>
      <c r="AB102" s="76">
        <f>1/Assumptions!$B$23/1000000000000</f>
        <v>3.5998225679871703E-9</v>
      </c>
      <c r="AC102" s="67" t="s">
        <v>82</v>
      </c>
      <c r="AD102" s="69">
        <f>INDEX(Table11[AVG
CO2e MT per MWh],MATCH(UserMade_Scenario!$B102,Table11[[Year]:[Year]],0))</f>
        <v>-7.6447594799999907E-2</v>
      </c>
      <c r="AE102" s="69">
        <f>INDEX(Table11[MIN
CO2e MT per MWh],MATCH(UserMade_Scenario!$B102,Table11[[Year]:[Year]],0))</f>
        <v>-4.9525856600000091E-2</v>
      </c>
      <c r="AF102" s="69">
        <f>INDEX(Table11[MAX CO2e MT per MWh],MATCH(UserMade_Scenario!$B102,Table11[[Year]:[Year]],0))</f>
        <v>-0.10336933200000002</v>
      </c>
      <c r="AG102" s="68">
        <f>IFERROR(INDEX(WaterUseH2[Average Direct Water Consumption (Gal/ kg h2)],MATCH(LEFT(D102,3),WaterUseH2[Key],0)),0)</f>
        <v>4.0999999999999996</v>
      </c>
      <c r="AH102">
        <v>14</v>
      </c>
      <c r="AI102">
        <v>1.4</v>
      </c>
      <c r="AJ102">
        <v>250</v>
      </c>
      <c r="AK102">
        <v>0.31</v>
      </c>
      <c r="AL102" s="63">
        <f>IFERROR(INDEX(Job_Training[[Solar]:[Wind]],MATCH(AL$1,Job_Training[[`Typical Entry Level Education`]:[`Typical Entry Level Education`]],0),MATCH(LEFT($D102,5),Job_Training[[#Headers],[Solar]:[Wind]],0)),0)</f>
        <v>0</v>
      </c>
      <c r="AM102" s="63">
        <f>IFERROR(INDEX(Job_Training[[Solar]:[Wind]],MATCH(AM$1,Job_Training[[`Typical Entry Level Education`]:[`Typical Entry Level Education`]],0),MATCH(LEFT($D102,5),Job_Training[[#Headers],[Solar]:[Wind]],0)),0)</f>
        <v>0</v>
      </c>
      <c r="AN102" s="63">
        <f>IFERROR(INDEX(Job_Training[[Solar]:[Wind]],MATCH(AN$1,Job_Training[[`Typical Entry Level Education`]:[`Typical Entry Level Education`]],0),MATCH(LEFT($D102,5),Job_Training[[#Headers],[Solar]:[Wind]],0)),0)</f>
        <v>0</v>
      </c>
      <c r="AO102" s="63">
        <f>IFERROR(INDEX(Job_Training[[Solar]:[Wind]],MATCH(AO$1,Job_Training[[`Typical Entry Level Education`]:[`Typical Entry Level Education`]],0),MATCH(LEFT($D102,5),Job_Training[[#Headers],[Solar]:[Wind]],0)),0)</f>
        <v>0</v>
      </c>
      <c r="AP102">
        <f t="shared" si="39"/>
        <v>0</v>
      </c>
      <c r="AQ102" s="63">
        <f>IF(AP102&gt;0,IFERROR(INDEX(Assumptions!$C$165:$D$165,MATCH(LEFT($D102,5),Job_Training[[#Headers],[Solar]:[Wind]],0)),0),0)</f>
        <v>0</v>
      </c>
      <c r="AR102">
        <f>IF(AP102&gt;0,IFERROR(INDEX(Assumptions!$C$166:$D$166,MATCH(LEFT($D102,5),Job_Training[[#Headers],[Solar]:[Wind]],0)),0),0)</f>
        <v>0</v>
      </c>
    </row>
    <row r="103" spans="1:44" x14ac:dyDescent="0.35">
      <c r="A103" t="str">
        <f>UserInput!$B$2</f>
        <v>Current Projects</v>
      </c>
      <c r="B103">
        <v>2042</v>
      </c>
      <c r="C103" t="s">
        <v>41</v>
      </c>
      <c r="D103" t="s">
        <v>84</v>
      </c>
      <c r="E103" s="66">
        <f>INDEX(UserInput!$C$2:$M$22,MATCH(UserMade_Scenario!B103,UserInput!$A$2:$A$22,0),MATCH(LEFT(IF(RIGHT(C103,2)="H2",UserMade_Scenario!C103,D103),3),UserInput!$C$25:$M$25,0))</f>
        <v>19</v>
      </c>
      <c r="F103" t="s">
        <v>81</v>
      </c>
      <c r="G103" s="14">
        <f t="shared" si="29"/>
        <v>3.6202710992940494E-4</v>
      </c>
      <c r="H103" s="63">
        <f t="shared" si="30"/>
        <v>7.2633931928570775E-3</v>
      </c>
      <c r="I103" s="63">
        <f t="shared" si="31"/>
        <v>4.4620119167857004E-3</v>
      </c>
      <c r="J103" s="63">
        <f t="shared" si="32"/>
        <v>1.0064774368360443E-2</v>
      </c>
      <c r="K103" s="30">
        <f>IF(OR(LEFT($D103,5)="Solar",$D103="Wind"),INDEX(Land_Use[AVG],MATCH(LEFT($D103,5),Land_Use[Tech],0)),0)*$E103</f>
        <v>0</v>
      </c>
      <c r="L103" s="30">
        <f>IF(OR(LEFT($D103,5)="Solar",$D103="Wind"),INDEX(Land_Use[MIN],MATCH(LEFT($D103,5),Land_Use[Tech],0)),0)*$E103</f>
        <v>0</v>
      </c>
      <c r="M103" s="30">
        <f>IF(OR(LEFT($D103,5)="Solar",$D103="Wind"),INDEX(Land_Use[MAX],MATCH(LEFT($D103,5),Land_Use[Tech],0)),0)*$E103</f>
        <v>0</v>
      </c>
      <c r="N103" s="15">
        <f t="shared" si="18"/>
        <v>7.7899999999999983E-2</v>
      </c>
      <c r="O103" s="11">
        <f t="shared" si="19"/>
        <v>0</v>
      </c>
      <c r="P103" s="11">
        <f t="shared" si="20"/>
        <v>0</v>
      </c>
      <c r="Q103" s="11">
        <f t="shared" si="21"/>
        <v>0</v>
      </c>
      <c r="R103" s="11">
        <f t="shared" si="22"/>
        <v>0</v>
      </c>
      <c r="S103" s="30">
        <f t="shared" si="33"/>
        <v>0</v>
      </c>
      <c r="T103" s="30">
        <f t="shared" si="34"/>
        <v>0</v>
      </c>
      <c r="U103" s="30">
        <f t="shared" si="35"/>
        <v>0</v>
      </c>
      <c r="V103" s="30">
        <f t="shared" si="36"/>
        <v>0</v>
      </c>
      <c r="W103" s="30">
        <f t="shared" si="37"/>
        <v>0</v>
      </c>
      <c r="X103" s="30">
        <f t="shared" si="38"/>
        <v>0</v>
      </c>
      <c r="Z103" s="23" t="s">
        <v>76</v>
      </c>
      <c r="AA103" s="40">
        <f>IF(C103="Electricity",E103*SUMIFS(Electricity!S:S,Electricity!P:P,UserMade_Scenario!B103,Electricity!M:M,UserMade_Scenario!Z103,Electricity!O:O,UserMade_Scenario!D103),"")</f>
        <v>100568.04275546038</v>
      </c>
      <c r="AB103" s="76">
        <f>1/Assumptions!$B$23/1000000000000</f>
        <v>3.5998225679871703E-9</v>
      </c>
      <c r="AC103" s="67" t="s">
        <v>82</v>
      </c>
      <c r="AD103" s="69">
        <f>INDEX(Table11[AVG
CO2e MT per MWh],MATCH(UserMade_Scenario!$B103,Table11[[Year]:[Year]],0))</f>
        <v>-7.2223670599999901E-2</v>
      </c>
      <c r="AE103" s="69">
        <f>INDEX(Table11[MIN
CO2e MT per MWh],MATCH(UserMade_Scenario!$B103,Table11[[Year]:[Year]],0))</f>
        <v>-4.4368089450000092E-2</v>
      </c>
      <c r="AF103" s="69">
        <f>INDEX(Table11[MAX CO2e MT per MWh],MATCH(UserMade_Scenario!$B103,Table11[[Year]:[Year]],0))</f>
        <v>-0.10007925075000002</v>
      </c>
      <c r="AG103" s="68">
        <f>IFERROR(INDEX(WaterUseH2[Average Direct Water Consumption (Gal/ kg h2)],MATCH(LEFT(D103,3),WaterUseH2[Key],0)),0)</f>
        <v>4.0999999999999996</v>
      </c>
      <c r="AH103">
        <v>14</v>
      </c>
      <c r="AI103">
        <v>1.4</v>
      </c>
      <c r="AJ103">
        <v>250</v>
      </c>
      <c r="AK103">
        <v>0.31</v>
      </c>
      <c r="AL103" s="63">
        <f>IFERROR(INDEX(Job_Training[[Solar]:[Wind]],MATCH(AL$1,Job_Training[[`Typical Entry Level Education`]:[`Typical Entry Level Education`]],0),MATCH(LEFT($D103,5),Job_Training[[#Headers],[Solar]:[Wind]],0)),0)</f>
        <v>0</v>
      </c>
      <c r="AM103" s="63">
        <f>IFERROR(INDEX(Job_Training[[Solar]:[Wind]],MATCH(AM$1,Job_Training[[`Typical Entry Level Education`]:[`Typical Entry Level Education`]],0),MATCH(LEFT($D103,5),Job_Training[[#Headers],[Solar]:[Wind]],0)),0)</f>
        <v>0</v>
      </c>
      <c r="AN103" s="63">
        <f>IFERROR(INDEX(Job_Training[[Solar]:[Wind]],MATCH(AN$1,Job_Training[[`Typical Entry Level Education`]:[`Typical Entry Level Education`]],0),MATCH(LEFT($D103,5),Job_Training[[#Headers],[Solar]:[Wind]],0)),0)</f>
        <v>0</v>
      </c>
      <c r="AO103" s="63">
        <f>IFERROR(INDEX(Job_Training[[Solar]:[Wind]],MATCH(AO$1,Job_Training[[`Typical Entry Level Education`]:[`Typical Entry Level Education`]],0),MATCH(LEFT($D103,5),Job_Training[[#Headers],[Solar]:[Wind]],0)),0)</f>
        <v>0</v>
      </c>
      <c r="AP103">
        <f t="shared" si="39"/>
        <v>0</v>
      </c>
      <c r="AQ103" s="63">
        <f>IF(AP103&gt;0,IFERROR(INDEX(Assumptions!$C$165:$D$165,MATCH(LEFT($D103,5),Job_Training[[#Headers],[Solar]:[Wind]],0)),0),0)</f>
        <v>0</v>
      </c>
      <c r="AR103">
        <f>IF(AP103&gt;0,IFERROR(INDEX(Assumptions!$C$166:$D$166,MATCH(LEFT($D103,5),Job_Training[[#Headers],[Solar]:[Wind]],0)),0),0)</f>
        <v>0</v>
      </c>
    </row>
    <row r="104" spans="1:44" x14ac:dyDescent="0.35">
      <c r="A104" t="str">
        <f>UserInput!$B$2</f>
        <v>Current Projects</v>
      </c>
      <c r="B104">
        <v>2043</v>
      </c>
      <c r="C104" t="s">
        <v>41</v>
      </c>
      <c r="D104" t="s">
        <v>84</v>
      </c>
      <c r="E104" s="66">
        <f>INDEX(UserInput!$C$2:$M$22,MATCH(UserMade_Scenario!B104,UserInput!$A$2:$A$22,0),MATCH(LEFT(IF(RIGHT(C104,2)="H2",UserMade_Scenario!C104,D104),3),UserInput!$C$25:$M$25,0))</f>
        <v>19</v>
      </c>
      <c r="F104" t="s">
        <v>81</v>
      </c>
      <c r="G104" s="14">
        <f t="shared" si="29"/>
        <v>3.5904167373167119E-4</v>
      </c>
      <c r="H104" s="63">
        <f t="shared" si="30"/>
        <v>6.7822072615197184E-3</v>
      </c>
      <c r="I104" s="63">
        <f t="shared" si="31"/>
        <v>3.910787123605943E-3</v>
      </c>
      <c r="J104" s="63">
        <f t="shared" si="32"/>
        <v>9.6536272996948103E-3</v>
      </c>
      <c r="K104" s="30">
        <f>IF(OR(LEFT($D104,5)="Solar",$D104="Wind"),INDEX(Land_Use[AVG],MATCH(LEFT($D104,5),Land_Use[Tech],0)),0)*$E104</f>
        <v>0</v>
      </c>
      <c r="L104" s="30">
        <f>IF(OR(LEFT($D104,5)="Solar",$D104="Wind"),INDEX(Land_Use[MIN],MATCH(LEFT($D104,5),Land_Use[Tech],0)),0)*$E104</f>
        <v>0</v>
      </c>
      <c r="M104" s="30">
        <f>IF(OR(LEFT($D104,5)="Solar",$D104="Wind"),INDEX(Land_Use[MAX],MATCH(LEFT($D104,5),Land_Use[Tech],0)),0)*$E104</f>
        <v>0</v>
      </c>
      <c r="N104" s="15">
        <f t="shared" si="18"/>
        <v>7.7899999999999983E-2</v>
      </c>
      <c r="O104" s="11">
        <f t="shared" si="19"/>
        <v>0</v>
      </c>
      <c r="P104" s="11">
        <f t="shared" si="20"/>
        <v>0</v>
      </c>
      <c r="Q104" s="11">
        <f t="shared" si="21"/>
        <v>0</v>
      </c>
      <c r="R104" s="11">
        <f t="shared" si="22"/>
        <v>0</v>
      </c>
      <c r="S104" s="30">
        <f t="shared" si="33"/>
        <v>0</v>
      </c>
      <c r="T104" s="30">
        <f t="shared" si="34"/>
        <v>0</v>
      </c>
      <c r="U104" s="30">
        <f t="shared" si="35"/>
        <v>0</v>
      </c>
      <c r="V104" s="30">
        <f t="shared" si="36"/>
        <v>0</v>
      </c>
      <c r="W104" s="30">
        <f t="shared" si="37"/>
        <v>0</v>
      </c>
      <c r="X104" s="30">
        <f t="shared" si="38"/>
        <v>0</v>
      </c>
      <c r="Z104" s="23" t="s">
        <v>76</v>
      </c>
      <c r="AA104" s="40">
        <f>IF(C104="Electricity",E104*SUMIFS(Electricity!S:S,Electricity!P:P,UserMade_Scenario!B104,Electricity!M:M,UserMade_Scenario!Z104,Electricity!O:O,UserMade_Scenario!D104),"")</f>
        <v>99738.714047906047</v>
      </c>
      <c r="AB104" s="76">
        <f>1/Assumptions!$B$23/1000000000000</f>
        <v>3.5998225679871703E-9</v>
      </c>
      <c r="AC104" s="67" t="s">
        <v>82</v>
      </c>
      <c r="AD104" s="69">
        <f>INDEX(Table11[AVG
CO2e MT per MWh],MATCH(UserMade_Scenario!$B104,Table11[[Year]:[Year]],0))</f>
        <v>-6.7999746399999894E-2</v>
      </c>
      <c r="AE104" s="69">
        <f>INDEX(Table11[MIN
CO2e MT per MWh],MATCH(UserMade_Scenario!$B104,Table11[[Year]:[Year]],0))</f>
        <v>-3.9210322300000093E-2</v>
      </c>
      <c r="AF104" s="69">
        <f>INDEX(Table11[MAX CO2e MT per MWh],MATCH(UserMade_Scenario!$B104,Table11[[Year]:[Year]],0))</f>
        <v>-9.6789169500000008E-2</v>
      </c>
      <c r="AG104" s="68">
        <f>IFERROR(INDEX(WaterUseH2[Average Direct Water Consumption (Gal/ kg h2)],MATCH(LEFT(D104,3),WaterUseH2[Key],0)),0)</f>
        <v>4.0999999999999996</v>
      </c>
      <c r="AH104">
        <v>14</v>
      </c>
      <c r="AI104">
        <v>1.4</v>
      </c>
      <c r="AJ104">
        <v>250</v>
      </c>
      <c r="AK104">
        <v>0.31</v>
      </c>
      <c r="AL104" s="63">
        <f>IFERROR(INDEX(Job_Training[[Solar]:[Wind]],MATCH(AL$1,Job_Training[[`Typical Entry Level Education`]:[`Typical Entry Level Education`]],0),MATCH(LEFT($D104,5),Job_Training[[#Headers],[Solar]:[Wind]],0)),0)</f>
        <v>0</v>
      </c>
      <c r="AM104" s="63">
        <f>IFERROR(INDEX(Job_Training[[Solar]:[Wind]],MATCH(AM$1,Job_Training[[`Typical Entry Level Education`]:[`Typical Entry Level Education`]],0),MATCH(LEFT($D104,5),Job_Training[[#Headers],[Solar]:[Wind]],0)),0)</f>
        <v>0</v>
      </c>
      <c r="AN104" s="63">
        <f>IFERROR(INDEX(Job_Training[[Solar]:[Wind]],MATCH(AN$1,Job_Training[[`Typical Entry Level Education`]:[`Typical Entry Level Education`]],0),MATCH(LEFT($D104,5),Job_Training[[#Headers],[Solar]:[Wind]],0)),0)</f>
        <v>0</v>
      </c>
      <c r="AO104" s="63">
        <f>IFERROR(INDEX(Job_Training[[Solar]:[Wind]],MATCH(AO$1,Job_Training[[`Typical Entry Level Education`]:[`Typical Entry Level Education`]],0),MATCH(LEFT($D104,5),Job_Training[[#Headers],[Solar]:[Wind]],0)),0)</f>
        <v>0</v>
      </c>
      <c r="AP104">
        <f t="shared" si="39"/>
        <v>0</v>
      </c>
      <c r="AQ104" s="63">
        <f>IF(AP104&gt;0,IFERROR(INDEX(Assumptions!$C$165:$D$165,MATCH(LEFT($D104,5),Job_Training[[#Headers],[Solar]:[Wind]],0)),0),0)</f>
        <v>0</v>
      </c>
      <c r="AR104">
        <f>IF(AP104&gt;0,IFERROR(INDEX(Assumptions!$C$166:$D$166,MATCH(LEFT($D104,5),Job_Training[[#Headers],[Solar]:[Wind]],0)),0),0)</f>
        <v>0</v>
      </c>
    </row>
    <row r="105" spans="1:44" x14ac:dyDescent="0.35">
      <c r="A105" t="str">
        <f>UserInput!$B$2</f>
        <v>Current Projects</v>
      </c>
      <c r="B105">
        <v>2044</v>
      </c>
      <c r="C105" t="s">
        <v>41</v>
      </c>
      <c r="D105" t="s">
        <v>84</v>
      </c>
      <c r="E105" s="66">
        <f>INDEX(UserInput!$C$2:$M$22,MATCH(UserMade_Scenario!B105,UserInput!$A$2:$A$22,0),MATCH(LEFT(IF(RIGHT(C105,2)="H2",UserMade_Scenario!C105,D105),3),UserInput!$C$25:$M$25,0))</f>
        <v>19</v>
      </c>
      <c r="F105" t="s">
        <v>81</v>
      </c>
      <c r="G105" s="14">
        <f t="shared" si="29"/>
        <v>3.5605623753393755E-4</v>
      </c>
      <c r="H105" s="63">
        <f t="shared" si="30"/>
        <v>6.3080273733775467E-3</v>
      </c>
      <c r="I105" s="63">
        <f t="shared" si="31"/>
        <v>3.3681172991549377E-3</v>
      </c>
      <c r="J105" s="63">
        <f t="shared" si="32"/>
        <v>9.2479373486908014E-3</v>
      </c>
      <c r="K105" s="30">
        <f>IF(OR(LEFT($D105,5)="Solar",$D105="Wind"),INDEX(Land_Use[AVG],MATCH(LEFT($D105,5),Land_Use[Tech],0)),0)*$E105</f>
        <v>0</v>
      </c>
      <c r="L105" s="30">
        <f>IF(OR(LEFT($D105,5)="Solar",$D105="Wind"),INDEX(Land_Use[MIN],MATCH(LEFT($D105,5),Land_Use[Tech],0)),0)*$E105</f>
        <v>0</v>
      </c>
      <c r="M105" s="30">
        <f>IF(OR(LEFT($D105,5)="Solar",$D105="Wind"),INDEX(Land_Use[MAX],MATCH(LEFT($D105,5),Land_Use[Tech],0)),0)*$E105</f>
        <v>0</v>
      </c>
      <c r="N105" s="15">
        <f t="shared" si="18"/>
        <v>7.7899999999999983E-2</v>
      </c>
      <c r="O105" s="11">
        <f t="shared" si="19"/>
        <v>0</v>
      </c>
      <c r="P105" s="11">
        <f t="shared" si="20"/>
        <v>0</v>
      </c>
      <c r="Q105" s="11">
        <f t="shared" si="21"/>
        <v>0</v>
      </c>
      <c r="R105" s="11">
        <f t="shared" si="22"/>
        <v>0</v>
      </c>
      <c r="S105" s="30">
        <f t="shared" si="33"/>
        <v>0</v>
      </c>
      <c r="T105" s="30">
        <f t="shared" si="34"/>
        <v>0</v>
      </c>
      <c r="U105" s="30">
        <f t="shared" si="35"/>
        <v>0</v>
      </c>
      <c r="V105" s="30">
        <f t="shared" si="36"/>
        <v>0</v>
      </c>
      <c r="W105" s="30">
        <f t="shared" si="37"/>
        <v>0</v>
      </c>
      <c r="X105" s="30">
        <f t="shared" si="38"/>
        <v>0</v>
      </c>
      <c r="Z105" s="23" t="s">
        <v>76</v>
      </c>
      <c r="AA105" s="40">
        <f>IF(C105="Electricity",E105*SUMIFS(Electricity!S:S,Electricity!P:P,UserMade_Scenario!B105,Electricity!M:M,UserMade_Scenario!Z105,Electricity!O:O,UserMade_Scenario!D105),"")</f>
        <v>98909.385340351728</v>
      </c>
      <c r="AB105" s="76">
        <f>1/Assumptions!$B$23/1000000000000</f>
        <v>3.5998225679871703E-9</v>
      </c>
      <c r="AC105" s="67" t="s">
        <v>82</v>
      </c>
      <c r="AD105" s="69">
        <f>INDEX(Table11[AVG
CO2e MT per MWh],MATCH(UserMade_Scenario!$B105,Table11[[Year]:[Year]],0))</f>
        <v>-6.3775822199999888E-2</v>
      </c>
      <c r="AE105" s="69">
        <f>INDEX(Table11[MIN
CO2e MT per MWh],MATCH(UserMade_Scenario!$B105,Table11[[Year]:[Year]],0))</f>
        <v>-3.4052555150000094E-2</v>
      </c>
      <c r="AF105" s="69">
        <f>INDEX(Table11[MAX CO2e MT per MWh],MATCH(UserMade_Scenario!$B105,Table11[[Year]:[Year]],0))</f>
        <v>-9.3499088250000001E-2</v>
      </c>
      <c r="AG105" s="68">
        <f>IFERROR(INDEX(WaterUseH2[Average Direct Water Consumption (Gal/ kg h2)],MATCH(LEFT(D105,3),WaterUseH2[Key],0)),0)</f>
        <v>4.0999999999999996</v>
      </c>
      <c r="AH105">
        <v>14</v>
      </c>
      <c r="AI105">
        <v>1.4</v>
      </c>
      <c r="AJ105">
        <v>250</v>
      </c>
      <c r="AK105">
        <v>0.31</v>
      </c>
      <c r="AL105" s="63">
        <f>IFERROR(INDEX(Job_Training[[Solar]:[Wind]],MATCH(AL$1,Job_Training[[`Typical Entry Level Education`]:[`Typical Entry Level Education`]],0),MATCH(LEFT($D105,5),Job_Training[[#Headers],[Solar]:[Wind]],0)),0)</f>
        <v>0</v>
      </c>
      <c r="AM105" s="63">
        <f>IFERROR(INDEX(Job_Training[[Solar]:[Wind]],MATCH(AM$1,Job_Training[[`Typical Entry Level Education`]:[`Typical Entry Level Education`]],0),MATCH(LEFT($D105,5),Job_Training[[#Headers],[Solar]:[Wind]],0)),0)</f>
        <v>0</v>
      </c>
      <c r="AN105" s="63">
        <f>IFERROR(INDEX(Job_Training[[Solar]:[Wind]],MATCH(AN$1,Job_Training[[`Typical Entry Level Education`]:[`Typical Entry Level Education`]],0),MATCH(LEFT($D105,5),Job_Training[[#Headers],[Solar]:[Wind]],0)),0)</f>
        <v>0</v>
      </c>
      <c r="AO105" s="63">
        <f>IFERROR(INDEX(Job_Training[[Solar]:[Wind]],MATCH(AO$1,Job_Training[[`Typical Entry Level Education`]:[`Typical Entry Level Education`]],0),MATCH(LEFT($D105,5),Job_Training[[#Headers],[Solar]:[Wind]],0)),0)</f>
        <v>0</v>
      </c>
      <c r="AP105">
        <f t="shared" si="39"/>
        <v>0</v>
      </c>
      <c r="AQ105" s="63">
        <f>IF(AP105&gt;0,IFERROR(INDEX(Assumptions!$C$165:$D$165,MATCH(LEFT($D105,5),Job_Training[[#Headers],[Solar]:[Wind]],0)),0),0)</f>
        <v>0</v>
      </c>
      <c r="AR105">
        <f>IF(AP105&gt;0,IFERROR(INDEX(Assumptions!$C$166:$D$166,MATCH(LEFT($D105,5),Job_Training[[#Headers],[Solar]:[Wind]],0)),0),0)</f>
        <v>0</v>
      </c>
    </row>
    <row r="106" spans="1:44" x14ac:dyDescent="0.35">
      <c r="A106" t="str">
        <f>UserInput!$B$2</f>
        <v>Current Projects</v>
      </c>
      <c r="B106">
        <v>2045</v>
      </c>
      <c r="C106" t="s">
        <v>41</v>
      </c>
      <c r="D106" t="s">
        <v>84</v>
      </c>
      <c r="E106" s="66">
        <f>INDEX(UserInput!$C$2:$M$22,MATCH(UserMade_Scenario!B106,UserInput!$A$2:$A$22,0),MATCH(LEFT(IF(RIGHT(C106,2)="H2",UserMade_Scenario!C106,D106),3),UserInput!$C$25:$M$25,0))</f>
        <v>19</v>
      </c>
      <c r="F106" t="s">
        <v>81</v>
      </c>
      <c r="G106" s="14">
        <f t="shared" si="29"/>
        <v>3.5307080133620386E-4</v>
      </c>
      <c r="H106" s="63">
        <f t="shared" si="30"/>
        <v>5.8408535284305641E-3</v>
      </c>
      <c r="I106" s="63">
        <f t="shared" si="31"/>
        <v>2.8340024434326842E-3</v>
      </c>
      <c r="J106" s="63">
        <f t="shared" si="32"/>
        <v>8.8477045153484181E-3</v>
      </c>
      <c r="K106" s="30">
        <f>IF(OR(LEFT($D106,5)="Solar",$D106="Wind"),INDEX(Land_Use[AVG],MATCH(LEFT($D106,5),Land_Use[Tech],0)),0)*$E106</f>
        <v>0</v>
      </c>
      <c r="L106" s="30">
        <f>IF(OR(LEFT($D106,5)="Solar",$D106="Wind"),INDEX(Land_Use[MIN],MATCH(LEFT($D106,5),Land_Use[Tech],0)),0)*$E106</f>
        <v>0</v>
      </c>
      <c r="M106" s="30">
        <f>IF(OR(LEFT($D106,5)="Solar",$D106="Wind"),INDEX(Land_Use[MAX],MATCH(LEFT($D106,5),Land_Use[Tech],0)),0)*$E106</f>
        <v>0</v>
      </c>
      <c r="N106" s="15">
        <f t="shared" si="18"/>
        <v>7.7899999999999983E-2</v>
      </c>
      <c r="O106" s="11">
        <f t="shared" si="19"/>
        <v>0</v>
      </c>
      <c r="P106" s="11">
        <f t="shared" si="20"/>
        <v>0</v>
      </c>
      <c r="Q106" s="11">
        <f t="shared" si="21"/>
        <v>0</v>
      </c>
      <c r="R106" s="11">
        <f t="shared" si="22"/>
        <v>0</v>
      </c>
      <c r="S106" s="30">
        <f t="shared" si="33"/>
        <v>0</v>
      </c>
      <c r="T106" s="30">
        <f t="shared" si="34"/>
        <v>0</v>
      </c>
      <c r="U106" s="30">
        <f t="shared" si="35"/>
        <v>0</v>
      </c>
      <c r="V106" s="30">
        <f t="shared" si="36"/>
        <v>0</v>
      </c>
      <c r="W106" s="30">
        <f t="shared" si="37"/>
        <v>0</v>
      </c>
      <c r="X106" s="30">
        <f t="shared" si="38"/>
        <v>0</v>
      </c>
      <c r="Z106" s="23" t="s">
        <v>76</v>
      </c>
      <c r="AA106" s="40">
        <f>IF(C106="Electricity",E106*SUMIFS(Electricity!S:S,Electricity!P:P,UserMade_Scenario!B106,Electricity!M:M,UserMade_Scenario!Z106,Electricity!O:O,UserMade_Scenario!D106),"")</f>
        <v>98080.056632797408</v>
      </c>
      <c r="AB106" s="76">
        <f>1/Assumptions!$B$23/1000000000000</f>
        <v>3.5998225679871703E-9</v>
      </c>
      <c r="AC106" s="67" t="s">
        <v>82</v>
      </c>
      <c r="AD106" s="69">
        <f>INDEX(Table11[AVG
CO2e MT per MWh],MATCH(UserMade_Scenario!$B106,Table11[[Year]:[Year]],0))</f>
        <v>-5.9551897999999888E-2</v>
      </c>
      <c r="AE106" s="69">
        <f>INDEX(Table11[MIN
CO2e MT per MWh],MATCH(UserMade_Scenario!$B106,Table11[[Year]:[Year]],0))</f>
        <v>-2.8894788000000095E-2</v>
      </c>
      <c r="AF106" s="69">
        <f>INDEX(Table11[MAX CO2e MT per MWh],MATCH(UserMade_Scenario!$B106,Table11[[Year]:[Year]],0))</f>
        <v>-9.0209006999999994E-2</v>
      </c>
      <c r="AG106" s="68">
        <f>IFERROR(INDEX(WaterUseH2[Average Direct Water Consumption (Gal/ kg h2)],MATCH(LEFT(D106,3),WaterUseH2[Key],0)),0)</f>
        <v>4.0999999999999996</v>
      </c>
      <c r="AH106">
        <v>14</v>
      </c>
      <c r="AI106">
        <v>1.4</v>
      </c>
      <c r="AJ106">
        <v>250</v>
      </c>
      <c r="AK106">
        <v>0.31</v>
      </c>
      <c r="AL106" s="63">
        <f>IFERROR(INDEX(Job_Training[[Solar]:[Wind]],MATCH(AL$1,Job_Training[[`Typical Entry Level Education`]:[`Typical Entry Level Education`]],0),MATCH(LEFT($D106,5),Job_Training[[#Headers],[Solar]:[Wind]],0)),0)</f>
        <v>0</v>
      </c>
      <c r="AM106" s="63">
        <f>IFERROR(INDEX(Job_Training[[Solar]:[Wind]],MATCH(AM$1,Job_Training[[`Typical Entry Level Education`]:[`Typical Entry Level Education`]],0),MATCH(LEFT($D106,5),Job_Training[[#Headers],[Solar]:[Wind]],0)),0)</f>
        <v>0</v>
      </c>
      <c r="AN106" s="63">
        <f>IFERROR(INDEX(Job_Training[[Solar]:[Wind]],MATCH(AN$1,Job_Training[[`Typical Entry Level Education`]:[`Typical Entry Level Education`]],0),MATCH(LEFT($D106,5),Job_Training[[#Headers],[Solar]:[Wind]],0)),0)</f>
        <v>0</v>
      </c>
      <c r="AO106" s="63">
        <f>IFERROR(INDEX(Job_Training[[Solar]:[Wind]],MATCH(AO$1,Job_Training[[`Typical Entry Level Education`]:[`Typical Entry Level Education`]],0),MATCH(LEFT($D106,5),Job_Training[[#Headers],[Solar]:[Wind]],0)),0)</f>
        <v>0</v>
      </c>
      <c r="AP106">
        <f t="shared" si="39"/>
        <v>0</v>
      </c>
      <c r="AQ106" s="63">
        <f>IF(AP106&gt;0,IFERROR(INDEX(Assumptions!$C$165:$D$165,MATCH(LEFT($D106,5),Job_Training[[#Headers],[Solar]:[Wind]],0)),0),0)</f>
        <v>0</v>
      </c>
      <c r="AR106">
        <f>IF(AP106&gt;0,IFERROR(INDEX(Assumptions!$C$166:$D$166,MATCH(LEFT($D106,5),Job_Training[[#Headers],[Solar]:[Wind]],0)),0),0)</f>
        <v>0</v>
      </c>
    </row>
    <row r="107" spans="1:44" x14ac:dyDescent="0.35">
      <c r="A107" t="str">
        <f>UserInput!$B$2</f>
        <v>Current Projects</v>
      </c>
      <c r="B107">
        <v>2025</v>
      </c>
      <c r="C107" t="s">
        <v>41</v>
      </c>
      <c r="D107" t="s">
        <v>85</v>
      </c>
      <c r="E107" s="66">
        <f>INDEX(UserInput!$C$2:$M$22,MATCH(UserMade_Scenario!B107,UserInput!$A$2:$A$22,0),MATCH(LEFT(IF(RIGHT(C107,2)="H2",UserMade_Scenario!C107,D107),3),UserInput!$C$25:$M$25,0))</f>
        <v>670.90909090909088</v>
      </c>
      <c r="F107" t="s">
        <v>81</v>
      </c>
      <c r="G107" s="14">
        <f t="shared" si="29"/>
        <v>2.8283824219461932E-3</v>
      </c>
      <c r="H107" s="63">
        <f t="shared" si="30"/>
        <v>0.11316474436760275</v>
      </c>
      <c r="I107" s="63">
        <f t="shared" si="31"/>
        <v>0.10375185506571422</v>
      </c>
      <c r="J107" s="63">
        <f t="shared" si="32"/>
        <v>0.12257763288379077</v>
      </c>
      <c r="K107" s="30">
        <f>IF(OR(LEFT($D107,5)="Solar",$D107="Wind"),INDEX(Land_Use[AVG],MATCH(LEFT($D107,5),Land_Use[Tech],0)),0)*$E107</f>
        <v>0</v>
      </c>
      <c r="L107" s="30">
        <f>IF(OR(LEFT($D107,5)="Solar",$D107="Wind"),INDEX(Land_Use[MIN],MATCH(LEFT($D107,5),Land_Use[Tech],0)),0)*$E107</f>
        <v>0</v>
      </c>
      <c r="M107" s="30">
        <f>IF(OR(LEFT($D107,5)="Solar",$D107="Wind"),INDEX(Land_Use[MAX],MATCH(LEFT($D107,5),Land_Use[Tech],0)),0)*$E107</f>
        <v>0</v>
      </c>
      <c r="N107" s="15">
        <f t="shared" si="18"/>
        <v>0</v>
      </c>
      <c r="O107" s="11">
        <f t="shared" si="19"/>
        <v>0</v>
      </c>
      <c r="P107" s="11">
        <f t="shared" si="20"/>
        <v>0</v>
      </c>
      <c r="Q107" s="11">
        <f t="shared" si="21"/>
        <v>0</v>
      </c>
      <c r="R107" s="11">
        <f t="shared" si="22"/>
        <v>0</v>
      </c>
      <c r="S107" s="30">
        <f t="shared" si="33"/>
        <v>0</v>
      </c>
      <c r="T107" s="30">
        <f t="shared" si="34"/>
        <v>0</v>
      </c>
      <c r="U107" s="30">
        <f t="shared" si="35"/>
        <v>0</v>
      </c>
      <c r="V107" s="30">
        <f t="shared" si="36"/>
        <v>0</v>
      </c>
      <c r="W107" s="30">
        <f t="shared" si="37"/>
        <v>0</v>
      </c>
      <c r="X107" s="30">
        <f t="shared" si="38"/>
        <v>0</v>
      </c>
      <c r="Z107" s="23" t="s">
        <v>76</v>
      </c>
      <c r="AA107" s="40">
        <f>IF(C107="Electricity",E107*SUMIFS(Electricity!S:S,Electricity!P:P,UserMade_Scenario!B107,Electricity!M:M,UserMade_Scenario!Z107,Electricity!O:O,UserMade_Scenario!D107),"")</f>
        <v>785700.50843580172</v>
      </c>
      <c r="AB107" s="76">
        <f>1/Assumptions!$B$23/1000000000000</f>
        <v>3.5998225679871703E-9</v>
      </c>
      <c r="AC107" s="67" t="s">
        <v>82</v>
      </c>
      <c r="AD107" s="69">
        <f>INDEX(Table11[AVG
CO2e MT per MWh],MATCH(UserMade_Scenario!$B107,Table11[[Year]:[Year]],0))</f>
        <v>-0.14403038200000001</v>
      </c>
      <c r="AE107" s="69">
        <f>INDEX(Table11[MIN
CO2e MT per MWh],MATCH(UserMade_Scenario!$B107,Table11[[Year]:[Year]],0))</f>
        <v>-0.13205013099999999</v>
      </c>
      <c r="AF107" s="69">
        <f>INDEX(Table11[MAX CO2e MT per MWh],MATCH(UserMade_Scenario!$B107,Table11[[Year]:[Year]],0))</f>
        <v>-0.15601063200000001</v>
      </c>
      <c r="AG107" s="68">
        <f>IFERROR(INDEX(WaterUseH2[Average Direct Water Consumption (Gal/ kg h2)],MATCH(LEFT(D107,3),WaterUseH2[Key],0)),0)</f>
        <v>0</v>
      </c>
      <c r="AH107">
        <v>14</v>
      </c>
      <c r="AI107">
        <v>1.4</v>
      </c>
      <c r="AJ107">
        <v>250</v>
      </c>
      <c r="AK107">
        <v>0.31</v>
      </c>
      <c r="AL107" s="63">
        <f>IFERROR(INDEX(Job_Training[[Solar]:[Wind]],MATCH(AL$1,Job_Training[[`Typical Entry Level Education`]:[`Typical Entry Level Education`]],0),MATCH(LEFT($D107,5),Job_Training[[#Headers],[Solar]:[Wind]],0)),0)</f>
        <v>0</v>
      </c>
      <c r="AM107" s="63">
        <f>IFERROR(INDEX(Job_Training[[Solar]:[Wind]],MATCH(AM$1,Job_Training[[`Typical Entry Level Education`]:[`Typical Entry Level Education`]],0),MATCH(LEFT($D107,5),Job_Training[[#Headers],[Solar]:[Wind]],0)),0)</f>
        <v>0</v>
      </c>
      <c r="AN107" s="63">
        <f>IFERROR(INDEX(Job_Training[[Solar]:[Wind]],MATCH(AN$1,Job_Training[[`Typical Entry Level Education`]:[`Typical Entry Level Education`]],0),MATCH(LEFT($D107,5),Job_Training[[#Headers],[Solar]:[Wind]],0)),0)</f>
        <v>0</v>
      </c>
      <c r="AO107" s="63">
        <f>IFERROR(INDEX(Job_Training[[Solar]:[Wind]],MATCH(AO$1,Job_Training[[`Typical Entry Level Education`]:[`Typical Entry Level Education`]],0),MATCH(LEFT($D107,5),Job_Training[[#Headers],[Solar]:[Wind]],0)),0)</f>
        <v>0</v>
      </c>
      <c r="AP107">
        <f t="shared" si="39"/>
        <v>670.90909090909088</v>
      </c>
      <c r="AQ107" s="63">
        <f>IF(AP107&gt;0,IFERROR(INDEX(Assumptions!$C$165:$D$165,MATCH(LEFT($D107,5),Job_Training[[#Headers],[Solar]:[Wind]],0)),0),0)</f>
        <v>0</v>
      </c>
      <c r="AR107">
        <f>IF(AP107&gt;0,IFERROR(INDEX(Assumptions!$C$166:$D$166,MATCH(LEFT($D107,5),Job_Training[[#Headers],[Solar]:[Wind]],0)),0),0)</f>
        <v>0</v>
      </c>
    </row>
    <row r="108" spans="1:44" x14ac:dyDescent="0.35">
      <c r="A108" t="str">
        <f>UserInput!$B$2</f>
        <v>Current Projects</v>
      </c>
      <c r="B108">
        <v>2026</v>
      </c>
      <c r="C108" t="s">
        <v>41</v>
      </c>
      <c r="D108" t="s">
        <v>85</v>
      </c>
      <c r="E108" s="66">
        <f>INDEX(UserInput!$C$2:$M$22,MATCH(UserMade_Scenario!B108,UserInput!$A$2:$A$22,0),MATCH(LEFT(IF(RIGHT(C108,2)="H2",UserMade_Scenario!C108,D108),3),UserInput!$C$25:$M$25,0))</f>
        <v>1341.8181818181818</v>
      </c>
      <c r="F108" t="s">
        <v>81</v>
      </c>
      <c r="G108" s="14">
        <f t="shared" si="29"/>
        <v>5.6567648438923864E-3</v>
      </c>
      <c r="H108" s="63">
        <f t="shared" si="30"/>
        <v>0.21969200995213692</v>
      </c>
      <c r="I108" s="63">
        <f t="shared" si="31"/>
        <v>0.1993987895871315</v>
      </c>
      <c r="J108" s="63">
        <f t="shared" si="32"/>
        <v>0.23998522874574135</v>
      </c>
      <c r="K108" s="30">
        <f>IF(OR(LEFT($D108,5)="Solar",$D108="Wind"),INDEX(Land_Use[AVG],MATCH(LEFT($D108,5),Land_Use[Tech],0)),0)*$E108</f>
        <v>0</v>
      </c>
      <c r="L108" s="30">
        <f>IF(OR(LEFT($D108,5)="Solar",$D108="Wind"),INDEX(Land_Use[MIN],MATCH(LEFT($D108,5),Land_Use[Tech],0)),0)*$E108</f>
        <v>0</v>
      </c>
      <c r="M108" s="30">
        <f>IF(OR(LEFT($D108,5)="Solar",$D108="Wind"),INDEX(Land_Use[MAX],MATCH(LEFT($D108,5),Land_Use[Tech],0)),0)*$E108</f>
        <v>0</v>
      </c>
      <c r="N108" s="15">
        <f t="shared" ref="N108:N160" si="40">E108*AG108*1000/1000000</f>
        <v>0</v>
      </c>
      <c r="O108" s="11">
        <f t="shared" ref="O108:O160" si="41">$K108*AH$2</f>
        <v>0</v>
      </c>
      <c r="P108" s="11">
        <f t="shared" ref="P108:P160" si="42">$K108*AI$2</f>
        <v>0</v>
      </c>
      <c r="Q108" s="11">
        <f t="shared" ref="Q108:Q160" si="43">$K108*AJ$2</f>
        <v>0</v>
      </c>
      <c r="R108" s="11">
        <f t="shared" ref="R108:R160" si="44">$K108*AK$2</f>
        <v>0</v>
      </c>
      <c r="S108" s="30">
        <f t="shared" si="33"/>
        <v>0</v>
      </c>
      <c r="T108" s="30">
        <f t="shared" si="34"/>
        <v>0</v>
      </c>
      <c r="U108" s="30">
        <f t="shared" si="35"/>
        <v>0</v>
      </c>
      <c r="V108" s="30">
        <f t="shared" si="36"/>
        <v>0</v>
      </c>
      <c r="W108" s="30">
        <f t="shared" si="37"/>
        <v>0</v>
      </c>
      <c r="X108" s="30">
        <f t="shared" si="38"/>
        <v>0</v>
      </c>
      <c r="Z108" s="23" t="s">
        <v>76</v>
      </c>
      <c r="AA108" s="40">
        <f>IF(C108="Electricity",E108*SUMIFS(Electricity!S:S,Electricity!P:P,UserMade_Scenario!B108,Electricity!M:M,UserMade_Scenario!Z108,Electricity!O:O,UserMade_Scenario!D108),"")</f>
        <v>1571401.0168716034</v>
      </c>
      <c r="AB108" s="76">
        <f>1/Assumptions!$B$23/1000000000000</f>
        <v>3.5998225679871703E-9</v>
      </c>
      <c r="AC108" s="67" t="s">
        <v>82</v>
      </c>
      <c r="AD108" s="69">
        <f>INDEX(Table11[AVG
CO2e MT per MWh],MATCH(UserMade_Scenario!$B108,Table11[[Year]:[Year]],0))</f>
        <v>-0.13980645780000001</v>
      </c>
      <c r="AE108" s="69">
        <f>INDEX(Table11[MIN
CO2e MT per MWh],MATCH(UserMade_Scenario!$B108,Table11[[Year]:[Year]],0))</f>
        <v>-0.12689236385</v>
      </c>
      <c r="AF108" s="69">
        <f>INDEX(Table11[MAX CO2e MT per MWh],MATCH(UserMade_Scenario!$B108,Table11[[Year]:[Year]],0))</f>
        <v>-0.15272055075000002</v>
      </c>
      <c r="AG108" s="68">
        <f>IFERROR(INDEX(WaterUseH2[Average Direct Water Consumption (Gal/ kg h2)],MATCH(LEFT(D108,3),WaterUseH2[Key],0)),0)</f>
        <v>0</v>
      </c>
      <c r="AH108">
        <v>14</v>
      </c>
      <c r="AI108">
        <v>1.4</v>
      </c>
      <c r="AJ108">
        <v>250</v>
      </c>
      <c r="AK108">
        <v>0.31</v>
      </c>
      <c r="AL108" s="63">
        <f>IFERROR(INDEX(Job_Training[[Solar]:[Wind]],MATCH(AL$1,Job_Training[[`Typical Entry Level Education`]:[`Typical Entry Level Education`]],0),MATCH(LEFT($D108,5),Job_Training[[#Headers],[Solar]:[Wind]],0)),0)</f>
        <v>0</v>
      </c>
      <c r="AM108" s="63">
        <f>IFERROR(INDEX(Job_Training[[Solar]:[Wind]],MATCH(AM$1,Job_Training[[`Typical Entry Level Education`]:[`Typical Entry Level Education`]],0),MATCH(LEFT($D108,5),Job_Training[[#Headers],[Solar]:[Wind]],0)),0)</f>
        <v>0</v>
      </c>
      <c r="AN108" s="63">
        <f>IFERROR(INDEX(Job_Training[[Solar]:[Wind]],MATCH(AN$1,Job_Training[[`Typical Entry Level Education`]:[`Typical Entry Level Education`]],0),MATCH(LEFT($D108,5),Job_Training[[#Headers],[Solar]:[Wind]],0)),0)</f>
        <v>0</v>
      </c>
      <c r="AO108" s="63">
        <f>IFERROR(INDEX(Job_Training[[Solar]:[Wind]],MATCH(AO$1,Job_Training[[`Typical Entry Level Education`]:[`Typical Entry Level Education`]],0),MATCH(LEFT($D108,5),Job_Training[[#Headers],[Solar]:[Wind]],0)),0)</f>
        <v>0</v>
      </c>
      <c r="AP108">
        <f t="shared" si="39"/>
        <v>670.90909090909088</v>
      </c>
      <c r="AQ108" s="63">
        <f>IF(AP108&gt;0,IFERROR(INDEX(Assumptions!$C$165:$D$165,MATCH(LEFT($D108,5),Job_Training[[#Headers],[Solar]:[Wind]],0)),0),0)</f>
        <v>0</v>
      </c>
      <c r="AR108">
        <f>IF(AP108&gt;0,IFERROR(INDEX(Assumptions!$C$166:$D$166,MATCH(LEFT($D108,5),Job_Training[[#Headers],[Solar]:[Wind]],0)),0),0)</f>
        <v>0</v>
      </c>
    </row>
    <row r="109" spans="1:44" x14ac:dyDescent="0.35">
      <c r="A109" t="str">
        <f>UserInput!$B$2</f>
        <v>Current Projects</v>
      </c>
      <c r="B109">
        <v>2027</v>
      </c>
      <c r="C109" t="s">
        <v>41</v>
      </c>
      <c r="D109" t="s">
        <v>85</v>
      </c>
      <c r="E109" s="66">
        <f>INDEX(UserInput!$C$2:$M$22,MATCH(UserMade_Scenario!B109,UserInput!$A$2:$A$22,0),MATCH(LEFT(IF(RIGHT(C109,2)="H2",UserMade_Scenario!C109,D109),3),UserInput!$C$25:$M$25,0))</f>
        <v>2012.7272727272725</v>
      </c>
      <c r="F109" t="s">
        <v>81</v>
      </c>
      <c r="G109" s="14">
        <f t="shared" ref="G109:G148" si="45">AA109*AB109</f>
        <v>8.4851472658385788E-3</v>
      </c>
      <c r="H109" s="63">
        <f t="shared" si="30"/>
        <v>0.31958179675360249</v>
      </c>
      <c r="I109" s="63">
        <f t="shared" si="31"/>
        <v>0.28694080356425178</v>
      </c>
      <c r="J109" s="63">
        <f t="shared" si="32"/>
        <v>0.35222278758585168</v>
      </c>
      <c r="K109" s="30">
        <f>IF(OR(LEFT($D109,5)="Solar",$D109="Wind"),INDEX(Land_Use[AVG],MATCH(LEFT($D109,5),Land_Use[Tech],0)),0)*$E109</f>
        <v>0</v>
      </c>
      <c r="L109" s="30">
        <f>IF(OR(LEFT($D109,5)="Solar",$D109="Wind"),INDEX(Land_Use[MIN],MATCH(LEFT($D109,5),Land_Use[Tech],0)),0)*$E109</f>
        <v>0</v>
      </c>
      <c r="M109" s="30">
        <f>IF(OR(LEFT($D109,5)="Solar",$D109="Wind"),INDEX(Land_Use[MAX],MATCH(LEFT($D109,5),Land_Use[Tech],0)),0)*$E109</f>
        <v>0</v>
      </c>
      <c r="N109" s="15">
        <f t="shared" si="40"/>
        <v>0</v>
      </c>
      <c r="O109" s="11">
        <f t="shared" si="41"/>
        <v>0</v>
      </c>
      <c r="P109" s="11">
        <f t="shared" si="42"/>
        <v>0</v>
      </c>
      <c r="Q109" s="11">
        <f t="shared" si="43"/>
        <v>0</v>
      </c>
      <c r="R109" s="11">
        <f t="shared" si="44"/>
        <v>0</v>
      </c>
      <c r="S109" s="30">
        <f t="shared" si="33"/>
        <v>0</v>
      </c>
      <c r="T109" s="30">
        <f t="shared" si="34"/>
        <v>0</v>
      </c>
      <c r="U109" s="30">
        <f t="shared" si="35"/>
        <v>0</v>
      </c>
      <c r="V109" s="30">
        <f t="shared" si="36"/>
        <v>0</v>
      </c>
      <c r="W109" s="30">
        <f t="shared" si="37"/>
        <v>0</v>
      </c>
      <c r="X109" s="30">
        <f t="shared" si="38"/>
        <v>0</v>
      </c>
      <c r="Z109" s="23" t="s">
        <v>76</v>
      </c>
      <c r="AA109" s="40">
        <f>IF(C109="Electricity",E109*SUMIFS(Electricity!S:S,Electricity!P:P,UserMade_Scenario!B109,Electricity!M:M,UserMade_Scenario!Z109,Electricity!O:O,UserMade_Scenario!D109),"")</f>
        <v>2357101.5253074048</v>
      </c>
      <c r="AB109" s="76">
        <f>1/Assumptions!$B$23/1000000000000</f>
        <v>3.5998225679871703E-9</v>
      </c>
      <c r="AC109" s="67" t="s">
        <v>82</v>
      </c>
      <c r="AD109" s="69">
        <f>INDEX(Table11[AVG
CO2e MT per MWh],MATCH(UserMade_Scenario!$B109,Table11[[Year]:[Year]],0))</f>
        <v>-0.1355825336</v>
      </c>
      <c r="AE109" s="69">
        <f>INDEX(Table11[MIN
CO2e MT per MWh],MATCH(UserMade_Scenario!$B109,Table11[[Year]:[Year]],0))</f>
        <v>-0.1217345967</v>
      </c>
      <c r="AF109" s="69">
        <f>INDEX(Table11[MAX CO2e MT per MWh],MATCH(UserMade_Scenario!$B109,Table11[[Year]:[Year]],0))</f>
        <v>-0.14943046950000002</v>
      </c>
      <c r="AG109" s="68">
        <f>IFERROR(INDEX(WaterUseH2[Average Direct Water Consumption (Gal/ kg h2)],MATCH(LEFT(D109,3),WaterUseH2[Key],0)),0)</f>
        <v>0</v>
      </c>
      <c r="AH109">
        <v>14</v>
      </c>
      <c r="AI109">
        <v>1.4</v>
      </c>
      <c r="AJ109">
        <v>250</v>
      </c>
      <c r="AK109">
        <v>0.31</v>
      </c>
      <c r="AL109" s="63">
        <f>IFERROR(INDEX(Job_Training[[Solar]:[Wind]],MATCH(AL$1,Job_Training[[`Typical Entry Level Education`]:[`Typical Entry Level Education`]],0),MATCH(LEFT($D109,5),Job_Training[[#Headers],[Solar]:[Wind]],0)),0)</f>
        <v>0</v>
      </c>
      <c r="AM109" s="63">
        <f>IFERROR(INDEX(Job_Training[[Solar]:[Wind]],MATCH(AM$1,Job_Training[[`Typical Entry Level Education`]:[`Typical Entry Level Education`]],0),MATCH(LEFT($D109,5),Job_Training[[#Headers],[Solar]:[Wind]],0)),0)</f>
        <v>0</v>
      </c>
      <c r="AN109" s="63">
        <f>IFERROR(INDEX(Job_Training[[Solar]:[Wind]],MATCH(AN$1,Job_Training[[`Typical Entry Level Education`]:[`Typical Entry Level Education`]],0),MATCH(LEFT($D109,5),Job_Training[[#Headers],[Solar]:[Wind]],0)),0)</f>
        <v>0</v>
      </c>
      <c r="AO109" s="63">
        <f>IFERROR(INDEX(Job_Training[[Solar]:[Wind]],MATCH(AO$1,Job_Training[[`Typical Entry Level Education`]:[`Typical Entry Level Education`]],0),MATCH(LEFT($D109,5),Job_Training[[#Headers],[Solar]:[Wind]],0)),0)</f>
        <v>0</v>
      </c>
      <c r="AP109">
        <f t="shared" si="39"/>
        <v>670.90909090909076</v>
      </c>
      <c r="AQ109" s="63">
        <f>IF(AP109&gt;0,IFERROR(INDEX(Assumptions!$C$165:$D$165,MATCH(LEFT($D109,5),Job_Training[[#Headers],[Solar]:[Wind]],0)),0),0)</f>
        <v>0</v>
      </c>
      <c r="AR109">
        <f>IF(AP109&gt;0,IFERROR(INDEX(Assumptions!$C$166:$D$166,MATCH(LEFT($D109,5),Job_Training[[#Headers],[Solar]:[Wind]],0)),0),0)</f>
        <v>0</v>
      </c>
    </row>
    <row r="110" spans="1:44" x14ac:dyDescent="0.35">
      <c r="A110" t="str">
        <f>UserInput!$B$2</f>
        <v>Current Projects</v>
      </c>
      <c r="B110">
        <v>2028</v>
      </c>
      <c r="C110" t="s">
        <v>41</v>
      </c>
      <c r="D110" t="s">
        <v>85</v>
      </c>
      <c r="E110" s="66">
        <f>INDEX(UserInput!$C$2:$M$22,MATCH(UserMade_Scenario!B110,UserInput!$A$2:$A$22,0),MATCH(LEFT(IF(RIGHT(C110,2)="H2",UserMade_Scenario!C110,D110),3),UserInput!$C$25:$M$25,0))</f>
        <v>2683.6363636363635</v>
      </c>
      <c r="F110" t="s">
        <v>81</v>
      </c>
      <c r="G110" s="14">
        <f t="shared" si="45"/>
        <v>1.1313529687784773E-2</v>
      </c>
      <c r="H110" s="63">
        <f t="shared" si="30"/>
        <v>0.4128341047719995</v>
      </c>
      <c r="I110" s="63">
        <f t="shared" si="31"/>
        <v>0.36637789699707524</v>
      </c>
      <c r="J110" s="63">
        <f t="shared" si="32"/>
        <v>0.45929030940412197</v>
      </c>
      <c r="K110" s="30">
        <f>IF(OR(LEFT($D110,5)="Solar",$D110="Wind"),INDEX(Land_Use[AVG],MATCH(LEFT($D110,5),Land_Use[Tech],0)),0)*$E110</f>
        <v>0</v>
      </c>
      <c r="L110" s="30">
        <f>IF(OR(LEFT($D110,5)="Solar",$D110="Wind"),INDEX(Land_Use[MIN],MATCH(LEFT($D110,5),Land_Use[Tech],0)),0)*$E110</f>
        <v>0</v>
      </c>
      <c r="M110" s="30">
        <f>IF(OR(LEFT($D110,5)="Solar",$D110="Wind"),INDEX(Land_Use[MAX],MATCH(LEFT($D110,5),Land_Use[Tech],0)),0)*$E110</f>
        <v>0</v>
      </c>
      <c r="N110" s="15">
        <f t="shared" si="40"/>
        <v>0</v>
      </c>
      <c r="O110" s="11">
        <f t="shared" si="41"/>
        <v>0</v>
      </c>
      <c r="P110" s="11">
        <f t="shared" si="42"/>
        <v>0</v>
      </c>
      <c r="Q110" s="11">
        <f t="shared" si="43"/>
        <v>0</v>
      </c>
      <c r="R110" s="11">
        <f t="shared" si="44"/>
        <v>0</v>
      </c>
      <c r="S110" s="30">
        <f t="shared" si="33"/>
        <v>0</v>
      </c>
      <c r="T110" s="30">
        <f t="shared" si="34"/>
        <v>0</v>
      </c>
      <c r="U110" s="30">
        <f t="shared" si="35"/>
        <v>0</v>
      </c>
      <c r="V110" s="30">
        <f t="shared" si="36"/>
        <v>0</v>
      </c>
      <c r="W110" s="30">
        <f t="shared" si="37"/>
        <v>0</v>
      </c>
      <c r="X110" s="30">
        <f t="shared" si="38"/>
        <v>0</v>
      </c>
      <c r="Z110" s="23" t="s">
        <v>76</v>
      </c>
      <c r="AA110" s="40">
        <f>IF(C110="Electricity",E110*SUMIFS(Electricity!S:S,Electricity!P:P,UserMade_Scenario!B110,Electricity!M:M,UserMade_Scenario!Z110,Electricity!O:O,UserMade_Scenario!D110),"")</f>
        <v>3142802.0337432069</v>
      </c>
      <c r="AB110" s="76">
        <f>1/Assumptions!$B$23/1000000000000</f>
        <v>3.5998225679871703E-9</v>
      </c>
      <c r="AC110" s="67" t="s">
        <v>82</v>
      </c>
      <c r="AD110" s="69">
        <f>INDEX(Table11[AVG
CO2e MT per MWh],MATCH(UserMade_Scenario!$B110,Table11[[Year]:[Year]],0))</f>
        <v>-0.13135860939999999</v>
      </c>
      <c r="AE110" s="69">
        <f>INDEX(Table11[MIN
CO2e MT per MWh],MATCH(UserMade_Scenario!$B110,Table11[[Year]:[Year]],0))</f>
        <v>-0.11657682955000001</v>
      </c>
      <c r="AF110" s="69">
        <f>INDEX(Table11[MAX CO2e MT per MWh],MATCH(UserMade_Scenario!$B110,Table11[[Year]:[Year]],0))</f>
        <v>-0.14614038825000003</v>
      </c>
      <c r="AG110" s="68">
        <f>IFERROR(INDEX(WaterUseH2[Average Direct Water Consumption (Gal/ kg h2)],MATCH(LEFT(D110,3),WaterUseH2[Key],0)),0)</f>
        <v>0</v>
      </c>
      <c r="AH110">
        <v>14</v>
      </c>
      <c r="AI110">
        <v>1.4</v>
      </c>
      <c r="AJ110">
        <v>250</v>
      </c>
      <c r="AK110">
        <v>0.31</v>
      </c>
      <c r="AL110" s="63">
        <f>IFERROR(INDEX(Job_Training[[Solar]:[Wind]],MATCH(AL$1,Job_Training[[`Typical Entry Level Education`]:[`Typical Entry Level Education`]],0),MATCH(LEFT($D110,5),Job_Training[[#Headers],[Solar]:[Wind]],0)),0)</f>
        <v>0</v>
      </c>
      <c r="AM110" s="63">
        <f>IFERROR(INDEX(Job_Training[[Solar]:[Wind]],MATCH(AM$1,Job_Training[[`Typical Entry Level Education`]:[`Typical Entry Level Education`]],0),MATCH(LEFT($D110,5),Job_Training[[#Headers],[Solar]:[Wind]],0)),0)</f>
        <v>0</v>
      </c>
      <c r="AN110" s="63">
        <f>IFERROR(INDEX(Job_Training[[Solar]:[Wind]],MATCH(AN$1,Job_Training[[`Typical Entry Level Education`]:[`Typical Entry Level Education`]],0),MATCH(LEFT($D110,5),Job_Training[[#Headers],[Solar]:[Wind]],0)),0)</f>
        <v>0</v>
      </c>
      <c r="AO110" s="63">
        <f>IFERROR(INDEX(Job_Training[[Solar]:[Wind]],MATCH(AO$1,Job_Training[[`Typical Entry Level Education`]:[`Typical Entry Level Education`]],0),MATCH(LEFT($D110,5),Job_Training[[#Headers],[Solar]:[Wind]],0)),0)</f>
        <v>0</v>
      </c>
      <c r="AP110">
        <f t="shared" si="39"/>
        <v>670.90909090909099</v>
      </c>
      <c r="AQ110" s="63">
        <f>IF(AP110&gt;0,IFERROR(INDEX(Assumptions!$C$165:$D$165,MATCH(LEFT($D110,5),Job_Training[[#Headers],[Solar]:[Wind]],0)),0),0)</f>
        <v>0</v>
      </c>
      <c r="AR110">
        <f>IF(AP110&gt;0,IFERROR(INDEX(Assumptions!$C$166:$D$166,MATCH(LEFT($D110,5),Job_Training[[#Headers],[Solar]:[Wind]],0)),0),0)</f>
        <v>0</v>
      </c>
    </row>
    <row r="111" spans="1:44" x14ac:dyDescent="0.35">
      <c r="A111" t="str">
        <f>UserInput!$B$2</f>
        <v>Current Projects</v>
      </c>
      <c r="B111">
        <v>2029</v>
      </c>
      <c r="C111" t="s">
        <v>41</v>
      </c>
      <c r="D111" t="s">
        <v>85</v>
      </c>
      <c r="E111" s="66">
        <f>INDEX(UserInput!$C$2:$M$22,MATCH(UserMade_Scenario!B111,UserInput!$A$2:$A$22,0),MATCH(LEFT(IF(RIGHT(C111,2)="H2",UserMade_Scenario!C111,D111),3),UserInput!$C$25:$M$25,0))</f>
        <v>3354.5454545454545</v>
      </c>
      <c r="F111" t="s">
        <v>81</v>
      </c>
      <c r="G111" s="14">
        <f t="shared" si="45"/>
        <v>1.4141912109730965E-2</v>
      </c>
      <c r="H111" s="63">
        <f t="shared" si="30"/>
        <v>0.49944893400732787</v>
      </c>
      <c r="I111" s="63">
        <f t="shared" si="31"/>
        <v>0.43771006988560163</v>
      </c>
      <c r="J111" s="63">
        <f t="shared" si="32"/>
        <v>0.56118779420055198</v>
      </c>
      <c r="K111" s="30">
        <f>IF(OR(LEFT($D111,5)="Solar",$D111="Wind"),INDEX(Land_Use[AVG],MATCH(LEFT($D111,5),Land_Use[Tech],0)),0)*$E111</f>
        <v>0</v>
      </c>
      <c r="L111" s="30">
        <f>IF(OR(LEFT($D111,5)="Solar",$D111="Wind"),INDEX(Land_Use[MIN],MATCH(LEFT($D111,5),Land_Use[Tech],0)),0)*$E111</f>
        <v>0</v>
      </c>
      <c r="M111" s="30">
        <f>IF(OR(LEFT($D111,5)="Solar",$D111="Wind"),INDEX(Land_Use[MAX],MATCH(LEFT($D111,5),Land_Use[Tech],0)),0)*$E111</f>
        <v>0</v>
      </c>
      <c r="N111" s="15">
        <f t="shared" si="40"/>
        <v>0</v>
      </c>
      <c r="O111" s="11">
        <f t="shared" si="41"/>
        <v>0</v>
      </c>
      <c r="P111" s="11">
        <f t="shared" si="42"/>
        <v>0</v>
      </c>
      <c r="Q111" s="11">
        <f t="shared" si="43"/>
        <v>0</v>
      </c>
      <c r="R111" s="11">
        <f t="shared" si="44"/>
        <v>0</v>
      </c>
      <c r="S111" s="30">
        <f t="shared" si="33"/>
        <v>0</v>
      </c>
      <c r="T111" s="30">
        <f t="shared" si="34"/>
        <v>0</v>
      </c>
      <c r="U111" s="30">
        <f t="shared" si="35"/>
        <v>0</v>
      </c>
      <c r="V111" s="30">
        <f t="shared" si="36"/>
        <v>0</v>
      </c>
      <c r="W111" s="30">
        <f t="shared" si="37"/>
        <v>0</v>
      </c>
      <c r="X111" s="30">
        <f t="shared" si="38"/>
        <v>0</v>
      </c>
      <c r="Z111" s="23" t="s">
        <v>76</v>
      </c>
      <c r="AA111" s="40">
        <f>IF(C111="Electricity",E111*SUMIFS(Electricity!S:S,Electricity!P:P,UserMade_Scenario!B111,Electricity!M:M,UserMade_Scenario!Z111,Electricity!O:O,UserMade_Scenario!D111),"")</f>
        <v>3928502.5421790085</v>
      </c>
      <c r="AB111" s="76">
        <f>1/Assumptions!$B$23/1000000000000</f>
        <v>3.5998225679871703E-9</v>
      </c>
      <c r="AC111" s="67" t="s">
        <v>82</v>
      </c>
      <c r="AD111" s="69">
        <f>INDEX(Table11[AVG
CO2e MT per MWh],MATCH(UserMade_Scenario!$B111,Table11[[Year]:[Year]],0))</f>
        <v>-0.12713468519999999</v>
      </c>
      <c r="AE111" s="69">
        <f>INDEX(Table11[MIN
CO2e MT per MWh],MATCH(UserMade_Scenario!$B111,Table11[[Year]:[Year]],0))</f>
        <v>-0.11141906240000002</v>
      </c>
      <c r="AF111" s="69">
        <f>INDEX(Table11[MAX CO2e MT per MWh],MATCH(UserMade_Scenario!$B111,Table11[[Year]:[Year]],0))</f>
        <v>-0.14285030700000004</v>
      </c>
      <c r="AG111" s="68">
        <f>IFERROR(INDEX(WaterUseH2[Average Direct Water Consumption (Gal/ kg h2)],MATCH(LEFT(D111,3),WaterUseH2[Key],0)),0)</f>
        <v>0</v>
      </c>
      <c r="AH111">
        <v>14</v>
      </c>
      <c r="AI111">
        <v>1.4</v>
      </c>
      <c r="AJ111">
        <v>250</v>
      </c>
      <c r="AK111">
        <v>0.31</v>
      </c>
      <c r="AL111" s="63">
        <f>IFERROR(INDEX(Job_Training[[Solar]:[Wind]],MATCH(AL$1,Job_Training[[`Typical Entry Level Education`]:[`Typical Entry Level Education`]],0),MATCH(LEFT($D111,5),Job_Training[[#Headers],[Solar]:[Wind]],0)),0)</f>
        <v>0</v>
      </c>
      <c r="AM111" s="63">
        <f>IFERROR(INDEX(Job_Training[[Solar]:[Wind]],MATCH(AM$1,Job_Training[[`Typical Entry Level Education`]:[`Typical Entry Level Education`]],0),MATCH(LEFT($D111,5),Job_Training[[#Headers],[Solar]:[Wind]],0)),0)</f>
        <v>0</v>
      </c>
      <c r="AN111" s="63">
        <f>IFERROR(INDEX(Job_Training[[Solar]:[Wind]],MATCH(AN$1,Job_Training[[`Typical Entry Level Education`]:[`Typical Entry Level Education`]],0),MATCH(LEFT($D111,5),Job_Training[[#Headers],[Solar]:[Wind]],0)),0)</f>
        <v>0</v>
      </c>
      <c r="AO111" s="63">
        <f>IFERROR(INDEX(Job_Training[[Solar]:[Wind]],MATCH(AO$1,Job_Training[[`Typical Entry Level Education`]:[`Typical Entry Level Education`]],0),MATCH(LEFT($D111,5),Job_Training[[#Headers],[Solar]:[Wind]],0)),0)</f>
        <v>0</v>
      </c>
      <c r="AP111">
        <f t="shared" si="39"/>
        <v>670.90909090909099</v>
      </c>
      <c r="AQ111" s="63">
        <f>IF(AP111&gt;0,IFERROR(INDEX(Assumptions!$C$165:$D$165,MATCH(LEFT($D111,5),Job_Training[[#Headers],[Solar]:[Wind]],0)),0),0)</f>
        <v>0</v>
      </c>
      <c r="AR111">
        <f>IF(AP111&gt;0,IFERROR(INDEX(Assumptions!$C$166:$D$166,MATCH(LEFT($D111,5),Job_Training[[#Headers],[Solar]:[Wind]],0)),0),0)</f>
        <v>0</v>
      </c>
    </row>
    <row r="112" spans="1:44" x14ac:dyDescent="0.35">
      <c r="A112" t="str">
        <f>UserInput!$B$2</f>
        <v>Current Projects</v>
      </c>
      <c r="B112">
        <v>2030</v>
      </c>
      <c r="C112" t="s">
        <v>41</v>
      </c>
      <c r="D112" t="s">
        <v>85</v>
      </c>
      <c r="E112" s="66">
        <f>INDEX(UserInput!$C$2:$M$22,MATCH(UserMade_Scenario!B112,UserInput!$A$2:$A$22,0),MATCH(LEFT(IF(RIGHT(C112,2)="H2",UserMade_Scenario!C112,D112),3),UserInput!$C$25:$M$25,0))</f>
        <v>4025.4545454545455</v>
      </c>
      <c r="F112" t="s">
        <v>81</v>
      </c>
      <c r="G112" s="14">
        <f t="shared" si="45"/>
        <v>1.6970294531677161E-2</v>
      </c>
      <c r="H112" s="63">
        <f t="shared" si="30"/>
        <v>0.57942628445958777</v>
      </c>
      <c r="I112" s="63">
        <f t="shared" si="31"/>
        <v>0.50093732222983123</v>
      </c>
      <c r="J112" s="63">
        <f t="shared" si="32"/>
        <v>0.65791524197514184</v>
      </c>
      <c r="K112" s="30">
        <f>IF(OR(LEFT($D112,5)="Solar",$D112="Wind"),INDEX(Land_Use[AVG],MATCH(LEFT($D112,5),Land_Use[Tech],0)),0)*$E112</f>
        <v>0</v>
      </c>
      <c r="L112" s="30">
        <f>IF(OR(LEFT($D112,5)="Solar",$D112="Wind"),INDEX(Land_Use[MIN],MATCH(LEFT($D112,5),Land_Use[Tech],0)),0)*$E112</f>
        <v>0</v>
      </c>
      <c r="M112" s="30">
        <f>IF(OR(LEFT($D112,5)="Solar",$D112="Wind"),INDEX(Land_Use[MAX],MATCH(LEFT($D112,5),Land_Use[Tech],0)),0)*$E112</f>
        <v>0</v>
      </c>
      <c r="N112" s="15">
        <f t="shared" si="40"/>
        <v>0</v>
      </c>
      <c r="O112" s="11">
        <f t="shared" si="41"/>
        <v>0</v>
      </c>
      <c r="P112" s="11">
        <f t="shared" si="42"/>
        <v>0</v>
      </c>
      <c r="Q112" s="11">
        <f t="shared" si="43"/>
        <v>0</v>
      </c>
      <c r="R112" s="11">
        <f t="shared" si="44"/>
        <v>0</v>
      </c>
      <c r="S112" s="30">
        <f t="shared" si="33"/>
        <v>0</v>
      </c>
      <c r="T112" s="30">
        <f t="shared" si="34"/>
        <v>0</v>
      </c>
      <c r="U112" s="30">
        <f t="shared" si="35"/>
        <v>0</v>
      </c>
      <c r="V112" s="30">
        <f t="shared" si="36"/>
        <v>0</v>
      </c>
      <c r="W112" s="30">
        <f t="shared" si="37"/>
        <v>0</v>
      </c>
      <c r="X112" s="30">
        <f t="shared" si="38"/>
        <v>0</v>
      </c>
      <c r="Z112" s="23" t="s">
        <v>76</v>
      </c>
      <c r="AA112" s="40">
        <f>IF(C112="Electricity",E112*SUMIFS(Electricity!S:S,Electricity!P:P,UserMade_Scenario!B112,Electricity!M:M,UserMade_Scenario!Z112,Electricity!O:O,UserMade_Scenario!D112),"")</f>
        <v>4714203.0506148105</v>
      </c>
      <c r="AB112" s="76">
        <f>1/Assumptions!$B$23/1000000000000</f>
        <v>3.5998225679871703E-9</v>
      </c>
      <c r="AC112" s="67" t="s">
        <v>82</v>
      </c>
      <c r="AD112" s="69">
        <f>INDEX(Table11[AVG
CO2e MT per MWh],MATCH(UserMade_Scenario!$B112,Table11[[Year]:[Year]],0))</f>
        <v>-0.12291076099999998</v>
      </c>
      <c r="AE112" s="69">
        <f>INDEX(Table11[MIN
CO2e MT per MWh],MATCH(UserMade_Scenario!$B112,Table11[[Year]:[Year]],0))</f>
        <v>-0.10626129525000003</v>
      </c>
      <c r="AF112" s="69">
        <f>INDEX(Table11[MAX CO2e MT per MWh],MATCH(UserMade_Scenario!$B112,Table11[[Year]:[Year]],0))</f>
        <v>-0.13956022575000004</v>
      </c>
      <c r="AG112" s="68">
        <f>IFERROR(INDEX(WaterUseH2[Average Direct Water Consumption (Gal/ kg h2)],MATCH(LEFT(D112,3),WaterUseH2[Key],0)),0)</f>
        <v>0</v>
      </c>
      <c r="AH112">
        <v>14</v>
      </c>
      <c r="AI112">
        <v>1.4</v>
      </c>
      <c r="AJ112">
        <v>250</v>
      </c>
      <c r="AK112">
        <v>0.31</v>
      </c>
      <c r="AL112" s="63">
        <f>IFERROR(INDEX(Job_Training[[Solar]:[Wind]],MATCH(AL$1,Job_Training[[`Typical Entry Level Education`]:[`Typical Entry Level Education`]],0),MATCH(LEFT($D112,5),Job_Training[[#Headers],[Solar]:[Wind]],0)),0)</f>
        <v>0</v>
      </c>
      <c r="AM112" s="63">
        <f>IFERROR(INDEX(Job_Training[[Solar]:[Wind]],MATCH(AM$1,Job_Training[[`Typical Entry Level Education`]:[`Typical Entry Level Education`]],0),MATCH(LEFT($D112,5),Job_Training[[#Headers],[Solar]:[Wind]],0)),0)</f>
        <v>0</v>
      </c>
      <c r="AN112" s="63">
        <f>IFERROR(INDEX(Job_Training[[Solar]:[Wind]],MATCH(AN$1,Job_Training[[`Typical Entry Level Education`]:[`Typical Entry Level Education`]],0),MATCH(LEFT($D112,5),Job_Training[[#Headers],[Solar]:[Wind]],0)),0)</f>
        <v>0</v>
      </c>
      <c r="AO112" s="63">
        <f>IFERROR(INDEX(Job_Training[[Solar]:[Wind]],MATCH(AO$1,Job_Training[[`Typical Entry Level Education`]:[`Typical Entry Level Education`]],0),MATCH(LEFT($D112,5),Job_Training[[#Headers],[Solar]:[Wind]],0)),0)</f>
        <v>0</v>
      </c>
      <c r="AP112">
        <f t="shared" si="39"/>
        <v>670.90909090909099</v>
      </c>
      <c r="AQ112" s="63">
        <f>IF(AP112&gt;0,IFERROR(INDEX(Assumptions!$C$165:$D$165,MATCH(LEFT($D112,5),Job_Training[[#Headers],[Solar]:[Wind]],0)),0),0)</f>
        <v>0</v>
      </c>
      <c r="AR112">
        <f>IF(AP112&gt;0,IFERROR(INDEX(Assumptions!$C$166:$D$166,MATCH(LEFT($D112,5),Job_Training[[#Headers],[Solar]:[Wind]],0)),0),0)</f>
        <v>0</v>
      </c>
    </row>
    <row r="113" spans="1:44" x14ac:dyDescent="0.35">
      <c r="A113" t="str">
        <f>UserInput!$B$2</f>
        <v>Current Projects</v>
      </c>
      <c r="B113">
        <v>2031</v>
      </c>
      <c r="C113" t="s">
        <v>41</v>
      </c>
      <c r="D113" t="s">
        <v>85</v>
      </c>
      <c r="E113" s="66">
        <f>INDEX(UserInput!$C$2:$M$22,MATCH(UserMade_Scenario!B113,UserInput!$A$2:$A$22,0),MATCH(LEFT(IF(RIGHT(C113,2)="H2",UserMade_Scenario!C113,D113),3),UserInput!$C$25:$M$25,0))</f>
        <v>4696.363636363636</v>
      </c>
      <c r="F113" t="s">
        <v>81</v>
      </c>
      <c r="G113" s="14">
        <f t="shared" si="45"/>
        <v>1.9798676953623348E-2</v>
      </c>
      <c r="H113" s="63">
        <f t="shared" si="30"/>
        <v>0.65276615612877886</v>
      </c>
      <c r="I113" s="63">
        <f t="shared" si="31"/>
        <v>0.55605965402976365</v>
      </c>
      <c r="J113" s="63">
        <f t="shared" si="32"/>
        <v>0.74947265272789132</v>
      </c>
      <c r="K113" s="30">
        <f>IF(OR(LEFT($D113,5)="Solar",$D113="Wind"),INDEX(Land_Use[AVG],MATCH(LEFT($D113,5),Land_Use[Tech],0)),0)*$E113</f>
        <v>0</v>
      </c>
      <c r="L113" s="30">
        <f>IF(OR(LEFT($D113,5)="Solar",$D113="Wind"),INDEX(Land_Use[MIN],MATCH(LEFT($D113,5),Land_Use[Tech],0)),0)*$E113</f>
        <v>0</v>
      </c>
      <c r="M113" s="30">
        <f>IF(OR(LEFT($D113,5)="Solar",$D113="Wind"),INDEX(Land_Use[MAX],MATCH(LEFT($D113,5),Land_Use[Tech],0)),0)*$E113</f>
        <v>0</v>
      </c>
      <c r="N113" s="15">
        <f t="shared" si="40"/>
        <v>0</v>
      </c>
      <c r="O113" s="11">
        <f t="shared" si="41"/>
        <v>0</v>
      </c>
      <c r="P113" s="11">
        <f t="shared" si="42"/>
        <v>0</v>
      </c>
      <c r="Q113" s="11">
        <f t="shared" si="43"/>
        <v>0</v>
      </c>
      <c r="R113" s="11">
        <f t="shared" si="44"/>
        <v>0</v>
      </c>
      <c r="S113" s="30">
        <f t="shared" si="33"/>
        <v>0</v>
      </c>
      <c r="T113" s="30">
        <f t="shared" si="34"/>
        <v>0</v>
      </c>
      <c r="U113" s="30">
        <f t="shared" si="35"/>
        <v>0</v>
      </c>
      <c r="V113" s="30">
        <f t="shared" si="36"/>
        <v>0</v>
      </c>
      <c r="W113" s="30">
        <f t="shared" si="37"/>
        <v>0</v>
      </c>
      <c r="X113" s="30">
        <f t="shared" si="38"/>
        <v>0</v>
      </c>
      <c r="Z113" s="23" t="s">
        <v>76</v>
      </c>
      <c r="AA113" s="40">
        <f>IF(C113="Electricity",E113*SUMIFS(Electricity!S:S,Electricity!P:P,UserMade_Scenario!B113,Electricity!M:M,UserMade_Scenario!Z113,Electricity!O:O,UserMade_Scenario!D113),"")</f>
        <v>5499903.5590506112</v>
      </c>
      <c r="AB113" s="76">
        <f>1/Assumptions!$B$23/1000000000000</f>
        <v>3.5998225679871703E-9</v>
      </c>
      <c r="AC113" s="67" t="s">
        <v>82</v>
      </c>
      <c r="AD113" s="69">
        <f>INDEX(Table11[AVG
CO2e MT per MWh],MATCH(UserMade_Scenario!$B113,Table11[[Year]:[Year]],0))</f>
        <v>-0.11868683679999997</v>
      </c>
      <c r="AE113" s="69">
        <f>INDEX(Table11[MIN
CO2e MT per MWh],MATCH(UserMade_Scenario!$B113,Table11[[Year]:[Year]],0))</f>
        <v>-0.10110352810000003</v>
      </c>
      <c r="AF113" s="69">
        <f>INDEX(Table11[MAX CO2e MT per MWh],MATCH(UserMade_Scenario!$B113,Table11[[Year]:[Year]],0))</f>
        <v>-0.13627014450000005</v>
      </c>
      <c r="AG113" s="68">
        <f>IFERROR(INDEX(WaterUseH2[Average Direct Water Consumption (Gal/ kg h2)],MATCH(LEFT(D113,3),WaterUseH2[Key],0)),0)</f>
        <v>0</v>
      </c>
      <c r="AH113">
        <v>14</v>
      </c>
      <c r="AI113">
        <v>1.4</v>
      </c>
      <c r="AJ113">
        <v>250</v>
      </c>
      <c r="AK113">
        <v>0.31</v>
      </c>
      <c r="AL113" s="63">
        <f>IFERROR(INDEX(Job_Training[[Solar]:[Wind]],MATCH(AL$1,Job_Training[[`Typical Entry Level Education`]:[`Typical Entry Level Education`]],0),MATCH(LEFT($D113,5),Job_Training[[#Headers],[Solar]:[Wind]],0)),0)</f>
        <v>0</v>
      </c>
      <c r="AM113" s="63">
        <f>IFERROR(INDEX(Job_Training[[Solar]:[Wind]],MATCH(AM$1,Job_Training[[`Typical Entry Level Education`]:[`Typical Entry Level Education`]],0),MATCH(LEFT($D113,5),Job_Training[[#Headers],[Solar]:[Wind]],0)),0)</f>
        <v>0</v>
      </c>
      <c r="AN113" s="63">
        <f>IFERROR(INDEX(Job_Training[[Solar]:[Wind]],MATCH(AN$1,Job_Training[[`Typical Entry Level Education`]:[`Typical Entry Level Education`]],0),MATCH(LEFT($D113,5),Job_Training[[#Headers],[Solar]:[Wind]],0)),0)</f>
        <v>0</v>
      </c>
      <c r="AO113" s="63">
        <f>IFERROR(INDEX(Job_Training[[Solar]:[Wind]],MATCH(AO$1,Job_Training[[`Typical Entry Level Education`]:[`Typical Entry Level Education`]],0),MATCH(LEFT($D113,5),Job_Training[[#Headers],[Solar]:[Wind]],0)),0)</f>
        <v>0</v>
      </c>
      <c r="AP113">
        <f t="shared" si="39"/>
        <v>670.90909090909054</v>
      </c>
      <c r="AQ113" s="63">
        <f>IF(AP113&gt;0,IFERROR(INDEX(Assumptions!$C$165:$D$165,MATCH(LEFT($D113,5),Job_Training[[#Headers],[Solar]:[Wind]],0)),0),0)</f>
        <v>0</v>
      </c>
      <c r="AR113">
        <f>IF(AP113&gt;0,IFERROR(INDEX(Assumptions!$C$166:$D$166,MATCH(LEFT($D113,5),Job_Training[[#Headers],[Solar]:[Wind]],0)),0),0)</f>
        <v>0</v>
      </c>
    </row>
    <row r="114" spans="1:44" x14ac:dyDescent="0.35">
      <c r="A114" t="str">
        <f>UserInput!$B$2</f>
        <v>Current Projects</v>
      </c>
      <c r="B114">
        <v>2032</v>
      </c>
      <c r="C114" t="s">
        <v>41</v>
      </c>
      <c r="D114" t="s">
        <v>85</v>
      </c>
      <c r="E114" s="66">
        <f>INDEX(UserInput!$C$2:$M$22,MATCH(UserMade_Scenario!B114,UserInput!$A$2:$A$22,0),MATCH(LEFT(IF(RIGHT(C114,2)="H2",UserMade_Scenario!C114,D114),3),UserInput!$C$25:$M$25,0))</f>
        <v>5367.272727272727</v>
      </c>
      <c r="F114" t="s">
        <v>81</v>
      </c>
      <c r="G114" s="14">
        <f t="shared" si="45"/>
        <v>2.2627059375569546E-2</v>
      </c>
      <c r="H114" s="63">
        <f t="shared" si="30"/>
        <v>0.71946854901490165</v>
      </c>
      <c r="I114" s="63">
        <f t="shared" si="31"/>
        <v>0.60307706528539939</v>
      </c>
      <c r="J114" s="63">
        <f t="shared" si="32"/>
        <v>0.83586002645880098</v>
      </c>
      <c r="K114" s="30">
        <f>IF(OR(LEFT($D114,5)="Solar",$D114="Wind"),INDEX(Land_Use[AVG],MATCH(LEFT($D114,5),Land_Use[Tech],0)),0)*$E114</f>
        <v>0</v>
      </c>
      <c r="L114" s="30">
        <f>IF(OR(LEFT($D114,5)="Solar",$D114="Wind"),INDEX(Land_Use[MIN],MATCH(LEFT($D114,5),Land_Use[Tech],0)),0)*$E114</f>
        <v>0</v>
      </c>
      <c r="M114" s="30">
        <f>IF(OR(LEFT($D114,5)="Solar",$D114="Wind"),INDEX(Land_Use[MAX],MATCH(LEFT($D114,5),Land_Use[Tech],0)),0)*$E114</f>
        <v>0</v>
      </c>
      <c r="N114" s="15">
        <f t="shared" si="40"/>
        <v>0</v>
      </c>
      <c r="O114" s="11">
        <f t="shared" si="41"/>
        <v>0</v>
      </c>
      <c r="P114" s="11">
        <f t="shared" si="42"/>
        <v>0</v>
      </c>
      <c r="Q114" s="11">
        <f t="shared" si="43"/>
        <v>0</v>
      </c>
      <c r="R114" s="11">
        <f t="shared" si="44"/>
        <v>0</v>
      </c>
      <c r="S114" s="30">
        <f t="shared" si="33"/>
        <v>0</v>
      </c>
      <c r="T114" s="30">
        <f t="shared" si="34"/>
        <v>0</v>
      </c>
      <c r="U114" s="30">
        <f t="shared" si="35"/>
        <v>0</v>
      </c>
      <c r="V114" s="30">
        <f t="shared" si="36"/>
        <v>0</v>
      </c>
      <c r="W114" s="30">
        <f t="shared" si="37"/>
        <v>0</v>
      </c>
      <c r="X114" s="30">
        <f t="shared" si="38"/>
        <v>0</v>
      </c>
      <c r="Z114" s="23" t="s">
        <v>76</v>
      </c>
      <c r="AA114" s="40">
        <f>IF(C114="Electricity",E114*SUMIFS(Electricity!S:S,Electricity!P:P,UserMade_Scenario!B114,Electricity!M:M,UserMade_Scenario!Z114,Electricity!O:O,UserMade_Scenario!D114),"")</f>
        <v>6285604.0674864138</v>
      </c>
      <c r="AB114" s="76">
        <f>1/Assumptions!$B$23/1000000000000</f>
        <v>3.5998225679871703E-9</v>
      </c>
      <c r="AC114" s="67" t="s">
        <v>82</v>
      </c>
      <c r="AD114" s="69">
        <f>INDEX(Table11[AVG
CO2e MT per MWh],MATCH(UserMade_Scenario!$B114,Table11[[Year]:[Year]],0))</f>
        <v>-0.11446291259999997</v>
      </c>
      <c r="AE114" s="69">
        <f>INDEX(Table11[MIN
CO2e MT per MWh],MATCH(UserMade_Scenario!$B114,Table11[[Year]:[Year]],0))</f>
        <v>-9.5945760950000042E-2</v>
      </c>
      <c r="AF114" s="69">
        <f>INDEX(Table11[MAX CO2e MT per MWh],MATCH(UserMade_Scenario!$B114,Table11[[Year]:[Year]],0))</f>
        <v>-0.13298006325000006</v>
      </c>
      <c r="AG114" s="68">
        <f>IFERROR(INDEX(WaterUseH2[Average Direct Water Consumption (Gal/ kg h2)],MATCH(LEFT(D114,3),WaterUseH2[Key],0)),0)</f>
        <v>0</v>
      </c>
      <c r="AH114">
        <v>14</v>
      </c>
      <c r="AI114">
        <v>1.4</v>
      </c>
      <c r="AJ114">
        <v>250</v>
      </c>
      <c r="AK114">
        <v>0.31</v>
      </c>
      <c r="AL114" s="63">
        <f>IFERROR(INDEX(Job_Training[[Solar]:[Wind]],MATCH(AL$1,Job_Training[[`Typical Entry Level Education`]:[`Typical Entry Level Education`]],0),MATCH(LEFT($D114,5),Job_Training[[#Headers],[Solar]:[Wind]],0)),0)</f>
        <v>0</v>
      </c>
      <c r="AM114" s="63">
        <f>IFERROR(INDEX(Job_Training[[Solar]:[Wind]],MATCH(AM$1,Job_Training[[`Typical Entry Level Education`]:[`Typical Entry Level Education`]],0),MATCH(LEFT($D114,5),Job_Training[[#Headers],[Solar]:[Wind]],0)),0)</f>
        <v>0</v>
      </c>
      <c r="AN114" s="63">
        <f>IFERROR(INDEX(Job_Training[[Solar]:[Wind]],MATCH(AN$1,Job_Training[[`Typical Entry Level Education`]:[`Typical Entry Level Education`]],0),MATCH(LEFT($D114,5),Job_Training[[#Headers],[Solar]:[Wind]],0)),0)</f>
        <v>0</v>
      </c>
      <c r="AO114" s="63">
        <f>IFERROR(INDEX(Job_Training[[Solar]:[Wind]],MATCH(AO$1,Job_Training[[`Typical Entry Level Education`]:[`Typical Entry Level Education`]],0),MATCH(LEFT($D114,5),Job_Training[[#Headers],[Solar]:[Wind]],0)),0)</f>
        <v>0</v>
      </c>
      <c r="AP114">
        <f t="shared" si="39"/>
        <v>670.90909090909099</v>
      </c>
      <c r="AQ114" s="63">
        <f>IF(AP114&gt;0,IFERROR(INDEX(Assumptions!$C$165:$D$165,MATCH(LEFT($D114,5),Job_Training[[#Headers],[Solar]:[Wind]],0)),0),0)</f>
        <v>0</v>
      </c>
      <c r="AR114">
        <f>IF(AP114&gt;0,IFERROR(INDEX(Assumptions!$C$166:$D$166,MATCH(LEFT($D114,5),Job_Training[[#Headers],[Solar]:[Wind]],0)),0),0)</f>
        <v>0</v>
      </c>
    </row>
    <row r="115" spans="1:44" x14ac:dyDescent="0.35">
      <c r="A115" t="str">
        <f>UserInput!$B$2</f>
        <v>Current Projects</v>
      </c>
      <c r="B115">
        <v>2033</v>
      </c>
      <c r="C115" t="s">
        <v>41</v>
      </c>
      <c r="D115" t="s">
        <v>85</v>
      </c>
      <c r="E115" s="66">
        <f>INDEX(UserInput!$C$2:$M$22,MATCH(UserMade_Scenario!B115,UserInput!$A$2:$A$22,0),MATCH(LEFT(IF(RIGHT(C115,2)="H2",UserMade_Scenario!C115,D115),3),UserInput!$C$25:$M$25,0))</f>
        <v>6038.181818181818</v>
      </c>
      <c r="F115" t="s">
        <v>81</v>
      </c>
      <c r="G115" s="14">
        <f t="shared" si="45"/>
        <v>2.5455441797515736E-2</v>
      </c>
      <c r="H115" s="63">
        <f t="shared" si="30"/>
        <v>0.77953346311795568</v>
      </c>
      <c r="I115" s="63">
        <f t="shared" si="31"/>
        <v>0.64198955599673801</v>
      </c>
      <c r="J115" s="63">
        <f t="shared" si="32"/>
        <v>0.91707736316787014</v>
      </c>
      <c r="K115" s="30">
        <f>IF(OR(LEFT($D115,5)="Solar",$D115="Wind"),INDEX(Land_Use[AVG],MATCH(LEFT($D115,5),Land_Use[Tech],0)),0)*$E115</f>
        <v>0</v>
      </c>
      <c r="L115" s="30">
        <f>IF(OR(LEFT($D115,5)="Solar",$D115="Wind"),INDEX(Land_Use[MIN],MATCH(LEFT($D115,5),Land_Use[Tech],0)),0)*$E115</f>
        <v>0</v>
      </c>
      <c r="M115" s="30">
        <f>IF(OR(LEFT($D115,5)="Solar",$D115="Wind"),INDEX(Land_Use[MAX],MATCH(LEFT($D115,5),Land_Use[Tech],0)),0)*$E115</f>
        <v>0</v>
      </c>
      <c r="N115" s="15">
        <f t="shared" si="40"/>
        <v>0</v>
      </c>
      <c r="O115" s="11">
        <f t="shared" si="41"/>
        <v>0</v>
      </c>
      <c r="P115" s="11">
        <f t="shared" si="42"/>
        <v>0</v>
      </c>
      <c r="Q115" s="11">
        <f t="shared" si="43"/>
        <v>0</v>
      </c>
      <c r="R115" s="11">
        <f t="shared" si="44"/>
        <v>0</v>
      </c>
      <c r="S115" s="30">
        <f t="shared" si="33"/>
        <v>0</v>
      </c>
      <c r="T115" s="30">
        <f t="shared" si="34"/>
        <v>0</v>
      </c>
      <c r="U115" s="30">
        <f t="shared" si="35"/>
        <v>0</v>
      </c>
      <c r="V115" s="30">
        <f t="shared" si="36"/>
        <v>0</v>
      </c>
      <c r="W115" s="30">
        <f t="shared" si="37"/>
        <v>0</v>
      </c>
      <c r="X115" s="30">
        <f t="shared" si="38"/>
        <v>0</v>
      </c>
      <c r="Z115" s="23" t="s">
        <v>76</v>
      </c>
      <c r="AA115" s="40">
        <f>IF(C115="Electricity",E115*SUMIFS(Electricity!S:S,Electricity!P:P,UserMade_Scenario!B115,Electricity!M:M,UserMade_Scenario!Z115,Electricity!O:O,UserMade_Scenario!D115),"")</f>
        <v>7071304.5759222154</v>
      </c>
      <c r="AB115" s="76">
        <f>1/Assumptions!$B$23/1000000000000</f>
        <v>3.5998225679871703E-9</v>
      </c>
      <c r="AC115" s="67" t="s">
        <v>82</v>
      </c>
      <c r="AD115" s="69">
        <f>INDEX(Table11[AVG
CO2e MT per MWh],MATCH(UserMade_Scenario!$B115,Table11[[Year]:[Year]],0))</f>
        <v>-0.11023898839999996</v>
      </c>
      <c r="AE115" s="69">
        <f>INDEX(Table11[MIN
CO2e MT per MWh],MATCH(UserMade_Scenario!$B115,Table11[[Year]:[Year]],0))</f>
        <v>-9.078799380000005E-2</v>
      </c>
      <c r="AF115" s="69">
        <f>INDEX(Table11[MAX CO2e MT per MWh],MATCH(UserMade_Scenario!$B115,Table11[[Year]:[Year]],0))</f>
        <v>-0.12968998200000006</v>
      </c>
      <c r="AG115" s="68">
        <f>IFERROR(INDEX(WaterUseH2[Average Direct Water Consumption (Gal/ kg h2)],MATCH(LEFT(D115,3),WaterUseH2[Key],0)),0)</f>
        <v>0</v>
      </c>
      <c r="AH115">
        <v>14</v>
      </c>
      <c r="AI115">
        <v>1.4</v>
      </c>
      <c r="AJ115">
        <v>250</v>
      </c>
      <c r="AK115">
        <v>0.31</v>
      </c>
      <c r="AL115" s="63">
        <f>IFERROR(INDEX(Job_Training[[Solar]:[Wind]],MATCH(AL$1,Job_Training[[`Typical Entry Level Education`]:[`Typical Entry Level Education`]],0),MATCH(LEFT($D115,5),Job_Training[[#Headers],[Solar]:[Wind]],0)),0)</f>
        <v>0</v>
      </c>
      <c r="AM115" s="63">
        <f>IFERROR(INDEX(Job_Training[[Solar]:[Wind]],MATCH(AM$1,Job_Training[[`Typical Entry Level Education`]:[`Typical Entry Level Education`]],0),MATCH(LEFT($D115,5),Job_Training[[#Headers],[Solar]:[Wind]],0)),0)</f>
        <v>0</v>
      </c>
      <c r="AN115" s="63">
        <f>IFERROR(INDEX(Job_Training[[Solar]:[Wind]],MATCH(AN$1,Job_Training[[`Typical Entry Level Education`]:[`Typical Entry Level Education`]],0),MATCH(LEFT($D115,5),Job_Training[[#Headers],[Solar]:[Wind]],0)),0)</f>
        <v>0</v>
      </c>
      <c r="AO115" s="63">
        <f>IFERROR(INDEX(Job_Training[[Solar]:[Wind]],MATCH(AO$1,Job_Training[[`Typical Entry Level Education`]:[`Typical Entry Level Education`]],0),MATCH(LEFT($D115,5),Job_Training[[#Headers],[Solar]:[Wind]],0)),0)</f>
        <v>0</v>
      </c>
      <c r="AP115">
        <f t="shared" si="39"/>
        <v>670.90909090909099</v>
      </c>
      <c r="AQ115" s="63">
        <f>IF(AP115&gt;0,IFERROR(INDEX(Assumptions!$C$165:$D$165,MATCH(LEFT($D115,5),Job_Training[[#Headers],[Solar]:[Wind]],0)),0),0)</f>
        <v>0</v>
      </c>
      <c r="AR115">
        <f>IF(AP115&gt;0,IFERROR(INDEX(Assumptions!$C$166:$D$166,MATCH(LEFT($D115,5),Job_Training[[#Headers],[Solar]:[Wind]],0)),0),0)</f>
        <v>0</v>
      </c>
    </row>
    <row r="116" spans="1:44" x14ac:dyDescent="0.35">
      <c r="A116" t="str">
        <f>UserInput!$B$2</f>
        <v>Current Projects</v>
      </c>
      <c r="B116">
        <v>2034</v>
      </c>
      <c r="C116" t="s">
        <v>41</v>
      </c>
      <c r="D116" t="s">
        <v>85</v>
      </c>
      <c r="E116" s="66">
        <f>INDEX(UserInput!$C$2:$M$22,MATCH(UserMade_Scenario!B116,UserInput!$A$2:$A$22,0),MATCH(LEFT(IF(RIGHT(C116,2)="H2",UserMade_Scenario!C116,D116),3),UserInput!$C$25:$M$25,0))</f>
        <v>6709.090909090909</v>
      </c>
      <c r="F116" t="s">
        <v>81</v>
      </c>
      <c r="G116" s="14">
        <f t="shared" si="45"/>
        <v>2.828382421946193E-2</v>
      </c>
      <c r="H116" s="63">
        <f t="shared" si="30"/>
        <v>0.83296089843794119</v>
      </c>
      <c r="I116" s="63">
        <f t="shared" si="31"/>
        <v>0.67279712616377974</v>
      </c>
      <c r="J116" s="63">
        <f t="shared" si="32"/>
        <v>0.99312466285509926</v>
      </c>
      <c r="K116" s="30">
        <f>IF(OR(LEFT($D116,5)="Solar",$D116="Wind"),INDEX(Land_Use[AVG],MATCH(LEFT($D116,5),Land_Use[Tech],0)),0)*$E116</f>
        <v>0</v>
      </c>
      <c r="L116" s="30">
        <f>IF(OR(LEFT($D116,5)="Solar",$D116="Wind"),INDEX(Land_Use[MIN],MATCH(LEFT($D116,5),Land_Use[Tech],0)),0)*$E116</f>
        <v>0</v>
      </c>
      <c r="M116" s="30">
        <f>IF(OR(LEFT($D116,5)="Solar",$D116="Wind"),INDEX(Land_Use[MAX],MATCH(LEFT($D116,5),Land_Use[Tech],0)),0)*$E116</f>
        <v>0</v>
      </c>
      <c r="N116" s="15">
        <f t="shared" si="40"/>
        <v>0</v>
      </c>
      <c r="O116" s="11">
        <f t="shared" si="41"/>
        <v>0</v>
      </c>
      <c r="P116" s="11">
        <f t="shared" si="42"/>
        <v>0</v>
      </c>
      <c r="Q116" s="11">
        <f t="shared" si="43"/>
        <v>0</v>
      </c>
      <c r="R116" s="11">
        <f t="shared" si="44"/>
        <v>0</v>
      </c>
      <c r="S116" s="30">
        <f t="shared" si="33"/>
        <v>0</v>
      </c>
      <c r="T116" s="30">
        <f t="shared" si="34"/>
        <v>0</v>
      </c>
      <c r="U116" s="30">
        <f t="shared" si="35"/>
        <v>0</v>
      </c>
      <c r="V116" s="30">
        <f t="shared" si="36"/>
        <v>0</v>
      </c>
      <c r="W116" s="30">
        <f t="shared" si="37"/>
        <v>0</v>
      </c>
      <c r="X116" s="30">
        <f t="shared" si="38"/>
        <v>0</v>
      </c>
      <c r="Z116" s="23" t="s">
        <v>76</v>
      </c>
      <c r="AA116" s="40">
        <f>IF(C116="Electricity",E116*SUMIFS(Electricity!S:S,Electricity!P:P,UserMade_Scenario!B116,Electricity!M:M,UserMade_Scenario!Z116,Electricity!O:O,UserMade_Scenario!D116),"")</f>
        <v>7857005.084358017</v>
      </c>
      <c r="AB116" s="76">
        <f>1/Assumptions!$B$23/1000000000000</f>
        <v>3.5998225679871703E-9</v>
      </c>
      <c r="AC116" s="67" t="s">
        <v>82</v>
      </c>
      <c r="AD116" s="69">
        <f>INDEX(Table11[AVG
CO2e MT per MWh],MATCH(UserMade_Scenario!$B116,Table11[[Year]:[Year]],0))</f>
        <v>-0.10601506419999995</v>
      </c>
      <c r="AE116" s="69">
        <f>INDEX(Table11[MIN
CO2e MT per MWh],MATCH(UserMade_Scenario!$B116,Table11[[Year]:[Year]],0))</f>
        <v>-8.5630226650000058E-2</v>
      </c>
      <c r="AF116" s="69">
        <f>INDEX(Table11[MAX CO2e MT per MWh],MATCH(UserMade_Scenario!$B116,Table11[[Year]:[Year]],0))</f>
        <v>-0.12639990075000007</v>
      </c>
      <c r="AG116" s="68">
        <f>IFERROR(INDEX(WaterUseH2[Average Direct Water Consumption (Gal/ kg h2)],MATCH(LEFT(D116,3),WaterUseH2[Key],0)),0)</f>
        <v>0</v>
      </c>
      <c r="AH116">
        <v>14</v>
      </c>
      <c r="AI116">
        <v>1.4</v>
      </c>
      <c r="AJ116">
        <v>250</v>
      </c>
      <c r="AK116">
        <v>0.31</v>
      </c>
      <c r="AL116" s="63">
        <f>IFERROR(INDEX(Job_Training[[Solar]:[Wind]],MATCH(AL$1,Job_Training[[`Typical Entry Level Education`]:[`Typical Entry Level Education`]],0),MATCH(LEFT($D116,5),Job_Training[[#Headers],[Solar]:[Wind]],0)),0)</f>
        <v>0</v>
      </c>
      <c r="AM116" s="63">
        <f>IFERROR(INDEX(Job_Training[[Solar]:[Wind]],MATCH(AM$1,Job_Training[[`Typical Entry Level Education`]:[`Typical Entry Level Education`]],0),MATCH(LEFT($D116,5),Job_Training[[#Headers],[Solar]:[Wind]],0)),0)</f>
        <v>0</v>
      </c>
      <c r="AN116" s="63">
        <f>IFERROR(INDEX(Job_Training[[Solar]:[Wind]],MATCH(AN$1,Job_Training[[`Typical Entry Level Education`]:[`Typical Entry Level Education`]],0),MATCH(LEFT($D116,5),Job_Training[[#Headers],[Solar]:[Wind]],0)),0)</f>
        <v>0</v>
      </c>
      <c r="AO116" s="63">
        <f>IFERROR(INDEX(Job_Training[[Solar]:[Wind]],MATCH(AO$1,Job_Training[[`Typical Entry Level Education`]:[`Typical Entry Level Education`]],0),MATCH(LEFT($D116,5),Job_Training[[#Headers],[Solar]:[Wind]],0)),0)</f>
        <v>0</v>
      </c>
      <c r="AP116">
        <f t="shared" si="39"/>
        <v>670.90909090909099</v>
      </c>
      <c r="AQ116" s="63">
        <f>IF(AP116&gt;0,IFERROR(INDEX(Assumptions!$C$165:$D$165,MATCH(LEFT($D116,5),Job_Training[[#Headers],[Solar]:[Wind]],0)),0),0)</f>
        <v>0</v>
      </c>
      <c r="AR116">
        <f>IF(AP116&gt;0,IFERROR(INDEX(Assumptions!$C$166:$D$166,MATCH(LEFT($D116,5),Job_Training[[#Headers],[Solar]:[Wind]],0)),0),0)</f>
        <v>0</v>
      </c>
    </row>
    <row r="117" spans="1:44" x14ac:dyDescent="0.35">
      <c r="A117" t="str">
        <f>UserInput!$B$2</f>
        <v>Current Projects</v>
      </c>
      <c r="B117">
        <v>2035</v>
      </c>
      <c r="C117" t="s">
        <v>41</v>
      </c>
      <c r="D117" t="s">
        <v>85</v>
      </c>
      <c r="E117" s="66">
        <f>INDEX(UserInput!$C$2:$M$22,MATCH(UserMade_Scenario!B117,UserInput!$A$2:$A$22,0),MATCH(LEFT(IF(RIGHT(C117,2)="H2",UserMade_Scenario!C117,D117),3),UserInput!$C$25:$M$25,0))</f>
        <v>7380</v>
      </c>
      <c r="F117" t="s">
        <v>81</v>
      </c>
      <c r="G117" s="14">
        <f t="shared" si="45"/>
        <v>3.1112206641408124E-2</v>
      </c>
      <c r="H117" s="63">
        <f t="shared" si="30"/>
        <v>0.87975085497485817</v>
      </c>
      <c r="I117" s="63">
        <f t="shared" si="31"/>
        <v>0.69549977578652467</v>
      </c>
      <c r="J117" s="63">
        <f t="shared" si="32"/>
        <v>1.064001925520488</v>
      </c>
      <c r="K117" s="30">
        <f>IF(OR(LEFT($D117,5)="Solar",$D117="Wind"),INDEX(Land_Use[AVG],MATCH(LEFT($D117,5),Land_Use[Tech],0)),0)*$E117</f>
        <v>0</v>
      </c>
      <c r="L117" s="30">
        <f>IF(OR(LEFT($D117,5)="Solar",$D117="Wind"),INDEX(Land_Use[MIN],MATCH(LEFT($D117,5),Land_Use[Tech],0)),0)*$E117</f>
        <v>0</v>
      </c>
      <c r="M117" s="30">
        <f>IF(OR(LEFT($D117,5)="Solar",$D117="Wind"),INDEX(Land_Use[MAX],MATCH(LEFT($D117,5),Land_Use[Tech],0)),0)*$E117</f>
        <v>0</v>
      </c>
      <c r="N117" s="15">
        <f t="shared" si="40"/>
        <v>0</v>
      </c>
      <c r="O117" s="11">
        <f t="shared" si="41"/>
        <v>0</v>
      </c>
      <c r="P117" s="11">
        <f t="shared" si="42"/>
        <v>0</v>
      </c>
      <c r="Q117" s="11">
        <f t="shared" si="43"/>
        <v>0</v>
      </c>
      <c r="R117" s="11">
        <f t="shared" si="44"/>
        <v>0</v>
      </c>
      <c r="S117" s="30">
        <f t="shared" si="33"/>
        <v>0</v>
      </c>
      <c r="T117" s="30">
        <f t="shared" si="34"/>
        <v>0</v>
      </c>
      <c r="U117" s="30">
        <f t="shared" si="35"/>
        <v>0</v>
      </c>
      <c r="V117" s="30">
        <f t="shared" si="36"/>
        <v>0</v>
      </c>
      <c r="W117" s="30">
        <f t="shared" si="37"/>
        <v>0</v>
      </c>
      <c r="X117" s="30">
        <f t="shared" si="38"/>
        <v>0</v>
      </c>
      <c r="Z117" s="23" t="s">
        <v>76</v>
      </c>
      <c r="AA117" s="40">
        <f>IF(C117="Electricity",E117*SUMIFS(Electricity!S:S,Electricity!P:P,UserMade_Scenario!B117,Electricity!M:M,UserMade_Scenario!Z117,Electricity!O:O,UserMade_Scenario!D117),"")</f>
        <v>8642705.5927938186</v>
      </c>
      <c r="AB117" s="76">
        <f>1/Assumptions!$B$23/1000000000000</f>
        <v>3.5998225679871703E-9</v>
      </c>
      <c r="AC117" s="67" t="s">
        <v>82</v>
      </c>
      <c r="AD117" s="69">
        <f>INDEX(Table11[AVG
CO2e MT per MWh],MATCH(UserMade_Scenario!$B117,Table11[[Year]:[Year]],0))</f>
        <v>-0.10179113999999995</v>
      </c>
      <c r="AE117" s="69">
        <f>INDEX(Table11[MIN
CO2e MT per MWh],MATCH(UserMade_Scenario!$B117,Table11[[Year]:[Year]],0))</f>
        <v>-8.0472459500000065E-2</v>
      </c>
      <c r="AF117" s="69">
        <f>INDEX(Table11[MAX CO2e MT per MWh],MATCH(UserMade_Scenario!$B117,Table11[[Year]:[Year]],0))</f>
        <v>-0.12310981950000006</v>
      </c>
      <c r="AG117" s="68">
        <f>IFERROR(INDEX(WaterUseH2[Average Direct Water Consumption (Gal/ kg h2)],MATCH(LEFT(D117,3),WaterUseH2[Key],0)),0)</f>
        <v>0</v>
      </c>
      <c r="AH117">
        <v>14</v>
      </c>
      <c r="AI117">
        <v>1.4</v>
      </c>
      <c r="AJ117">
        <v>250</v>
      </c>
      <c r="AK117">
        <v>0.31</v>
      </c>
      <c r="AL117" s="63">
        <f>IFERROR(INDEX(Job_Training[[Solar]:[Wind]],MATCH(AL$1,Job_Training[[`Typical Entry Level Education`]:[`Typical Entry Level Education`]],0),MATCH(LEFT($D117,5),Job_Training[[#Headers],[Solar]:[Wind]],0)),0)</f>
        <v>0</v>
      </c>
      <c r="AM117" s="63">
        <f>IFERROR(INDEX(Job_Training[[Solar]:[Wind]],MATCH(AM$1,Job_Training[[`Typical Entry Level Education`]:[`Typical Entry Level Education`]],0),MATCH(LEFT($D117,5),Job_Training[[#Headers],[Solar]:[Wind]],0)),0)</f>
        <v>0</v>
      </c>
      <c r="AN117" s="63">
        <f>IFERROR(INDEX(Job_Training[[Solar]:[Wind]],MATCH(AN$1,Job_Training[[`Typical Entry Level Education`]:[`Typical Entry Level Education`]],0),MATCH(LEFT($D117,5),Job_Training[[#Headers],[Solar]:[Wind]],0)),0)</f>
        <v>0</v>
      </c>
      <c r="AO117" s="63">
        <f>IFERROR(INDEX(Job_Training[[Solar]:[Wind]],MATCH(AO$1,Job_Training[[`Typical Entry Level Education`]:[`Typical Entry Level Education`]],0),MATCH(LEFT($D117,5),Job_Training[[#Headers],[Solar]:[Wind]],0)),0)</f>
        <v>0</v>
      </c>
      <c r="AP117">
        <f t="shared" si="39"/>
        <v>670.90909090909099</v>
      </c>
      <c r="AQ117" s="63">
        <f>IF(AP117&gt;0,IFERROR(INDEX(Assumptions!$C$165:$D$165,MATCH(LEFT($D117,5),Job_Training[[#Headers],[Solar]:[Wind]],0)),0),0)</f>
        <v>0</v>
      </c>
      <c r="AR117">
        <f>IF(AP117&gt;0,IFERROR(INDEX(Assumptions!$C$166:$D$166,MATCH(LEFT($D117,5),Job_Training[[#Headers],[Solar]:[Wind]],0)),0),0)</f>
        <v>0</v>
      </c>
    </row>
    <row r="118" spans="1:44" x14ac:dyDescent="0.35">
      <c r="A118" t="str">
        <f>UserInput!$B$2</f>
        <v>Current Projects</v>
      </c>
      <c r="B118">
        <v>2036</v>
      </c>
      <c r="C118" t="s">
        <v>41</v>
      </c>
      <c r="D118" t="s">
        <v>85</v>
      </c>
      <c r="E118" s="66">
        <f>INDEX(UserInput!$C$2:$M$22,MATCH(UserMade_Scenario!B118,UserInput!$A$2:$A$22,0),MATCH(LEFT(IF(RIGHT(C118,2)="H2",UserMade_Scenario!C118,D118),3),UserInput!$C$25:$M$25,0))</f>
        <v>7380</v>
      </c>
      <c r="F118" t="s">
        <v>81</v>
      </c>
      <c r="G118" s="14">
        <f t="shared" si="45"/>
        <v>3.1112206641408124E-2</v>
      </c>
      <c r="H118" s="63">
        <f t="shared" si="30"/>
        <v>0.84324472166798092</v>
      </c>
      <c r="I118" s="63">
        <f t="shared" si="31"/>
        <v>0.65092271279289149</v>
      </c>
      <c r="J118" s="63">
        <f t="shared" si="32"/>
        <v>1.035566721900367</v>
      </c>
      <c r="K118" s="30">
        <f>IF(OR(LEFT($D118,5)="Solar",$D118="Wind"),INDEX(Land_Use[AVG],MATCH(LEFT($D118,5),Land_Use[Tech],0)),0)*$E118</f>
        <v>0</v>
      </c>
      <c r="L118" s="30">
        <f>IF(OR(LEFT($D118,5)="Solar",$D118="Wind"),INDEX(Land_Use[MIN],MATCH(LEFT($D118,5),Land_Use[Tech],0)),0)*$E118</f>
        <v>0</v>
      </c>
      <c r="M118" s="30">
        <f>IF(OR(LEFT($D118,5)="Solar",$D118="Wind"),INDEX(Land_Use[MAX],MATCH(LEFT($D118,5),Land_Use[Tech],0)),0)*$E118</f>
        <v>0</v>
      </c>
      <c r="N118" s="15">
        <f t="shared" si="40"/>
        <v>0</v>
      </c>
      <c r="O118" s="11">
        <f t="shared" si="41"/>
        <v>0</v>
      </c>
      <c r="P118" s="11">
        <f t="shared" si="42"/>
        <v>0</v>
      </c>
      <c r="Q118" s="11">
        <f t="shared" si="43"/>
        <v>0</v>
      </c>
      <c r="R118" s="11">
        <f t="shared" si="44"/>
        <v>0</v>
      </c>
      <c r="S118" s="30">
        <f t="shared" si="33"/>
        <v>0</v>
      </c>
      <c r="T118" s="30">
        <f t="shared" si="34"/>
        <v>0</v>
      </c>
      <c r="U118" s="30">
        <f t="shared" si="35"/>
        <v>0</v>
      </c>
      <c r="V118" s="30">
        <f t="shared" si="36"/>
        <v>0</v>
      </c>
      <c r="W118" s="30">
        <f t="shared" si="37"/>
        <v>0</v>
      </c>
      <c r="X118" s="30">
        <f t="shared" si="38"/>
        <v>0</v>
      </c>
      <c r="Z118" s="23" t="s">
        <v>76</v>
      </c>
      <c r="AA118" s="40">
        <f>IF(C118="Electricity",E118*SUMIFS(Electricity!S:S,Electricity!P:P,UserMade_Scenario!B118,Electricity!M:M,UserMade_Scenario!Z118,Electricity!O:O,UserMade_Scenario!D118),"")</f>
        <v>8642705.5927938186</v>
      </c>
      <c r="AB118" s="76">
        <f>1/Assumptions!$B$23/1000000000000</f>
        <v>3.5998225679871703E-9</v>
      </c>
      <c r="AC118" s="67" t="s">
        <v>82</v>
      </c>
      <c r="AD118" s="69">
        <f>INDEX(Table11[AVG
CO2e MT per MWh],MATCH(UserMade_Scenario!$B118,Table11[[Year]:[Year]],0))</f>
        <v>-9.756721579999994E-2</v>
      </c>
      <c r="AE118" s="69">
        <f>INDEX(Table11[MIN
CO2e MT per MWh],MATCH(UserMade_Scenario!$B118,Table11[[Year]:[Year]],0))</f>
        <v>-7.5314692350000073E-2</v>
      </c>
      <c r="AF118" s="69">
        <f>INDEX(Table11[MAX CO2e MT per MWh],MATCH(UserMade_Scenario!$B118,Table11[[Year]:[Year]],0))</f>
        <v>-0.11981973825000006</v>
      </c>
      <c r="AG118" s="68">
        <f>IFERROR(INDEX(WaterUseH2[Average Direct Water Consumption (Gal/ kg h2)],MATCH(LEFT(D118,3),WaterUseH2[Key],0)),0)</f>
        <v>0</v>
      </c>
      <c r="AH118">
        <v>14</v>
      </c>
      <c r="AI118">
        <v>1.4</v>
      </c>
      <c r="AJ118">
        <v>250</v>
      </c>
      <c r="AK118">
        <v>0.31</v>
      </c>
      <c r="AL118" s="63">
        <f>IFERROR(INDEX(Job_Training[[Solar]:[Wind]],MATCH(AL$1,Job_Training[[`Typical Entry Level Education`]:[`Typical Entry Level Education`]],0),MATCH(LEFT($D118,5),Job_Training[[#Headers],[Solar]:[Wind]],0)),0)</f>
        <v>0</v>
      </c>
      <c r="AM118" s="63">
        <f>IFERROR(INDEX(Job_Training[[Solar]:[Wind]],MATCH(AM$1,Job_Training[[`Typical Entry Level Education`]:[`Typical Entry Level Education`]],0),MATCH(LEFT($D118,5),Job_Training[[#Headers],[Solar]:[Wind]],0)),0)</f>
        <v>0</v>
      </c>
      <c r="AN118" s="63">
        <f>IFERROR(INDEX(Job_Training[[Solar]:[Wind]],MATCH(AN$1,Job_Training[[`Typical Entry Level Education`]:[`Typical Entry Level Education`]],0),MATCH(LEFT($D118,5),Job_Training[[#Headers],[Solar]:[Wind]],0)),0)</f>
        <v>0</v>
      </c>
      <c r="AO118" s="63">
        <f>IFERROR(INDEX(Job_Training[[Solar]:[Wind]],MATCH(AO$1,Job_Training[[`Typical Entry Level Education`]:[`Typical Entry Level Education`]],0),MATCH(LEFT($D118,5),Job_Training[[#Headers],[Solar]:[Wind]],0)),0)</f>
        <v>0</v>
      </c>
      <c r="AP118">
        <f t="shared" si="39"/>
        <v>0</v>
      </c>
      <c r="AQ118" s="63">
        <f>IF(AP118&gt;0,IFERROR(INDEX(Assumptions!$C$165:$D$165,MATCH(LEFT($D118,5),Job_Training[[#Headers],[Solar]:[Wind]],0)),0),0)</f>
        <v>0</v>
      </c>
      <c r="AR118">
        <f>IF(AP118&gt;0,IFERROR(INDEX(Assumptions!$C$166:$D$166,MATCH(LEFT($D118,5),Job_Training[[#Headers],[Solar]:[Wind]],0)),0),0)</f>
        <v>0</v>
      </c>
    </row>
    <row r="119" spans="1:44" x14ac:dyDescent="0.35">
      <c r="A119" t="str">
        <f>UserInput!$B$2</f>
        <v>Current Projects</v>
      </c>
      <c r="B119">
        <v>2037</v>
      </c>
      <c r="C119" t="s">
        <v>41</v>
      </c>
      <c r="D119" t="s">
        <v>85</v>
      </c>
      <c r="E119" s="66">
        <f>INDEX(UserInput!$C$2:$M$22,MATCH(UserMade_Scenario!B119,UserInput!$A$2:$A$22,0),MATCH(LEFT(IF(RIGHT(C119,2)="H2",UserMade_Scenario!C119,D119),3),UserInput!$C$25:$M$25,0))</f>
        <v>7380</v>
      </c>
      <c r="F119" t="s">
        <v>81</v>
      </c>
      <c r="G119" s="14">
        <f t="shared" si="45"/>
        <v>3.1112206641408124E-2</v>
      </c>
      <c r="H119" s="63">
        <f t="shared" si="30"/>
        <v>0.80673858836110368</v>
      </c>
      <c r="I119" s="63">
        <f t="shared" si="31"/>
        <v>0.60634564979925831</v>
      </c>
      <c r="J119" s="63">
        <f t="shared" si="32"/>
        <v>1.0071315182802458</v>
      </c>
      <c r="K119" s="30">
        <f>IF(OR(LEFT($D119,5)="Solar",$D119="Wind"),INDEX(Land_Use[AVG],MATCH(LEFT($D119,5),Land_Use[Tech],0)),0)*$E119</f>
        <v>0</v>
      </c>
      <c r="L119" s="30">
        <f>IF(OR(LEFT($D119,5)="Solar",$D119="Wind"),INDEX(Land_Use[MIN],MATCH(LEFT($D119,5),Land_Use[Tech],0)),0)*$E119</f>
        <v>0</v>
      </c>
      <c r="M119" s="30">
        <f>IF(OR(LEFT($D119,5)="Solar",$D119="Wind"),INDEX(Land_Use[MAX],MATCH(LEFT($D119,5),Land_Use[Tech],0)),0)*$E119</f>
        <v>0</v>
      </c>
      <c r="N119" s="15">
        <f t="shared" si="40"/>
        <v>0</v>
      </c>
      <c r="O119" s="11">
        <f t="shared" si="41"/>
        <v>0</v>
      </c>
      <c r="P119" s="11">
        <f t="shared" si="42"/>
        <v>0</v>
      </c>
      <c r="Q119" s="11">
        <f t="shared" si="43"/>
        <v>0</v>
      </c>
      <c r="R119" s="11">
        <f t="shared" si="44"/>
        <v>0</v>
      </c>
      <c r="S119" s="30">
        <f t="shared" si="33"/>
        <v>0</v>
      </c>
      <c r="T119" s="30">
        <f t="shared" si="34"/>
        <v>0</v>
      </c>
      <c r="U119" s="30">
        <f t="shared" si="35"/>
        <v>0</v>
      </c>
      <c r="V119" s="30">
        <f t="shared" si="36"/>
        <v>0</v>
      </c>
      <c r="W119" s="30">
        <f t="shared" si="37"/>
        <v>0</v>
      </c>
      <c r="X119" s="30">
        <f t="shared" si="38"/>
        <v>0</v>
      </c>
      <c r="Z119" s="23" t="s">
        <v>76</v>
      </c>
      <c r="AA119" s="40">
        <f>IF(C119="Electricity",E119*SUMIFS(Electricity!S:S,Electricity!P:P,UserMade_Scenario!B119,Electricity!M:M,UserMade_Scenario!Z119,Electricity!O:O,UserMade_Scenario!D119),"")</f>
        <v>8642705.5927938186</v>
      </c>
      <c r="AB119" s="76">
        <f>1/Assumptions!$B$23/1000000000000</f>
        <v>3.5998225679871703E-9</v>
      </c>
      <c r="AC119" s="67" t="s">
        <v>82</v>
      </c>
      <c r="AD119" s="69">
        <f>INDEX(Table11[AVG
CO2e MT per MWh],MATCH(UserMade_Scenario!$B119,Table11[[Year]:[Year]],0))</f>
        <v>-9.3343291599999934E-2</v>
      </c>
      <c r="AE119" s="69">
        <f>INDEX(Table11[MIN
CO2e MT per MWh],MATCH(UserMade_Scenario!$B119,Table11[[Year]:[Year]],0))</f>
        <v>-7.0156925200000081E-2</v>
      </c>
      <c r="AF119" s="69">
        <f>INDEX(Table11[MAX CO2e MT per MWh],MATCH(UserMade_Scenario!$B119,Table11[[Year]:[Year]],0))</f>
        <v>-0.11652965700000005</v>
      </c>
      <c r="AG119" s="68">
        <f>IFERROR(INDEX(WaterUseH2[Average Direct Water Consumption (Gal/ kg h2)],MATCH(LEFT(D119,3),WaterUseH2[Key],0)),0)</f>
        <v>0</v>
      </c>
      <c r="AH119">
        <v>14</v>
      </c>
      <c r="AI119">
        <v>1.4</v>
      </c>
      <c r="AJ119">
        <v>250</v>
      </c>
      <c r="AK119">
        <v>0.31</v>
      </c>
      <c r="AL119" s="63">
        <f>IFERROR(INDEX(Job_Training[[Solar]:[Wind]],MATCH(AL$1,Job_Training[[`Typical Entry Level Education`]:[`Typical Entry Level Education`]],0),MATCH(LEFT($D119,5),Job_Training[[#Headers],[Solar]:[Wind]],0)),0)</f>
        <v>0</v>
      </c>
      <c r="AM119" s="63">
        <f>IFERROR(INDEX(Job_Training[[Solar]:[Wind]],MATCH(AM$1,Job_Training[[`Typical Entry Level Education`]:[`Typical Entry Level Education`]],0),MATCH(LEFT($D119,5),Job_Training[[#Headers],[Solar]:[Wind]],0)),0)</f>
        <v>0</v>
      </c>
      <c r="AN119" s="63">
        <f>IFERROR(INDEX(Job_Training[[Solar]:[Wind]],MATCH(AN$1,Job_Training[[`Typical Entry Level Education`]:[`Typical Entry Level Education`]],0),MATCH(LEFT($D119,5),Job_Training[[#Headers],[Solar]:[Wind]],0)),0)</f>
        <v>0</v>
      </c>
      <c r="AO119" s="63">
        <f>IFERROR(INDEX(Job_Training[[Solar]:[Wind]],MATCH(AO$1,Job_Training[[`Typical Entry Level Education`]:[`Typical Entry Level Education`]],0),MATCH(LEFT($D119,5),Job_Training[[#Headers],[Solar]:[Wind]],0)),0)</f>
        <v>0</v>
      </c>
      <c r="AP119">
        <f t="shared" si="39"/>
        <v>0</v>
      </c>
      <c r="AQ119" s="63">
        <f>IF(AP119&gt;0,IFERROR(INDEX(Assumptions!$C$165:$D$165,MATCH(LEFT($D119,5),Job_Training[[#Headers],[Solar]:[Wind]],0)),0),0)</f>
        <v>0</v>
      </c>
      <c r="AR119">
        <f>IF(AP119&gt;0,IFERROR(INDEX(Assumptions!$C$166:$D$166,MATCH(LEFT($D119,5),Job_Training[[#Headers],[Solar]:[Wind]],0)),0),0)</f>
        <v>0</v>
      </c>
    </row>
    <row r="120" spans="1:44" x14ac:dyDescent="0.35">
      <c r="A120" t="str">
        <f>UserInput!$B$2</f>
        <v>Current Projects</v>
      </c>
      <c r="B120">
        <v>2038</v>
      </c>
      <c r="C120" t="s">
        <v>41</v>
      </c>
      <c r="D120" t="s">
        <v>85</v>
      </c>
      <c r="E120" s="66">
        <f>INDEX(UserInput!$C$2:$M$22,MATCH(UserMade_Scenario!B120,UserInput!$A$2:$A$22,0),MATCH(LEFT(IF(RIGHT(C120,2)="H2",UserMade_Scenario!C120,D120),3),UserInput!$C$25:$M$25,0))</f>
        <v>7380</v>
      </c>
      <c r="F120" t="s">
        <v>81</v>
      </c>
      <c r="G120" s="14">
        <f t="shared" si="45"/>
        <v>3.1112206641408124E-2</v>
      </c>
      <c r="H120" s="63">
        <f t="shared" si="30"/>
        <v>0.77023245505422655</v>
      </c>
      <c r="I120" s="63">
        <f t="shared" si="31"/>
        <v>0.56176858680562514</v>
      </c>
      <c r="J120" s="63">
        <f t="shared" si="32"/>
        <v>0.97869631466012463</v>
      </c>
      <c r="K120" s="30">
        <f>IF(OR(LEFT($D120,5)="Solar",$D120="Wind"),INDEX(Land_Use[AVG],MATCH(LEFT($D120,5),Land_Use[Tech],0)),0)*$E120</f>
        <v>0</v>
      </c>
      <c r="L120" s="30">
        <f>IF(OR(LEFT($D120,5)="Solar",$D120="Wind"),INDEX(Land_Use[MIN],MATCH(LEFT($D120,5),Land_Use[Tech],0)),0)*$E120</f>
        <v>0</v>
      </c>
      <c r="M120" s="30">
        <f>IF(OR(LEFT($D120,5)="Solar",$D120="Wind"),INDEX(Land_Use[MAX],MATCH(LEFT($D120,5),Land_Use[Tech],0)),0)*$E120</f>
        <v>0</v>
      </c>
      <c r="N120" s="15">
        <f t="shared" si="40"/>
        <v>0</v>
      </c>
      <c r="O120" s="11">
        <f t="shared" si="41"/>
        <v>0</v>
      </c>
      <c r="P120" s="11">
        <f t="shared" si="42"/>
        <v>0</v>
      </c>
      <c r="Q120" s="11">
        <f t="shared" si="43"/>
        <v>0</v>
      </c>
      <c r="R120" s="11">
        <f t="shared" si="44"/>
        <v>0</v>
      </c>
      <c r="S120" s="30">
        <f t="shared" si="33"/>
        <v>0</v>
      </c>
      <c r="T120" s="30">
        <f t="shared" si="34"/>
        <v>0</v>
      </c>
      <c r="U120" s="30">
        <f t="shared" si="35"/>
        <v>0</v>
      </c>
      <c r="V120" s="30">
        <f t="shared" si="36"/>
        <v>0</v>
      </c>
      <c r="W120" s="30">
        <f t="shared" si="37"/>
        <v>0</v>
      </c>
      <c r="X120" s="30">
        <f t="shared" si="38"/>
        <v>0</v>
      </c>
      <c r="Z120" s="23" t="s">
        <v>76</v>
      </c>
      <c r="AA120" s="40">
        <f>IF(C120="Electricity",E120*SUMIFS(Electricity!S:S,Electricity!P:P,UserMade_Scenario!B120,Electricity!M:M,UserMade_Scenario!Z120,Electricity!O:O,UserMade_Scenario!D120),"")</f>
        <v>8642705.5927938186</v>
      </c>
      <c r="AB120" s="76">
        <f>1/Assumptions!$B$23/1000000000000</f>
        <v>3.5998225679871703E-9</v>
      </c>
      <c r="AC120" s="67" t="s">
        <v>82</v>
      </c>
      <c r="AD120" s="69">
        <f>INDEX(Table11[AVG
CO2e MT per MWh],MATCH(UserMade_Scenario!$B120,Table11[[Year]:[Year]],0))</f>
        <v>-8.9119367399999927E-2</v>
      </c>
      <c r="AE120" s="69">
        <f>INDEX(Table11[MIN
CO2e MT per MWh],MATCH(UserMade_Scenario!$B120,Table11[[Year]:[Year]],0))</f>
        <v>-6.4999158050000089E-2</v>
      </c>
      <c r="AF120" s="69">
        <f>INDEX(Table11[MAX CO2e MT per MWh],MATCH(UserMade_Scenario!$B120,Table11[[Year]:[Year]],0))</f>
        <v>-0.11323957575000004</v>
      </c>
      <c r="AG120" s="68">
        <f>IFERROR(INDEX(WaterUseH2[Average Direct Water Consumption (Gal/ kg h2)],MATCH(LEFT(D120,3),WaterUseH2[Key],0)),0)</f>
        <v>0</v>
      </c>
      <c r="AH120">
        <v>14</v>
      </c>
      <c r="AI120">
        <v>1.4</v>
      </c>
      <c r="AJ120">
        <v>250</v>
      </c>
      <c r="AK120">
        <v>0.31</v>
      </c>
      <c r="AL120" s="63">
        <f>IFERROR(INDEX(Job_Training[[Solar]:[Wind]],MATCH(AL$1,Job_Training[[`Typical Entry Level Education`]:[`Typical Entry Level Education`]],0),MATCH(LEFT($D120,5),Job_Training[[#Headers],[Solar]:[Wind]],0)),0)</f>
        <v>0</v>
      </c>
      <c r="AM120" s="63">
        <f>IFERROR(INDEX(Job_Training[[Solar]:[Wind]],MATCH(AM$1,Job_Training[[`Typical Entry Level Education`]:[`Typical Entry Level Education`]],0),MATCH(LEFT($D120,5),Job_Training[[#Headers],[Solar]:[Wind]],0)),0)</f>
        <v>0</v>
      </c>
      <c r="AN120" s="63">
        <f>IFERROR(INDEX(Job_Training[[Solar]:[Wind]],MATCH(AN$1,Job_Training[[`Typical Entry Level Education`]:[`Typical Entry Level Education`]],0),MATCH(LEFT($D120,5),Job_Training[[#Headers],[Solar]:[Wind]],0)),0)</f>
        <v>0</v>
      </c>
      <c r="AO120" s="63">
        <f>IFERROR(INDEX(Job_Training[[Solar]:[Wind]],MATCH(AO$1,Job_Training[[`Typical Entry Level Education`]:[`Typical Entry Level Education`]],0),MATCH(LEFT($D120,5),Job_Training[[#Headers],[Solar]:[Wind]],0)),0)</f>
        <v>0</v>
      </c>
      <c r="AP120">
        <f t="shared" si="39"/>
        <v>0</v>
      </c>
      <c r="AQ120" s="63">
        <f>IF(AP120&gt;0,IFERROR(INDEX(Assumptions!$C$165:$D$165,MATCH(LEFT($D120,5),Job_Training[[#Headers],[Solar]:[Wind]],0)),0),0)</f>
        <v>0</v>
      </c>
      <c r="AR120">
        <f>IF(AP120&gt;0,IFERROR(INDEX(Assumptions!$C$166:$D$166,MATCH(LEFT($D120,5),Job_Training[[#Headers],[Solar]:[Wind]],0)),0),0)</f>
        <v>0</v>
      </c>
    </row>
    <row r="121" spans="1:44" x14ac:dyDescent="0.35">
      <c r="A121" t="str">
        <f>UserInput!$B$2</f>
        <v>Current Projects</v>
      </c>
      <c r="B121">
        <v>2039</v>
      </c>
      <c r="C121" t="s">
        <v>41</v>
      </c>
      <c r="D121" t="s">
        <v>85</v>
      </c>
      <c r="E121" s="66">
        <f>INDEX(UserInput!$C$2:$M$22,MATCH(UserMade_Scenario!B121,UserInput!$A$2:$A$22,0),MATCH(LEFT(IF(RIGHT(C121,2)="H2",UserMade_Scenario!C121,D121),3),UserInput!$C$25:$M$25,0))</f>
        <v>7380</v>
      </c>
      <c r="F121" t="s">
        <v>81</v>
      </c>
      <c r="G121" s="14">
        <f t="shared" si="45"/>
        <v>3.1112206641408124E-2</v>
      </c>
      <c r="H121" s="63">
        <f t="shared" si="30"/>
        <v>0.73372632174734931</v>
      </c>
      <c r="I121" s="63">
        <f t="shared" si="31"/>
        <v>0.51719152381199196</v>
      </c>
      <c r="J121" s="63">
        <f t="shared" si="32"/>
        <v>0.95026111104000355</v>
      </c>
      <c r="K121" s="30">
        <f>IF(OR(LEFT($D121,5)="Solar",$D121="Wind"),INDEX(Land_Use[AVG],MATCH(LEFT($D121,5),Land_Use[Tech],0)),0)*$E121</f>
        <v>0</v>
      </c>
      <c r="L121" s="30">
        <f>IF(OR(LEFT($D121,5)="Solar",$D121="Wind"),INDEX(Land_Use[MIN],MATCH(LEFT($D121,5),Land_Use[Tech],0)),0)*$E121</f>
        <v>0</v>
      </c>
      <c r="M121" s="30">
        <f>IF(OR(LEFT($D121,5)="Solar",$D121="Wind"),INDEX(Land_Use[MAX],MATCH(LEFT($D121,5),Land_Use[Tech],0)),0)*$E121</f>
        <v>0</v>
      </c>
      <c r="N121" s="15">
        <f t="shared" si="40"/>
        <v>0</v>
      </c>
      <c r="O121" s="11">
        <f t="shared" si="41"/>
        <v>0</v>
      </c>
      <c r="P121" s="11">
        <f t="shared" si="42"/>
        <v>0</v>
      </c>
      <c r="Q121" s="11">
        <f t="shared" si="43"/>
        <v>0</v>
      </c>
      <c r="R121" s="11">
        <f t="shared" si="44"/>
        <v>0</v>
      </c>
      <c r="S121" s="30">
        <f t="shared" si="33"/>
        <v>0</v>
      </c>
      <c r="T121" s="30">
        <f t="shared" si="34"/>
        <v>0</v>
      </c>
      <c r="U121" s="30">
        <f t="shared" si="35"/>
        <v>0</v>
      </c>
      <c r="V121" s="30">
        <f t="shared" si="36"/>
        <v>0</v>
      </c>
      <c r="W121" s="30">
        <f t="shared" si="37"/>
        <v>0</v>
      </c>
      <c r="X121" s="30">
        <f t="shared" si="38"/>
        <v>0</v>
      </c>
      <c r="Z121" s="23" t="s">
        <v>76</v>
      </c>
      <c r="AA121" s="40">
        <f>IF(C121="Electricity",E121*SUMIFS(Electricity!S:S,Electricity!P:P,UserMade_Scenario!B121,Electricity!M:M,UserMade_Scenario!Z121,Electricity!O:O,UserMade_Scenario!D121),"")</f>
        <v>8642705.5927938186</v>
      </c>
      <c r="AB121" s="76">
        <f>1/Assumptions!$B$23/1000000000000</f>
        <v>3.5998225679871703E-9</v>
      </c>
      <c r="AC121" s="67" t="s">
        <v>82</v>
      </c>
      <c r="AD121" s="69">
        <f>INDEX(Table11[AVG
CO2e MT per MWh],MATCH(UserMade_Scenario!$B121,Table11[[Year]:[Year]],0))</f>
        <v>-8.489544319999992E-2</v>
      </c>
      <c r="AE121" s="69">
        <f>INDEX(Table11[MIN
CO2e MT per MWh],MATCH(UserMade_Scenario!$B121,Table11[[Year]:[Year]],0))</f>
        <v>-5.984139090000009E-2</v>
      </c>
      <c r="AF121" s="69">
        <f>INDEX(Table11[MAX CO2e MT per MWh],MATCH(UserMade_Scenario!$B121,Table11[[Year]:[Year]],0))</f>
        <v>-0.10994949450000004</v>
      </c>
      <c r="AG121" s="68">
        <f>IFERROR(INDEX(WaterUseH2[Average Direct Water Consumption (Gal/ kg h2)],MATCH(LEFT(D121,3),WaterUseH2[Key],0)),0)</f>
        <v>0</v>
      </c>
      <c r="AH121">
        <v>14</v>
      </c>
      <c r="AI121">
        <v>1.4</v>
      </c>
      <c r="AJ121">
        <v>250</v>
      </c>
      <c r="AK121">
        <v>0.31</v>
      </c>
      <c r="AL121" s="63">
        <f>IFERROR(INDEX(Job_Training[[Solar]:[Wind]],MATCH(AL$1,Job_Training[[`Typical Entry Level Education`]:[`Typical Entry Level Education`]],0),MATCH(LEFT($D121,5),Job_Training[[#Headers],[Solar]:[Wind]],0)),0)</f>
        <v>0</v>
      </c>
      <c r="AM121" s="63">
        <f>IFERROR(INDEX(Job_Training[[Solar]:[Wind]],MATCH(AM$1,Job_Training[[`Typical Entry Level Education`]:[`Typical Entry Level Education`]],0),MATCH(LEFT($D121,5),Job_Training[[#Headers],[Solar]:[Wind]],0)),0)</f>
        <v>0</v>
      </c>
      <c r="AN121" s="63">
        <f>IFERROR(INDEX(Job_Training[[Solar]:[Wind]],MATCH(AN$1,Job_Training[[`Typical Entry Level Education`]:[`Typical Entry Level Education`]],0),MATCH(LEFT($D121,5),Job_Training[[#Headers],[Solar]:[Wind]],0)),0)</f>
        <v>0</v>
      </c>
      <c r="AO121" s="63">
        <f>IFERROR(INDEX(Job_Training[[Solar]:[Wind]],MATCH(AO$1,Job_Training[[`Typical Entry Level Education`]:[`Typical Entry Level Education`]],0),MATCH(LEFT($D121,5),Job_Training[[#Headers],[Solar]:[Wind]],0)),0)</f>
        <v>0</v>
      </c>
      <c r="AP121">
        <f t="shared" si="39"/>
        <v>0</v>
      </c>
      <c r="AQ121" s="63">
        <f>IF(AP121&gt;0,IFERROR(INDEX(Assumptions!$C$165:$D$165,MATCH(LEFT($D121,5),Job_Training[[#Headers],[Solar]:[Wind]],0)),0),0)</f>
        <v>0</v>
      </c>
      <c r="AR121">
        <f>IF(AP121&gt;0,IFERROR(INDEX(Assumptions!$C$166:$D$166,MATCH(LEFT($D121,5),Job_Training[[#Headers],[Solar]:[Wind]],0)),0),0)</f>
        <v>0</v>
      </c>
    </row>
    <row r="122" spans="1:44" x14ac:dyDescent="0.35">
      <c r="A122" t="str">
        <f>UserInput!$B$2</f>
        <v>Current Projects</v>
      </c>
      <c r="B122">
        <v>2040</v>
      </c>
      <c r="C122" t="s">
        <v>41</v>
      </c>
      <c r="D122" t="s">
        <v>85</v>
      </c>
      <c r="E122" s="66">
        <f>INDEX(UserInput!$C$2:$M$22,MATCH(UserMade_Scenario!B122,UserInput!$A$2:$A$22,0),MATCH(LEFT(IF(RIGHT(C122,2)="H2",UserMade_Scenario!C122,D122),3),UserInput!$C$25:$M$25,0))</f>
        <v>7380</v>
      </c>
      <c r="F122" t="s">
        <v>81</v>
      </c>
      <c r="G122" s="14">
        <f t="shared" si="45"/>
        <v>3.1112206641408124E-2</v>
      </c>
      <c r="H122" s="63">
        <f t="shared" si="30"/>
        <v>0.69722018844047207</v>
      </c>
      <c r="I122" s="63">
        <f t="shared" si="31"/>
        <v>0.47261446081835867</v>
      </c>
      <c r="J122" s="63">
        <f t="shared" si="32"/>
        <v>0.92182590741988235</v>
      </c>
      <c r="K122" s="30">
        <f>IF(OR(LEFT($D122,5)="Solar",$D122="Wind"),INDEX(Land_Use[AVG],MATCH(LEFT($D122,5),Land_Use[Tech],0)),0)*$E122</f>
        <v>0</v>
      </c>
      <c r="L122" s="30">
        <f>IF(OR(LEFT($D122,5)="Solar",$D122="Wind"),INDEX(Land_Use[MIN],MATCH(LEFT($D122,5),Land_Use[Tech],0)),0)*$E122</f>
        <v>0</v>
      </c>
      <c r="M122" s="30">
        <f>IF(OR(LEFT($D122,5)="Solar",$D122="Wind"),INDEX(Land_Use[MAX],MATCH(LEFT($D122,5),Land_Use[Tech],0)),0)*$E122</f>
        <v>0</v>
      </c>
      <c r="N122" s="15">
        <f t="shared" si="40"/>
        <v>0</v>
      </c>
      <c r="O122" s="11">
        <f t="shared" si="41"/>
        <v>0</v>
      </c>
      <c r="P122" s="11">
        <f t="shared" si="42"/>
        <v>0</v>
      </c>
      <c r="Q122" s="11">
        <f t="shared" si="43"/>
        <v>0</v>
      </c>
      <c r="R122" s="11">
        <f t="shared" si="44"/>
        <v>0</v>
      </c>
      <c r="S122" s="30">
        <f t="shared" si="33"/>
        <v>0</v>
      </c>
      <c r="T122" s="30">
        <f t="shared" si="34"/>
        <v>0</v>
      </c>
      <c r="U122" s="30">
        <f t="shared" si="35"/>
        <v>0</v>
      </c>
      <c r="V122" s="30">
        <f t="shared" si="36"/>
        <v>0</v>
      </c>
      <c r="W122" s="30">
        <f t="shared" si="37"/>
        <v>0</v>
      </c>
      <c r="X122" s="30">
        <f t="shared" si="38"/>
        <v>0</v>
      </c>
      <c r="Z122" s="23" t="s">
        <v>76</v>
      </c>
      <c r="AA122" s="40">
        <f>IF(C122="Electricity",E122*SUMIFS(Electricity!S:S,Electricity!P:P,UserMade_Scenario!B122,Electricity!M:M,UserMade_Scenario!Z122,Electricity!O:O,UserMade_Scenario!D122),"")</f>
        <v>8642705.5927938186</v>
      </c>
      <c r="AB122" s="76">
        <f>1/Assumptions!$B$23/1000000000000</f>
        <v>3.5998225679871703E-9</v>
      </c>
      <c r="AC122" s="67" t="s">
        <v>82</v>
      </c>
      <c r="AD122" s="69">
        <f>INDEX(Table11[AVG
CO2e MT per MWh],MATCH(UserMade_Scenario!$B122,Table11[[Year]:[Year]],0))</f>
        <v>-8.0671518999999914E-2</v>
      </c>
      <c r="AE122" s="69">
        <f>INDEX(Table11[MIN
CO2e MT per MWh],MATCH(UserMade_Scenario!$B122,Table11[[Year]:[Year]],0))</f>
        <v>-5.468362375000009E-2</v>
      </c>
      <c r="AF122" s="69">
        <f>INDEX(Table11[MAX CO2e MT per MWh],MATCH(UserMade_Scenario!$B122,Table11[[Year]:[Year]],0))</f>
        <v>-0.10665941325000003</v>
      </c>
      <c r="AG122" s="68">
        <f>IFERROR(INDEX(WaterUseH2[Average Direct Water Consumption (Gal/ kg h2)],MATCH(LEFT(D122,3),WaterUseH2[Key],0)),0)</f>
        <v>0</v>
      </c>
      <c r="AH122">
        <v>14</v>
      </c>
      <c r="AI122">
        <v>1.4</v>
      </c>
      <c r="AJ122">
        <v>250</v>
      </c>
      <c r="AK122">
        <v>0.31</v>
      </c>
      <c r="AL122" s="63">
        <f>IFERROR(INDEX(Job_Training[[Solar]:[Wind]],MATCH(AL$1,Job_Training[[`Typical Entry Level Education`]:[`Typical Entry Level Education`]],0),MATCH(LEFT($D122,5),Job_Training[[#Headers],[Solar]:[Wind]],0)),0)</f>
        <v>0</v>
      </c>
      <c r="AM122" s="63">
        <f>IFERROR(INDEX(Job_Training[[Solar]:[Wind]],MATCH(AM$1,Job_Training[[`Typical Entry Level Education`]:[`Typical Entry Level Education`]],0),MATCH(LEFT($D122,5),Job_Training[[#Headers],[Solar]:[Wind]],0)),0)</f>
        <v>0</v>
      </c>
      <c r="AN122" s="63">
        <f>IFERROR(INDEX(Job_Training[[Solar]:[Wind]],MATCH(AN$1,Job_Training[[`Typical Entry Level Education`]:[`Typical Entry Level Education`]],0),MATCH(LEFT($D122,5),Job_Training[[#Headers],[Solar]:[Wind]],0)),0)</f>
        <v>0</v>
      </c>
      <c r="AO122" s="63">
        <f>IFERROR(INDEX(Job_Training[[Solar]:[Wind]],MATCH(AO$1,Job_Training[[`Typical Entry Level Education`]:[`Typical Entry Level Education`]],0),MATCH(LEFT($D122,5),Job_Training[[#Headers],[Solar]:[Wind]],0)),0)</f>
        <v>0</v>
      </c>
      <c r="AP122">
        <f t="shared" si="39"/>
        <v>0</v>
      </c>
      <c r="AQ122" s="63">
        <f>IF(AP122&gt;0,IFERROR(INDEX(Assumptions!$C$165:$D$165,MATCH(LEFT($D122,5),Job_Training[[#Headers],[Solar]:[Wind]],0)),0),0)</f>
        <v>0</v>
      </c>
      <c r="AR122">
        <f>IF(AP122&gt;0,IFERROR(INDEX(Assumptions!$C$166:$D$166,MATCH(LEFT($D122,5),Job_Training[[#Headers],[Solar]:[Wind]],0)),0),0)</f>
        <v>0</v>
      </c>
    </row>
    <row r="123" spans="1:44" x14ac:dyDescent="0.35">
      <c r="A123" t="str">
        <f>UserInput!$B$2</f>
        <v>Current Projects</v>
      </c>
      <c r="B123">
        <v>2041</v>
      </c>
      <c r="C123" t="s">
        <v>41</v>
      </c>
      <c r="D123" t="s">
        <v>85</v>
      </c>
      <c r="E123" s="66">
        <f>INDEX(UserInput!$C$2:$M$22,MATCH(UserMade_Scenario!B123,UserInput!$A$2:$A$22,0),MATCH(LEFT(IF(RIGHT(C123,2)="H2",UserMade_Scenario!C123,D123),3),UserInput!$C$25:$M$25,0))</f>
        <v>7380</v>
      </c>
      <c r="F123" t="s">
        <v>81</v>
      </c>
      <c r="G123" s="14">
        <f t="shared" si="45"/>
        <v>3.1112206641408124E-2</v>
      </c>
      <c r="H123" s="63">
        <f t="shared" si="30"/>
        <v>0.66071405513359482</v>
      </c>
      <c r="I123" s="63">
        <f t="shared" si="31"/>
        <v>0.42803739782472544</v>
      </c>
      <c r="J123" s="63">
        <f t="shared" si="32"/>
        <v>0.89339070379976127</v>
      </c>
      <c r="K123" s="30">
        <f>IF(OR(LEFT($D123,5)="Solar",$D123="Wind"),INDEX(Land_Use[AVG],MATCH(LEFT($D123,5),Land_Use[Tech],0)),0)*$E123</f>
        <v>0</v>
      </c>
      <c r="L123" s="30">
        <f>IF(OR(LEFT($D123,5)="Solar",$D123="Wind"),INDEX(Land_Use[MIN],MATCH(LEFT($D123,5),Land_Use[Tech],0)),0)*$E123</f>
        <v>0</v>
      </c>
      <c r="M123" s="30">
        <f>IF(OR(LEFT($D123,5)="Solar",$D123="Wind"),INDEX(Land_Use[MAX],MATCH(LEFT($D123,5),Land_Use[Tech],0)),0)*$E123</f>
        <v>0</v>
      </c>
      <c r="N123" s="15">
        <f t="shared" si="40"/>
        <v>0</v>
      </c>
      <c r="O123" s="11">
        <f t="shared" si="41"/>
        <v>0</v>
      </c>
      <c r="P123" s="11">
        <f t="shared" si="42"/>
        <v>0</v>
      </c>
      <c r="Q123" s="11">
        <f t="shared" si="43"/>
        <v>0</v>
      </c>
      <c r="R123" s="11">
        <f t="shared" si="44"/>
        <v>0</v>
      </c>
      <c r="S123" s="30">
        <f t="shared" si="33"/>
        <v>0</v>
      </c>
      <c r="T123" s="30">
        <f t="shared" si="34"/>
        <v>0</v>
      </c>
      <c r="U123" s="30">
        <f t="shared" si="35"/>
        <v>0</v>
      </c>
      <c r="V123" s="30">
        <f t="shared" si="36"/>
        <v>0</v>
      </c>
      <c r="W123" s="30">
        <f t="shared" si="37"/>
        <v>0</v>
      </c>
      <c r="X123" s="30">
        <f t="shared" si="38"/>
        <v>0</v>
      </c>
      <c r="Z123" s="23" t="s">
        <v>76</v>
      </c>
      <c r="AA123" s="40">
        <f>IF(C123="Electricity",E123*SUMIFS(Electricity!S:S,Electricity!P:P,UserMade_Scenario!B123,Electricity!M:M,UserMade_Scenario!Z123,Electricity!O:O,UserMade_Scenario!D123),"")</f>
        <v>8642705.5927938186</v>
      </c>
      <c r="AB123" s="76">
        <f>1/Assumptions!$B$23/1000000000000</f>
        <v>3.5998225679871703E-9</v>
      </c>
      <c r="AC123" s="67" t="s">
        <v>82</v>
      </c>
      <c r="AD123" s="69">
        <f>INDEX(Table11[AVG
CO2e MT per MWh],MATCH(UserMade_Scenario!$B123,Table11[[Year]:[Year]],0))</f>
        <v>-7.6447594799999907E-2</v>
      </c>
      <c r="AE123" s="69">
        <f>INDEX(Table11[MIN
CO2e MT per MWh],MATCH(UserMade_Scenario!$B123,Table11[[Year]:[Year]],0))</f>
        <v>-4.9525856600000091E-2</v>
      </c>
      <c r="AF123" s="69">
        <f>INDEX(Table11[MAX CO2e MT per MWh],MATCH(UserMade_Scenario!$B123,Table11[[Year]:[Year]],0))</f>
        <v>-0.10336933200000002</v>
      </c>
      <c r="AG123" s="68">
        <f>IFERROR(INDEX(WaterUseH2[Average Direct Water Consumption (Gal/ kg h2)],MATCH(LEFT(D123,3),WaterUseH2[Key],0)),0)</f>
        <v>0</v>
      </c>
      <c r="AH123">
        <v>14</v>
      </c>
      <c r="AI123">
        <v>1.4</v>
      </c>
      <c r="AJ123">
        <v>250</v>
      </c>
      <c r="AK123">
        <v>0.31</v>
      </c>
      <c r="AL123" s="63">
        <f>IFERROR(INDEX(Job_Training[[Solar]:[Wind]],MATCH(AL$1,Job_Training[[`Typical Entry Level Education`]:[`Typical Entry Level Education`]],0),MATCH(LEFT($D123,5),Job_Training[[#Headers],[Solar]:[Wind]],0)),0)</f>
        <v>0</v>
      </c>
      <c r="AM123" s="63">
        <f>IFERROR(INDEX(Job_Training[[Solar]:[Wind]],MATCH(AM$1,Job_Training[[`Typical Entry Level Education`]:[`Typical Entry Level Education`]],0),MATCH(LEFT($D123,5),Job_Training[[#Headers],[Solar]:[Wind]],0)),0)</f>
        <v>0</v>
      </c>
      <c r="AN123" s="63">
        <f>IFERROR(INDEX(Job_Training[[Solar]:[Wind]],MATCH(AN$1,Job_Training[[`Typical Entry Level Education`]:[`Typical Entry Level Education`]],0),MATCH(LEFT($D123,5),Job_Training[[#Headers],[Solar]:[Wind]],0)),0)</f>
        <v>0</v>
      </c>
      <c r="AO123" s="63">
        <f>IFERROR(INDEX(Job_Training[[Solar]:[Wind]],MATCH(AO$1,Job_Training[[`Typical Entry Level Education`]:[`Typical Entry Level Education`]],0),MATCH(LEFT($D123,5),Job_Training[[#Headers],[Solar]:[Wind]],0)),0)</f>
        <v>0</v>
      </c>
      <c r="AP123">
        <f t="shared" si="39"/>
        <v>0</v>
      </c>
      <c r="AQ123" s="63">
        <f>IF(AP123&gt;0,IFERROR(INDEX(Assumptions!$C$165:$D$165,MATCH(LEFT($D123,5),Job_Training[[#Headers],[Solar]:[Wind]],0)),0),0)</f>
        <v>0</v>
      </c>
      <c r="AR123">
        <f>IF(AP123&gt;0,IFERROR(INDEX(Assumptions!$C$166:$D$166,MATCH(LEFT($D123,5),Job_Training[[#Headers],[Solar]:[Wind]],0)),0),0)</f>
        <v>0</v>
      </c>
    </row>
    <row r="124" spans="1:44" x14ac:dyDescent="0.35">
      <c r="A124" t="str">
        <f>UserInput!$B$2</f>
        <v>Current Projects</v>
      </c>
      <c r="B124">
        <v>2042</v>
      </c>
      <c r="C124" t="s">
        <v>41</v>
      </c>
      <c r="D124" t="s">
        <v>85</v>
      </c>
      <c r="E124" s="66">
        <f>INDEX(UserInput!$C$2:$M$22,MATCH(UserMade_Scenario!B124,UserInput!$A$2:$A$22,0),MATCH(LEFT(IF(RIGHT(C124,2)="H2",UserMade_Scenario!C124,D124),3),UserInput!$C$25:$M$25,0))</f>
        <v>7380</v>
      </c>
      <c r="F124" t="s">
        <v>81</v>
      </c>
      <c r="G124" s="14">
        <f t="shared" si="45"/>
        <v>3.1112206641408124E-2</v>
      </c>
      <c r="H124" s="63">
        <f t="shared" si="30"/>
        <v>0.62420792182671769</v>
      </c>
      <c r="I124" s="63">
        <f t="shared" si="31"/>
        <v>0.38346033483109221</v>
      </c>
      <c r="J124" s="63">
        <f t="shared" si="32"/>
        <v>0.86495550017964007</v>
      </c>
      <c r="K124" s="30">
        <f>IF(OR(LEFT($D124,5)="Solar",$D124="Wind"),INDEX(Land_Use[AVG],MATCH(LEFT($D124,5),Land_Use[Tech],0)),0)*$E124</f>
        <v>0</v>
      </c>
      <c r="L124" s="30">
        <f>IF(OR(LEFT($D124,5)="Solar",$D124="Wind"),INDEX(Land_Use[MIN],MATCH(LEFT($D124,5),Land_Use[Tech],0)),0)*$E124</f>
        <v>0</v>
      </c>
      <c r="M124" s="30">
        <f>IF(OR(LEFT($D124,5)="Solar",$D124="Wind"),INDEX(Land_Use[MAX],MATCH(LEFT($D124,5),Land_Use[Tech],0)),0)*$E124</f>
        <v>0</v>
      </c>
      <c r="N124" s="15">
        <f t="shared" si="40"/>
        <v>0</v>
      </c>
      <c r="O124" s="11">
        <f t="shared" si="41"/>
        <v>0</v>
      </c>
      <c r="P124" s="11">
        <f t="shared" si="42"/>
        <v>0</v>
      </c>
      <c r="Q124" s="11">
        <f t="shared" si="43"/>
        <v>0</v>
      </c>
      <c r="R124" s="11">
        <f t="shared" si="44"/>
        <v>0</v>
      </c>
      <c r="S124" s="30">
        <f t="shared" si="33"/>
        <v>0</v>
      </c>
      <c r="T124" s="30">
        <f t="shared" si="34"/>
        <v>0</v>
      </c>
      <c r="U124" s="30">
        <f t="shared" si="35"/>
        <v>0</v>
      </c>
      <c r="V124" s="30">
        <f t="shared" si="36"/>
        <v>0</v>
      </c>
      <c r="W124" s="30">
        <f t="shared" si="37"/>
        <v>0</v>
      </c>
      <c r="X124" s="30">
        <f t="shared" si="38"/>
        <v>0</v>
      </c>
      <c r="Z124" s="23" t="s">
        <v>76</v>
      </c>
      <c r="AA124" s="40">
        <f>IF(C124="Electricity",E124*SUMIFS(Electricity!S:S,Electricity!P:P,UserMade_Scenario!B124,Electricity!M:M,UserMade_Scenario!Z124,Electricity!O:O,UserMade_Scenario!D124),"")</f>
        <v>8642705.5927938186</v>
      </c>
      <c r="AB124" s="76">
        <f>1/Assumptions!$B$23/1000000000000</f>
        <v>3.5998225679871703E-9</v>
      </c>
      <c r="AC124" s="67" t="s">
        <v>82</v>
      </c>
      <c r="AD124" s="69">
        <f>INDEX(Table11[AVG
CO2e MT per MWh],MATCH(UserMade_Scenario!$B124,Table11[[Year]:[Year]],0))</f>
        <v>-7.2223670599999901E-2</v>
      </c>
      <c r="AE124" s="69">
        <f>INDEX(Table11[MIN
CO2e MT per MWh],MATCH(UserMade_Scenario!$B124,Table11[[Year]:[Year]],0))</f>
        <v>-4.4368089450000092E-2</v>
      </c>
      <c r="AF124" s="69">
        <f>INDEX(Table11[MAX CO2e MT per MWh],MATCH(UserMade_Scenario!$B124,Table11[[Year]:[Year]],0))</f>
        <v>-0.10007925075000002</v>
      </c>
      <c r="AG124" s="68">
        <f>IFERROR(INDEX(WaterUseH2[Average Direct Water Consumption (Gal/ kg h2)],MATCH(LEFT(D124,3),WaterUseH2[Key],0)),0)</f>
        <v>0</v>
      </c>
      <c r="AH124">
        <v>14</v>
      </c>
      <c r="AI124">
        <v>1.4</v>
      </c>
      <c r="AJ124">
        <v>250</v>
      </c>
      <c r="AK124">
        <v>0.31</v>
      </c>
      <c r="AL124" s="63">
        <f>IFERROR(INDEX(Job_Training[[Solar]:[Wind]],MATCH(AL$1,Job_Training[[`Typical Entry Level Education`]:[`Typical Entry Level Education`]],0),MATCH(LEFT($D124,5),Job_Training[[#Headers],[Solar]:[Wind]],0)),0)</f>
        <v>0</v>
      </c>
      <c r="AM124" s="63">
        <f>IFERROR(INDEX(Job_Training[[Solar]:[Wind]],MATCH(AM$1,Job_Training[[`Typical Entry Level Education`]:[`Typical Entry Level Education`]],0),MATCH(LEFT($D124,5),Job_Training[[#Headers],[Solar]:[Wind]],0)),0)</f>
        <v>0</v>
      </c>
      <c r="AN124" s="63">
        <f>IFERROR(INDEX(Job_Training[[Solar]:[Wind]],MATCH(AN$1,Job_Training[[`Typical Entry Level Education`]:[`Typical Entry Level Education`]],0),MATCH(LEFT($D124,5),Job_Training[[#Headers],[Solar]:[Wind]],0)),0)</f>
        <v>0</v>
      </c>
      <c r="AO124" s="63">
        <f>IFERROR(INDEX(Job_Training[[Solar]:[Wind]],MATCH(AO$1,Job_Training[[`Typical Entry Level Education`]:[`Typical Entry Level Education`]],0),MATCH(LEFT($D124,5),Job_Training[[#Headers],[Solar]:[Wind]],0)),0)</f>
        <v>0</v>
      </c>
      <c r="AP124">
        <f t="shared" si="39"/>
        <v>0</v>
      </c>
      <c r="AQ124" s="63">
        <f>IF(AP124&gt;0,IFERROR(INDEX(Assumptions!$C$165:$D$165,MATCH(LEFT($D124,5),Job_Training[[#Headers],[Solar]:[Wind]],0)),0),0)</f>
        <v>0</v>
      </c>
      <c r="AR124">
        <f>IF(AP124&gt;0,IFERROR(INDEX(Assumptions!$C$166:$D$166,MATCH(LEFT($D124,5),Job_Training[[#Headers],[Solar]:[Wind]],0)),0),0)</f>
        <v>0</v>
      </c>
    </row>
    <row r="125" spans="1:44" x14ac:dyDescent="0.35">
      <c r="A125" t="str">
        <f>UserInput!$B$2</f>
        <v>Current Projects</v>
      </c>
      <c r="B125">
        <v>2043</v>
      </c>
      <c r="C125" t="s">
        <v>41</v>
      </c>
      <c r="D125" t="s">
        <v>85</v>
      </c>
      <c r="E125" s="66">
        <f>INDEX(UserInput!$C$2:$M$22,MATCH(UserMade_Scenario!B125,UserInput!$A$2:$A$22,0),MATCH(LEFT(IF(RIGHT(C125,2)="H2",UserMade_Scenario!C125,D125),3),UserInput!$C$25:$M$25,0))</f>
        <v>7380</v>
      </c>
      <c r="F125" t="s">
        <v>81</v>
      </c>
      <c r="G125" s="14">
        <f t="shared" si="45"/>
        <v>3.1112206641408124E-2</v>
      </c>
      <c r="H125" s="63">
        <f t="shared" si="30"/>
        <v>0.58770178851984045</v>
      </c>
      <c r="I125" s="63">
        <f t="shared" si="31"/>
        <v>0.33888327183745898</v>
      </c>
      <c r="J125" s="63">
        <f t="shared" si="32"/>
        <v>0.83652029655951898</v>
      </c>
      <c r="K125" s="30">
        <f>IF(OR(LEFT($D125,5)="Solar",$D125="Wind"),INDEX(Land_Use[AVG],MATCH(LEFT($D125,5),Land_Use[Tech],0)),0)*$E125</f>
        <v>0</v>
      </c>
      <c r="L125" s="30">
        <f>IF(OR(LEFT($D125,5)="Solar",$D125="Wind"),INDEX(Land_Use[MIN],MATCH(LEFT($D125,5),Land_Use[Tech],0)),0)*$E125</f>
        <v>0</v>
      </c>
      <c r="M125" s="30">
        <f>IF(OR(LEFT($D125,5)="Solar",$D125="Wind"),INDEX(Land_Use[MAX],MATCH(LEFT($D125,5),Land_Use[Tech],0)),0)*$E125</f>
        <v>0</v>
      </c>
      <c r="N125" s="15">
        <f t="shared" si="40"/>
        <v>0</v>
      </c>
      <c r="O125" s="11">
        <f t="shared" si="41"/>
        <v>0</v>
      </c>
      <c r="P125" s="11">
        <f t="shared" si="42"/>
        <v>0</v>
      </c>
      <c r="Q125" s="11">
        <f t="shared" si="43"/>
        <v>0</v>
      </c>
      <c r="R125" s="11">
        <f t="shared" si="44"/>
        <v>0</v>
      </c>
      <c r="S125" s="30">
        <f t="shared" si="33"/>
        <v>0</v>
      </c>
      <c r="T125" s="30">
        <f t="shared" si="34"/>
        <v>0</v>
      </c>
      <c r="U125" s="30">
        <f t="shared" si="35"/>
        <v>0</v>
      </c>
      <c r="V125" s="30">
        <f t="shared" si="36"/>
        <v>0</v>
      </c>
      <c r="W125" s="30">
        <f t="shared" si="37"/>
        <v>0</v>
      </c>
      <c r="X125" s="30">
        <f t="shared" si="38"/>
        <v>0</v>
      </c>
      <c r="Z125" s="23" t="s">
        <v>76</v>
      </c>
      <c r="AA125" s="40">
        <f>IF(C125="Electricity",E125*SUMIFS(Electricity!S:S,Electricity!P:P,UserMade_Scenario!B125,Electricity!M:M,UserMade_Scenario!Z125,Electricity!O:O,UserMade_Scenario!D125),"")</f>
        <v>8642705.5927938186</v>
      </c>
      <c r="AB125" s="76">
        <f>1/Assumptions!$B$23/1000000000000</f>
        <v>3.5998225679871703E-9</v>
      </c>
      <c r="AC125" s="67" t="s">
        <v>82</v>
      </c>
      <c r="AD125" s="69">
        <f>INDEX(Table11[AVG
CO2e MT per MWh],MATCH(UserMade_Scenario!$B125,Table11[[Year]:[Year]],0))</f>
        <v>-6.7999746399999894E-2</v>
      </c>
      <c r="AE125" s="69">
        <f>INDEX(Table11[MIN
CO2e MT per MWh],MATCH(UserMade_Scenario!$B125,Table11[[Year]:[Year]],0))</f>
        <v>-3.9210322300000093E-2</v>
      </c>
      <c r="AF125" s="69">
        <f>INDEX(Table11[MAX CO2e MT per MWh],MATCH(UserMade_Scenario!$B125,Table11[[Year]:[Year]],0))</f>
        <v>-9.6789169500000008E-2</v>
      </c>
      <c r="AG125" s="68">
        <f>IFERROR(INDEX(WaterUseH2[Average Direct Water Consumption (Gal/ kg h2)],MATCH(LEFT(D125,3),WaterUseH2[Key],0)),0)</f>
        <v>0</v>
      </c>
      <c r="AH125">
        <v>14</v>
      </c>
      <c r="AI125">
        <v>1.4</v>
      </c>
      <c r="AJ125">
        <v>250</v>
      </c>
      <c r="AK125">
        <v>0.31</v>
      </c>
      <c r="AL125" s="63">
        <f>IFERROR(INDEX(Job_Training[[Solar]:[Wind]],MATCH(AL$1,Job_Training[[`Typical Entry Level Education`]:[`Typical Entry Level Education`]],0),MATCH(LEFT($D125,5),Job_Training[[#Headers],[Solar]:[Wind]],0)),0)</f>
        <v>0</v>
      </c>
      <c r="AM125" s="63">
        <f>IFERROR(INDEX(Job_Training[[Solar]:[Wind]],MATCH(AM$1,Job_Training[[`Typical Entry Level Education`]:[`Typical Entry Level Education`]],0),MATCH(LEFT($D125,5),Job_Training[[#Headers],[Solar]:[Wind]],0)),0)</f>
        <v>0</v>
      </c>
      <c r="AN125" s="63">
        <f>IFERROR(INDEX(Job_Training[[Solar]:[Wind]],MATCH(AN$1,Job_Training[[`Typical Entry Level Education`]:[`Typical Entry Level Education`]],0),MATCH(LEFT($D125,5),Job_Training[[#Headers],[Solar]:[Wind]],0)),0)</f>
        <v>0</v>
      </c>
      <c r="AO125" s="63">
        <f>IFERROR(INDEX(Job_Training[[Solar]:[Wind]],MATCH(AO$1,Job_Training[[`Typical Entry Level Education`]:[`Typical Entry Level Education`]],0),MATCH(LEFT($D125,5),Job_Training[[#Headers],[Solar]:[Wind]],0)),0)</f>
        <v>0</v>
      </c>
      <c r="AP125">
        <f t="shared" si="39"/>
        <v>0</v>
      </c>
      <c r="AQ125" s="63">
        <f>IF(AP125&gt;0,IFERROR(INDEX(Assumptions!$C$165:$D$165,MATCH(LEFT($D125,5),Job_Training[[#Headers],[Solar]:[Wind]],0)),0),0)</f>
        <v>0</v>
      </c>
      <c r="AR125">
        <f>IF(AP125&gt;0,IFERROR(INDEX(Assumptions!$C$166:$D$166,MATCH(LEFT($D125,5),Job_Training[[#Headers],[Solar]:[Wind]],0)),0),0)</f>
        <v>0</v>
      </c>
    </row>
    <row r="126" spans="1:44" x14ac:dyDescent="0.35">
      <c r="A126" t="str">
        <f>UserInput!$B$2</f>
        <v>Current Projects</v>
      </c>
      <c r="B126">
        <v>2044</v>
      </c>
      <c r="C126" t="s">
        <v>41</v>
      </c>
      <c r="D126" t="s">
        <v>85</v>
      </c>
      <c r="E126" s="66">
        <f>INDEX(UserInput!$C$2:$M$22,MATCH(UserMade_Scenario!B126,UserInput!$A$2:$A$22,0),MATCH(LEFT(IF(RIGHT(C126,2)="H2",UserMade_Scenario!C126,D126),3),UserInput!$C$25:$M$25,0))</f>
        <v>7380</v>
      </c>
      <c r="F126" t="s">
        <v>81</v>
      </c>
      <c r="G126" s="14">
        <f t="shared" si="45"/>
        <v>3.1112206641408124E-2</v>
      </c>
      <c r="H126" s="63">
        <f t="shared" si="30"/>
        <v>0.55119565521296321</v>
      </c>
      <c r="I126" s="63">
        <f t="shared" si="31"/>
        <v>0.29430620884382575</v>
      </c>
      <c r="J126" s="63">
        <f t="shared" si="32"/>
        <v>0.80808509293939779</v>
      </c>
      <c r="K126" s="30">
        <f>IF(OR(LEFT($D126,5)="Solar",$D126="Wind"),INDEX(Land_Use[AVG],MATCH(LEFT($D126,5),Land_Use[Tech],0)),0)*$E126</f>
        <v>0</v>
      </c>
      <c r="L126" s="30">
        <f>IF(OR(LEFT($D126,5)="Solar",$D126="Wind"),INDEX(Land_Use[MIN],MATCH(LEFT($D126,5),Land_Use[Tech],0)),0)*$E126</f>
        <v>0</v>
      </c>
      <c r="M126" s="30">
        <f>IF(OR(LEFT($D126,5)="Solar",$D126="Wind"),INDEX(Land_Use[MAX],MATCH(LEFT($D126,5),Land_Use[Tech],0)),0)*$E126</f>
        <v>0</v>
      </c>
      <c r="N126" s="15">
        <f t="shared" si="40"/>
        <v>0</v>
      </c>
      <c r="O126" s="11">
        <f t="shared" si="41"/>
        <v>0</v>
      </c>
      <c r="P126" s="11">
        <f t="shared" si="42"/>
        <v>0</v>
      </c>
      <c r="Q126" s="11">
        <f t="shared" si="43"/>
        <v>0</v>
      </c>
      <c r="R126" s="11">
        <f t="shared" si="44"/>
        <v>0</v>
      </c>
      <c r="S126" s="30">
        <f t="shared" si="33"/>
        <v>0</v>
      </c>
      <c r="T126" s="30">
        <f t="shared" si="34"/>
        <v>0</v>
      </c>
      <c r="U126" s="30">
        <f t="shared" si="35"/>
        <v>0</v>
      </c>
      <c r="V126" s="30">
        <f t="shared" si="36"/>
        <v>0</v>
      </c>
      <c r="W126" s="30">
        <f t="shared" si="37"/>
        <v>0</v>
      </c>
      <c r="X126" s="30">
        <f t="shared" si="38"/>
        <v>0</v>
      </c>
      <c r="Z126" s="23" t="s">
        <v>76</v>
      </c>
      <c r="AA126" s="40">
        <f>IF(C126="Electricity",E126*SUMIFS(Electricity!S:S,Electricity!P:P,UserMade_Scenario!B126,Electricity!M:M,UserMade_Scenario!Z126,Electricity!O:O,UserMade_Scenario!D126),"")</f>
        <v>8642705.5927938186</v>
      </c>
      <c r="AB126" s="76">
        <f>1/Assumptions!$B$23/1000000000000</f>
        <v>3.5998225679871703E-9</v>
      </c>
      <c r="AC126" s="67" t="s">
        <v>82</v>
      </c>
      <c r="AD126" s="69">
        <f>INDEX(Table11[AVG
CO2e MT per MWh],MATCH(UserMade_Scenario!$B126,Table11[[Year]:[Year]],0))</f>
        <v>-6.3775822199999888E-2</v>
      </c>
      <c r="AE126" s="69">
        <f>INDEX(Table11[MIN
CO2e MT per MWh],MATCH(UserMade_Scenario!$B126,Table11[[Year]:[Year]],0))</f>
        <v>-3.4052555150000094E-2</v>
      </c>
      <c r="AF126" s="69">
        <f>INDEX(Table11[MAX CO2e MT per MWh],MATCH(UserMade_Scenario!$B126,Table11[[Year]:[Year]],0))</f>
        <v>-9.3499088250000001E-2</v>
      </c>
      <c r="AG126" s="68">
        <f>IFERROR(INDEX(WaterUseH2[Average Direct Water Consumption (Gal/ kg h2)],MATCH(LEFT(D126,3),WaterUseH2[Key],0)),0)</f>
        <v>0</v>
      </c>
      <c r="AH126">
        <v>14</v>
      </c>
      <c r="AI126">
        <v>1.4</v>
      </c>
      <c r="AJ126">
        <v>250</v>
      </c>
      <c r="AK126">
        <v>0.31</v>
      </c>
      <c r="AL126" s="63">
        <f>IFERROR(INDEX(Job_Training[[Solar]:[Wind]],MATCH(AL$1,Job_Training[[`Typical Entry Level Education`]:[`Typical Entry Level Education`]],0),MATCH(LEFT($D126,5),Job_Training[[#Headers],[Solar]:[Wind]],0)),0)</f>
        <v>0</v>
      </c>
      <c r="AM126" s="63">
        <f>IFERROR(INDEX(Job_Training[[Solar]:[Wind]],MATCH(AM$1,Job_Training[[`Typical Entry Level Education`]:[`Typical Entry Level Education`]],0),MATCH(LEFT($D126,5),Job_Training[[#Headers],[Solar]:[Wind]],0)),0)</f>
        <v>0</v>
      </c>
      <c r="AN126" s="63">
        <f>IFERROR(INDEX(Job_Training[[Solar]:[Wind]],MATCH(AN$1,Job_Training[[`Typical Entry Level Education`]:[`Typical Entry Level Education`]],0),MATCH(LEFT($D126,5),Job_Training[[#Headers],[Solar]:[Wind]],0)),0)</f>
        <v>0</v>
      </c>
      <c r="AO126" s="63">
        <f>IFERROR(INDEX(Job_Training[[Solar]:[Wind]],MATCH(AO$1,Job_Training[[`Typical Entry Level Education`]:[`Typical Entry Level Education`]],0),MATCH(LEFT($D126,5),Job_Training[[#Headers],[Solar]:[Wind]],0)),0)</f>
        <v>0</v>
      </c>
      <c r="AP126">
        <f t="shared" si="39"/>
        <v>0</v>
      </c>
      <c r="AQ126" s="63">
        <f>IF(AP126&gt;0,IFERROR(INDEX(Assumptions!$C$165:$D$165,MATCH(LEFT($D126,5),Job_Training[[#Headers],[Solar]:[Wind]],0)),0),0)</f>
        <v>0</v>
      </c>
      <c r="AR126">
        <f>IF(AP126&gt;0,IFERROR(INDEX(Assumptions!$C$166:$D$166,MATCH(LEFT($D126,5),Job_Training[[#Headers],[Solar]:[Wind]],0)),0),0)</f>
        <v>0</v>
      </c>
    </row>
    <row r="127" spans="1:44" x14ac:dyDescent="0.35">
      <c r="A127" t="str">
        <f>UserInput!$B$2</f>
        <v>Current Projects</v>
      </c>
      <c r="B127">
        <v>2045</v>
      </c>
      <c r="C127" t="s">
        <v>41</v>
      </c>
      <c r="D127" t="s">
        <v>85</v>
      </c>
      <c r="E127" s="66">
        <f>INDEX(UserInput!$C$2:$M$22,MATCH(UserMade_Scenario!B127,UserInput!$A$2:$A$22,0),MATCH(LEFT(IF(RIGHT(C127,2)="H2",UserMade_Scenario!C127,D127),3),UserInput!$C$25:$M$25,0))</f>
        <v>7380</v>
      </c>
      <c r="F127" t="s">
        <v>81</v>
      </c>
      <c r="G127" s="14">
        <f t="shared" si="45"/>
        <v>3.1112206641408124E-2</v>
      </c>
      <c r="H127" s="63">
        <f t="shared" si="30"/>
        <v>0.51468952190608608</v>
      </c>
      <c r="I127" s="63">
        <f t="shared" si="31"/>
        <v>0.24972914585019254</v>
      </c>
      <c r="J127" s="63">
        <f t="shared" si="32"/>
        <v>0.7796498893192767</v>
      </c>
      <c r="K127" s="30">
        <f>IF(OR(LEFT($D127,5)="Solar",$D127="Wind"),INDEX(Land_Use[AVG],MATCH(LEFT($D127,5),Land_Use[Tech],0)),0)*$E127</f>
        <v>0</v>
      </c>
      <c r="L127" s="30">
        <f>IF(OR(LEFT($D127,5)="Solar",$D127="Wind"),INDEX(Land_Use[MIN],MATCH(LEFT($D127,5),Land_Use[Tech],0)),0)*$E127</f>
        <v>0</v>
      </c>
      <c r="M127" s="30">
        <f>IF(OR(LEFT($D127,5)="Solar",$D127="Wind"),INDEX(Land_Use[MAX],MATCH(LEFT($D127,5),Land_Use[Tech],0)),0)*$E127</f>
        <v>0</v>
      </c>
      <c r="N127" s="15">
        <f t="shared" si="40"/>
        <v>0</v>
      </c>
      <c r="O127" s="11">
        <f t="shared" si="41"/>
        <v>0</v>
      </c>
      <c r="P127" s="11">
        <f t="shared" si="42"/>
        <v>0</v>
      </c>
      <c r="Q127" s="11">
        <f t="shared" si="43"/>
        <v>0</v>
      </c>
      <c r="R127" s="11">
        <f t="shared" si="44"/>
        <v>0</v>
      </c>
      <c r="S127" s="30">
        <f t="shared" si="33"/>
        <v>0</v>
      </c>
      <c r="T127" s="30">
        <f t="shared" si="34"/>
        <v>0</v>
      </c>
      <c r="U127" s="30">
        <f t="shared" si="35"/>
        <v>0</v>
      </c>
      <c r="V127" s="30">
        <f t="shared" si="36"/>
        <v>0</v>
      </c>
      <c r="W127" s="30">
        <f t="shared" si="37"/>
        <v>0</v>
      </c>
      <c r="X127" s="30">
        <f t="shared" si="38"/>
        <v>0</v>
      </c>
      <c r="Z127" s="23" t="s">
        <v>76</v>
      </c>
      <c r="AA127" s="40">
        <f>IF(C127="Electricity",E127*SUMIFS(Electricity!S:S,Electricity!P:P,UserMade_Scenario!B127,Electricity!M:M,UserMade_Scenario!Z127,Electricity!O:O,UserMade_Scenario!D127),"")</f>
        <v>8642705.5927938186</v>
      </c>
      <c r="AB127" s="76">
        <f>1/Assumptions!$B$23/1000000000000</f>
        <v>3.5998225679871703E-9</v>
      </c>
      <c r="AC127" s="67" t="s">
        <v>82</v>
      </c>
      <c r="AD127" s="69">
        <f>INDEX(Table11[AVG
CO2e MT per MWh],MATCH(UserMade_Scenario!$B127,Table11[[Year]:[Year]],0))</f>
        <v>-5.9551897999999888E-2</v>
      </c>
      <c r="AE127" s="69">
        <f>INDEX(Table11[MIN
CO2e MT per MWh],MATCH(UserMade_Scenario!$B127,Table11[[Year]:[Year]],0))</f>
        <v>-2.8894788000000095E-2</v>
      </c>
      <c r="AF127" s="69">
        <f>INDEX(Table11[MAX CO2e MT per MWh],MATCH(UserMade_Scenario!$B127,Table11[[Year]:[Year]],0))</f>
        <v>-9.0209006999999994E-2</v>
      </c>
      <c r="AG127" s="68">
        <f>IFERROR(INDEX(WaterUseH2[Average Direct Water Consumption (Gal/ kg h2)],MATCH(LEFT(D127,3),WaterUseH2[Key],0)),0)</f>
        <v>0</v>
      </c>
      <c r="AH127">
        <v>14</v>
      </c>
      <c r="AI127">
        <v>1.4</v>
      </c>
      <c r="AJ127">
        <v>250</v>
      </c>
      <c r="AK127">
        <v>0.31</v>
      </c>
      <c r="AL127" s="63">
        <f>IFERROR(INDEX(Job_Training[[Solar]:[Wind]],MATCH(AL$1,Job_Training[[`Typical Entry Level Education`]:[`Typical Entry Level Education`]],0),MATCH(LEFT($D127,5),Job_Training[[#Headers],[Solar]:[Wind]],0)),0)</f>
        <v>0</v>
      </c>
      <c r="AM127" s="63">
        <f>IFERROR(INDEX(Job_Training[[Solar]:[Wind]],MATCH(AM$1,Job_Training[[`Typical Entry Level Education`]:[`Typical Entry Level Education`]],0),MATCH(LEFT($D127,5),Job_Training[[#Headers],[Solar]:[Wind]],0)),0)</f>
        <v>0</v>
      </c>
      <c r="AN127" s="63">
        <f>IFERROR(INDEX(Job_Training[[Solar]:[Wind]],MATCH(AN$1,Job_Training[[`Typical Entry Level Education`]:[`Typical Entry Level Education`]],0),MATCH(LEFT($D127,5),Job_Training[[#Headers],[Solar]:[Wind]],0)),0)</f>
        <v>0</v>
      </c>
      <c r="AO127" s="63">
        <f>IFERROR(INDEX(Job_Training[[Solar]:[Wind]],MATCH(AO$1,Job_Training[[`Typical Entry Level Education`]:[`Typical Entry Level Education`]],0),MATCH(LEFT($D127,5),Job_Training[[#Headers],[Solar]:[Wind]],0)),0)</f>
        <v>0</v>
      </c>
      <c r="AP127">
        <f t="shared" si="39"/>
        <v>0</v>
      </c>
      <c r="AQ127" s="63">
        <f>IF(AP127&gt;0,IFERROR(INDEX(Assumptions!$C$165:$D$165,MATCH(LEFT($D127,5),Job_Training[[#Headers],[Solar]:[Wind]],0)),0),0)</f>
        <v>0</v>
      </c>
      <c r="AR127">
        <f>IF(AP127&gt;0,IFERROR(INDEX(Assumptions!$C$166:$D$166,MATCH(LEFT($D127,5),Job_Training[[#Headers],[Solar]:[Wind]],0)),0),0)</f>
        <v>0</v>
      </c>
    </row>
    <row r="128" spans="1:44" x14ac:dyDescent="0.35">
      <c r="A128" t="str">
        <f>UserInput!$B$2</f>
        <v>Current Projects</v>
      </c>
      <c r="B128">
        <v>2025</v>
      </c>
      <c r="C128" t="s">
        <v>41</v>
      </c>
      <c r="D128" t="s">
        <v>86</v>
      </c>
      <c r="E128" s="66">
        <f>INDEX(UserInput!$C$2:$M$22,MATCH(UserMade_Scenario!B128,UserInput!$A$2:$A$22,0),MATCH(LEFT(IF(RIGHT(C128,2)="H2",UserMade_Scenario!C128,D128),3),UserInput!$C$25:$M$25,0))</f>
        <v>0</v>
      </c>
      <c r="F128" t="s">
        <v>81</v>
      </c>
      <c r="G128" s="14">
        <f t="shared" si="45"/>
        <v>0</v>
      </c>
      <c r="H128" s="63">
        <f t="shared" si="30"/>
        <v>0</v>
      </c>
      <c r="I128" s="63">
        <f t="shared" si="31"/>
        <v>0</v>
      </c>
      <c r="J128" s="63">
        <f t="shared" si="32"/>
        <v>0</v>
      </c>
      <c r="K128" s="30">
        <f>IF(OR(LEFT($D128,5)="Solar",$D128="Wind"),INDEX(Land_Use[AVG],MATCH(LEFT($D128,5),Land_Use[Tech],0)),0)*$E128</f>
        <v>0</v>
      </c>
      <c r="L128" s="30">
        <f>IF(OR(LEFT($D128,5)="Solar",$D128="Wind"),INDEX(Land_Use[MIN],MATCH(LEFT($D128,5),Land_Use[Tech],0)),0)*$E128</f>
        <v>0</v>
      </c>
      <c r="M128" s="30">
        <f>IF(OR(LEFT($D128,5)="Solar",$D128="Wind"),INDEX(Land_Use[MAX],MATCH(LEFT($D128,5),Land_Use[Tech],0)),0)*$E128</f>
        <v>0</v>
      </c>
      <c r="N128" s="15">
        <f t="shared" ref="N128:N148" si="46">E128*AG128*1000/1000000</f>
        <v>0</v>
      </c>
      <c r="O128" s="11">
        <f t="shared" ref="O128:O148" si="47">$K128*AH$2</f>
        <v>0</v>
      </c>
      <c r="P128" s="11">
        <f t="shared" ref="P128:P148" si="48">$K128*AI$2</f>
        <v>0</v>
      </c>
      <c r="Q128" s="11">
        <f t="shared" ref="Q128:Q148" si="49">$K128*AJ$2</f>
        <v>0</v>
      </c>
      <c r="R128" s="11">
        <f t="shared" ref="R128:R148" si="50">$K128*AK$2</f>
        <v>0</v>
      </c>
      <c r="S128" s="30">
        <f t="shared" si="33"/>
        <v>0</v>
      </c>
      <c r="T128" s="30">
        <f t="shared" si="34"/>
        <v>0</v>
      </c>
      <c r="U128" s="30">
        <f t="shared" si="35"/>
        <v>0</v>
      </c>
      <c r="V128" s="30">
        <f t="shared" si="36"/>
        <v>0</v>
      </c>
      <c r="W128" s="30">
        <f t="shared" si="37"/>
        <v>0</v>
      </c>
      <c r="X128" s="30">
        <f t="shared" si="38"/>
        <v>0</v>
      </c>
      <c r="Z128" s="23" t="s">
        <v>76</v>
      </c>
      <c r="AA128" s="40">
        <f>IF(C128="Electricity",E128*SUMIFS(Electricity!S:S,Electricity!P:P,UserMade_Scenario!B128,Electricity!M:M,UserMade_Scenario!Z128,Electricity!O:O,UserMade_Scenario!D128),"")</f>
        <v>0</v>
      </c>
      <c r="AB128" s="76">
        <f>1/Assumptions!$B$23/1000000000000</f>
        <v>3.5998225679871703E-9</v>
      </c>
      <c r="AC128" s="67" t="s">
        <v>82</v>
      </c>
      <c r="AD128" s="69">
        <f>INDEX(Table11[AVG
CO2e MT per MWh],MATCH(UserMade_Scenario!$B128,Table11[[Year]:[Year]],0))</f>
        <v>-0.14403038200000001</v>
      </c>
      <c r="AE128" s="69">
        <f>INDEX(Table11[MIN
CO2e MT per MWh],MATCH(UserMade_Scenario!$B128,Table11[[Year]:[Year]],0))</f>
        <v>-0.13205013099999999</v>
      </c>
      <c r="AF128" s="69">
        <f>INDEX(Table11[MAX CO2e MT per MWh],MATCH(UserMade_Scenario!$B128,Table11[[Year]:[Year]],0))</f>
        <v>-0.15601063200000001</v>
      </c>
      <c r="AG128" s="68">
        <f>IFERROR(INDEX(WaterUseH2[Average Direct Water Consumption (Gal/ kg h2)],MATCH(LEFT(D128,3),WaterUseH2[Key],0)),0)</f>
        <v>0</v>
      </c>
      <c r="AH128">
        <v>14</v>
      </c>
      <c r="AI128">
        <v>1.4</v>
      </c>
      <c r="AJ128">
        <v>250</v>
      </c>
      <c r="AK128">
        <v>0.31</v>
      </c>
      <c r="AL128" s="63">
        <f>IFERROR(INDEX(Job_Training[[Solar]:[Wind]],MATCH(AL$1,Job_Training[[`Typical Entry Level Education`]:[`Typical Entry Level Education`]],0),MATCH(LEFT($D128,5),Job_Training[[#Headers],[Solar]:[Wind]],0)),0)</f>
        <v>0</v>
      </c>
      <c r="AM128" s="63">
        <f>IFERROR(INDEX(Job_Training[[Solar]:[Wind]],MATCH(AM$1,Job_Training[[`Typical Entry Level Education`]:[`Typical Entry Level Education`]],0),MATCH(LEFT($D128,5),Job_Training[[#Headers],[Solar]:[Wind]],0)),0)</f>
        <v>0</v>
      </c>
      <c r="AN128" s="63">
        <f>IFERROR(INDEX(Job_Training[[Solar]:[Wind]],MATCH(AN$1,Job_Training[[`Typical Entry Level Education`]:[`Typical Entry Level Education`]],0),MATCH(LEFT($D128,5),Job_Training[[#Headers],[Solar]:[Wind]],0)),0)</f>
        <v>0</v>
      </c>
      <c r="AO128" s="63">
        <f>IFERROR(INDEX(Job_Training[[Solar]:[Wind]],MATCH(AO$1,Job_Training[[`Typical Entry Level Education`]:[`Typical Entry Level Education`]],0),MATCH(LEFT($D128,5),Job_Training[[#Headers],[Solar]:[Wind]],0)),0)</f>
        <v>0</v>
      </c>
      <c r="AP128">
        <f t="shared" si="39"/>
        <v>0</v>
      </c>
      <c r="AQ128" s="63">
        <f>IF(AP128&gt;0,IFERROR(INDEX(Assumptions!$C$165:$D$165,MATCH(LEFT($D128,5),Job_Training[[#Headers],[Solar]:[Wind]],0)),0),0)</f>
        <v>0</v>
      </c>
      <c r="AR128">
        <f>IF(AP128&gt;0,IFERROR(INDEX(Assumptions!$C$166:$D$166,MATCH(LEFT($D128,5),Job_Training[[#Headers],[Solar]:[Wind]],0)),0),0)</f>
        <v>0</v>
      </c>
    </row>
    <row r="129" spans="1:44" x14ac:dyDescent="0.35">
      <c r="A129" t="str">
        <f>UserInput!$B$2</f>
        <v>Current Projects</v>
      </c>
      <c r="B129">
        <v>2026</v>
      </c>
      <c r="C129" t="s">
        <v>41</v>
      </c>
      <c r="D129" t="s">
        <v>86</v>
      </c>
      <c r="E129" s="66">
        <f>INDEX(UserInput!$C$2:$M$22,MATCH(UserMade_Scenario!B129,UserInput!$A$2:$A$22,0),MATCH(LEFT(IF(RIGHT(C129,2)="H2",UserMade_Scenario!C129,D129),3),UserInput!$C$25:$M$25,0))</f>
        <v>0</v>
      </c>
      <c r="F129" t="s">
        <v>81</v>
      </c>
      <c r="G129" s="14">
        <f t="shared" si="45"/>
        <v>0</v>
      </c>
      <c r="H129" s="63">
        <f t="shared" si="30"/>
        <v>0</v>
      </c>
      <c r="I129" s="63">
        <f t="shared" si="31"/>
        <v>0</v>
      </c>
      <c r="J129" s="63">
        <f t="shared" si="32"/>
        <v>0</v>
      </c>
      <c r="K129" s="30">
        <f>IF(OR(LEFT($D129,5)="Solar",$D129="Wind"),INDEX(Land_Use[AVG],MATCH(LEFT($D129,5),Land_Use[Tech],0)),0)*$E129</f>
        <v>0</v>
      </c>
      <c r="L129" s="30">
        <f>IF(OR(LEFT($D129,5)="Solar",$D129="Wind"),INDEX(Land_Use[MIN],MATCH(LEFT($D129,5),Land_Use[Tech],0)),0)*$E129</f>
        <v>0</v>
      </c>
      <c r="M129" s="30">
        <f>IF(OR(LEFT($D129,5)="Solar",$D129="Wind"),INDEX(Land_Use[MAX],MATCH(LEFT($D129,5),Land_Use[Tech],0)),0)*$E129</f>
        <v>0</v>
      </c>
      <c r="N129" s="15">
        <f t="shared" si="46"/>
        <v>0</v>
      </c>
      <c r="O129" s="11">
        <f t="shared" si="47"/>
        <v>0</v>
      </c>
      <c r="P129" s="11">
        <f t="shared" si="48"/>
        <v>0</v>
      </c>
      <c r="Q129" s="11">
        <f t="shared" si="49"/>
        <v>0</v>
      </c>
      <c r="R129" s="11">
        <f t="shared" si="50"/>
        <v>0</v>
      </c>
      <c r="S129" s="30">
        <f t="shared" si="33"/>
        <v>0</v>
      </c>
      <c r="T129" s="30">
        <f t="shared" si="34"/>
        <v>0</v>
      </c>
      <c r="U129" s="30">
        <f t="shared" si="35"/>
        <v>0</v>
      </c>
      <c r="V129" s="30">
        <f t="shared" si="36"/>
        <v>0</v>
      </c>
      <c r="W129" s="30">
        <f t="shared" si="37"/>
        <v>0</v>
      </c>
      <c r="X129" s="30">
        <f t="shared" si="38"/>
        <v>0</v>
      </c>
      <c r="Z129" s="23" t="s">
        <v>76</v>
      </c>
      <c r="AA129" s="40">
        <f>IF(C129="Electricity",E129*SUMIFS(Electricity!S:S,Electricity!P:P,UserMade_Scenario!B129,Electricity!M:M,UserMade_Scenario!Z129,Electricity!O:O,UserMade_Scenario!D129),"")</f>
        <v>0</v>
      </c>
      <c r="AB129" s="76">
        <f>1/Assumptions!$B$23/1000000000000</f>
        <v>3.5998225679871703E-9</v>
      </c>
      <c r="AC129" s="67" t="s">
        <v>82</v>
      </c>
      <c r="AD129" s="69">
        <f>INDEX(Table11[AVG
CO2e MT per MWh],MATCH(UserMade_Scenario!$B129,Table11[[Year]:[Year]],0))</f>
        <v>-0.13980645780000001</v>
      </c>
      <c r="AE129" s="69">
        <f>INDEX(Table11[MIN
CO2e MT per MWh],MATCH(UserMade_Scenario!$B129,Table11[[Year]:[Year]],0))</f>
        <v>-0.12689236385</v>
      </c>
      <c r="AF129" s="69">
        <f>INDEX(Table11[MAX CO2e MT per MWh],MATCH(UserMade_Scenario!$B129,Table11[[Year]:[Year]],0))</f>
        <v>-0.15272055075000002</v>
      </c>
      <c r="AG129" s="68">
        <f>IFERROR(INDEX(WaterUseH2[Average Direct Water Consumption (Gal/ kg h2)],MATCH(LEFT(D129,3),WaterUseH2[Key],0)),0)</f>
        <v>0</v>
      </c>
      <c r="AH129">
        <v>14</v>
      </c>
      <c r="AI129">
        <v>1.4</v>
      </c>
      <c r="AJ129">
        <v>250</v>
      </c>
      <c r="AK129">
        <v>0.31</v>
      </c>
      <c r="AL129" s="63">
        <f>IFERROR(INDEX(Job_Training[[Solar]:[Wind]],MATCH(AL$1,Job_Training[[`Typical Entry Level Education`]:[`Typical Entry Level Education`]],0),MATCH(LEFT($D129,5),Job_Training[[#Headers],[Solar]:[Wind]],0)),0)</f>
        <v>0</v>
      </c>
      <c r="AM129" s="63">
        <f>IFERROR(INDEX(Job_Training[[Solar]:[Wind]],MATCH(AM$1,Job_Training[[`Typical Entry Level Education`]:[`Typical Entry Level Education`]],0),MATCH(LEFT($D129,5),Job_Training[[#Headers],[Solar]:[Wind]],0)),0)</f>
        <v>0</v>
      </c>
      <c r="AN129" s="63">
        <f>IFERROR(INDEX(Job_Training[[Solar]:[Wind]],MATCH(AN$1,Job_Training[[`Typical Entry Level Education`]:[`Typical Entry Level Education`]],0),MATCH(LEFT($D129,5),Job_Training[[#Headers],[Solar]:[Wind]],0)),0)</f>
        <v>0</v>
      </c>
      <c r="AO129" s="63">
        <f>IFERROR(INDEX(Job_Training[[Solar]:[Wind]],MATCH(AO$1,Job_Training[[`Typical Entry Level Education`]:[`Typical Entry Level Education`]],0),MATCH(LEFT($D129,5),Job_Training[[#Headers],[Solar]:[Wind]],0)),0)</f>
        <v>0</v>
      </c>
      <c r="AP129">
        <f t="shared" si="39"/>
        <v>0</v>
      </c>
      <c r="AQ129" s="63">
        <f>IF(AP129&gt;0,IFERROR(INDEX(Assumptions!$C$165:$D$165,MATCH(LEFT($D129,5),Job_Training[[#Headers],[Solar]:[Wind]],0)),0),0)</f>
        <v>0</v>
      </c>
      <c r="AR129">
        <f>IF(AP129&gt;0,IFERROR(INDEX(Assumptions!$C$166:$D$166,MATCH(LEFT($D129,5),Job_Training[[#Headers],[Solar]:[Wind]],0)),0),0)</f>
        <v>0</v>
      </c>
    </row>
    <row r="130" spans="1:44" x14ac:dyDescent="0.35">
      <c r="A130" t="str">
        <f>UserInput!$B$2</f>
        <v>Current Projects</v>
      </c>
      <c r="B130">
        <v>2027</v>
      </c>
      <c r="C130" t="s">
        <v>41</v>
      </c>
      <c r="D130" t="s">
        <v>86</v>
      </c>
      <c r="E130" s="66">
        <f>INDEX(UserInput!$C$2:$M$22,MATCH(UserMade_Scenario!B130,UserInput!$A$2:$A$22,0),MATCH(LEFT(IF(RIGHT(C130,2)="H2",UserMade_Scenario!C130,D130),3),UserInput!$C$25:$M$25,0))</f>
        <v>0</v>
      </c>
      <c r="F130" t="s">
        <v>81</v>
      </c>
      <c r="G130" s="14">
        <f t="shared" si="45"/>
        <v>0</v>
      </c>
      <c r="H130" s="63">
        <f t="shared" si="30"/>
        <v>0</v>
      </c>
      <c r="I130" s="63">
        <f t="shared" si="31"/>
        <v>0</v>
      </c>
      <c r="J130" s="63">
        <f t="shared" si="32"/>
        <v>0</v>
      </c>
      <c r="K130" s="30">
        <f>IF(OR(LEFT($D130,5)="Solar",$D130="Wind"),INDEX(Land_Use[AVG],MATCH(LEFT($D130,5),Land_Use[Tech],0)),0)*$E130</f>
        <v>0</v>
      </c>
      <c r="L130" s="30">
        <f>IF(OR(LEFT($D130,5)="Solar",$D130="Wind"),INDEX(Land_Use[MIN],MATCH(LEFT($D130,5),Land_Use[Tech],0)),0)*$E130</f>
        <v>0</v>
      </c>
      <c r="M130" s="30">
        <f>IF(OR(LEFT($D130,5)="Solar",$D130="Wind"),INDEX(Land_Use[MAX],MATCH(LEFT($D130,5),Land_Use[Tech],0)),0)*$E130</f>
        <v>0</v>
      </c>
      <c r="N130" s="15">
        <f t="shared" si="46"/>
        <v>0</v>
      </c>
      <c r="O130" s="11">
        <f t="shared" si="47"/>
        <v>0</v>
      </c>
      <c r="P130" s="11">
        <f t="shared" si="48"/>
        <v>0</v>
      </c>
      <c r="Q130" s="11">
        <f t="shared" si="49"/>
        <v>0</v>
      </c>
      <c r="R130" s="11">
        <f t="shared" si="50"/>
        <v>0</v>
      </c>
      <c r="S130" s="30">
        <f t="shared" si="33"/>
        <v>0</v>
      </c>
      <c r="T130" s="30">
        <f t="shared" si="34"/>
        <v>0</v>
      </c>
      <c r="U130" s="30">
        <f t="shared" si="35"/>
        <v>0</v>
      </c>
      <c r="V130" s="30">
        <f t="shared" si="36"/>
        <v>0</v>
      </c>
      <c r="W130" s="30">
        <f t="shared" si="37"/>
        <v>0</v>
      </c>
      <c r="X130" s="30">
        <f t="shared" si="38"/>
        <v>0</v>
      </c>
      <c r="Z130" s="23" t="s">
        <v>76</v>
      </c>
      <c r="AA130" s="40">
        <f>IF(C130="Electricity",E130*SUMIFS(Electricity!S:S,Electricity!P:P,UserMade_Scenario!B130,Electricity!M:M,UserMade_Scenario!Z130,Electricity!O:O,UserMade_Scenario!D130),"")</f>
        <v>0</v>
      </c>
      <c r="AB130" s="76">
        <f>1/Assumptions!$B$23/1000000000000</f>
        <v>3.5998225679871703E-9</v>
      </c>
      <c r="AC130" s="67" t="s">
        <v>82</v>
      </c>
      <c r="AD130" s="69">
        <f>INDEX(Table11[AVG
CO2e MT per MWh],MATCH(UserMade_Scenario!$B130,Table11[[Year]:[Year]],0))</f>
        <v>-0.1355825336</v>
      </c>
      <c r="AE130" s="69">
        <f>INDEX(Table11[MIN
CO2e MT per MWh],MATCH(UserMade_Scenario!$B130,Table11[[Year]:[Year]],0))</f>
        <v>-0.1217345967</v>
      </c>
      <c r="AF130" s="69">
        <f>INDEX(Table11[MAX CO2e MT per MWh],MATCH(UserMade_Scenario!$B130,Table11[[Year]:[Year]],0))</f>
        <v>-0.14943046950000002</v>
      </c>
      <c r="AG130" s="68">
        <f>IFERROR(INDEX(WaterUseH2[Average Direct Water Consumption (Gal/ kg h2)],MATCH(LEFT(D130,3),WaterUseH2[Key],0)),0)</f>
        <v>0</v>
      </c>
      <c r="AH130">
        <v>14</v>
      </c>
      <c r="AI130">
        <v>1.4</v>
      </c>
      <c r="AJ130">
        <v>250</v>
      </c>
      <c r="AK130">
        <v>0.31</v>
      </c>
      <c r="AL130" s="63">
        <f>IFERROR(INDEX(Job_Training[[Solar]:[Wind]],MATCH(AL$1,Job_Training[[`Typical Entry Level Education`]:[`Typical Entry Level Education`]],0),MATCH(LEFT($D130,5),Job_Training[[#Headers],[Solar]:[Wind]],0)),0)</f>
        <v>0</v>
      </c>
      <c r="AM130" s="63">
        <f>IFERROR(INDEX(Job_Training[[Solar]:[Wind]],MATCH(AM$1,Job_Training[[`Typical Entry Level Education`]:[`Typical Entry Level Education`]],0),MATCH(LEFT($D130,5),Job_Training[[#Headers],[Solar]:[Wind]],0)),0)</f>
        <v>0</v>
      </c>
      <c r="AN130" s="63">
        <f>IFERROR(INDEX(Job_Training[[Solar]:[Wind]],MATCH(AN$1,Job_Training[[`Typical Entry Level Education`]:[`Typical Entry Level Education`]],0),MATCH(LEFT($D130,5),Job_Training[[#Headers],[Solar]:[Wind]],0)),0)</f>
        <v>0</v>
      </c>
      <c r="AO130" s="63">
        <f>IFERROR(INDEX(Job_Training[[Solar]:[Wind]],MATCH(AO$1,Job_Training[[`Typical Entry Level Education`]:[`Typical Entry Level Education`]],0),MATCH(LEFT($D130,5),Job_Training[[#Headers],[Solar]:[Wind]],0)),0)</f>
        <v>0</v>
      </c>
      <c r="AP130">
        <f t="shared" si="39"/>
        <v>0</v>
      </c>
      <c r="AQ130" s="63">
        <f>IF(AP130&gt;0,IFERROR(INDEX(Assumptions!$C$165:$D$165,MATCH(LEFT($D130,5),Job_Training[[#Headers],[Solar]:[Wind]],0)),0),0)</f>
        <v>0</v>
      </c>
      <c r="AR130">
        <f>IF(AP130&gt;0,IFERROR(INDEX(Assumptions!$C$166:$D$166,MATCH(LEFT($D130,5),Job_Training[[#Headers],[Solar]:[Wind]],0)),0),0)</f>
        <v>0</v>
      </c>
    </row>
    <row r="131" spans="1:44" x14ac:dyDescent="0.35">
      <c r="A131" t="str">
        <f>UserInput!$B$2</f>
        <v>Current Projects</v>
      </c>
      <c r="B131">
        <v>2028</v>
      </c>
      <c r="C131" t="s">
        <v>41</v>
      </c>
      <c r="D131" t="s">
        <v>86</v>
      </c>
      <c r="E131" s="66">
        <f>INDEX(UserInput!$C$2:$M$22,MATCH(UserMade_Scenario!B131,UserInput!$A$2:$A$22,0),MATCH(LEFT(IF(RIGHT(C131,2)="H2",UserMade_Scenario!C131,D131),3),UserInput!$C$25:$M$25,0))</f>
        <v>0</v>
      </c>
      <c r="F131" t="s">
        <v>81</v>
      </c>
      <c r="G131" s="14">
        <f t="shared" si="45"/>
        <v>0</v>
      </c>
      <c r="H131" s="63">
        <f t="shared" ref="H131:H194" si="51">IF($C131="Electricity",$AA131/1000000,$G131)*AD131*-1</f>
        <v>0</v>
      </c>
      <c r="I131" s="63">
        <f t="shared" ref="I131:I194" si="52">IF($C131="Electricity",$AA131/1000000,$G131)*AE131*-1</f>
        <v>0</v>
      </c>
      <c r="J131" s="63">
        <f t="shared" ref="J131:J194" si="53">IF($C131="Electricity",$AA131/1000000,$G131)*AF131*-1</f>
        <v>0</v>
      </c>
      <c r="K131" s="30">
        <f>IF(OR(LEFT($D131,5)="Solar",$D131="Wind"),INDEX(Land_Use[AVG],MATCH(LEFT($D131,5),Land_Use[Tech],0)),0)*$E131</f>
        <v>0</v>
      </c>
      <c r="L131" s="30">
        <f>IF(OR(LEFT($D131,5)="Solar",$D131="Wind"),INDEX(Land_Use[MIN],MATCH(LEFT($D131,5),Land_Use[Tech],0)),0)*$E131</f>
        <v>0</v>
      </c>
      <c r="M131" s="30">
        <f>IF(OR(LEFT($D131,5)="Solar",$D131="Wind"),INDEX(Land_Use[MAX],MATCH(LEFT($D131,5),Land_Use[Tech],0)),0)*$E131</f>
        <v>0</v>
      </c>
      <c r="N131" s="15">
        <f t="shared" si="46"/>
        <v>0</v>
      </c>
      <c r="O131" s="11">
        <f t="shared" si="47"/>
        <v>0</v>
      </c>
      <c r="P131" s="11">
        <f t="shared" si="48"/>
        <v>0</v>
      </c>
      <c r="Q131" s="11">
        <f t="shared" si="49"/>
        <v>0</v>
      </c>
      <c r="R131" s="11">
        <f t="shared" si="50"/>
        <v>0</v>
      </c>
      <c r="S131" s="30">
        <f t="shared" ref="S131:S194" si="54">MAX($AP131*AL131,0)</f>
        <v>0</v>
      </c>
      <c r="T131" s="30">
        <f t="shared" ref="T131:T194" si="55">MAX($AP131*AM131,0)</f>
        <v>0</v>
      </c>
      <c r="U131" s="30">
        <f t="shared" ref="U131:U194" si="56">MAX($AP131*AN131,0)</f>
        <v>0</v>
      </c>
      <c r="V131" s="30">
        <f t="shared" ref="V131:V194" si="57">MAX($AP131*AO131,0)</f>
        <v>0</v>
      </c>
      <c r="W131" s="30">
        <f t="shared" ref="W131:W194" si="58">$AP131*AQ131</f>
        <v>0</v>
      </c>
      <c r="X131" s="30">
        <f t="shared" ref="X131:X194" si="59">$AP131*AR131</f>
        <v>0</v>
      </c>
      <c r="Z131" s="23" t="s">
        <v>76</v>
      </c>
      <c r="AA131" s="40">
        <f>IF(C131="Electricity",E131*SUMIFS(Electricity!S:S,Electricity!P:P,UserMade_Scenario!B131,Electricity!M:M,UserMade_Scenario!Z131,Electricity!O:O,UserMade_Scenario!D131),"")</f>
        <v>0</v>
      </c>
      <c r="AB131" s="76">
        <f>1/Assumptions!$B$23/1000000000000</f>
        <v>3.5998225679871703E-9</v>
      </c>
      <c r="AC131" s="67" t="s">
        <v>82</v>
      </c>
      <c r="AD131" s="69">
        <f>INDEX(Table11[AVG
CO2e MT per MWh],MATCH(UserMade_Scenario!$B131,Table11[[Year]:[Year]],0))</f>
        <v>-0.13135860939999999</v>
      </c>
      <c r="AE131" s="69">
        <f>INDEX(Table11[MIN
CO2e MT per MWh],MATCH(UserMade_Scenario!$B131,Table11[[Year]:[Year]],0))</f>
        <v>-0.11657682955000001</v>
      </c>
      <c r="AF131" s="69">
        <f>INDEX(Table11[MAX CO2e MT per MWh],MATCH(UserMade_Scenario!$B131,Table11[[Year]:[Year]],0))</f>
        <v>-0.14614038825000003</v>
      </c>
      <c r="AG131" s="68">
        <f>IFERROR(INDEX(WaterUseH2[Average Direct Water Consumption (Gal/ kg h2)],MATCH(LEFT(D131,3),WaterUseH2[Key],0)),0)</f>
        <v>0</v>
      </c>
      <c r="AH131">
        <v>14</v>
      </c>
      <c r="AI131">
        <v>1.4</v>
      </c>
      <c r="AJ131">
        <v>250</v>
      </c>
      <c r="AK131">
        <v>0.31</v>
      </c>
      <c r="AL131" s="63">
        <f>IFERROR(INDEX(Job_Training[[Solar]:[Wind]],MATCH(AL$1,Job_Training[[`Typical Entry Level Education`]:[`Typical Entry Level Education`]],0),MATCH(LEFT($D131,5),Job_Training[[#Headers],[Solar]:[Wind]],0)),0)</f>
        <v>0</v>
      </c>
      <c r="AM131" s="63">
        <f>IFERROR(INDEX(Job_Training[[Solar]:[Wind]],MATCH(AM$1,Job_Training[[`Typical Entry Level Education`]:[`Typical Entry Level Education`]],0),MATCH(LEFT($D131,5),Job_Training[[#Headers],[Solar]:[Wind]],0)),0)</f>
        <v>0</v>
      </c>
      <c r="AN131" s="63">
        <f>IFERROR(INDEX(Job_Training[[Solar]:[Wind]],MATCH(AN$1,Job_Training[[`Typical Entry Level Education`]:[`Typical Entry Level Education`]],0),MATCH(LEFT($D131,5),Job_Training[[#Headers],[Solar]:[Wind]],0)),0)</f>
        <v>0</v>
      </c>
      <c r="AO131" s="63">
        <f>IFERROR(INDEX(Job_Training[[Solar]:[Wind]],MATCH(AO$1,Job_Training[[`Typical Entry Level Education`]:[`Typical Entry Level Education`]],0),MATCH(LEFT($D131,5),Job_Training[[#Headers],[Solar]:[Wind]],0)),0)</f>
        <v>0</v>
      </c>
      <c r="AP131">
        <f t="shared" ref="AP131:AP194" si="60">IF(OR($C131="Electricity",$D131="Solar (Off-Grid)"),IF($B131=2025,$E131,$E131-$E130),0)</f>
        <v>0</v>
      </c>
      <c r="AQ131" s="63">
        <f>IF(AP131&gt;0,IFERROR(INDEX(Assumptions!$C$165:$D$165,MATCH(LEFT($D131,5),Job_Training[[#Headers],[Solar]:[Wind]],0)),0),0)</f>
        <v>0</v>
      </c>
      <c r="AR131">
        <f>IF(AP131&gt;0,IFERROR(INDEX(Assumptions!$C$166:$D$166,MATCH(LEFT($D131,5),Job_Training[[#Headers],[Solar]:[Wind]],0)),0),0)</f>
        <v>0</v>
      </c>
    </row>
    <row r="132" spans="1:44" x14ac:dyDescent="0.35">
      <c r="A132" t="str">
        <f>UserInput!$B$2</f>
        <v>Current Projects</v>
      </c>
      <c r="B132">
        <v>2029</v>
      </c>
      <c r="C132" t="s">
        <v>41</v>
      </c>
      <c r="D132" t="s">
        <v>86</v>
      </c>
      <c r="E132" s="66">
        <f>INDEX(UserInput!$C$2:$M$22,MATCH(UserMade_Scenario!B132,UserInput!$A$2:$A$22,0),MATCH(LEFT(IF(RIGHT(C132,2)="H2",UserMade_Scenario!C132,D132),3),UserInput!$C$25:$M$25,0))</f>
        <v>0</v>
      </c>
      <c r="F132" t="s">
        <v>81</v>
      </c>
      <c r="G132" s="14">
        <f t="shared" si="45"/>
        <v>0</v>
      </c>
      <c r="H132" s="63">
        <f t="shared" si="51"/>
        <v>0</v>
      </c>
      <c r="I132" s="63">
        <f t="shared" si="52"/>
        <v>0</v>
      </c>
      <c r="J132" s="63">
        <f t="shared" si="53"/>
        <v>0</v>
      </c>
      <c r="K132" s="30">
        <f>IF(OR(LEFT($D132,5)="Solar",$D132="Wind"),INDEX(Land_Use[AVG],MATCH(LEFT($D132,5),Land_Use[Tech],0)),0)*$E132</f>
        <v>0</v>
      </c>
      <c r="L132" s="30">
        <f>IF(OR(LEFT($D132,5)="Solar",$D132="Wind"),INDEX(Land_Use[MIN],MATCH(LEFT($D132,5),Land_Use[Tech],0)),0)*$E132</f>
        <v>0</v>
      </c>
      <c r="M132" s="30">
        <f>IF(OR(LEFT($D132,5)="Solar",$D132="Wind"),INDEX(Land_Use[MAX],MATCH(LEFT($D132,5),Land_Use[Tech],0)),0)*$E132</f>
        <v>0</v>
      </c>
      <c r="N132" s="15">
        <f t="shared" si="46"/>
        <v>0</v>
      </c>
      <c r="O132" s="11">
        <f t="shared" si="47"/>
        <v>0</v>
      </c>
      <c r="P132" s="11">
        <f t="shared" si="48"/>
        <v>0</v>
      </c>
      <c r="Q132" s="11">
        <f t="shared" si="49"/>
        <v>0</v>
      </c>
      <c r="R132" s="11">
        <f t="shared" si="50"/>
        <v>0</v>
      </c>
      <c r="S132" s="30">
        <f t="shared" si="54"/>
        <v>0</v>
      </c>
      <c r="T132" s="30">
        <f t="shared" si="55"/>
        <v>0</v>
      </c>
      <c r="U132" s="30">
        <f t="shared" si="56"/>
        <v>0</v>
      </c>
      <c r="V132" s="30">
        <f t="shared" si="57"/>
        <v>0</v>
      </c>
      <c r="W132" s="30">
        <f t="shared" si="58"/>
        <v>0</v>
      </c>
      <c r="X132" s="30">
        <f t="shared" si="59"/>
        <v>0</v>
      </c>
      <c r="Z132" s="23" t="s">
        <v>76</v>
      </c>
      <c r="AA132" s="40">
        <f>IF(C132="Electricity",E132*SUMIFS(Electricity!S:S,Electricity!P:P,UserMade_Scenario!B132,Electricity!M:M,UserMade_Scenario!Z132,Electricity!O:O,UserMade_Scenario!D132),"")</f>
        <v>0</v>
      </c>
      <c r="AB132" s="76">
        <f>1/Assumptions!$B$23/1000000000000</f>
        <v>3.5998225679871703E-9</v>
      </c>
      <c r="AC132" s="67" t="s">
        <v>82</v>
      </c>
      <c r="AD132" s="69">
        <f>INDEX(Table11[AVG
CO2e MT per MWh],MATCH(UserMade_Scenario!$B132,Table11[[Year]:[Year]],0))</f>
        <v>-0.12713468519999999</v>
      </c>
      <c r="AE132" s="69">
        <f>INDEX(Table11[MIN
CO2e MT per MWh],MATCH(UserMade_Scenario!$B132,Table11[[Year]:[Year]],0))</f>
        <v>-0.11141906240000002</v>
      </c>
      <c r="AF132" s="69">
        <f>INDEX(Table11[MAX CO2e MT per MWh],MATCH(UserMade_Scenario!$B132,Table11[[Year]:[Year]],0))</f>
        <v>-0.14285030700000004</v>
      </c>
      <c r="AG132" s="68">
        <f>IFERROR(INDEX(WaterUseH2[Average Direct Water Consumption (Gal/ kg h2)],MATCH(LEFT(D132,3),WaterUseH2[Key],0)),0)</f>
        <v>0</v>
      </c>
      <c r="AH132">
        <v>14</v>
      </c>
      <c r="AI132">
        <v>1.4</v>
      </c>
      <c r="AJ132">
        <v>250</v>
      </c>
      <c r="AK132">
        <v>0.31</v>
      </c>
      <c r="AL132" s="63">
        <f>IFERROR(INDEX(Job_Training[[Solar]:[Wind]],MATCH(AL$1,Job_Training[[`Typical Entry Level Education`]:[`Typical Entry Level Education`]],0),MATCH(LEFT($D132,5),Job_Training[[#Headers],[Solar]:[Wind]],0)),0)</f>
        <v>0</v>
      </c>
      <c r="AM132" s="63">
        <f>IFERROR(INDEX(Job_Training[[Solar]:[Wind]],MATCH(AM$1,Job_Training[[`Typical Entry Level Education`]:[`Typical Entry Level Education`]],0),MATCH(LEFT($D132,5),Job_Training[[#Headers],[Solar]:[Wind]],0)),0)</f>
        <v>0</v>
      </c>
      <c r="AN132" s="63">
        <f>IFERROR(INDEX(Job_Training[[Solar]:[Wind]],MATCH(AN$1,Job_Training[[`Typical Entry Level Education`]:[`Typical Entry Level Education`]],0),MATCH(LEFT($D132,5),Job_Training[[#Headers],[Solar]:[Wind]],0)),0)</f>
        <v>0</v>
      </c>
      <c r="AO132" s="63">
        <f>IFERROR(INDEX(Job_Training[[Solar]:[Wind]],MATCH(AO$1,Job_Training[[`Typical Entry Level Education`]:[`Typical Entry Level Education`]],0),MATCH(LEFT($D132,5),Job_Training[[#Headers],[Solar]:[Wind]],0)),0)</f>
        <v>0</v>
      </c>
      <c r="AP132">
        <f t="shared" si="60"/>
        <v>0</v>
      </c>
      <c r="AQ132" s="63">
        <f>IF(AP132&gt;0,IFERROR(INDEX(Assumptions!$C$165:$D$165,MATCH(LEFT($D132,5),Job_Training[[#Headers],[Solar]:[Wind]],0)),0),0)</f>
        <v>0</v>
      </c>
      <c r="AR132">
        <f>IF(AP132&gt;0,IFERROR(INDEX(Assumptions!$C$166:$D$166,MATCH(LEFT($D132,5),Job_Training[[#Headers],[Solar]:[Wind]],0)),0),0)</f>
        <v>0</v>
      </c>
    </row>
    <row r="133" spans="1:44" x14ac:dyDescent="0.35">
      <c r="A133" t="str">
        <f>UserInput!$B$2</f>
        <v>Current Projects</v>
      </c>
      <c r="B133">
        <v>2030</v>
      </c>
      <c r="C133" t="s">
        <v>41</v>
      </c>
      <c r="D133" t="s">
        <v>86</v>
      </c>
      <c r="E133" s="66">
        <f>INDEX(UserInput!$C$2:$M$22,MATCH(UserMade_Scenario!B133,UserInput!$A$2:$A$22,0),MATCH(LEFT(IF(RIGHT(C133,2)="H2",UserMade_Scenario!C133,D133),3),UserInput!$C$25:$M$25,0))</f>
        <v>0</v>
      </c>
      <c r="F133" t="s">
        <v>81</v>
      </c>
      <c r="G133" s="14">
        <f t="shared" si="45"/>
        <v>0</v>
      </c>
      <c r="H133" s="63">
        <f t="shared" si="51"/>
        <v>0</v>
      </c>
      <c r="I133" s="63">
        <f t="shared" si="52"/>
        <v>0</v>
      </c>
      <c r="J133" s="63">
        <f t="shared" si="53"/>
        <v>0</v>
      </c>
      <c r="K133" s="30">
        <f>IF(OR(LEFT($D133,5)="Solar",$D133="Wind"),INDEX(Land_Use[AVG],MATCH(LEFT($D133,5),Land_Use[Tech],0)),0)*$E133</f>
        <v>0</v>
      </c>
      <c r="L133" s="30">
        <f>IF(OR(LEFT($D133,5)="Solar",$D133="Wind"),INDEX(Land_Use[MIN],MATCH(LEFT($D133,5),Land_Use[Tech],0)),0)*$E133</f>
        <v>0</v>
      </c>
      <c r="M133" s="30">
        <f>IF(OR(LEFT($D133,5)="Solar",$D133="Wind"),INDEX(Land_Use[MAX],MATCH(LEFT($D133,5),Land_Use[Tech],0)),0)*$E133</f>
        <v>0</v>
      </c>
      <c r="N133" s="15">
        <f t="shared" si="46"/>
        <v>0</v>
      </c>
      <c r="O133" s="11">
        <f t="shared" si="47"/>
        <v>0</v>
      </c>
      <c r="P133" s="11">
        <f t="shared" si="48"/>
        <v>0</v>
      </c>
      <c r="Q133" s="11">
        <f t="shared" si="49"/>
        <v>0</v>
      </c>
      <c r="R133" s="11">
        <f t="shared" si="50"/>
        <v>0</v>
      </c>
      <c r="S133" s="30">
        <f t="shared" si="54"/>
        <v>0</v>
      </c>
      <c r="T133" s="30">
        <f t="shared" si="55"/>
        <v>0</v>
      </c>
      <c r="U133" s="30">
        <f t="shared" si="56"/>
        <v>0</v>
      </c>
      <c r="V133" s="30">
        <f t="shared" si="57"/>
        <v>0</v>
      </c>
      <c r="W133" s="30">
        <f t="shared" si="58"/>
        <v>0</v>
      </c>
      <c r="X133" s="30">
        <f t="shared" si="59"/>
        <v>0</v>
      </c>
      <c r="Z133" s="23" t="s">
        <v>76</v>
      </c>
      <c r="AA133" s="40">
        <f>IF(C133="Electricity",E133*SUMIFS(Electricity!S:S,Electricity!P:P,UserMade_Scenario!B133,Electricity!M:M,UserMade_Scenario!Z133,Electricity!O:O,UserMade_Scenario!D133),"")</f>
        <v>0</v>
      </c>
      <c r="AB133" s="76">
        <f>1/Assumptions!$B$23/1000000000000</f>
        <v>3.5998225679871703E-9</v>
      </c>
      <c r="AC133" s="67" t="s">
        <v>82</v>
      </c>
      <c r="AD133" s="69">
        <f>INDEX(Table11[AVG
CO2e MT per MWh],MATCH(UserMade_Scenario!$B133,Table11[[Year]:[Year]],0))</f>
        <v>-0.12291076099999998</v>
      </c>
      <c r="AE133" s="69">
        <f>INDEX(Table11[MIN
CO2e MT per MWh],MATCH(UserMade_Scenario!$B133,Table11[[Year]:[Year]],0))</f>
        <v>-0.10626129525000003</v>
      </c>
      <c r="AF133" s="69">
        <f>INDEX(Table11[MAX CO2e MT per MWh],MATCH(UserMade_Scenario!$B133,Table11[[Year]:[Year]],0))</f>
        <v>-0.13956022575000004</v>
      </c>
      <c r="AG133" s="68">
        <f>IFERROR(INDEX(WaterUseH2[Average Direct Water Consumption (Gal/ kg h2)],MATCH(LEFT(D133,3),WaterUseH2[Key],0)),0)</f>
        <v>0</v>
      </c>
      <c r="AH133">
        <v>14</v>
      </c>
      <c r="AI133">
        <v>1.4</v>
      </c>
      <c r="AJ133">
        <v>250</v>
      </c>
      <c r="AK133">
        <v>0.31</v>
      </c>
      <c r="AL133" s="63">
        <f>IFERROR(INDEX(Job_Training[[Solar]:[Wind]],MATCH(AL$1,Job_Training[[`Typical Entry Level Education`]:[`Typical Entry Level Education`]],0),MATCH(LEFT($D133,5),Job_Training[[#Headers],[Solar]:[Wind]],0)),0)</f>
        <v>0</v>
      </c>
      <c r="AM133" s="63">
        <f>IFERROR(INDEX(Job_Training[[Solar]:[Wind]],MATCH(AM$1,Job_Training[[`Typical Entry Level Education`]:[`Typical Entry Level Education`]],0),MATCH(LEFT($D133,5),Job_Training[[#Headers],[Solar]:[Wind]],0)),0)</f>
        <v>0</v>
      </c>
      <c r="AN133" s="63">
        <f>IFERROR(INDEX(Job_Training[[Solar]:[Wind]],MATCH(AN$1,Job_Training[[`Typical Entry Level Education`]:[`Typical Entry Level Education`]],0),MATCH(LEFT($D133,5),Job_Training[[#Headers],[Solar]:[Wind]],0)),0)</f>
        <v>0</v>
      </c>
      <c r="AO133" s="63">
        <f>IFERROR(INDEX(Job_Training[[Solar]:[Wind]],MATCH(AO$1,Job_Training[[`Typical Entry Level Education`]:[`Typical Entry Level Education`]],0),MATCH(LEFT($D133,5),Job_Training[[#Headers],[Solar]:[Wind]],0)),0)</f>
        <v>0</v>
      </c>
      <c r="AP133">
        <f t="shared" si="60"/>
        <v>0</v>
      </c>
      <c r="AQ133" s="63">
        <f>IF(AP133&gt;0,IFERROR(INDEX(Assumptions!$C$165:$D$165,MATCH(LEFT($D133,5),Job_Training[[#Headers],[Solar]:[Wind]],0)),0),0)</f>
        <v>0</v>
      </c>
      <c r="AR133">
        <f>IF(AP133&gt;0,IFERROR(INDEX(Assumptions!$C$166:$D$166,MATCH(LEFT($D133,5),Job_Training[[#Headers],[Solar]:[Wind]],0)),0),0)</f>
        <v>0</v>
      </c>
    </row>
    <row r="134" spans="1:44" x14ac:dyDescent="0.35">
      <c r="A134" t="str">
        <f>UserInput!$B$2</f>
        <v>Current Projects</v>
      </c>
      <c r="B134">
        <v>2031</v>
      </c>
      <c r="C134" t="s">
        <v>41</v>
      </c>
      <c r="D134" t="s">
        <v>86</v>
      </c>
      <c r="E134" s="66">
        <f>INDEX(UserInput!$C$2:$M$22,MATCH(UserMade_Scenario!B134,UserInput!$A$2:$A$22,0),MATCH(LEFT(IF(RIGHT(C134,2)="H2",UserMade_Scenario!C134,D134),3),UserInput!$C$25:$M$25,0))</f>
        <v>0</v>
      </c>
      <c r="F134" t="s">
        <v>81</v>
      </c>
      <c r="G134" s="14">
        <f t="shared" si="45"/>
        <v>0</v>
      </c>
      <c r="H134" s="63">
        <f t="shared" si="51"/>
        <v>0</v>
      </c>
      <c r="I134" s="63">
        <f t="shared" si="52"/>
        <v>0</v>
      </c>
      <c r="J134" s="63">
        <f t="shared" si="53"/>
        <v>0</v>
      </c>
      <c r="K134" s="30">
        <f>IF(OR(LEFT($D134,5)="Solar",$D134="Wind"),INDEX(Land_Use[AVG],MATCH(LEFT($D134,5),Land_Use[Tech],0)),0)*$E134</f>
        <v>0</v>
      </c>
      <c r="L134" s="30">
        <f>IF(OR(LEFT($D134,5)="Solar",$D134="Wind"),INDEX(Land_Use[MIN],MATCH(LEFT($D134,5),Land_Use[Tech],0)),0)*$E134</f>
        <v>0</v>
      </c>
      <c r="M134" s="30">
        <f>IF(OR(LEFT($D134,5)="Solar",$D134="Wind"),INDEX(Land_Use[MAX],MATCH(LEFT($D134,5),Land_Use[Tech],0)),0)*$E134</f>
        <v>0</v>
      </c>
      <c r="N134" s="15">
        <f t="shared" si="46"/>
        <v>0</v>
      </c>
      <c r="O134" s="11">
        <f t="shared" si="47"/>
        <v>0</v>
      </c>
      <c r="P134" s="11">
        <f t="shared" si="48"/>
        <v>0</v>
      </c>
      <c r="Q134" s="11">
        <f t="shared" si="49"/>
        <v>0</v>
      </c>
      <c r="R134" s="11">
        <f t="shared" si="50"/>
        <v>0</v>
      </c>
      <c r="S134" s="30">
        <f t="shared" si="54"/>
        <v>0</v>
      </c>
      <c r="T134" s="30">
        <f t="shared" si="55"/>
        <v>0</v>
      </c>
      <c r="U134" s="30">
        <f t="shared" si="56"/>
        <v>0</v>
      </c>
      <c r="V134" s="30">
        <f t="shared" si="57"/>
        <v>0</v>
      </c>
      <c r="W134" s="30">
        <f t="shared" si="58"/>
        <v>0</v>
      </c>
      <c r="X134" s="30">
        <f t="shared" si="59"/>
        <v>0</v>
      </c>
      <c r="Z134" s="23" t="s">
        <v>76</v>
      </c>
      <c r="AA134" s="40">
        <f>IF(C134="Electricity",E134*SUMIFS(Electricity!S:S,Electricity!P:P,UserMade_Scenario!B134,Electricity!M:M,UserMade_Scenario!Z134,Electricity!O:O,UserMade_Scenario!D134),"")</f>
        <v>0</v>
      </c>
      <c r="AB134" s="76">
        <f>1/Assumptions!$B$23/1000000000000</f>
        <v>3.5998225679871703E-9</v>
      </c>
      <c r="AC134" s="67" t="s">
        <v>82</v>
      </c>
      <c r="AD134" s="69">
        <f>INDEX(Table11[AVG
CO2e MT per MWh],MATCH(UserMade_Scenario!$B134,Table11[[Year]:[Year]],0))</f>
        <v>-0.11868683679999997</v>
      </c>
      <c r="AE134" s="69">
        <f>INDEX(Table11[MIN
CO2e MT per MWh],MATCH(UserMade_Scenario!$B134,Table11[[Year]:[Year]],0))</f>
        <v>-0.10110352810000003</v>
      </c>
      <c r="AF134" s="69">
        <f>INDEX(Table11[MAX CO2e MT per MWh],MATCH(UserMade_Scenario!$B134,Table11[[Year]:[Year]],0))</f>
        <v>-0.13627014450000005</v>
      </c>
      <c r="AG134" s="68">
        <f>IFERROR(INDEX(WaterUseH2[Average Direct Water Consumption (Gal/ kg h2)],MATCH(LEFT(D134,3),WaterUseH2[Key],0)),0)</f>
        <v>0</v>
      </c>
      <c r="AH134">
        <v>14</v>
      </c>
      <c r="AI134">
        <v>1.4</v>
      </c>
      <c r="AJ134">
        <v>250</v>
      </c>
      <c r="AK134">
        <v>0.31</v>
      </c>
      <c r="AL134" s="63">
        <f>IFERROR(INDEX(Job_Training[[Solar]:[Wind]],MATCH(AL$1,Job_Training[[`Typical Entry Level Education`]:[`Typical Entry Level Education`]],0),MATCH(LEFT($D134,5),Job_Training[[#Headers],[Solar]:[Wind]],0)),0)</f>
        <v>0</v>
      </c>
      <c r="AM134" s="63">
        <f>IFERROR(INDEX(Job_Training[[Solar]:[Wind]],MATCH(AM$1,Job_Training[[`Typical Entry Level Education`]:[`Typical Entry Level Education`]],0),MATCH(LEFT($D134,5),Job_Training[[#Headers],[Solar]:[Wind]],0)),0)</f>
        <v>0</v>
      </c>
      <c r="AN134" s="63">
        <f>IFERROR(INDEX(Job_Training[[Solar]:[Wind]],MATCH(AN$1,Job_Training[[`Typical Entry Level Education`]:[`Typical Entry Level Education`]],0),MATCH(LEFT($D134,5),Job_Training[[#Headers],[Solar]:[Wind]],0)),0)</f>
        <v>0</v>
      </c>
      <c r="AO134" s="63">
        <f>IFERROR(INDEX(Job_Training[[Solar]:[Wind]],MATCH(AO$1,Job_Training[[`Typical Entry Level Education`]:[`Typical Entry Level Education`]],0),MATCH(LEFT($D134,5),Job_Training[[#Headers],[Solar]:[Wind]],0)),0)</f>
        <v>0</v>
      </c>
      <c r="AP134">
        <f t="shared" si="60"/>
        <v>0</v>
      </c>
      <c r="AQ134" s="63">
        <f>IF(AP134&gt;0,IFERROR(INDEX(Assumptions!$C$165:$D$165,MATCH(LEFT($D134,5),Job_Training[[#Headers],[Solar]:[Wind]],0)),0),0)</f>
        <v>0</v>
      </c>
      <c r="AR134">
        <f>IF(AP134&gt;0,IFERROR(INDEX(Assumptions!$C$166:$D$166,MATCH(LEFT($D134,5),Job_Training[[#Headers],[Solar]:[Wind]],0)),0),0)</f>
        <v>0</v>
      </c>
    </row>
    <row r="135" spans="1:44" x14ac:dyDescent="0.35">
      <c r="A135" t="str">
        <f>UserInput!$B$2</f>
        <v>Current Projects</v>
      </c>
      <c r="B135">
        <v>2032</v>
      </c>
      <c r="C135" t="s">
        <v>41</v>
      </c>
      <c r="D135" t="s">
        <v>86</v>
      </c>
      <c r="E135" s="66">
        <f>INDEX(UserInput!$C$2:$M$22,MATCH(UserMade_Scenario!B135,UserInput!$A$2:$A$22,0),MATCH(LEFT(IF(RIGHT(C135,2)="H2",UserMade_Scenario!C135,D135),3),UserInput!$C$25:$M$25,0))</f>
        <v>0</v>
      </c>
      <c r="F135" t="s">
        <v>81</v>
      </c>
      <c r="G135" s="14">
        <f t="shared" si="45"/>
        <v>0</v>
      </c>
      <c r="H135" s="63">
        <f t="shared" si="51"/>
        <v>0</v>
      </c>
      <c r="I135" s="63">
        <f t="shared" si="52"/>
        <v>0</v>
      </c>
      <c r="J135" s="63">
        <f t="shared" si="53"/>
        <v>0</v>
      </c>
      <c r="K135" s="30">
        <f>IF(OR(LEFT($D135,5)="Solar",$D135="Wind"),INDEX(Land_Use[AVG],MATCH(LEFT($D135,5),Land_Use[Tech],0)),0)*$E135</f>
        <v>0</v>
      </c>
      <c r="L135" s="30">
        <f>IF(OR(LEFT($D135,5)="Solar",$D135="Wind"),INDEX(Land_Use[MIN],MATCH(LEFT($D135,5),Land_Use[Tech],0)),0)*$E135</f>
        <v>0</v>
      </c>
      <c r="M135" s="30">
        <f>IF(OR(LEFT($D135,5)="Solar",$D135="Wind"),INDEX(Land_Use[MAX],MATCH(LEFT($D135,5),Land_Use[Tech],0)),0)*$E135</f>
        <v>0</v>
      </c>
      <c r="N135" s="15">
        <f t="shared" si="46"/>
        <v>0</v>
      </c>
      <c r="O135" s="11">
        <f t="shared" si="47"/>
        <v>0</v>
      </c>
      <c r="P135" s="11">
        <f t="shared" si="48"/>
        <v>0</v>
      </c>
      <c r="Q135" s="11">
        <f t="shared" si="49"/>
        <v>0</v>
      </c>
      <c r="R135" s="11">
        <f t="shared" si="50"/>
        <v>0</v>
      </c>
      <c r="S135" s="30">
        <f t="shared" si="54"/>
        <v>0</v>
      </c>
      <c r="T135" s="30">
        <f t="shared" si="55"/>
        <v>0</v>
      </c>
      <c r="U135" s="30">
        <f t="shared" si="56"/>
        <v>0</v>
      </c>
      <c r="V135" s="30">
        <f t="shared" si="57"/>
        <v>0</v>
      </c>
      <c r="W135" s="30">
        <f t="shared" si="58"/>
        <v>0</v>
      </c>
      <c r="X135" s="30">
        <f t="shared" si="59"/>
        <v>0</v>
      </c>
      <c r="Z135" s="23" t="s">
        <v>76</v>
      </c>
      <c r="AA135" s="40">
        <f>IF(C135="Electricity",E135*SUMIFS(Electricity!S:S,Electricity!P:P,UserMade_Scenario!B135,Electricity!M:M,UserMade_Scenario!Z135,Electricity!O:O,UserMade_Scenario!D135),"")</f>
        <v>0</v>
      </c>
      <c r="AB135" s="76">
        <f>1/Assumptions!$B$23/1000000000000</f>
        <v>3.5998225679871703E-9</v>
      </c>
      <c r="AC135" s="67" t="s">
        <v>82</v>
      </c>
      <c r="AD135" s="69">
        <f>INDEX(Table11[AVG
CO2e MT per MWh],MATCH(UserMade_Scenario!$B135,Table11[[Year]:[Year]],0))</f>
        <v>-0.11446291259999997</v>
      </c>
      <c r="AE135" s="69">
        <f>INDEX(Table11[MIN
CO2e MT per MWh],MATCH(UserMade_Scenario!$B135,Table11[[Year]:[Year]],0))</f>
        <v>-9.5945760950000042E-2</v>
      </c>
      <c r="AF135" s="69">
        <f>INDEX(Table11[MAX CO2e MT per MWh],MATCH(UserMade_Scenario!$B135,Table11[[Year]:[Year]],0))</f>
        <v>-0.13298006325000006</v>
      </c>
      <c r="AG135" s="68">
        <f>IFERROR(INDEX(WaterUseH2[Average Direct Water Consumption (Gal/ kg h2)],MATCH(LEFT(D135,3),WaterUseH2[Key],0)),0)</f>
        <v>0</v>
      </c>
      <c r="AH135">
        <v>14</v>
      </c>
      <c r="AI135">
        <v>1.4</v>
      </c>
      <c r="AJ135">
        <v>250</v>
      </c>
      <c r="AK135">
        <v>0.31</v>
      </c>
      <c r="AL135" s="63">
        <f>IFERROR(INDEX(Job_Training[[Solar]:[Wind]],MATCH(AL$1,Job_Training[[`Typical Entry Level Education`]:[`Typical Entry Level Education`]],0),MATCH(LEFT($D135,5),Job_Training[[#Headers],[Solar]:[Wind]],0)),0)</f>
        <v>0</v>
      </c>
      <c r="AM135" s="63">
        <f>IFERROR(INDEX(Job_Training[[Solar]:[Wind]],MATCH(AM$1,Job_Training[[`Typical Entry Level Education`]:[`Typical Entry Level Education`]],0),MATCH(LEFT($D135,5),Job_Training[[#Headers],[Solar]:[Wind]],0)),0)</f>
        <v>0</v>
      </c>
      <c r="AN135" s="63">
        <f>IFERROR(INDEX(Job_Training[[Solar]:[Wind]],MATCH(AN$1,Job_Training[[`Typical Entry Level Education`]:[`Typical Entry Level Education`]],0),MATCH(LEFT($D135,5),Job_Training[[#Headers],[Solar]:[Wind]],0)),0)</f>
        <v>0</v>
      </c>
      <c r="AO135" s="63">
        <f>IFERROR(INDEX(Job_Training[[Solar]:[Wind]],MATCH(AO$1,Job_Training[[`Typical Entry Level Education`]:[`Typical Entry Level Education`]],0),MATCH(LEFT($D135,5),Job_Training[[#Headers],[Solar]:[Wind]],0)),0)</f>
        <v>0</v>
      </c>
      <c r="AP135">
        <f t="shared" si="60"/>
        <v>0</v>
      </c>
      <c r="AQ135" s="63">
        <f>IF(AP135&gt;0,IFERROR(INDEX(Assumptions!$C$165:$D$165,MATCH(LEFT($D135,5),Job_Training[[#Headers],[Solar]:[Wind]],0)),0),0)</f>
        <v>0</v>
      </c>
      <c r="AR135">
        <f>IF(AP135&gt;0,IFERROR(INDEX(Assumptions!$C$166:$D$166,MATCH(LEFT($D135,5),Job_Training[[#Headers],[Solar]:[Wind]],0)),0),0)</f>
        <v>0</v>
      </c>
    </row>
    <row r="136" spans="1:44" x14ac:dyDescent="0.35">
      <c r="A136" t="str">
        <f>UserInput!$B$2</f>
        <v>Current Projects</v>
      </c>
      <c r="B136">
        <v>2033</v>
      </c>
      <c r="C136" t="s">
        <v>41</v>
      </c>
      <c r="D136" t="s">
        <v>86</v>
      </c>
      <c r="E136" s="66">
        <f>INDEX(UserInput!$C$2:$M$22,MATCH(UserMade_Scenario!B136,UserInput!$A$2:$A$22,0),MATCH(LEFT(IF(RIGHT(C136,2)="H2",UserMade_Scenario!C136,D136),3),UserInput!$C$25:$M$25,0))</f>
        <v>0</v>
      </c>
      <c r="F136" t="s">
        <v>81</v>
      </c>
      <c r="G136" s="14">
        <f t="shared" si="45"/>
        <v>0</v>
      </c>
      <c r="H136" s="63">
        <f t="shared" si="51"/>
        <v>0</v>
      </c>
      <c r="I136" s="63">
        <f t="shared" si="52"/>
        <v>0</v>
      </c>
      <c r="J136" s="63">
        <f t="shared" si="53"/>
        <v>0</v>
      </c>
      <c r="K136" s="30">
        <f>IF(OR(LEFT($D136,5)="Solar",$D136="Wind"),INDEX(Land_Use[AVG],MATCH(LEFT($D136,5),Land_Use[Tech],0)),0)*$E136</f>
        <v>0</v>
      </c>
      <c r="L136" s="30">
        <f>IF(OR(LEFT($D136,5)="Solar",$D136="Wind"),INDEX(Land_Use[MIN],MATCH(LEFT($D136,5),Land_Use[Tech],0)),0)*$E136</f>
        <v>0</v>
      </c>
      <c r="M136" s="30">
        <f>IF(OR(LEFT($D136,5)="Solar",$D136="Wind"),INDEX(Land_Use[MAX],MATCH(LEFT($D136,5),Land_Use[Tech],0)),0)*$E136</f>
        <v>0</v>
      </c>
      <c r="N136" s="15">
        <f t="shared" si="46"/>
        <v>0</v>
      </c>
      <c r="O136" s="11">
        <f t="shared" si="47"/>
        <v>0</v>
      </c>
      <c r="P136" s="11">
        <f t="shared" si="48"/>
        <v>0</v>
      </c>
      <c r="Q136" s="11">
        <f t="shared" si="49"/>
        <v>0</v>
      </c>
      <c r="R136" s="11">
        <f t="shared" si="50"/>
        <v>0</v>
      </c>
      <c r="S136" s="30">
        <f t="shared" si="54"/>
        <v>0</v>
      </c>
      <c r="T136" s="30">
        <f t="shared" si="55"/>
        <v>0</v>
      </c>
      <c r="U136" s="30">
        <f t="shared" si="56"/>
        <v>0</v>
      </c>
      <c r="V136" s="30">
        <f t="shared" si="57"/>
        <v>0</v>
      </c>
      <c r="W136" s="30">
        <f t="shared" si="58"/>
        <v>0</v>
      </c>
      <c r="X136" s="30">
        <f t="shared" si="59"/>
        <v>0</v>
      </c>
      <c r="Z136" s="23" t="s">
        <v>76</v>
      </c>
      <c r="AA136" s="40">
        <f>IF(C136="Electricity",E136*SUMIFS(Electricity!S:S,Electricity!P:P,UserMade_Scenario!B136,Electricity!M:M,UserMade_Scenario!Z136,Electricity!O:O,UserMade_Scenario!D136),"")</f>
        <v>0</v>
      </c>
      <c r="AB136" s="76">
        <f>1/Assumptions!$B$23/1000000000000</f>
        <v>3.5998225679871703E-9</v>
      </c>
      <c r="AC136" s="67" t="s">
        <v>82</v>
      </c>
      <c r="AD136" s="69">
        <f>INDEX(Table11[AVG
CO2e MT per MWh],MATCH(UserMade_Scenario!$B136,Table11[[Year]:[Year]],0))</f>
        <v>-0.11023898839999996</v>
      </c>
      <c r="AE136" s="69">
        <f>INDEX(Table11[MIN
CO2e MT per MWh],MATCH(UserMade_Scenario!$B136,Table11[[Year]:[Year]],0))</f>
        <v>-9.078799380000005E-2</v>
      </c>
      <c r="AF136" s="69">
        <f>INDEX(Table11[MAX CO2e MT per MWh],MATCH(UserMade_Scenario!$B136,Table11[[Year]:[Year]],0))</f>
        <v>-0.12968998200000006</v>
      </c>
      <c r="AG136" s="68">
        <f>IFERROR(INDEX(WaterUseH2[Average Direct Water Consumption (Gal/ kg h2)],MATCH(LEFT(D136,3),WaterUseH2[Key],0)),0)</f>
        <v>0</v>
      </c>
      <c r="AH136">
        <v>14</v>
      </c>
      <c r="AI136">
        <v>1.4</v>
      </c>
      <c r="AJ136">
        <v>250</v>
      </c>
      <c r="AK136">
        <v>0.31</v>
      </c>
      <c r="AL136" s="63">
        <f>IFERROR(INDEX(Job_Training[[Solar]:[Wind]],MATCH(AL$1,Job_Training[[`Typical Entry Level Education`]:[`Typical Entry Level Education`]],0),MATCH(LEFT($D136,5),Job_Training[[#Headers],[Solar]:[Wind]],0)),0)</f>
        <v>0</v>
      </c>
      <c r="AM136" s="63">
        <f>IFERROR(INDEX(Job_Training[[Solar]:[Wind]],MATCH(AM$1,Job_Training[[`Typical Entry Level Education`]:[`Typical Entry Level Education`]],0),MATCH(LEFT($D136,5),Job_Training[[#Headers],[Solar]:[Wind]],0)),0)</f>
        <v>0</v>
      </c>
      <c r="AN136" s="63">
        <f>IFERROR(INDEX(Job_Training[[Solar]:[Wind]],MATCH(AN$1,Job_Training[[`Typical Entry Level Education`]:[`Typical Entry Level Education`]],0),MATCH(LEFT($D136,5),Job_Training[[#Headers],[Solar]:[Wind]],0)),0)</f>
        <v>0</v>
      </c>
      <c r="AO136" s="63">
        <f>IFERROR(INDEX(Job_Training[[Solar]:[Wind]],MATCH(AO$1,Job_Training[[`Typical Entry Level Education`]:[`Typical Entry Level Education`]],0),MATCH(LEFT($D136,5),Job_Training[[#Headers],[Solar]:[Wind]],0)),0)</f>
        <v>0</v>
      </c>
      <c r="AP136">
        <f t="shared" si="60"/>
        <v>0</v>
      </c>
      <c r="AQ136" s="63">
        <f>IF(AP136&gt;0,IFERROR(INDEX(Assumptions!$C$165:$D$165,MATCH(LEFT($D136,5),Job_Training[[#Headers],[Solar]:[Wind]],0)),0),0)</f>
        <v>0</v>
      </c>
      <c r="AR136">
        <f>IF(AP136&gt;0,IFERROR(INDEX(Assumptions!$C$166:$D$166,MATCH(LEFT($D136,5),Job_Training[[#Headers],[Solar]:[Wind]],0)),0),0)</f>
        <v>0</v>
      </c>
    </row>
    <row r="137" spans="1:44" x14ac:dyDescent="0.35">
      <c r="A137" t="str">
        <f>UserInput!$B$2</f>
        <v>Current Projects</v>
      </c>
      <c r="B137">
        <v>2034</v>
      </c>
      <c r="C137" t="s">
        <v>41</v>
      </c>
      <c r="D137" t="s">
        <v>86</v>
      </c>
      <c r="E137" s="66">
        <f>INDEX(UserInput!$C$2:$M$22,MATCH(UserMade_Scenario!B137,UserInput!$A$2:$A$22,0),MATCH(LEFT(IF(RIGHT(C137,2)="H2",UserMade_Scenario!C137,D137),3),UserInput!$C$25:$M$25,0))</f>
        <v>1000</v>
      </c>
      <c r="F137" t="s">
        <v>81</v>
      </c>
      <c r="G137" s="14">
        <f t="shared" si="45"/>
        <v>6.8954153824011474E-3</v>
      </c>
      <c r="H137" s="63">
        <f t="shared" si="51"/>
        <v>0.20307053768477021</v>
      </c>
      <c r="I137" s="63">
        <f t="shared" si="52"/>
        <v>0.16402363474571435</v>
      </c>
      <c r="J137" s="63">
        <f t="shared" si="53"/>
        <v>0.24211743870833891</v>
      </c>
      <c r="K137" s="30">
        <f>IF(OR(LEFT($D137,5)="Solar",$D137="Wind"),INDEX(Land_Use[AVG],MATCH(LEFT($D137,5),Land_Use[Tech],0)),0)*$E137</f>
        <v>0</v>
      </c>
      <c r="L137" s="30">
        <f>IF(OR(LEFT($D137,5)="Solar",$D137="Wind"),INDEX(Land_Use[MIN],MATCH(LEFT($D137,5),Land_Use[Tech],0)),0)*$E137</f>
        <v>0</v>
      </c>
      <c r="M137" s="30">
        <f>IF(OR(LEFT($D137,5)="Solar",$D137="Wind"),INDEX(Land_Use[MAX],MATCH(LEFT($D137,5),Land_Use[Tech],0)),0)*$E137</f>
        <v>0</v>
      </c>
      <c r="N137" s="15">
        <f t="shared" si="46"/>
        <v>0</v>
      </c>
      <c r="O137" s="11">
        <f t="shared" si="47"/>
        <v>0</v>
      </c>
      <c r="P137" s="11">
        <f t="shared" si="48"/>
        <v>0</v>
      </c>
      <c r="Q137" s="11">
        <f t="shared" si="49"/>
        <v>0</v>
      </c>
      <c r="R137" s="11">
        <f t="shared" si="50"/>
        <v>0</v>
      </c>
      <c r="S137" s="30">
        <f t="shared" si="54"/>
        <v>0</v>
      </c>
      <c r="T137" s="30">
        <f t="shared" si="55"/>
        <v>0</v>
      </c>
      <c r="U137" s="30">
        <f t="shared" si="56"/>
        <v>0</v>
      </c>
      <c r="V137" s="30">
        <f t="shared" si="57"/>
        <v>0</v>
      </c>
      <c r="W137" s="30">
        <f t="shared" si="58"/>
        <v>0</v>
      </c>
      <c r="X137" s="30">
        <f t="shared" si="59"/>
        <v>0</v>
      </c>
      <c r="Z137" s="23" t="s">
        <v>76</v>
      </c>
      <c r="AA137" s="40">
        <f>IF(C137="Electricity",E137*SUMIFS(Electricity!S:S,Electricity!P:P,UserMade_Scenario!B137,Electricity!M:M,UserMade_Scenario!Z137,Electricity!O:O,UserMade_Scenario!D137),"")</f>
        <v>1915487.569782279</v>
      </c>
      <c r="AB137" s="76">
        <f>1/Assumptions!$B$23/1000000000000</f>
        <v>3.5998225679871703E-9</v>
      </c>
      <c r="AC137" s="67" t="s">
        <v>82</v>
      </c>
      <c r="AD137" s="69">
        <f>INDEX(Table11[AVG
CO2e MT per MWh],MATCH(UserMade_Scenario!$B137,Table11[[Year]:[Year]],0))</f>
        <v>-0.10601506419999995</v>
      </c>
      <c r="AE137" s="69">
        <f>INDEX(Table11[MIN
CO2e MT per MWh],MATCH(UserMade_Scenario!$B137,Table11[[Year]:[Year]],0))</f>
        <v>-8.5630226650000058E-2</v>
      </c>
      <c r="AF137" s="69">
        <f>INDEX(Table11[MAX CO2e MT per MWh],MATCH(UserMade_Scenario!$B137,Table11[[Year]:[Year]],0))</f>
        <v>-0.12639990075000007</v>
      </c>
      <c r="AG137" s="68">
        <f>IFERROR(INDEX(WaterUseH2[Average Direct Water Consumption (Gal/ kg h2)],MATCH(LEFT(D137,3),WaterUseH2[Key],0)),0)</f>
        <v>0</v>
      </c>
      <c r="AH137">
        <v>14</v>
      </c>
      <c r="AI137">
        <v>1.4</v>
      </c>
      <c r="AJ137">
        <v>250</v>
      </c>
      <c r="AK137">
        <v>0.31</v>
      </c>
      <c r="AL137" s="63">
        <f>IFERROR(INDEX(Job_Training[[Solar]:[Wind]],MATCH(AL$1,Job_Training[[`Typical Entry Level Education`]:[`Typical Entry Level Education`]],0),MATCH(LEFT($D137,5),Job_Training[[#Headers],[Solar]:[Wind]],0)),0)</f>
        <v>0</v>
      </c>
      <c r="AM137" s="63">
        <f>IFERROR(INDEX(Job_Training[[Solar]:[Wind]],MATCH(AM$1,Job_Training[[`Typical Entry Level Education`]:[`Typical Entry Level Education`]],0),MATCH(LEFT($D137,5),Job_Training[[#Headers],[Solar]:[Wind]],0)),0)</f>
        <v>0</v>
      </c>
      <c r="AN137" s="63">
        <f>IFERROR(INDEX(Job_Training[[Solar]:[Wind]],MATCH(AN$1,Job_Training[[`Typical Entry Level Education`]:[`Typical Entry Level Education`]],0),MATCH(LEFT($D137,5),Job_Training[[#Headers],[Solar]:[Wind]],0)),0)</f>
        <v>0</v>
      </c>
      <c r="AO137" s="63">
        <f>IFERROR(INDEX(Job_Training[[Solar]:[Wind]],MATCH(AO$1,Job_Training[[`Typical Entry Level Education`]:[`Typical Entry Level Education`]],0),MATCH(LEFT($D137,5),Job_Training[[#Headers],[Solar]:[Wind]],0)),0)</f>
        <v>0</v>
      </c>
      <c r="AP137">
        <f t="shared" si="60"/>
        <v>1000</v>
      </c>
      <c r="AQ137" s="63">
        <f>IF(AP137&gt;0,IFERROR(INDEX(Assumptions!$C$165:$D$165,MATCH(LEFT($D137,5),Job_Training[[#Headers],[Solar]:[Wind]],0)),0),0)</f>
        <v>0</v>
      </c>
      <c r="AR137">
        <f>IF(AP137&gt;0,IFERROR(INDEX(Assumptions!$C$166:$D$166,MATCH(LEFT($D137,5),Job_Training[[#Headers],[Solar]:[Wind]],0)),0),0)</f>
        <v>0</v>
      </c>
    </row>
    <row r="138" spans="1:44" x14ac:dyDescent="0.35">
      <c r="A138" t="str">
        <f>UserInput!$B$2</f>
        <v>Current Projects</v>
      </c>
      <c r="B138">
        <v>2035</v>
      </c>
      <c r="C138" t="s">
        <v>41</v>
      </c>
      <c r="D138" t="s">
        <v>86</v>
      </c>
      <c r="E138" s="66">
        <f>INDEX(UserInput!$C$2:$M$22,MATCH(UserMade_Scenario!B138,UserInput!$A$2:$A$22,0),MATCH(LEFT(IF(RIGHT(C138,2)="H2",UserMade_Scenario!C138,D138),3),UserInput!$C$25:$M$25,0))</f>
        <v>1000</v>
      </c>
      <c r="F138" t="s">
        <v>81</v>
      </c>
      <c r="G138" s="14">
        <f t="shared" si="45"/>
        <v>6.9932771284677451E-3</v>
      </c>
      <c r="H138" s="63">
        <f t="shared" si="51"/>
        <v>0.19774687163003388</v>
      </c>
      <c r="I138" s="63">
        <f t="shared" si="52"/>
        <v>0.15633165242573785</v>
      </c>
      <c r="J138" s="63">
        <f t="shared" si="53"/>
        <v>0.23916208889165763</v>
      </c>
      <c r="K138" s="30">
        <f>IF(OR(LEFT($D138,5)="Solar",$D138="Wind"),INDEX(Land_Use[AVG],MATCH(LEFT($D138,5),Land_Use[Tech],0)),0)*$E138</f>
        <v>0</v>
      </c>
      <c r="L138" s="30">
        <f>IF(OR(LEFT($D138,5)="Solar",$D138="Wind"),INDEX(Land_Use[MIN],MATCH(LEFT($D138,5),Land_Use[Tech],0)),0)*$E138</f>
        <v>0</v>
      </c>
      <c r="M138" s="30">
        <f>IF(OR(LEFT($D138,5)="Solar",$D138="Wind"),INDEX(Land_Use[MAX],MATCH(LEFT($D138,5),Land_Use[Tech],0)),0)*$E138</f>
        <v>0</v>
      </c>
      <c r="N138" s="15">
        <f t="shared" si="46"/>
        <v>0</v>
      </c>
      <c r="O138" s="11">
        <f t="shared" si="47"/>
        <v>0</v>
      </c>
      <c r="P138" s="11">
        <f t="shared" si="48"/>
        <v>0</v>
      </c>
      <c r="Q138" s="11">
        <f t="shared" si="49"/>
        <v>0</v>
      </c>
      <c r="R138" s="11">
        <f t="shared" si="50"/>
        <v>0</v>
      </c>
      <c r="S138" s="30">
        <f t="shared" si="54"/>
        <v>0</v>
      </c>
      <c r="T138" s="30">
        <f t="shared" si="55"/>
        <v>0</v>
      </c>
      <c r="U138" s="30">
        <f t="shared" si="56"/>
        <v>0</v>
      </c>
      <c r="V138" s="30">
        <f t="shared" si="57"/>
        <v>0</v>
      </c>
      <c r="W138" s="30">
        <f t="shared" si="58"/>
        <v>0</v>
      </c>
      <c r="X138" s="30">
        <f t="shared" si="59"/>
        <v>0</v>
      </c>
      <c r="Z138" s="23" t="s">
        <v>76</v>
      </c>
      <c r="AA138" s="40">
        <f>IF(C138="Electricity",E138*SUMIFS(Electricity!S:S,Electricity!P:P,UserMade_Scenario!B138,Electricity!M:M,UserMade_Scenario!Z138,Electricity!O:O,UserMade_Scenario!D138),"")</f>
        <v>1942672.7280000399</v>
      </c>
      <c r="AB138" s="76">
        <f>1/Assumptions!$B$23/1000000000000</f>
        <v>3.5998225679871703E-9</v>
      </c>
      <c r="AC138" s="67" t="s">
        <v>82</v>
      </c>
      <c r="AD138" s="69">
        <f>INDEX(Table11[AVG
CO2e MT per MWh],MATCH(UserMade_Scenario!$B138,Table11[[Year]:[Year]],0))</f>
        <v>-0.10179113999999995</v>
      </c>
      <c r="AE138" s="69">
        <f>INDEX(Table11[MIN
CO2e MT per MWh],MATCH(UserMade_Scenario!$B138,Table11[[Year]:[Year]],0))</f>
        <v>-8.0472459500000065E-2</v>
      </c>
      <c r="AF138" s="69">
        <f>INDEX(Table11[MAX CO2e MT per MWh],MATCH(UserMade_Scenario!$B138,Table11[[Year]:[Year]],0))</f>
        <v>-0.12310981950000006</v>
      </c>
      <c r="AG138" s="68">
        <f>IFERROR(INDEX(WaterUseH2[Average Direct Water Consumption (Gal/ kg h2)],MATCH(LEFT(D138,3),WaterUseH2[Key],0)),0)</f>
        <v>0</v>
      </c>
      <c r="AH138">
        <v>14</v>
      </c>
      <c r="AI138">
        <v>1.4</v>
      </c>
      <c r="AJ138">
        <v>250</v>
      </c>
      <c r="AK138">
        <v>0.31</v>
      </c>
      <c r="AL138" s="63">
        <f>IFERROR(INDEX(Job_Training[[Solar]:[Wind]],MATCH(AL$1,Job_Training[[`Typical Entry Level Education`]:[`Typical Entry Level Education`]],0),MATCH(LEFT($D138,5),Job_Training[[#Headers],[Solar]:[Wind]],0)),0)</f>
        <v>0</v>
      </c>
      <c r="AM138" s="63">
        <f>IFERROR(INDEX(Job_Training[[Solar]:[Wind]],MATCH(AM$1,Job_Training[[`Typical Entry Level Education`]:[`Typical Entry Level Education`]],0),MATCH(LEFT($D138,5),Job_Training[[#Headers],[Solar]:[Wind]],0)),0)</f>
        <v>0</v>
      </c>
      <c r="AN138" s="63">
        <f>IFERROR(INDEX(Job_Training[[Solar]:[Wind]],MATCH(AN$1,Job_Training[[`Typical Entry Level Education`]:[`Typical Entry Level Education`]],0),MATCH(LEFT($D138,5),Job_Training[[#Headers],[Solar]:[Wind]],0)),0)</f>
        <v>0</v>
      </c>
      <c r="AO138" s="63">
        <f>IFERROR(INDEX(Job_Training[[Solar]:[Wind]],MATCH(AO$1,Job_Training[[`Typical Entry Level Education`]:[`Typical Entry Level Education`]],0),MATCH(LEFT($D138,5),Job_Training[[#Headers],[Solar]:[Wind]],0)),0)</f>
        <v>0</v>
      </c>
      <c r="AP138">
        <f t="shared" si="60"/>
        <v>0</v>
      </c>
      <c r="AQ138" s="63">
        <f>IF(AP138&gt;0,IFERROR(INDEX(Assumptions!$C$165:$D$165,MATCH(LEFT($D138,5),Job_Training[[#Headers],[Solar]:[Wind]],0)),0),0)</f>
        <v>0</v>
      </c>
      <c r="AR138">
        <f>IF(AP138&gt;0,IFERROR(INDEX(Assumptions!$C$166:$D$166,MATCH(LEFT($D138,5),Job_Training[[#Headers],[Solar]:[Wind]],0)),0),0)</f>
        <v>0</v>
      </c>
    </row>
    <row r="139" spans="1:44" x14ac:dyDescent="0.35">
      <c r="A139" t="str">
        <f>UserInput!$B$2</f>
        <v>Current Projects</v>
      </c>
      <c r="B139">
        <v>2036</v>
      </c>
      <c r="C139" t="s">
        <v>41</v>
      </c>
      <c r="D139" t="s">
        <v>86</v>
      </c>
      <c r="E139" s="66">
        <f>INDEX(UserInput!$C$2:$M$22,MATCH(UserMade_Scenario!B139,UserInput!$A$2:$A$22,0),MATCH(LEFT(IF(RIGHT(C139,2)="H2",UserMade_Scenario!C139,D139),3),UserInput!$C$25:$M$25,0))</f>
        <v>1000</v>
      </c>
      <c r="F139" t="s">
        <v>81</v>
      </c>
      <c r="G139" s="14">
        <f t="shared" si="45"/>
        <v>7.0911388745343437E-3</v>
      </c>
      <c r="H139" s="63">
        <f t="shared" si="51"/>
        <v>0.19219354947994394</v>
      </c>
      <c r="I139" s="63">
        <f t="shared" si="52"/>
        <v>0.14835924067371514</v>
      </c>
      <c r="J139" s="63">
        <f t="shared" si="53"/>
        <v>0.23602785631631532</v>
      </c>
      <c r="K139" s="30">
        <f>IF(OR(LEFT($D139,5)="Solar",$D139="Wind"),INDEX(Land_Use[AVG],MATCH(LEFT($D139,5),Land_Use[Tech],0)),0)*$E139</f>
        <v>0</v>
      </c>
      <c r="L139" s="30">
        <f>IF(OR(LEFT($D139,5)="Solar",$D139="Wind"),INDEX(Land_Use[MIN],MATCH(LEFT($D139,5),Land_Use[Tech],0)),0)*$E139</f>
        <v>0</v>
      </c>
      <c r="M139" s="30">
        <f>IF(OR(LEFT($D139,5)="Solar",$D139="Wind"),INDEX(Land_Use[MAX],MATCH(LEFT($D139,5),Land_Use[Tech],0)),0)*$E139</f>
        <v>0</v>
      </c>
      <c r="N139" s="15">
        <f t="shared" si="46"/>
        <v>0</v>
      </c>
      <c r="O139" s="11">
        <f t="shared" si="47"/>
        <v>0</v>
      </c>
      <c r="P139" s="11">
        <f t="shared" si="48"/>
        <v>0</v>
      </c>
      <c r="Q139" s="11">
        <f t="shared" si="49"/>
        <v>0</v>
      </c>
      <c r="R139" s="11">
        <f t="shared" si="50"/>
        <v>0</v>
      </c>
      <c r="S139" s="30">
        <f t="shared" si="54"/>
        <v>0</v>
      </c>
      <c r="T139" s="30">
        <f t="shared" si="55"/>
        <v>0</v>
      </c>
      <c r="U139" s="30">
        <f t="shared" si="56"/>
        <v>0</v>
      </c>
      <c r="V139" s="30">
        <f t="shared" si="57"/>
        <v>0</v>
      </c>
      <c r="W139" s="30">
        <f t="shared" si="58"/>
        <v>0</v>
      </c>
      <c r="X139" s="30">
        <f t="shared" si="59"/>
        <v>0</v>
      </c>
      <c r="Z139" s="23" t="s">
        <v>76</v>
      </c>
      <c r="AA139" s="40">
        <f>IF(C139="Electricity",E139*SUMIFS(Electricity!S:S,Electricity!P:P,UserMade_Scenario!B139,Electricity!M:M,UserMade_Scenario!Z139,Electricity!O:O,UserMade_Scenario!D139),"")</f>
        <v>1969857.8862178011</v>
      </c>
      <c r="AB139" s="76">
        <f>1/Assumptions!$B$23/1000000000000</f>
        <v>3.5998225679871703E-9</v>
      </c>
      <c r="AC139" s="67" t="s">
        <v>82</v>
      </c>
      <c r="AD139" s="69">
        <f>INDEX(Table11[AVG
CO2e MT per MWh],MATCH(UserMade_Scenario!$B139,Table11[[Year]:[Year]],0))</f>
        <v>-9.756721579999994E-2</v>
      </c>
      <c r="AE139" s="69">
        <f>INDEX(Table11[MIN
CO2e MT per MWh],MATCH(UserMade_Scenario!$B139,Table11[[Year]:[Year]],0))</f>
        <v>-7.5314692350000073E-2</v>
      </c>
      <c r="AF139" s="69">
        <f>INDEX(Table11[MAX CO2e MT per MWh],MATCH(UserMade_Scenario!$B139,Table11[[Year]:[Year]],0))</f>
        <v>-0.11981973825000006</v>
      </c>
      <c r="AG139" s="68">
        <f>IFERROR(INDEX(WaterUseH2[Average Direct Water Consumption (Gal/ kg h2)],MATCH(LEFT(D139,3),WaterUseH2[Key],0)),0)</f>
        <v>0</v>
      </c>
      <c r="AH139">
        <v>14</v>
      </c>
      <c r="AI139">
        <v>1.4</v>
      </c>
      <c r="AJ139">
        <v>250</v>
      </c>
      <c r="AK139">
        <v>0.31</v>
      </c>
      <c r="AL139" s="63">
        <f>IFERROR(INDEX(Job_Training[[Solar]:[Wind]],MATCH(AL$1,Job_Training[[`Typical Entry Level Education`]:[`Typical Entry Level Education`]],0),MATCH(LEFT($D139,5),Job_Training[[#Headers],[Solar]:[Wind]],0)),0)</f>
        <v>0</v>
      </c>
      <c r="AM139" s="63">
        <f>IFERROR(INDEX(Job_Training[[Solar]:[Wind]],MATCH(AM$1,Job_Training[[`Typical Entry Level Education`]:[`Typical Entry Level Education`]],0),MATCH(LEFT($D139,5),Job_Training[[#Headers],[Solar]:[Wind]],0)),0)</f>
        <v>0</v>
      </c>
      <c r="AN139" s="63">
        <f>IFERROR(INDEX(Job_Training[[Solar]:[Wind]],MATCH(AN$1,Job_Training[[`Typical Entry Level Education`]:[`Typical Entry Level Education`]],0),MATCH(LEFT($D139,5),Job_Training[[#Headers],[Solar]:[Wind]],0)),0)</f>
        <v>0</v>
      </c>
      <c r="AO139" s="63">
        <f>IFERROR(INDEX(Job_Training[[Solar]:[Wind]],MATCH(AO$1,Job_Training[[`Typical Entry Level Education`]:[`Typical Entry Level Education`]],0),MATCH(LEFT($D139,5),Job_Training[[#Headers],[Solar]:[Wind]],0)),0)</f>
        <v>0</v>
      </c>
      <c r="AP139">
        <f t="shared" si="60"/>
        <v>0</v>
      </c>
      <c r="AQ139" s="63">
        <f>IF(AP139&gt;0,IFERROR(INDEX(Assumptions!$C$165:$D$165,MATCH(LEFT($D139,5),Job_Training[[#Headers],[Solar]:[Wind]],0)),0),0)</f>
        <v>0</v>
      </c>
      <c r="AR139">
        <f>IF(AP139&gt;0,IFERROR(INDEX(Assumptions!$C$166:$D$166,MATCH(LEFT($D139,5),Job_Training[[#Headers],[Solar]:[Wind]],0)),0),0)</f>
        <v>0</v>
      </c>
    </row>
    <row r="140" spans="1:44" x14ac:dyDescent="0.35">
      <c r="A140" t="str">
        <f>UserInput!$B$2</f>
        <v>Current Projects</v>
      </c>
      <c r="B140">
        <v>2037</v>
      </c>
      <c r="C140" t="s">
        <v>41</v>
      </c>
      <c r="D140" t="s">
        <v>86</v>
      </c>
      <c r="E140" s="66">
        <f>INDEX(UserInput!$C$2:$M$22,MATCH(UserMade_Scenario!B140,UserInput!$A$2:$A$22,0),MATCH(LEFT(IF(RIGHT(C140,2)="H2",UserMade_Scenario!C140,D140),3),UserInput!$C$25:$M$25,0))</f>
        <v>1000</v>
      </c>
      <c r="F140" t="s">
        <v>81</v>
      </c>
      <c r="G140" s="14">
        <f t="shared" si="45"/>
        <v>7.1890006206009414E-3</v>
      </c>
      <c r="H140" s="63">
        <f t="shared" si="51"/>
        <v>0.18641057123450028</v>
      </c>
      <c r="I140" s="63">
        <f t="shared" si="52"/>
        <v>0.14010639948964615</v>
      </c>
      <c r="J140" s="63">
        <f t="shared" si="53"/>
        <v>0.2327147409823119</v>
      </c>
      <c r="K140" s="30">
        <f>IF(OR(LEFT($D140,5)="Solar",$D140="Wind"),INDEX(Land_Use[AVG],MATCH(LEFT($D140,5),Land_Use[Tech],0)),0)*$E140</f>
        <v>0</v>
      </c>
      <c r="L140" s="30">
        <f>IF(OR(LEFT($D140,5)="Solar",$D140="Wind"),INDEX(Land_Use[MIN],MATCH(LEFT($D140,5),Land_Use[Tech],0)),0)*$E140</f>
        <v>0</v>
      </c>
      <c r="M140" s="30">
        <f>IF(OR(LEFT($D140,5)="Solar",$D140="Wind"),INDEX(Land_Use[MAX],MATCH(LEFT($D140,5),Land_Use[Tech],0)),0)*$E140</f>
        <v>0</v>
      </c>
      <c r="N140" s="15">
        <f t="shared" si="46"/>
        <v>0</v>
      </c>
      <c r="O140" s="11">
        <f t="shared" si="47"/>
        <v>0</v>
      </c>
      <c r="P140" s="11">
        <f t="shared" si="48"/>
        <v>0</v>
      </c>
      <c r="Q140" s="11">
        <f t="shared" si="49"/>
        <v>0</v>
      </c>
      <c r="R140" s="11">
        <f t="shared" si="50"/>
        <v>0</v>
      </c>
      <c r="S140" s="30">
        <f t="shared" si="54"/>
        <v>0</v>
      </c>
      <c r="T140" s="30">
        <f t="shared" si="55"/>
        <v>0</v>
      </c>
      <c r="U140" s="30">
        <f t="shared" si="56"/>
        <v>0</v>
      </c>
      <c r="V140" s="30">
        <f t="shared" si="57"/>
        <v>0</v>
      </c>
      <c r="W140" s="30">
        <f t="shared" si="58"/>
        <v>0</v>
      </c>
      <c r="X140" s="30">
        <f t="shared" si="59"/>
        <v>0</v>
      </c>
      <c r="Z140" s="23" t="s">
        <v>76</v>
      </c>
      <c r="AA140" s="40">
        <f>IF(C140="Electricity",E140*SUMIFS(Electricity!S:S,Electricity!P:P,UserMade_Scenario!B140,Electricity!M:M,UserMade_Scenario!Z140,Electricity!O:O,UserMade_Scenario!D140),"")</f>
        <v>1997043.0444355621</v>
      </c>
      <c r="AB140" s="76">
        <f>1/Assumptions!$B$23/1000000000000</f>
        <v>3.5998225679871703E-9</v>
      </c>
      <c r="AC140" s="67" t="s">
        <v>82</v>
      </c>
      <c r="AD140" s="69">
        <f>INDEX(Table11[AVG
CO2e MT per MWh],MATCH(UserMade_Scenario!$B140,Table11[[Year]:[Year]],0))</f>
        <v>-9.3343291599999934E-2</v>
      </c>
      <c r="AE140" s="69">
        <f>INDEX(Table11[MIN
CO2e MT per MWh],MATCH(UserMade_Scenario!$B140,Table11[[Year]:[Year]],0))</f>
        <v>-7.0156925200000081E-2</v>
      </c>
      <c r="AF140" s="69">
        <f>INDEX(Table11[MAX CO2e MT per MWh],MATCH(UserMade_Scenario!$B140,Table11[[Year]:[Year]],0))</f>
        <v>-0.11652965700000005</v>
      </c>
      <c r="AG140" s="68">
        <f>IFERROR(INDEX(WaterUseH2[Average Direct Water Consumption (Gal/ kg h2)],MATCH(LEFT(D140,3),WaterUseH2[Key],0)),0)</f>
        <v>0</v>
      </c>
      <c r="AH140">
        <v>14</v>
      </c>
      <c r="AI140">
        <v>1.4</v>
      </c>
      <c r="AJ140">
        <v>250</v>
      </c>
      <c r="AK140">
        <v>0.31</v>
      </c>
      <c r="AL140" s="63">
        <f>IFERROR(INDEX(Job_Training[[Solar]:[Wind]],MATCH(AL$1,Job_Training[[`Typical Entry Level Education`]:[`Typical Entry Level Education`]],0),MATCH(LEFT($D140,5),Job_Training[[#Headers],[Solar]:[Wind]],0)),0)</f>
        <v>0</v>
      </c>
      <c r="AM140" s="63">
        <f>IFERROR(INDEX(Job_Training[[Solar]:[Wind]],MATCH(AM$1,Job_Training[[`Typical Entry Level Education`]:[`Typical Entry Level Education`]],0),MATCH(LEFT($D140,5),Job_Training[[#Headers],[Solar]:[Wind]],0)),0)</f>
        <v>0</v>
      </c>
      <c r="AN140" s="63">
        <f>IFERROR(INDEX(Job_Training[[Solar]:[Wind]],MATCH(AN$1,Job_Training[[`Typical Entry Level Education`]:[`Typical Entry Level Education`]],0),MATCH(LEFT($D140,5),Job_Training[[#Headers],[Solar]:[Wind]],0)),0)</f>
        <v>0</v>
      </c>
      <c r="AO140" s="63">
        <f>IFERROR(INDEX(Job_Training[[Solar]:[Wind]],MATCH(AO$1,Job_Training[[`Typical Entry Level Education`]:[`Typical Entry Level Education`]],0),MATCH(LEFT($D140,5),Job_Training[[#Headers],[Solar]:[Wind]],0)),0)</f>
        <v>0</v>
      </c>
      <c r="AP140">
        <f t="shared" si="60"/>
        <v>0</v>
      </c>
      <c r="AQ140" s="63">
        <f>IF(AP140&gt;0,IFERROR(INDEX(Assumptions!$C$165:$D$165,MATCH(LEFT($D140,5),Job_Training[[#Headers],[Solar]:[Wind]],0)),0),0)</f>
        <v>0</v>
      </c>
      <c r="AR140">
        <f>IF(AP140&gt;0,IFERROR(INDEX(Assumptions!$C$166:$D$166,MATCH(LEFT($D140,5),Job_Training[[#Headers],[Solar]:[Wind]],0)),0),0)</f>
        <v>0</v>
      </c>
    </row>
    <row r="141" spans="1:44" x14ac:dyDescent="0.35">
      <c r="A141" t="str">
        <f>UserInput!$B$2</f>
        <v>Current Projects</v>
      </c>
      <c r="B141">
        <v>2038</v>
      </c>
      <c r="C141" t="s">
        <v>41</v>
      </c>
      <c r="D141" t="s">
        <v>86</v>
      </c>
      <c r="E141" s="66">
        <f>INDEX(UserInput!$C$2:$M$22,MATCH(UserMade_Scenario!B141,UserInput!$A$2:$A$22,0),MATCH(LEFT(IF(RIGHT(C141,2)="H2",UserMade_Scenario!C141,D141),3),UserInput!$C$25:$M$25,0))</f>
        <v>1000</v>
      </c>
      <c r="F141" t="s">
        <v>81</v>
      </c>
      <c r="G141" s="14">
        <f t="shared" si="45"/>
        <v>7.2868623666675399E-3</v>
      </c>
      <c r="H141" s="63">
        <f t="shared" si="51"/>
        <v>0.18039793689370298</v>
      </c>
      <c r="I141" s="63">
        <f t="shared" si="52"/>
        <v>0.13157312887353095</v>
      </c>
      <c r="J141" s="63">
        <f t="shared" si="53"/>
        <v>0.22922274288964739</v>
      </c>
      <c r="K141" s="30">
        <f>IF(OR(LEFT($D141,5)="Solar",$D141="Wind"),INDEX(Land_Use[AVG],MATCH(LEFT($D141,5),Land_Use[Tech],0)),0)*$E141</f>
        <v>0</v>
      </c>
      <c r="L141" s="30">
        <f>IF(OR(LEFT($D141,5)="Solar",$D141="Wind"),INDEX(Land_Use[MIN],MATCH(LEFT($D141,5),Land_Use[Tech],0)),0)*$E141</f>
        <v>0</v>
      </c>
      <c r="M141" s="30">
        <f>IF(OR(LEFT($D141,5)="Solar",$D141="Wind"),INDEX(Land_Use[MAX],MATCH(LEFT($D141,5),Land_Use[Tech],0)),0)*$E141</f>
        <v>0</v>
      </c>
      <c r="N141" s="15">
        <f t="shared" si="46"/>
        <v>0</v>
      </c>
      <c r="O141" s="11">
        <f t="shared" si="47"/>
        <v>0</v>
      </c>
      <c r="P141" s="11">
        <f t="shared" si="48"/>
        <v>0</v>
      </c>
      <c r="Q141" s="11">
        <f t="shared" si="49"/>
        <v>0</v>
      </c>
      <c r="R141" s="11">
        <f t="shared" si="50"/>
        <v>0</v>
      </c>
      <c r="S141" s="30">
        <f t="shared" si="54"/>
        <v>0</v>
      </c>
      <c r="T141" s="30">
        <f t="shared" si="55"/>
        <v>0</v>
      </c>
      <c r="U141" s="30">
        <f t="shared" si="56"/>
        <v>0</v>
      </c>
      <c r="V141" s="30">
        <f t="shared" si="57"/>
        <v>0</v>
      </c>
      <c r="W141" s="30">
        <f t="shared" si="58"/>
        <v>0</v>
      </c>
      <c r="X141" s="30">
        <f t="shared" si="59"/>
        <v>0</v>
      </c>
      <c r="Z141" s="23" t="s">
        <v>76</v>
      </c>
      <c r="AA141" s="40">
        <f>IF(C141="Electricity",E141*SUMIFS(Electricity!S:S,Electricity!P:P,UserMade_Scenario!B141,Electricity!M:M,UserMade_Scenario!Z141,Electricity!O:O,UserMade_Scenario!D141),"")</f>
        <v>2024228.2026533231</v>
      </c>
      <c r="AB141" s="76">
        <f>1/Assumptions!$B$23/1000000000000</f>
        <v>3.5998225679871703E-9</v>
      </c>
      <c r="AC141" s="67" t="s">
        <v>82</v>
      </c>
      <c r="AD141" s="69">
        <f>INDEX(Table11[AVG
CO2e MT per MWh],MATCH(UserMade_Scenario!$B141,Table11[[Year]:[Year]],0))</f>
        <v>-8.9119367399999927E-2</v>
      </c>
      <c r="AE141" s="69">
        <f>INDEX(Table11[MIN
CO2e MT per MWh],MATCH(UserMade_Scenario!$B141,Table11[[Year]:[Year]],0))</f>
        <v>-6.4999158050000089E-2</v>
      </c>
      <c r="AF141" s="69">
        <f>INDEX(Table11[MAX CO2e MT per MWh],MATCH(UserMade_Scenario!$B141,Table11[[Year]:[Year]],0))</f>
        <v>-0.11323957575000004</v>
      </c>
      <c r="AG141" s="68">
        <f>IFERROR(INDEX(WaterUseH2[Average Direct Water Consumption (Gal/ kg h2)],MATCH(LEFT(D141,3),WaterUseH2[Key],0)),0)</f>
        <v>0</v>
      </c>
      <c r="AH141">
        <v>14</v>
      </c>
      <c r="AI141">
        <v>1.4</v>
      </c>
      <c r="AJ141">
        <v>250</v>
      </c>
      <c r="AK141">
        <v>0.31</v>
      </c>
      <c r="AL141" s="63">
        <f>IFERROR(INDEX(Job_Training[[Solar]:[Wind]],MATCH(AL$1,Job_Training[[`Typical Entry Level Education`]:[`Typical Entry Level Education`]],0),MATCH(LEFT($D141,5),Job_Training[[#Headers],[Solar]:[Wind]],0)),0)</f>
        <v>0</v>
      </c>
      <c r="AM141" s="63">
        <f>IFERROR(INDEX(Job_Training[[Solar]:[Wind]],MATCH(AM$1,Job_Training[[`Typical Entry Level Education`]:[`Typical Entry Level Education`]],0),MATCH(LEFT($D141,5),Job_Training[[#Headers],[Solar]:[Wind]],0)),0)</f>
        <v>0</v>
      </c>
      <c r="AN141" s="63">
        <f>IFERROR(INDEX(Job_Training[[Solar]:[Wind]],MATCH(AN$1,Job_Training[[`Typical Entry Level Education`]:[`Typical Entry Level Education`]],0),MATCH(LEFT($D141,5),Job_Training[[#Headers],[Solar]:[Wind]],0)),0)</f>
        <v>0</v>
      </c>
      <c r="AO141" s="63">
        <f>IFERROR(INDEX(Job_Training[[Solar]:[Wind]],MATCH(AO$1,Job_Training[[`Typical Entry Level Education`]:[`Typical Entry Level Education`]],0),MATCH(LEFT($D141,5),Job_Training[[#Headers],[Solar]:[Wind]],0)),0)</f>
        <v>0</v>
      </c>
      <c r="AP141">
        <f t="shared" si="60"/>
        <v>0</v>
      </c>
      <c r="AQ141" s="63">
        <f>IF(AP141&gt;0,IFERROR(INDEX(Assumptions!$C$165:$D$165,MATCH(LEFT($D141,5),Job_Training[[#Headers],[Solar]:[Wind]],0)),0),0)</f>
        <v>0</v>
      </c>
      <c r="AR141">
        <f>IF(AP141&gt;0,IFERROR(INDEX(Assumptions!$C$166:$D$166,MATCH(LEFT($D141,5),Job_Training[[#Headers],[Solar]:[Wind]],0)),0),0)</f>
        <v>0</v>
      </c>
    </row>
    <row r="142" spans="1:44" x14ac:dyDescent="0.35">
      <c r="A142" t="str">
        <f>UserInput!$B$2</f>
        <v>Current Projects</v>
      </c>
      <c r="B142">
        <v>2039</v>
      </c>
      <c r="C142" t="s">
        <v>41</v>
      </c>
      <c r="D142" t="s">
        <v>86</v>
      </c>
      <c r="E142" s="66">
        <f>INDEX(UserInput!$C$2:$M$22,MATCH(UserMade_Scenario!B142,UserInput!$A$2:$A$22,0),MATCH(LEFT(IF(RIGHT(C142,2)="H2",UserMade_Scenario!C142,D142),3),UserInput!$C$25:$M$25,0))</f>
        <v>1000</v>
      </c>
      <c r="F142" t="s">
        <v>81</v>
      </c>
      <c r="G142" s="14">
        <f t="shared" si="45"/>
        <v>7.3847241127341376E-3</v>
      </c>
      <c r="H142" s="63">
        <f t="shared" si="51"/>
        <v>0.17415564645755205</v>
      </c>
      <c r="I142" s="63">
        <f t="shared" si="52"/>
        <v>0.12275942882536947</v>
      </c>
      <c r="J142" s="63">
        <f t="shared" si="53"/>
        <v>0.22555186203832181</v>
      </c>
      <c r="K142" s="30">
        <f>IF(OR(LEFT($D142,5)="Solar",$D142="Wind"),INDEX(Land_Use[AVG],MATCH(LEFT($D142,5),Land_Use[Tech],0)),0)*$E142</f>
        <v>0</v>
      </c>
      <c r="L142" s="30">
        <f>IF(OR(LEFT($D142,5)="Solar",$D142="Wind"),INDEX(Land_Use[MIN],MATCH(LEFT($D142,5),Land_Use[Tech],0)),0)*$E142</f>
        <v>0</v>
      </c>
      <c r="M142" s="30">
        <f>IF(OR(LEFT($D142,5)="Solar",$D142="Wind"),INDEX(Land_Use[MAX],MATCH(LEFT($D142,5),Land_Use[Tech],0)),0)*$E142</f>
        <v>0</v>
      </c>
      <c r="N142" s="15">
        <f t="shared" si="46"/>
        <v>0</v>
      </c>
      <c r="O142" s="11">
        <f t="shared" si="47"/>
        <v>0</v>
      </c>
      <c r="P142" s="11">
        <f t="shared" si="48"/>
        <v>0</v>
      </c>
      <c r="Q142" s="11">
        <f t="shared" si="49"/>
        <v>0</v>
      </c>
      <c r="R142" s="11">
        <f t="shared" si="50"/>
        <v>0</v>
      </c>
      <c r="S142" s="30">
        <f t="shared" si="54"/>
        <v>0</v>
      </c>
      <c r="T142" s="30">
        <f t="shared" si="55"/>
        <v>0</v>
      </c>
      <c r="U142" s="30">
        <f t="shared" si="56"/>
        <v>0</v>
      </c>
      <c r="V142" s="30">
        <f t="shared" si="57"/>
        <v>0</v>
      </c>
      <c r="W142" s="30">
        <f t="shared" si="58"/>
        <v>0</v>
      </c>
      <c r="X142" s="30">
        <f t="shared" si="59"/>
        <v>0</v>
      </c>
      <c r="Z142" s="23" t="s">
        <v>76</v>
      </c>
      <c r="AA142" s="40">
        <f>IF(C142="Electricity",E142*SUMIFS(Electricity!S:S,Electricity!P:P,UserMade_Scenario!B142,Electricity!M:M,UserMade_Scenario!Z142,Electricity!O:O,UserMade_Scenario!D142),"")</f>
        <v>2051413.360871084</v>
      </c>
      <c r="AB142" s="76">
        <f>1/Assumptions!$B$23/1000000000000</f>
        <v>3.5998225679871703E-9</v>
      </c>
      <c r="AC142" s="67" t="s">
        <v>82</v>
      </c>
      <c r="AD142" s="69">
        <f>INDEX(Table11[AVG
CO2e MT per MWh],MATCH(UserMade_Scenario!$B142,Table11[[Year]:[Year]],0))</f>
        <v>-8.489544319999992E-2</v>
      </c>
      <c r="AE142" s="69">
        <f>INDEX(Table11[MIN
CO2e MT per MWh],MATCH(UserMade_Scenario!$B142,Table11[[Year]:[Year]],0))</f>
        <v>-5.984139090000009E-2</v>
      </c>
      <c r="AF142" s="69">
        <f>INDEX(Table11[MAX CO2e MT per MWh],MATCH(UserMade_Scenario!$B142,Table11[[Year]:[Year]],0))</f>
        <v>-0.10994949450000004</v>
      </c>
      <c r="AG142" s="68">
        <f>IFERROR(INDEX(WaterUseH2[Average Direct Water Consumption (Gal/ kg h2)],MATCH(LEFT(D142,3),WaterUseH2[Key],0)),0)</f>
        <v>0</v>
      </c>
      <c r="AH142">
        <v>14</v>
      </c>
      <c r="AI142">
        <v>1.4</v>
      </c>
      <c r="AJ142">
        <v>250</v>
      </c>
      <c r="AK142">
        <v>0.31</v>
      </c>
      <c r="AL142" s="63">
        <f>IFERROR(INDEX(Job_Training[[Solar]:[Wind]],MATCH(AL$1,Job_Training[[`Typical Entry Level Education`]:[`Typical Entry Level Education`]],0),MATCH(LEFT($D142,5),Job_Training[[#Headers],[Solar]:[Wind]],0)),0)</f>
        <v>0</v>
      </c>
      <c r="AM142" s="63">
        <f>IFERROR(INDEX(Job_Training[[Solar]:[Wind]],MATCH(AM$1,Job_Training[[`Typical Entry Level Education`]:[`Typical Entry Level Education`]],0),MATCH(LEFT($D142,5),Job_Training[[#Headers],[Solar]:[Wind]],0)),0)</f>
        <v>0</v>
      </c>
      <c r="AN142" s="63">
        <f>IFERROR(INDEX(Job_Training[[Solar]:[Wind]],MATCH(AN$1,Job_Training[[`Typical Entry Level Education`]:[`Typical Entry Level Education`]],0),MATCH(LEFT($D142,5),Job_Training[[#Headers],[Solar]:[Wind]],0)),0)</f>
        <v>0</v>
      </c>
      <c r="AO142" s="63">
        <f>IFERROR(INDEX(Job_Training[[Solar]:[Wind]],MATCH(AO$1,Job_Training[[`Typical Entry Level Education`]:[`Typical Entry Level Education`]],0),MATCH(LEFT($D142,5),Job_Training[[#Headers],[Solar]:[Wind]],0)),0)</f>
        <v>0</v>
      </c>
      <c r="AP142">
        <f t="shared" si="60"/>
        <v>0</v>
      </c>
      <c r="AQ142" s="63">
        <f>IF(AP142&gt;0,IFERROR(INDEX(Assumptions!$C$165:$D$165,MATCH(LEFT($D142,5),Job_Training[[#Headers],[Solar]:[Wind]],0)),0),0)</f>
        <v>0</v>
      </c>
      <c r="AR142">
        <f>IF(AP142&gt;0,IFERROR(INDEX(Assumptions!$C$166:$D$166,MATCH(LEFT($D142,5),Job_Training[[#Headers],[Solar]:[Wind]],0)),0),0)</f>
        <v>0</v>
      </c>
    </row>
    <row r="143" spans="1:44" x14ac:dyDescent="0.35">
      <c r="A143" t="str">
        <f>UserInput!$B$2</f>
        <v>Current Projects</v>
      </c>
      <c r="B143">
        <v>2040</v>
      </c>
      <c r="C143" t="s">
        <v>41</v>
      </c>
      <c r="D143" t="s">
        <v>86</v>
      </c>
      <c r="E143" s="66">
        <f>INDEX(UserInput!$C$2:$M$22,MATCH(UserMade_Scenario!B143,UserInput!$A$2:$A$22,0),MATCH(LEFT(IF(RIGHT(C143,2)="H2",UserMade_Scenario!C143,D143),3),UserInput!$C$25:$M$25,0))</f>
        <v>1000</v>
      </c>
      <c r="F143" t="s">
        <v>81</v>
      </c>
      <c r="G143" s="14">
        <f t="shared" si="45"/>
        <v>7.4825858588007353E-3</v>
      </c>
      <c r="H143" s="63">
        <f t="shared" si="51"/>
        <v>0.16768369992604745</v>
      </c>
      <c r="I143" s="63">
        <f t="shared" si="52"/>
        <v>0.11366529934516179</v>
      </c>
      <c r="J143" s="63">
        <f t="shared" si="53"/>
        <v>0.22170209842833521</v>
      </c>
      <c r="K143" s="30">
        <f>IF(OR(LEFT($D143,5)="Solar",$D143="Wind"),INDEX(Land_Use[AVG],MATCH(LEFT($D143,5),Land_Use[Tech],0)),0)*$E143</f>
        <v>0</v>
      </c>
      <c r="L143" s="30">
        <f>IF(OR(LEFT($D143,5)="Solar",$D143="Wind"),INDEX(Land_Use[MIN],MATCH(LEFT($D143,5),Land_Use[Tech],0)),0)*$E143</f>
        <v>0</v>
      </c>
      <c r="M143" s="30">
        <f>IF(OR(LEFT($D143,5)="Solar",$D143="Wind"),INDEX(Land_Use[MAX],MATCH(LEFT($D143,5),Land_Use[Tech],0)),0)*$E143</f>
        <v>0</v>
      </c>
      <c r="N143" s="15">
        <f t="shared" si="46"/>
        <v>0</v>
      </c>
      <c r="O143" s="11">
        <f t="shared" si="47"/>
        <v>0</v>
      </c>
      <c r="P143" s="11">
        <f t="shared" si="48"/>
        <v>0</v>
      </c>
      <c r="Q143" s="11">
        <f t="shared" si="49"/>
        <v>0</v>
      </c>
      <c r="R143" s="11">
        <f t="shared" si="50"/>
        <v>0</v>
      </c>
      <c r="S143" s="30">
        <f t="shared" si="54"/>
        <v>0</v>
      </c>
      <c r="T143" s="30">
        <f t="shared" si="55"/>
        <v>0</v>
      </c>
      <c r="U143" s="30">
        <f t="shared" si="56"/>
        <v>0</v>
      </c>
      <c r="V143" s="30">
        <f t="shared" si="57"/>
        <v>0</v>
      </c>
      <c r="W143" s="30">
        <f t="shared" si="58"/>
        <v>0</v>
      </c>
      <c r="X143" s="30">
        <f t="shared" si="59"/>
        <v>0</v>
      </c>
      <c r="Z143" s="23" t="s">
        <v>76</v>
      </c>
      <c r="AA143" s="40">
        <f>IF(C143="Electricity",E143*SUMIFS(Electricity!S:S,Electricity!P:P,UserMade_Scenario!B143,Electricity!M:M,UserMade_Scenario!Z143,Electricity!O:O,UserMade_Scenario!D143),"")</f>
        <v>2078598.519088845</v>
      </c>
      <c r="AB143" s="76">
        <f>1/Assumptions!$B$23/1000000000000</f>
        <v>3.5998225679871703E-9</v>
      </c>
      <c r="AC143" s="67" t="s">
        <v>82</v>
      </c>
      <c r="AD143" s="69">
        <f>INDEX(Table11[AVG
CO2e MT per MWh],MATCH(UserMade_Scenario!$B143,Table11[[Year]:[Year]],0))</f>
        <v>-8.0671518999999914E-2</v>
      </c>
      <c r="AE143" s="69">
        <f>INDEX(Table11[MIN
CO2e MT per MWh],MATCH(UserMade_Scenario!$B143,Table11[[Year]:[Year]],0))</f>
        <v>-5.468362375000009E-2</v>
      </c>
      <c r="AF143" s="69">
        <f>INDEX(Table11[MAX CO2e MT per MWh],MATCH(UserMade_Scenario!$B143,Table11[[Year]:[Year]],0))</f>
        <v>-0.10665941325000003</v>
      </c>
      <c r="AG143" s="68">
        <f>IFERROR(INDEX(WaterUseH2[Average Direct Water Consumption (Gal/ kg h2)],MATCH(LEFT(D143,3),WaterUseH2[Key],0)),0)</f>
        <v>0</v>
      </c>
      <c r="AH143">
        <v>14</v>
      </c>
      <c r="AI143">
        <v>1.4</v>
      </c>
      <c r="AJ143">
        <v>250</v>
      </c>
      <c r="AK143">
        <v>0.31</v>
      </c>
      <c r="AL143" s="63">
        <f>IFERROR(INDEX(Job_Training[[Solar]:[Wind]],MATCH(AL$1,Job_Training[[`Typical Entry Level Education`]:[`Typical Entry Level Education`]],0),MATCH(LEFT($D143,5),Job_Training[[#Headers],[Solar]:[Wind]],0)),0)</f>
        <v>0</v>
      </c>
      <c r="AM143" s="63">
        <f>IFERROR(INDEX(Job_Training[[Solar]:[Wind]],MATCH(AM$1,Job_Training[[`Typical Entry Level Education`]:[`Typical Entry Level Education`]],0),MATCH(LEFT($D143,5),Job_Training[[#Headers],[Solar]:[Wind]],0)),0)</f>
        <v>0</v>
      </c>
      <c r="AN143" s="63">
        <f>IFERROR(INDEX(Job_Training[[Solar]:[Wind]],MATCH(AN$1,Job_Training[[`Typical Entry Level Education`]:[`Typical Entry Level Education`]],0),MATCH(LEFT($D143,5),Job_Training[[#Headers],[Solar]:[Wind]],0)),0)</f>
        <v>0</v>
      </c>
      <c r="AO143" s="63">
        <f>IFERROR(INDEX(Job_Training[[Solar]:[Wind]],MATCH(AO$1,Job_Training[[`Typical Entry Level Education`]:[`Typical Entry Level Education`]],0),MATCH(LEFT($D143,5),Job_Training[[#Headers],[Solar]:[Wind]],0)),0)</f>
        <v>0</v>
      </c>
      <c r="AP143">
        <f t="shared" si="60"/>
        <v>0</v>
      </c>
      <c r="AQ143" s="63">
        <f>IF(AP143&gt;0,IFERROR(INDEX(Assumptions!$C$165:$D$165,MATCH(LEFT($D143,5),Job_Training[[#Headers],[Solar]:[Wind]],0)),0),0)</f>
        <v>0</v>
      </c>
      <c r="AR143">
        <f>IF(AP143&gt;0,IFERROR(INDEX(Assumptions!$C$166:$D$166,MATCH(LEFT($D143,5),Job_Training[[#Headers],[Solar]:[Wind]],0)),0),0)</f>
        <v>0</v>
      </c>
    </row>
    <row r="144" spans="1:44" x14ac:dyDescent="0.35">
      <c r="A144" t="str">
        <f>UserInput!$B$2</f>
        <v>Current Projects</v>
      </c>
      <c r="B144">
        <v>2041</v>
      </c>
      <c r="C144" t="s">
        <v>41</v>
      </c>
      <c r="D144" t="s">
        <v>86</v>
      </c>
      <c r="E144" s="66">
        <f>INDEX(UserInput!$C$2:$M$22,MATCH(UserMade_Scenario!B144,UserInput!$A$2:$A$22,0),MATCH(LEFT(IF(RIGHT(C144,2)="H2",UserMade_Scenario!C144,D144),3),UserInput!$C$25:$M$25,0))</f>
        <v>1000</v>
      </c>
      <c r="F144" t="s">
        <v>81</v>
      </c>
      <c r="G144" s="14">
        <f t="shared" si="45"/>
        <v>7.580447604867333E-3</v>
      </c>
      <c r="H144" s="63">
        <f t="shared" si="51"/>
        <v>0.16098209729918919</v>
      </c>
      <c r="I144" s="63">
        <f t="shared" si="52"/>
        <v>0.10429074043290784</v>
      </c>
      <c r="J144" s="63">
        <f t="shared" si="53"/>
        <v>0.21767345205968747</v>
      </c>
      <c r="K144" s="30">
        <f>IF(OR(LEFT($D144,5)="Solar",$D144="Wind"),INDEX(Land_Use[AVG],MATCH(LEFT($D144,5),Land_Use[Tech],0)),0)*$E144</f>
        <v>0</v>
      </c>
      <c r="L144" s="30">
        <f>IF(OR(LEFT($D144,5)="Solar",$D144="Wind"),INDEX(Land_Use[MIN],MATCH(LEFT($D144,5),Land_Use[Tech],0)),0)*$E144</f>
        <v>0</v>
      </c>
      <c r="M144" s="30">
        <f>IF(OR(LEFT($D144,5)="Solar",$D144="Wind"),INDEX(Land_Use[MAX],MATCH(LEFT($D144,5),Land_Use[Tech],0)),0)*$E144</f>
        <v>0</v>
      </c>
      <c r="N144" s="15">
        <f t="shared" si="46"/>
        <v>0</v>
      </c>
      <c r="O144" s="11">
        <f t="shared" si="47"/>
        <v>0</v>
      </c>
      <c r="P144" s="11">
        <f t="shared" si="48"/>
        <v>0</v>
      </c>
      <c r="Q144" s="11">
        <f t="shared" si="49"/>
        <v>0</v>
      </c>
      <c r="R144" s="11">
        <f t="shared" si="50"/>
        <v>0</v>
      </c>
      <c r="S144" s="30">
        <f t="shared" si="54"/>
        <v>0</v>
      </c>
      <c r="T144" s="30">
        <f t="shared" si="55"/>
        <v>0</v>
      </c>
      <c r="U144" s="30">
        <f t="shared" si="56"/>
        <v>0</v>
      </c>
      <c r="V144" s="30">
        <f t="shared" si="57"/>
        <v>0</v>
      </c>
      <c r="W144" s="30">
        <f t="shared" si="58"/>
        <v>0</v>
      </c>
      <c r="X144" s="30">
        <f t="shared" si="59"/>
        <v>0</v>
      </c>
      <c r="Z144" s="23" t="s">
        <v>76</v>
      </c>
      <c r="AA144" s="40">
        <f>IF(C144="Electricity",E144*SUMIFS(Electricity!S:S,Electricity!P:P,UserMade_Scenario!B144,Electricity!M:M,UserMade_Scenario!Z144,Electricity!O:O,UserMade_Scenario!D144),"")</f>
        <v>2105783.677306606</v>
      </c>
      <c r="AB144" s="76">
        <f>1/Assumptions!$B$23/1000000000000</f>
        <v>3.5998225679871703E-9</v>
      </c>
      <c r="AC144" s="67" t="s">
        <v>82</v>
      </c>
      <c r="AD144" s="69">
        <f>INDEX(Table11[AVG
CO2e MT per MWh],MATCH(UserMade_Scenario!$B144,Table11[[Year]:[Year]],0))</f>
        <v>-7.6447594799999907E-2</v>
      </c>
      <c r="AE144" s="69">
        <f>INDEX(Table11[MIN
CO2e MT per MWh],MATCH(UserMade_Scenario!$B144,Table11[[Year]:[Year]],0))</f>
        <v>-4.9525856600000091E-2</v>
      </c>
      <c r="AF144" s="69">
        <f>INDEX(Table11[MAX CO2e MT per MWh],MATCH(UserMade_Scenario!$B144,Table11[[Year]:[Year]],0))</f>
        <v>-0.10336933200000002</v>
      </c>
      <c r="AG144" s="68">
        <f>IFERROR(INDEX(WaterUseH2[Average Direct Water Consumption (Gal/ kg h2)],MATCH(LEFT(D144,3),WaterUseH2[Key],0)),0)</f>
        <v>0</v>
      </c>
      <c r="AH144">
        <v>14</v>
      </c>
      <c r="AI144">
        <v>1.4</v>
      </c>
      <c r="AJ144">
        <v>250</v>
      </c>
      <c r="AK144">
        <v>0.31</v>
      </c>
      <c r="AL144" s="63">
        <f>IFERROR(INDEX(Job_Training[[Solar]:[Wind]],MATCH(AL$1,Job_Training[[`Typical Entry Level Education`]:[`Typical Entry Level Education`]],0),MATCH(LEFT($D144,5),Job_Training[[#Headers],[Solar]:[Wind]],0)),0)</f>
        <v>0</v>
      </c>
      <c r="AM144" s="63">
        <f>IFERROR(INDEX(Job_Training[[Solar]:[Wind]],MATCH(AM$1,Job_Training[[`Typical Entry Level Education`]:[`Typical Entry Level Education`]],0),MATCH(LEFT($D144,5),Job_Training[[#Headers],[Solar]:[Wind]],0)),0)</f>
        <v>0</v>
      </c>
      <c r="AN144" s="63">
        <f>IFERROR(INDEX(Job_Training[[Solar]:[Wind]],MATCH(AN$1,Job_Training[[`Typical Entry Level Education`]:[`Typical Entry Level Education`]],0),MATCH(LEFT($D144,5),Job_Training[[#Headers],[Solar]:[Wind]],0)),0)</f>
        <v>0</v>
      </c>
      <c r="AO144" s="63">
        <f>IFERROR(INDEX(Job_Training[[Solar]:[Wind]],MATCH(AO$1,Job_Training[[`Typical Entry Level Education`]:[`Typical Entry Level Education`]],0),MATCH(LEFT($D144,5),Job_Training[[#Headers],[Solar]:[Wind]],0)),0)</f>
        <v>0</v>
      </c>
      <c r="AP144">
        <f t="shared" si="60"/>
        <v>0</v>
      </c>
      <c r="AQ144" s="63">
        <f>IF(AP144&gt;0,IFERROR(INDEX(Assumptions!$C$165:$D$165,MATCH(LEFT($D144,5),Job_Training[[#Headers],[Solar]:[Wind]],0)),0),0)</f>
        <v>0</v>
      </c>
      <c r="AR144">
        <f>IF(AP144&gt;0,IFERROR(INDEX(Assumptions!$C$166:$D$166,MATCH(LEFT($D144,5),Job_Training[[#Headers],[Solar]:[Wind]],0)),0),0)</f>
        <v>0</v>
      </c>
    </row>
    <row r="145" spans="1:44" x14ac:dyDescent="0.35">
      <c r="A145" t="str">
        <f>UserInput!$B$2</f>
        <v>Current Projects</v>
      </c>
      <c r="B145">
        <v>2042</v>
      </c>
      <c r="C145" t="s">
        <v>41</v>
      </c>
      <c r="D145" t="s">
        <v>86</v>
      </c>
      <c r="E145" s="66">
        <f>INDEX(UserInput!$C$2:$M$22,MATCH(UserMade_Scenario!B145,UserInput!$A$2:$A$22,0),MATCH(LEFT(IF(RIGHT(C145,2)="H2",UserMade_Scenario!C145,D145),3),UserInput!$C$25:$M$25,0))</f>
        <v>1000</v>
      </c>
      <c r="F145" t="s">
        <v>81</v>
      </c>
      <c r="G145" s="14">
        <f t="shared" si="45"/>
        <v>7.6783093509339316E-3</v>
      </c>
      <c r="H145" s="63">
        <f t="shared" si="51"/>
        <v>0.15405083857697724</v>
      </c>
      <c r="I145" s="63">
        <f t="shared" si="52"/>
        <v>9.4635752088607653E-2</v>
      </c>
      <c r="J145" s="63">
        <f t="shared" si="53"/>
        <v>0.21346592293237868</v>
      </c>
      <c r="K145" s="30">
        <f>IF(OR(LEFT($D145,5)="Solar",$D145="Wind"),INDEX(Land_Use[AVG],MATCH(LEFT($D145,5),Land_Use[Tech],0)),0)*$E145</f>
        <v>0</v>
      </c>
      <c r="L145" s="30">
        <f>IF(OR(LEFT($D145,5)="Solar",$D145="Wind"),INDEX(Land_Use[MIN],MATCH(LEFT($D145,5),Land_Use[Tech],0)),0)*$E145</f>
        <v>0</v>
      </c>
      <c r="M145" s="30">
        <f>IF(OR(LEFT($D145,5)="Solar",$D145="Wind"),INDEX(Land_Use[MAX],MATCH(LEFT($D145,5),Land_Use[Tech],0)),0)*$E145</f>
        <v>0</v>
      </c>
      <c r="N145" s="15">
        <f t="shared" si="46"/>
        <v>0</v>
      </c>
      <c r="O145" s="11">
        <f t="shared" si="47"/>
        <v>0</v>
      </c>
      <c r="P145" s="11">
        <f t="shared" si="48"/>
        <v>0</v>
      </c>
      <c r="Q145" s="11">
        <f t="shared" si="49"/>
        <v>0</v>
      </c>
      <c r="R145" s="11">
        <f t="shared" si="50"/>
        <v>0</v>
      </c>
      <c r="S145" s="30">
        <f t="shared" si="54"/>
        <v>0</v>
      </c>
      <c r="T145" s="30">
        <f t="shared" si="55"/>
        <v>0</v>
      </c>
      <c r="U145" s="30">
        <f t="shared" si="56"/>
        <v>0</v>
      </c>
      <c r="V145" s="30">
        <f t="shared" si="57"/>
        <v>0</v>
      </c>
      <c r="W145" s="30">
        <f t="shared" si="58"/>
        <v>0</v>
      </c>
      <c r="X145" s="30">
        <f t="shared" si="59"/>
        <v>0</v>
      </c>
      <c r="Z145" s="23" t="s">
        <v>76</v>
      </c>
      <c r="AA145" s="40">
        <f>IF(C145="Electricity",E145*SUMIFS(Electricity!S:S,Electricity!P:P,UserMade_Scenario!B145,Electricity!M:M,UserMade_Scenario!Z145,Electricity!O:O,UserMade_Scenario!D145),"")</f>
        <v>2132968.8355243672</v>
      </c>
      <c r="AB145" s="76">
        <f>1/Assumptions!$B$23/1000000000000</f>
        <v>3.5998225679871703E-9</v>
      </c>
      <c r="AC145" s="67" t="s">
        <v>82</v>
      </c>
      <c r="AD145" s="69">
        <f>INDEX(Table11[AVG
CO2e MT per MWh],MATCH(UserMade_Scenario!$B145,Table11[[Year]:[Year]],0))</f>
        <v>-7.2223670599999901E-2</v>
      </c>
      <c r="AE145" s="69">
        <f>INDEX(Table11[MIN
CO2e MT per MWh],MATCH(UserMade_Scenario!$B145,Table11[[Year]:[Year]],0))</f>
        <v>-4.4368089450000092E-2</v>
      </c>
      <c r="AF145" s="69">
        <f>INDEX(Table11[MAX CO2e MT per MWh],MATCH(UserMade_Scenario!$B145,Table11[[Year]:[Year]],0))</f>
        <v>-0.10007925075000002</v>
      </c>
      <c r="AG145" s="68">
        <f>IFERROR(INDEX(WaterUseH2[Average Direct Water Consumption (Gal/ kg h2)],MATCH(LEFT(D145,3),WaterUseH2[Key],0)),0)</f>
        <v>0</v>
      </c>
      <c r="AH145">
        <v>14</v>
      </c>
      <c r="AI145">
        <v>1.4</v>
      </c>
      <c r="AJ145">
        <v>250</v>
      </c>
      <c r="AK145">
        <v>0.31</v>
      </c>
      <c r="AL145" s="63">
        <f>IFERROR(INDEX(Job_Training[[Solar]:[Wind]],MATCH(AL$1,Job_Training[[`Typical Entry Level Education`]:[`Typical Entry Level Education`]],0),MATCH(LEFT($D145,5),Job_Training[[#Headers],[Solar]:[Wind]],0)),0)</f>
        <v>0</v>
      </c>
      <c r="AM145" s="63">
        <f>IFERROR(INDEX(Job_Training[[Solar]:[Wind]],MATCH(AM$1,Job_Training[[`Typical Entry Level Education`]:[`Typical Entry Level Education`]],0),MATCH(LEFT($D145,5),Job_Training[[#Headers],[Solar]:[Wind]],0)),0)</f>
        <v>0</v>
      </c>
      <c r="AN145" s="63">
        <f>IFERROR(INDEX(Job_Training[[Solar]:[Wind]],MATCH(AN$1,Job_Training[[`Typical Entry Level Education`]:[`Typical Entry Level Education`]],0),MATCH(LEFT($D145,5),Job_Training[[#Headers],[Solar]:[Wind]],0)),0)</f>
        <v>0</v>
      </c>
      <c r="AO145" s="63">
        <f>IFERROR(INDEX(Job_Training[[Solar]:[Wind]],MATCH(AO$1,Job_Training[[`Typical Entry Level Education`]:[`Typical Entry Level Education`]],0),MATCH(LEFT($D145,5),Job_Training[[#Headers],[Solar]:[Wind]],0)),0)</f>
        <v>0</v>
      </c>
      <c r="AP145">
        <f t="shared" si="60"/>
        <v>0</v>
      </c>
      <c r="AQ145" s="63">
        <f>IF(AP145&gt;0,IFERROR(INDEX(Assumptions!$C$165:$D$165,MATCH(LEFT($D145,5),Job_Training[[#Headers],[Solar]:[Wind]],0)),0),0)</f>
        <v>0</v>
      </c>
      <c r="AR145">
        <f>IF(AP145&gt;0,IFERROR(INDEX(Assumptions!$C$166:$D$166,MATCH(LEFT($D145,5),Job_Training[[#Headers],[Solar]:[Wind]],0)),0),0)</f>
        <v>0</v>
      </c>
    </row>
    <row r="146" spans="1:44" x14ac:dyDescent="0.35">
      <c r="A146" t="str">
        <f>UserInput!$B$2</f>
        <v>Current Projects</v>
      </c>
      <c r="B146">
        <v>2043</v>
      </c>
      <c r="C146" t="s">
        <v>41</v>
      </c>
      <c r="D146" t="s">
        <v>86</v>
      </c>
      <c r="E146" s="66">
        <f>INDEX(UserInput!$C$2:$M$22,MATCH(UserMade_Scenario!B146,UserInput!$A$2:$A$22,0),MATCH(LEFT(IF(RIGHT(C146,2)="H2",UserMade_Scenario!C146,D146),3),UserInput!$C$25:$M$25,0))</f>
        <v>1000</v>
      </c>
      <c r="F146" t="s">
        <v>81</v>
      </c>
      <c r="G146" s="14">
        <f t="shared" si="45"/>
        <v>7.7761710970005284E-3</v>
      </c>
      <c r="H146" s="63">
        <f t="shared" si="51"/>
        <v>0.14688992375941165</v>
      </c>
      <c r="I146" s="63">
        <f t="shared" si="52"/>
        <v>8.4700334312261219E-2</v>
      </c>
      <c r="J146" s="63">
        <f t="shared" si="53"/>
        <v>0.20907951104640876</v>
      </c>
      <c r="K146" s="30">
        <f>IF(OR(LEFT($D146,5)="Solar",$D146="Wind"),INDEX(Land_Use[AVG],MATCH(LEFT($D146,5),Land_Use[Tech],0)),0)*$E146</f>
        <v>0</v>
      </c>
      <c r="L146" s="30">
        <f>IF(OR(LEFT($D146,5)="Solar",$D146="Wind"),INDEX(Land_Use[MIN],MATCH(LEFT($D146,5),Land_Use[Tech],0)),0)*$E146</f>
        <v>0</v>
      </c>
      <c r="M146" s="30">
        <f>IF(OR(LEFT($D146,5)="Solar",$D146="Wind"),INDEX(Land_Use[MAX],MATCH(LEFT($D146,5),Land_Use[Tech],0)),0)*$E146</f>
        <v>0</v>
      </c>
      <c r="N146" s="15">
        <f t="shared" si="46"/>
        <v>0</v>
      </c>
      <c r="O146" s="11">
        <f t="shared" si="47"/>
        <v>0</v>
      </c>
      <c r="P146" s="11">
        <f t="shared" si="48"/>
        <v>0</v>
      </c>
      <c r="Q146" s="11">
        <f t="shared" si="49"/>
        <v>0</v>
      </c>
      <c r="R146" s="11">
        <f t="shared" si="50"/>
        <v>0</v>
      </c>
      <c r="S146" s="30">
        <f t="shared" si="54"/>
        <v>0</v>
      </c>
      <c r="T146" s="30">
        <f t="shared" si="55"/>
        <v>0</v>
      </c>
      <c r="U146" s="30">
        <f t="shared" si="56"/>
        <v>0</v>
      </c>
      <c r="V146" s="30">
        <f t="shared" si="57"/>
        <v>0</v>
      </c>
      <c r="W146" s="30">
        <f t="shared" si="58"/>
        <v>0</v>
      </c>
      <c r="X146" s="30">
        <f t="shared" si="59"/>
        <v>0</v>
      </c>
      <c r="Z146" s="23" t="s">
        <v>76</v>
      </c>
      <c r="AA146" s="40">
        <f>IF(C146="Electricity",E146*SUMIFS(Electricity!S:S,Electricity!P:P,UserMade_Scenario!B146,Electricity!M:M,UserMade_Scenario!Z146,Electricity!O:O,UserMade_Scenario!D146),"")</f>
        <v>2160153.9937421279</v>
      </c>
      <c r="AB146" s="76">
        <f>1/Assumptions!$B$23/1000000000000</f>
        <v>3.5998225679871703E-9</v>
      </c>
      <c r="AC146" s="67" t="s">
        <v>82</v>
      </c>
      <c r="AD146" s="69">
        <f>INDEX(Table11[AVG
CO2e MT per MWh],MATCH(UserMade_Scenario!$B146,Table11[[Year]:[Year]],0))</f>
        <v>-6.7999746399999894E-2</v>
      </c>
      <c r="AE146" s="69">
        <f>INDEX(Table11[MIN
CO2e MT per MWh],MATCH(UserMade_Scenario!$B146,Table11[[Year]:[Year]],0))</f>
        <v>-3.9210322300000093E-2</v>
      </c>
      <c r="AF146" s="69">
        <f>INDEX(Table11[MAX CO2e MT per MWh],MATCH(UserMade_Scenario!$B146,Table11[[Year]:[Year]],0))</f>
        <v>-9.6789169500000008E-2</v>
      </c>
      <c r="AG146" s="68">
        <f>IFERROR(INDEX(WaterUseH2[Average Direct Water Consumption (Gal/ kg h2)],MATCH(LEFT(D146,3),WaterUseH2[Key],0)),0)</f>
        <v>0</v>
      </c>
      <c r="AH146">
        <v>14</v>
      </c>
      <c r="AI146">
        <v>1.4</v>
      </c>
      <c r="AJ146">
        <v>250</v>
      </c>
      <c r="AK146">
        <v>0.31</v>
      </c>
      <c r="AL146" s="63">
        <f>IFERROR(INDEX(Job_Training[[Solar]:[Wind]],MATCH(AL$1,Job_Training[[`Typical Entry Level Education`]:[`Typical Entry Level Education`]],0),MATCH(LEFT($D146,5),Job_Training[[#Headers],[Solar]:[Wind]],0)),0)</f>
        <v>0</v>
      </c>
      <c r="AM146" s="63">
        <f>IFERROR(INDEX(Job_Training[[Solar]:[Wind]],MATCH(AM$1,Job_Training[[`Typical Entry Level Education`]:[`Typical Entry Level Education`]],0),MATCH(LEFT($D146,5),Job_Training[[#Headers],[Solar]:[Wind]],0)),0)</f>
        <v>0</v>
      </c>
      <c r="AN146" s="63">
        <f>IFERROR(INDEX(Job_Training[[Solar]:[Wind]],MATCH(AN$1,Job_Training[[`Typical Entry Level Education`]:[`Typical Entry Level Education`]],0),MATCH(LEFT($D146,5),Job_Training[[#Headers],[Solar]:[Wind]],0)),0)</f>
        <v>0</v>
      </c>
      <c r="AO146" s="63">
        <f>IFERROR(INDEX(Job_Training[[Solar]:[Wind]],MATCH(AO$1,Job_Training[[`Typical Entry Level Education`]:[`Typical Entry Level Education`]],0),MATCH(LEFT($D146,5),Job_Training[[#Headers],[Solar]:[Wind]],0)),0)</f>
        <v>0</v>
      </c>
      <c r="AP146">
        <f t="shared" si="60"/>
        <v>0</v>
      </c>
      <c r="AQ146" s="63">
        <f>IF(AP146&gt;0,IFERROR(INDEX(Assumptions!$C$165:$D$165,MATCH(LEFT($D146,5),Job_Training[[#Headers],[Solar]:[Wind]],0)),0),0)</f>
        <v>0</v>
      </c>
      <c r="AR146">
        <f>IF(AP146&gt;0,IFERROR(INDEX(Assumptions!$C$166:$D$166,MATCH(LEFT($D146,5),Job_Training[[#Headers],[Solar]:[Wind]],0)),0),0)</f>
        <v>0</v>
      </c>
    </row>
    <row r="147" spans="1:44" x14ac:dyDescent="0.35">
      <c r="A147" t="str">
        <f>UserInput!$B$2</f>
        <v>Current Projects</v>
      </c>
      <c r="B147">
        <v>2044</v>
      </c>
      <c r="C147" t="s">
        <v>41</v>
      </c>
      <c r="D147" t="s">
        <v>86</v>
      </c>
      <c r="E147" s="66">
        <f>INDEX(UserInput!$C$2:$M$22,MATCH(UserMade_Scenario!B147,UserInput!$A$2:$A$22,0),MATCH(LEFT(IF(RIGHT(C147,2)="H2",UserMade_Scenario!C147,D147),3),UserInput!$C$25:$M$25,0))</f>
        <v>1000</v>
      </c>
      <c r="F147" t="s">
        <v>81</v>
      </c>
      <c r="G147" s="14">
        <f t="shared" si="45"/>
        <v>7.8740328430671278E-3</v>
      </c>
      <c r="H147" s="63">
        <f t="shared" si="51"/>
        <v>0.13949935284649242</v>
      </c>
      <c r="I147" s="63">
        <f t="shared" si="52"/>
        <v>7.4484487103868569E-2</v>
      </c>
      <c r="J147" s="63">
        <f t="shared" si="53"/>
        <v>0.20451421640177786</v>
      </c>
      <c r="K147" s="30">
        <f>IF(OR(LEFT($D147,5)="Solar",$D147="Wind"),INDEX(Land_Use[AVG],MATCH(LEFT($D147,5),Land_Use[Tech],0)),0)*$E147</f>
        <v>0</v>
      </c>
      <c r="L147" s="30">
        <f>IF(OR(LEFT($D147,5)="Solar",$D147="Wind"),INDEX(Land_Use[MIN],MATCH(LEFT($D147,5),Land_Use[Tech],0)),0)*$E147</f>
        <v>0</v>
      </c>
      <c r="M147" s="30">
        <f>IF(OR(LEFT($D147,5)="Solar",$D147="Wind"),INDEX(Land_Use[MAX],MATCH(LEFT($D147,5),Land_Use[Tech],0)),0)*$E147</f>
        <v>0</v>
      </c>
      <c r="N147" s="15">
        <f t="shared" si="46"/>
        <v>0</v>
      </c>
      <c r="O147" s="11">
        <f t="shared" si="47"/>
        <v>0</v>
      </c>
      <c r="P147" s="11">
        <f t="shared" si="48"/>
        <v>0</v>
      </c>
      <c r="Q147" s="11">
        <f t="shared" si="49"/>
        <v>0</v>
      </c>
      <c r="R147" s="11">
        <f t="shared" si="50"/>
        <v>0</v>
      </c>
      <c r="S147" s="30">
        <f t="shared" si="54"/>
        <v>0</v>
      </c>
      <c r="T147" s="30">
        <f t="shared" si="55"/>
        <v>0</v>
      </c>
      <c r="U147" s="30">
        <f t="shared" si="56"/>
        <v>0</v>
      </c>
      <c r="V147" s="30">
        <f t="shared" si="57"/>
        <v>0</v>
      </c>
      <c r="W147" s="30">
        <f t="shared" si="58"/>
        <v>0</v>
      </c>
      <c r="X147" s="30">
        <f t="shared" si="59"/>
        <v>0</v>
      </c>
      <c r="Z147" s="23" t="s">
        <v>76</v>
      </c>
      <c r="AA147" s="40">
        <f>IF(C147="Electricity",E147*SUMIFS(Electricity!S:S,Electricity!P:P,UserMade_Scenario!B147,Electricity!M:M,UserMade_Scenario!Z147,Electricity!O:O,UserMade_Scenario!D147),"")</f>
        <v>2187339.1519598891</v>
      </c>
      <c r="AB147" s="76">
        <f>1/Assumptions!$B$23/1000000000000</f>
        <v>3.5998225679871703E-9</v>
      </c>
      <c r="AC147" s="67" t="s">
        <v>82</v>
      </c>
      <c r="AD147" s="69">
        <f>INDEX(Table11[AVG
CO2e MT per MWh],MATCH(UserMade_Scenario!$B147,Table11[[Year]:[Year]],0))</f>
        <v>-6.3775822199999888E-2</v>
      </c>
      <c r="AE147" s="69">
        <f>INDEX(Table11[MIN
CO2e MT per MWh],MATCH(UserMade_Scenario!$B147,Table11[[Year]:[Year]],0))</f>
        <v>-3.4052555150000094E-2</v>
      </c>
      <c r="AF147" s="69">
        <f>INDEX(Table11[MAX CO2e MT per MWh],MATCH(UserMade_Scenario!$B147,Table11[[Year]:[Year]],0))</f>
        <v>-9.3499088250000001E-2</v>
      </c>
      <c r="AG147" s="68">
        <f>IFERROR(INDEX(WaterUseH2[Average Direct Water Consumption (Gal/ kg h2)],MATCH(LEFT(D147,3),WaterUseH2[Key],0)),0)</f>
        <v>0</v>
      </c>
      <c r="AH147">
        <v>14</v>
      </c>
      <c r="AI147">
        <v>1.4</v>
      </c>
      <c r="AJ147">
        <v>250</v>
      </c>
      <c r="AK147">
        <v>0.31</v>
      </c>
      <c r="AL147" s="63">
        <f>IFERROR(INDEX(Job_Training[[Solar]:[Wind]],MATCH(AL$1,Job_Training[[`Typical Entry Level Education`]:[`Typical Entry Level Education`]],0),MATCH(LEFT($D147,5),Job_Training[[#Headers],[Solar]:[Wind]],0)),0)</f>
        <v>0</v>
      </c>
      <c r="AM147" s="63">
        <f>IFERROR(INDEX(Job_Training[[Solar]:[Wind]],MATCH(AM$1,Job_Training[[`Typical Entry Level Education`]:[`Typical Entry Level Education`]],0),MATCH(LEFT($D147,5),Job_Training[[#Headers],[Solar]:[Wind]],0)),0)</f>
        <v>0</v>
      </c>
      <c r="AN147" s="63">
        <f>IFERROR(INDEX(Job_Training[[Solar]:[Wind]],MATCH(AN$1,Job_Training[[`Typical Entry Level Education`]:[`Typical Entry Level Education`]],0),MATCH(LEFT($D147,5),Job_Training[[#Headers],[Solar]:[Wind]],0)),0)</f>
        <v>0</v>
      </c>
      <c r="AO147" s="63">
        <f>IFERROR(INDEX(Job_Training[[Solar]:[Wind]],MATCH(AO$1,Job_Training[[`Typical Entry Level Education`]:[`Typical Entry Level Education`]],0),MATCH(LEFT($D147,5),Job_Training[[#Headers],[Solar]:[Wind]],0)),0)</f>
        <v>0</v>
      </c>
      <c r="AP147">
        <f t="shared" si="60"/>
        <v>0</v>
      </c>
      <c r="AQ147" s="63">
        <f>IF(AP147&gt;0,IFERROR(INDEX(Assumptions!$C$165:$D$165,MATCH(LEFT($D147,5),Job_Training[[#Headers],[Solar]:[Wind]],0)),0),0)</f>
        <v>0</v>
      </c>
      <c r="AR147">
        <f>IF(AP147&gt;0,IFERROR(INDEX(Assumptions!$C$166:$D$166,MATCH(LEFT($D147,5),Job_Training[[#Headers],[Solar]:[Wind]],0)),0),0)</f>
        <v>0</v>
      </c>
    </row>
    <row r="148" spans="1:44" x14ac:dyDescent="0.35">
      <c r="A148" t="str">
        <f>UserInput!$B$2</f>
        <v>Current Projects</v>
      </c>
      <c r="B148">
        <v>2045</v>
      </c>
      <c r="C148" t="s">
        <v>41</v>
      </c>
      <c r="D148" t="s">
        <v>86</v>
      </c>
      <c r="E148" s="66">
        <f>INDEX(UserInput!$C$2:$M$22,MATCH(UserMade_Scenario!B148,UserInput!$A$2:$A$22,0),MATCH(LEFT(IF(RIGHT(C148,2)="H2",UserMade_Scenario!C148,D148),3),UserInput!$C$25:$M$25,0))</f>
        <v>1000</v>
      </c>
      <c r="F148" t="s">
        <v>81</v>
      </c>
      <c r="G148" s="14">
        <f t="shared" si="45"/>
        <v>7.9718945891337246E-3</v>
      </c>
      <c r="H148" s="63">
        <f t="shared" si="51"/>
        <v>0.13187912583821951</v>
      </c>
      <c r="I148" s="63">
        <f t="shared" si="52"/>
        <v>6.3988210463429646E-2</v>
      </c>
      <c r="J148" s="63">
        <f t="shared" si="53"/>
        <v>0.19977003899848575</v>
      </c>
      <c r="K148" s="30">
        <f>IF(OR(LEFT($D148,5)="Solar",$D148="Wind"),INDEX(Land_Use[AVG],MATCH(LEFT($D148,5),Land_Use[Tech],0)),0)*$E148</f>
        <v>0</v>
      </c>
      <c r="L148" s="30">
        <f>IF(OR(LEFT($D148,5)="Solar",$D148="Wind"),INDEX(Land_Use[MIN],MATCH(LEFT($D148,5),Land_Use[Tech],0)),0)*$E148</f>
        <v>0</v>
      </c>
      <c r="M148" s="30">
        <f>IF(OR(LEFT($D148,5)="Solar",$D148="Wind"),INDEX(Land_Use[MAX],MATCH(LEFT($D148,5),Land_Use[Tech],0)),0)*$E148</f>
        <v>0</v>
      </c>
      <c r="N148" s="15">
        <f t="shared" si="46"/>
        <v>0</v>
      </c>
      <c r="O148" s="11">
        <f t="shared" si="47"/>
        <v>0</v>
      </c>
      <c r="P148" s="11">
        <f t="shared" si="48"/>
        <v>0</v>
      </c>
      <c r="Q148" s="11">
        <f t="shared" si="49"/>
        <v>0</v>
      </c>
      <c r="R148" s="11">
        <f t="shared" si="50"/>
        <v>0</v>
      </c>
      <c r="S148" s="30">
        <f t="shared" si="54"/>
        <v>0</v>
      </c>
      <c r="T148" s="30">
        <f t="shared" si="55"/>
        <v>0</v>
      </c>
      <c r="U148" s="30">
        <f t="shared" si="56"/>
        <v>0</v>
      </c>
      <c r="V148" s="30">
        <f t="shared" si="57"/>
        <v>0</v>
      </c>
      <c r="W148" s="30">
        <f t="shared" si="58"/>
        <v>0</v>
      </c>
      <c r="X148" s="30">
        <f t="shared" si="59"/>
        <v>0</v>
      </c>
      <c r="Z148" s="23" t="s">
        <v>76</v>
      </c>
      <c r="AA148" s="40">
        <f>IF(C148="Electricity",E148*SUMIFS(Electricity!S:S,Electricity!P:P,UserMade_Scenario!B148,Electricity!M:M,UserMade_Scenario!Z148,Electricity!O:O,UserMade_Scenario!D148),"")</f>
        <v>2214524.3101776498</v>
      </c>
      <c r="AB148" s="76">
        <f>1/Assumptions!$B$23/1000000000000</f>
        <v>3.5998225679871703E-9</v>
      </c>
      <c r="AC148" s="67" t="s">
        <v>82</v>
      </c>
      <c r="AD148" s="69">
        <f>INDEX(Table11[AVG
CO2e MT per MWh],MATCH(UserMade_Scenario!$B148,Table11[[Year]:[Year]],0))</f>
        <v>-5.9551897999999888E-2</v>
      </c>
      <c r="AE148" s="69">
        <f>INDEX(Table11[MIN
CO2e MT per MWh],MATCH(UserMade_Scenario!$B148,Table11[[Year]:[Year]],0))</f>
        <v>-2.8894788000000095E-2</v>
      </c>
      <c r="AF148" s="69">
        <f>INDEX(Table11[MAX CO2e MT per MWh],MATCH(UserMade_Scenario!$B148,Table11[[Year]:[Year]],0))</f>
        <v>-9.0209006999999994E-2</v>
      </c>
      <c r="AG148" s="68">
        <f>IFERROR(INDEX(WaterUseH2[Average Direct Water Consumption (Gal/ kg h2)],MATCH(LEFT(D148,3),WaterUseH2[Key],0)),0)</f>
        <v>0</v>
      </c>
      <c r="AH148">
        <v>14</v>
      </c>
      <c r="AI148">
        <v>1.4</v>
      </c>
      <c r="AJ148">
        <v>250</v>
      </c>
      <c r="AK148">
        <v>0.31</v>
      </c>
      <c r="AL148" s="63">
        <f>IFERROR(INDEX(Job_Training[[Solar]:[Wind]],MATCH(AL$1,Job_Training[[`Typical Entry Level Education`]:[`Typical Entry Level Education`]],0),MATCH(LEFT($D148,5),Job_Training[[#Headers],[Solar]:[Wind]],0)),0)</f>
        <v>0</v>
      </c>
      <c r="AM148" s="63">
        <f>IFERROR(INDEX(Job_Training[[Solar]:[Wind]],MATCH(AM$1,Job_Training[[`Typical Entry Level Education`]:[`Typical Entry Level Education`]],0),MATCH(LEFT($D148,5),Job_Training[[#Headers],[Solar]:[Wind]],0)),0)</f>
        <v>0</v>
      </c>
      <c r="AN148" s="63">
        <f>IFERROR(INDEX(Job_Training[[Solar]:[Wind]],MATCH(AN$1,Job_Training[[`Typical Entry Level Education`]:[`Typical Entry Level Education`]],0),MATCH(LEFT($D148,5),Job_Training[[#Headers],[Solar]:[Wind]],0)),0)</f>
        <v>0</v>
      </c>
      <c r="AO148" s="63">
        <f>IFERROR(INDEX(Job_Training[[Solar]:[Wind]],MATCH(AO$1,Job_Training[[`Typical Entry Level Education`]:[`Typical Entry Level Education`]],0),MATCH(LEFT($D148,5),Job_Training[[#Headers],[Solar]:[Wind]],0)),0)</f>
        <v>0</v>
      </c>
      <c r="AP148">
        <f t="shared" si="60"/>
        <v>0</v>
      </c>
      <c r="AQ148" s="63">
        <f>IF(AP148&gt;0,IFERROR(INDEX(Assumptions!$C$165:$D$165,MATCH(LEFT($D148,5),Job_Training[[#Headers],[Solar]:[Wind]],0)),0),0)</f>
        <v>0</v>
      </c>
      <c r="AR148">
        <f>IF(AP148&gt;0,IFERROR(INDEX(Assumptions!$C$166:$D$166,MATCH(LEFT($D148,5),Job_Training[[#Headers],[Solar]:[Wind]],0)),0),0)</f>
        <v>0</v>
      </c>
    </row>
    <row r="149" spans="1:44" x14ac:dyDescent="0.35">
      <c r="A149" t="str">
        <f>UserInput!$B$2</f>
        <v>Current Projects</v>
      </c>
      <c r="B149">
        <v>2025</v>
      </c>
      <c r="C149" t="s">
        <v>87</v>
      </c>
      <c r="D149" t="s">
        <v>88</v>
      </c>
      <c r="E149" s="66">
        <f>INDEX(UserInput!$C$2:$M$22,MATCH(UserMade_Scenario!B149,UserInput!$A$2:$A$22,0),MATCH(LEFT(IF(RIGHT(C149,2)="H2",UserMade_Scenario!C149,D149),3),UserInput!$C$25:$M$25,0))</f>
        <v>0</v>
      </c>
      <c r="F149" t="s">
        <v>89</v>
      </c>
      <c r="G149" s="14">
        <f t="shared" ref="G149:G162" si="61">E149*AB149</f>
        <v>0</v>
      </c>
      <c r="H149" s="63">
        <f t="shared" si="51"/>
        <v>0</v>
      </c>
      <c r="I149" s="63">
        <f t="shared" si="52"/>
        <v>0</v>
      </c>
      <c r="J149" s="63">
        <f t="shared" si="53"/>
        <v>0</v>
      </c>
      <c r="K149" s="30">
        <f>IF(OR(LEFT($D149,5)="Solar",$D149="Wind"),INDEX(Land_Use[AVG],MATCH(LEFT($D149,5),Land_Use[Tech],0)),0)*$E149</f>
        <v>0</v>
      </c>
      <c r="L149" s="30">
        <f>IF(OR(LEFT($D149,5)="Solar",$D149="Wind"),INDEX(Land_Use[MIN],MATCH(LEFT($D149,5),Land_Use[Tech],0)),0)*$E149</f>
        <v>0</v>
      </c>
      <c r="M149" s="30">
        <f>IF(OR(LEFT($D149,5)="Solar",$D149="Wind"),INDEX(Land_Use[MAX],MATCH(LEFT($D149,5),Land_Use[Tech],0)),0)*$E149</f>
        <v>0</v>
      </c>
      <c r="N149" s="15">
        <f t="shared" si="40"/>
        <v>0</v>
      </c>
      <c r="O149" s="11">
        <f t="shared" si="41"/>
        <v>0</v>
      </c>
      <c r="P149" s="11">
        <f t="shared" si="42"/>
        <v>0</v>
      </c>
      <c r="Q149" s="11">
        <f t="shared" si="43"/>
        <v>0</v>
      </c>
      <c r="R149" s="11">
        <f t="shared" si="44"/>
        <v>0</v>
      </c>
      <c r="S149" s="30">
        <f t="shared" si="54"/>
        <v>0</v>
      </c>
      <c r="T149" s="30">
        <f t="shared" si="55"/>
        <v>0</v>
      </c>
      <c r="U149" s="30">
        <f t="shared" si="56"/>
        <v>0</v>
      </c>
      <c r="V149" s="30">
        <f t="shared" si="57"/>
        <v>0</v>
      </c>
      <c r="W149" s="30">
        <f t="shared" si="58"/>
        <v>0</v>
      </c>
      <c r="X149" s="30">
        <f t="shared" si="59"/>
        <v>0</v>
      </c>
      <c r="Z149" s="23" t="s">
        <v>76</v>
      </c>
      <c r="AA149" s="40" t="str">
        <f>IF(C149="Electricity",E149*SUMIFS(Electricity!S:S,Electricity!P:P,UserMade_Scenario!B149,Electricity!M:M,UserMade_Scenario!Z149,Electricity!O:O,UserMade_Scenario!D149),"")</f>
        <v/>
      </c>
      <c r="AB149" s="67">
        <v>1.093E-6</v>
      </c>
      <c r="AC149" s="67" t="s">
        <v>90</v>
      </c>
      <c r="AD149" s="39">
        <f>IFERROR(INDEX(Assumptions!B$145:B$146,MATCH($D149,Assumptions!$A$145:$A$146,0)),0)</f>
        <v>-229.20999999999998</v>
      </c>
      <c r="AE149" s="39">
        <f>IFERROR(INDEX(Assumptions!C$145:C$146,MATCH($D149,Assumptions!$A$145:$A$146,0)),0)</f>
        <v>-211.71999999999997</v>
      </c>
      <c r="AF149" s="39">
        <f>IFERROR(INDEX(Assumptions!D$145:D$146,MATCH($D149,Assumptions!$A$145:$A$146,0)),0)</f>
        <v>-408.02697478991581</v>
      </c>
      <c r="AG149" s="68">
        <f>IFERROR(INDEX(WaterUseH2[Average Direct Water Consumption (Gal/ kg h2)],MATCH(LEFT(D149,3),WaterUseH2[Key],0)),0)</f>
        <v>0</v>
      </c>
      <c r="AH149">
        <v>14</v>
      </c>
      <c r="AI149">
        <v>1.4</v>
      </c>
      <c r="AJ149">
        <v>250</v>
      </c>
      <c r="AK149">
        <v>0.31</v>
      </c>
      <c r="AL149" s="63">
        <f>IFERROR(INDEX(Job_Training[[Solar]:[Wind]],MATCH(AL$1,Job_Training[[`Typical Entry Level Education`]:[`Typical Entry Level Education`]],0),MATCH(LEFT($D149,5),Job_Training[[#Headers],[Solar]:[Wind]],0)),0)</f>
        <v>0</v>
      </c>
      <c r="AM149" s="63">
        <f>IFERROR(INDEX(Job_Training[[Solar]:[Wind]],MATCH(AM$1,Job_Training[[`Typical Entry Level Education`]:[`Typical Entry Level Education`]],0),MATCH(LEFT($D149,5),Job_Training[[#Headers],[Solar]:[Wind]],0)),0)</f>
        <v>0</v>
      </c>
      <c r="AN149" s="63">
        <f>IFERROR(INDEX(Job_Training[[Solar]:[Wind]],MATCH(AN$1,Job_Training[[`Typical Entry Level Education`]:[`Typical Entry Level Education`]],0),MATCH(LEFT($D149,5),Job_Training[[#Headers],[Solar]:[Wind]],0)),0)</f>
        <v>0</v>
      </c>
      <c r="AO149" s="63">
        <f>IFERROR(INDEX(Job_Training[[Solar]:[Wind]],MATCH(AO$1,Job_Training[[`Typical Entry Level Education`]:[`Typical Entry Level Education`]],0),MATCH(LEFT($D149,5),Job_Training[[#Headers],[Solar]:[Wind]],0)),0)</f>
        <v>0</v>
      </c>
      <c r="AP149">
        <f t="shared" si="60"/>
        <v>0</v>
      </c>
      <c r="AQ149" s="63">
        <f>IF(AP149&gt;0,IFERROR(INDEX(Assumptions!$C$165:$D$165,MATCH(LEFT($D149,5),Job_Training[[#Headers],[Solar]:[Wind]],0)),0),0)</f>
        <v>0</v>
      </c>
      <c r="AR149">
        <f>IF(AP149&gt;0,IFERROR(INDEX(Assumptions!$C$166:$D$166,MATCH(LEFT($D149,5),Job_Training[[#Headers],[Solar]:[Wind]],0)),0),0)</f>
        <v>0</v>
      </c>
    </row>
    <row r="150" spans="1:44" x14ac:dyDescent="0.35">
      <c r="A150" t="str">
        <f>UserInput!$B$2</f>
        <v>Current Projects</v>
      </c>
      <c r="B150">
        <v>2026</v>
      </c>
      <c r="C150" t="s">
        <v>87</v>
      </c>
      <c r="D150" t="s">
        <v>88</v>
      </c>
      <c r="E150" s="66">
        <f>INDEX(UserInput!$C$2:$M$22,MATCH(UserMade_Scenario!B150,UserInput!$A$2:$A$22,0),MATCH(LEFT(IF(RIGHT(C150,2)="H2",UserMade_Scenario!C150,D150),3),UserInput!$C$25:$M$25,0))</f>
        <v>0</v>
      </c>
      <c r="F150" t="s">
        <v>89</v>
      </c>
      <c r="G150" s="14">
        <f t="shared" si="61"/>
        <v>0</v>
      </c>
      <c r="H150" s="63">
        <f t="shared" si="51"/>
        <v>0</v>
      </c>
      <c r="I150" s="63">
        <f t="shared" si="52"/>
        <v>0</v>
      </c>
      <c r="J150" s="63">
        <f t="shared" si="53"/>
        <v>0</v>
      </c>
      <c r="K150" s="30">
        <f>IF(OR(LEFT($D150,5)="Solar",$D150="Wind"),INDEX(Land_Use[AVG],MATCH(LEFT($D150,5),Land_Use[Tech],0)),0)*$E150</f>
        <v>0</v>
      </c>
      <c r="L150" s="30">
        <f>IF(OR(LEFT($D150,5)="Solar",$D150="Wind"),INDEX(Land_Use[MIN],MATCH(LEFT($D150,5),Land_Use[Tech],0)),0)*$E150</f>
        <v>0</v>
      </c>
      <c r="M150" s="30">
        <f>IF(OR(LEFT($D150,5)="Solar",$D150="Wind"),INDEX(Land_Use[MAX],MATCH(LEFT($D150,5),Land_Use[Tech],0)),0)*$E150</f>
        <v>0</v>
      </c>
      <c r="N150" s="15">
        <f t="shared" si="40"/>
        <v>0</v>
      </c>
      <c r="O150" s="11">
        <f t="shared" si="41"/>
        <v>0</v>
      </c>
      <c r="P150" s="11">
        <f t="shared" si="42"/>
        <v>0</v>
      </c>
      <c r="Q150" s="11">
        <f t="shared" si="43"/>
        <v>0</v>
      </c>
      <c r="R150" s="11">
        <f t="shared" si="44"/>
        <v>0</v>
      </c>
      <c r="S150" s="30">
        <f t="shared" si="54"/>
        <v>0</v>
      </c>
      <c r="T150" s="30">
        <f t="shared" si="55"/>
        <v>0</v>
      </c>
      <c r="U150" s="30">
        <f t="shared" si="56"/>
        <v>0</v>
      </c>
      <c r="V150" s="30">
        <f t="shared" si="57"/>
        <v>0</v>
      </c>
      <c r="W150" s="30">
        <f t="shared" si="58"/>
        <v>0</v>
      </c>
      <c r="X150" s="30">
        <f t="shared" si="59"/>
        <v>0</v>
      </c>
      <c r="Z150" s="23" t="s">
        <v>76</v>
      </c>
      <c r="AA150" s="40" t="str">
        <f>IF(C150="Electricity",E150*SUMIFS(Electricity!S:S,Electricity!P:P,UserMade_Scenario!B150,Electricity!M:M,UserMade_Scenario!Z150,Electricity!O:O,UserMade_Scenario!D150),"")</f>
        <v/>
      </c>
      <c r="AB150" s="67">
        <v>1.093E-6</v>
      </c>
      <c r="AC150" s="67" t="s">
        <v>90</v>
      </c>
      <c r="AD150" s="39">
        <f>IFERROR(INDEX(Assumptions!B$145:B$146,MATCH($D150,Assumptions!$A$145:$A$146,0)),0)</f>
        <v>-229.20999999999998</v>
      </c>
      <c r="AE150" s="39">
        <f>IFERROR(INDEX(Assumptions!C$145:C$146,MATCH($D150,Assumptions!$A$145:$A$146,0)),0)</f>
        <v>-211.71999999999997</v>
      </c>
      <c r="AF150" s="39">
        <f>IFERROR(INDEX(Assumptions!D$145:D$146,MATCH($D150,Assumptions!$A$145:$A$146,0)),0)</f>
        <v>-408.02697478991581</v>
      </c>
      <c r="AG150" s="68">
        <f>IFERROR(INDEX(WaterUseH2[Average Direct Water Consumption (Gal/ kg h2)],MATCH(LEFT(D150,3),WaterUseH2[Key],0)),0)</f>
        <v>0</v>
      </c>
      <c r="AH150">
        <v>14</v>
      </c>
      <c r="AI150">
        <v>1.4</v>
      </c>
      <c r="AJ150">
        <v>250</v>
      </c>
      <c r="AK150">
        <v>0.31</v>
      </c>
      <c r="AL150" s="63">
        <f>IFERROR(INDEX(Job_Training[[Solar]:[Wind]],MATCH(AL$1,Job_Training[[`Typical Entry Level Education`]:[`Typical Entry Level Education`]],0),MATCH(LEFT($D150,5),Job_Training[[#Headers],[Solar]:[Wind]],0)),0)</f>
        <v>0</v>
      </c>
      <c r="AM150" s="63">
        <f>IFERROR(INDEX(Job_Training[[Solar]:[Wind]],MATCH(AM$1,Job_Training[[`Typical Entry Level Education`]:[`Typical Entry Level Education`]],0),MATCH(LEFT($D150,5),Job_Training[[#Headers],[Solar]:[Wind]],0)),0)</f>
        <v>0</v>
      </c>
      <c r="AN150" s="63">
        <f>IFERROR(INDEX(Job_Training[[Solar]:[Wind]],MATCH(AN$1,Job_Training[[`Typical Entry Level Education`]:[`Typical Entry Level Education`]],0),MATCH(LEFT($D150,5),Job_Training[[#Headers],[Solar]:[Wind]],0)),0)</f>
        <v>0</v>
      </c>
      <c r="AO150" s="63">
        <f>IFERROR(INDEX(Job_Training[[Solar]:[Wind]],MATCH(AO$1,Job_Training[[`Typical Entry Level Education`]:[`Typical Entry Level Education`]],0),MATCH(LEFT($D150,5),Job_Training[[#Headers],[Solar]:[Wind]],0)),0)</f>
        <v>0</v>
      </c>
      <c r="AP150">
        <f t="shared" si="60"/>
        <v>0</v>
      </c>
      <c r="AQ150" s="63">
        <f>IF(AP150&gt;0,IFERROR(INDEX(Assumptions!$C$165:$D$165,MATCH(LEFT($D150,5),Job_Training[[#Headers],[Solar]:[Wind]],0)),0),0)</f>
        <v>0</v>
      </c>
      <c r="AR150">
        <f>IF(AP150&gt;0,IFERROR(INDEX(Assumptions!$C$166:$D$166,MATCH(LEFT($D150,5),Job_Training[[#Headers],[Solar]:[Wind]],0)),0),0)</f>
        <v>0</v>
      </c>
    </row>
    <row r="151" spans="1:44" x14ac:dyDescent="0.35">
      <c r="A151" t="str">
        <f>UserInput!$B$2</f>
        <v>Current Projects</v>
      </c>
      <c r="B151">
        <v>2027</v>
      </c>
      <c r="C151" t="s">
        <v>87</v>
      </c>
      <c r="D151" t="s">
        <v>88</v>
      </c>
      <c r="E151" s="66">
        <f>INDEX(UserInput!$C$2:$M$22,MATCH(UserMade_Scenario!B151,UserInput!$A$2:$A$22,0),MATCH(LEFT(IF(RIGHT(C151,2)="H2",UserMade_Scenario!C151,D151),3),UserInput!$C$25:$M$25,0))</f>
        <v>0</v>
      </c>
      <c r="F151" t="s">
        <v>89</v>
      </c>
      <c r="G151" s="14">
        <f t="shared" si="61"/>
        <v>0</v>
      </c>
      <c r="H151" s="63">
        <f t="shared" si="51"/>
        <v>0</v>
      </c>
      <c r="I151" s="63">
        <f t="shared" si="52"/>
        <v>0</v>
      </c>
      <c r="J151" s="63">
        <f t="shared" si="53"/>
        <v>0</v>
      </c>
      <c r="K151" s="30">
        <f>IF(OR(LEFT($D151,5)="Solar",$D151="Wind"),INDEX(Land_Use[AVG],MATCH(LEFT($D151,5),Land_Use[Tech],0)),0)*$E151</f>
        <v>0</v>
      </c>
      <c r="L151" s="30">
        <f>IF(OR(LEFT($D151,5)="Solar",$D151="Wind"),INDEX(Land_Use[MIN],MATCH(LEFT($D151,5),Land_Use[Tech],0)),0)*$E151</f>
        <v>0</v>
      </c>
      <c r="M151" s="30">
        <f>IF(OR(LEFT($D151,5)="Solar",$D151="Wind"),INDEX(Land_Use[MAX],MATCH(LEFT($D151,5),Land_Use[Tech],0)),0)*$E151</f>
        <v>0</v>
      </c>
      <c r="N151" s="15">
        <f t="shared" si="40"/>
        <v>0</v>
      </c>
      <c r="O151" s="11">
        <f t="shared" si="41"/>
        <v>0</v>
      </c>
      <c r="P151" s="11">
        <f t="shared" si="42"/>
        <v>0</v>
      </c>
      <c r="Q151" s="11">
        <f t="shared" si="43"/>
        <v>0</v>
      </c>
      <c r="R151" s="11">
        <f t="shared" si="44"/>
        <v>0</v>
      </c>
      <c r="S151" s="30">
        <f t="shared" si="54"/>
        <v>0</v>
      </c>
      <c r="T151" s="30">
        <f t="shared" si="55"/>
        <v>0</v>
      </c>
      <c r="U151" s="30">
        <f t="shared" si="56"/>
        <v>0</v>
      </c>
      <c r="V151" s="30">
        <f t="shared" si="57"/>
        <v>0</v>
      </c>
      <c r="W151" s="30">
        <f t="shared" si="58"/>
        <v>0</v>
      </c>
      <c r="X151" s="30">
        <f t="shared" si="59"/>
        <v>0</v>
      </c>
      <c r="Z151" s="23" t="s">
        <v>76</v>
      </c>
      <c r="AA151" s="40" t="str">
        <f>IF(C151="Electricity",E151*SUMIFS(Electricity!S:S,Electricity!P:P,UserMade_Scenario!B151,Electricity!M:M,UserMade_Scenario!Z151,Electricity!O:O,UserMade_Scenario!D151),"")</f>
        <v/>
      </c>
      <c r="AB151" s="67">
        <v>1.093E-6</v>
      </c>
      <c r="AC151" s="67" t="s">
        <v>90</v>
      </c>
      <c r="AD151" s="39">
        <f>IFERROR(INDEX(Assumptions!B$145:B$146,MATCH($D151,Assumptions!$A$145:$A$146,0)),0)</f>
        <v>-229.20999999999998</v>
      </c>
      <c r="AE151" s="39">
        <f>IFERROR(INDEX(Assumptions!C$145:C$146,MATCH($D151,Assumptions!$A$145:$A$146,0)),0)</f>
        <v>-211.71999999999997</v>
      </c>
      <c r="AF151" s="39">
        <f>IFERROR(INDEX(Assumptions!D$145:D$146,MATCH($D151,Assumptions!$A$145:$A$146,0)),0)</f>
        <v>-408.02697478991581</v>
      </c>
      <c r="AG151" s="68">
        <f>IFERROR(INDEX(WaterUseH2[Average Direct Water Consumption (Gal/ kg h2)],MATCH(LEFT(D151,3),WaterUseH2[Key],0)),0)</f>
        <v>0</v>
      </c>
      <c r="AH151">
        <v>14</v>
      </c>
      <c r="AI151">
        <v>1.4</v>
      </c>
      <c r="AJ151">
        <v>250</v>
      </c>
      <c r="AK151">
        <v>0.31</v>
      </c>
      <c r="AL151" s="63">
        <f>IFERROR(INDEX(Job_Training[[Solar]:[Wind]],MATCH(AL$1,Job_Training[[`Typical Entry Level Education`]:[`Typical Entry Level Education`]],0),MATCH(LEFT($D151,5),Job_Training[[#Headers],[Solar]:[Wind]],0)),0)</f>
        <v>0</v>
      </c>
      <c r="AM151" s="63">
        <f>IFERROR(INDEX(Job_Training[[Solar]:[Wind]],MATCH(AM$1,Job_Training[[`Typical Entry Level Education`]:[`Typical Entry Level Education`]],0),MATCH(LEFT($D151,5),Job_Training[[#Headers],[Solar]:[Wind]],0)),0)</f>
        <v>0</v>
      </c>
      <c r="AN151" s="63">
        <f>IFERROR(INDEX(Job_Training[[Solar]:[Wind]],MATCH(AN$1,Job_Training[[`Typical Entry Level Education`]:[`Typical Entry Level Education`]],0),MATCH(LEFT($D151,5),Job_Training[[#Headers],[Solar]:[Wind]],0)),0)</f>
        <v>0</v>
      </c>
      <c r="AO151" s="63">
        <f>IFERROR(INDEX(Job_Training[[Solar]:[Wind]],MATCH(AO$1,Job_Training[[`Typical Entry Level Education`]:[`Typical Entry Level Education`]],0),MATCH(LEFT($D151,5),Job_Training[[#Headers],[Solar]:[Wind]],0)),0)</f>
        <v>0</v>
      </c>
      <c r="AP151">
        <f t="shared" si="60"/>
        <v>0</v>
      </c>
      <c r="AQ151" s="63">
        <f>IF(AP151&gt;0,IFERROR(INDEX(Assumptions!$C$165:$D$165,MATCH(LEFT($D151,5),Job_Training[[#Headers],[Solar]:[Wind]],0)),0),0)</f>
        <v>0</v>
      </c>
      <c r="AR151">
        <f>IF(AP151&gt;0,IFERROR(INDEX(Assumptions!$C$166:$D$166,MATCH(LEFT($D151,5),Job_Training[[#Headers],[Solar]:[Wind]],0)),0),0)</f>
        <v>0</v>
      </c>
    </row>
    <row r="152" spans="1:44" x14ac:dyDescent="0.35">
      <c r="A152" t="str">
        <f>UserInput!$B$2</f>
        <v>Current Projects</v>
      </c>
      <c r="B152">
        <v>2028</v>
      </c>
      <c r="C152" t="s">
        <v>87</v>
      </c>
      <c r="D152" t="s">
        <v>88</v>
      </c>
      <c r="E152" s="66">
        <f>INDEX(UserInput!$C$2:$M$22,MATCH(UserMade_Scenario!B152,UserInput!$A$2:$A$22,0),MATCH(LEFT(IF(RIGHT(C152,2)="H2",UserMade_Scenario!C152,D152),3),UserInput!$C$25:$M$25,0))</f>
        <v>0</v>
      </c>
      <c r="F152" t="s">
        <v>89</v>
      </c>
      <c r="G152" s="14">
        <f t="shared" si="61"/>
        <v>0</v>
      </c>
      <c r="H152" s="63">
        <f t="shared" si="51"/>
        <v>0</v>
      </c>
      <c r="I152" s="63">
        <f t="shared" si="52"/>
        <v>0</v>
      </c>
      <c r="J152" s="63">
        <f t="shared" si="53"/>
        <v>0</v>
      </c>
      <c r="K152" s="30">
        <f>IF(OR(LEFT($D152,5)="Solar",$D152="Wind"),INDEX(Land_Use[AVG],MATCH(LEFT($D152,5),Land_Use[Tech],0)),0)*$E152</f>
        <v>0</v>
      </c>
      <c r="L152" s="30">
        <f>IF(OR(LEFT($D152,5)="Solar",$D152="Wind"),INDEX(Land_Use[MIN],MATCH(LEFT($D152,5),Land_Use[Tech],0)),0)*$E152</f>
        <v>0</v>
      </c>
      <c r="M152" s="30">
        <f>IF(OR(LEFT($D152,5)="Solar",$D152="Wind"),INDEX(Land_Use[MAX],MATCH(LEFT($D152,5),Land_Use[Tech],0)),0)*$E152</f>
        <v>0</v>
      </c>
      <c r="N152" s="15">
        <f t="shared" si="40"/>
        <v>0</v>
      </c>
      <c r="O152" s="11">
        <f t="shared" si="41"/>
        <v>0</v>
      </c>
      <c r="P152" s="11">
        <f t="shared" si="42"/>
        <v>0</v>
      </c>
      <c r="Q152" s="11">
        <f t="shared" si="43"/>
        <v>0</v>
      </c>
      <c r="R152" s="11">
        <f t="shared" si="44"/>
        <v>0</v>
      </c>
      <c r="S152" s="30">
        <f t="shared" si="54"/>
        <v>0</v>
      </c>
      <c r="T152" s="30">
        <f t="shared" si="55"/>
        <v>0</v>
      </c>
      <c r="U152" s="30">
        <f t="shared" si="56"/>
        <v>0</v>
      </c>
      <c r="V152" s="30">
        <f t="shared" si="57"/>
        <v>0</v>
      </c>
      <c r="W152" s="30">
        <f t="shared" si="58"/>
        <v>0</v>
      </c>
      <c r="X152" s="30">
        <f t="shared" si="59"/>
        <v>0</v>
      </c>
      <c r="Z152" s="23" t="s">
        <v>76</v>
      </c>
      <c r="AA152" s="40" t="str">
        <f>IF(C152="Electricity",E152*SUMIFS(Electricity!S:S,Electricity!P:P,UserMade_Scenario!B152,Electricity!M:M,UserMade_Scenario!Z152,Electricity!O:O,UserMade_Scenario!D152),"")</f>
        <v/>
      </c>
      <c r="AB152" s="67">
        <v>1.093E-6</v>
      </c>
      <c r="AC152" s="67" t="s">
        <v>90</v>
      </c>
      <c r="AD152" s="39">
        <f>IFERROR(INDEX(Assumptions!B$145:B$146,MATCH($D152,Assumptions!$A$145:$A$146,0)),0)</f>
        <v>-229.20999999999998</v>
      </c>
      <c r="AE152" s="39">
        <f>IFERROR(INDEX(Assumptions!C$145:C$146,MATCH($D152,Assumptions!$A$145:$A$146,0)),0)</f>
        <v>-211.71999999999997</v>
      </c>
      <c r="AF152" s="39">
        <f>IFERROR(INDEX(Assumptions!D$145:D$146,MATCH($D152,Assumptions!$A$145:$A$146,0)),0)</f>
        <v>-408.02697478991581</v>
      </c>
      <c r="AG152" s="68">
        <f>IFERROR(INDEX(WaterUseH2[Average Direct Water Consumption (Gal/ kg h2)],MATCH(LEFT(D152,3),WaterUseH2[Key],0)),0)</f>
        <v>0</v>
      </c>
      <c r="AH152">
        <v>14</v>
      </c>
      <c r="AI152">
        <v>1.4</v>
      </c>
      <c r="AJ152">
        <v>250</v>
      </c>
      <c r="AK152">
        <v>0.31</v>
      </c>
      <c r="AL152" s="63">
        <f>IFERROR(INDEX(Job_Training[[Solar]:[Wind]],MATCH(AL$1,Job_Training[[`Typical Entry Level Education`]:[`Typical Entry Level Education`]],0),MATCH(LEFT($D152,5),Job_Training[[#Headers],[Solar]:[Wind]],0)),0)</f>
        <v>0</v>
      </c>
      <c r="AM152" s="63">
        <f>IFERROR(INDEX(Job_Training[[Solar]:[Wind]],MATCH(AM$1,Job_Training[[`Typical Entry Level Education`]:[`Typical Entry Level Education`]],0),MATCH(LEFT($D152,5),Job_Training[[#Headers],[Solar]:[Wind]],0)),0)</f>
        <v>0</v>
      </c>
      <c r="AN152" s="63">
        <f>IFERROR(INDEX(Job_Training[[Solar]:[Wind]],MATCH(AN$1,Job_Training[[`Typical Entry Level Education`]:[`Typical Entry Level Education`]],0),MATCH(LEFT($D152,5),Job_Training[[#Headers],[Solar]:[Wind]],0)),0)</f>
        <v>0</v>
      </c>
      <c r="AO152" s="63">
        <f>IFERROR(INDEX(Job_Training[[Solar]:[Wind]],MATCH(AO$1,Job_Training[[`Typical Entry Level Education`]:[`Typical Entry Level Education`]],0),MATCH(LEFT($D152,5),Job_Training[[#Headers],[Solar]:[Wind]],0)),0)</f>
        <v>0</v>
      </c>
      <c r="AP152">
        <f t="shared" si="60"/>
        <v>0</v>
      </c>
      <c r="AQ152" s="63">
        <f>IF(AP152&gt;0,IFERROR(INDEX(Assumptions!$C$165:$D$165,MATCH(LEFT($D152,5),Job_Training[[#Headers],[Solar]:[Wind]],0)),0),0)</f>
        <v>0</v>
      </c>
      <c r="AR152">
        <f>IF(AP152&gt;0,IFERROR(INDEX(Assumptions!$C$166:$D$166,MATCH(LEFT($D152,5),Job_Training[[#Headers],[Solar]:[Wind]],0)),0),0)</f>
        <v>0</v>
      </c>
    </row>
    <row r="153" spans="1:44" x14ac:dyDescent="0.35">
      <c r="A153" t="str">
        <f>UserInput!$B$2</f>
        <v>Current Projects</v>
      </c>
      <c r="B153">
        <v>2029</v>
      </c>
      <c r="C153" t="s">
        <v>87</v>
      </c>
      <c r="D153" t="s">
        <v>88</v>
      </c>
      <c r="E153" s="66">
        <f>INDEX(UserInput!$C$2:$M$22,MATCH(UserMade_Scenario!B153,UserInput!$A$2:$A$22,0),MATCH(LEFT(IF(RIGHT(C153,2)="H2",UserMade_Scenario!C153,D153),3),UserInput!$C$25:$M$25,0))</f>
        <v>0</v>
      </c>
      <c r="F153" t="s">
        <v>89</v>
      </c>
      <c r="G153" s="14">
        <f t="shared" si="61"/>
        <v>0</v>
      </c>
      <c r="H153" s="63">
        <f t="shared" si="51"/>
        <v>0</v>
      </c>
      <c r="I153" s="63">
        <f t="shared" si="52"/>
        <v>0</v>
      </c>
      <c r="J153" s="63">
        <f t="shared" si="53"/>
        <v>0</v>
      </c>
      <c r="K153" s="30">
        <f>IF(OR(LEFT($D153,5)="Solar",$D153="Wind"),INDEX(Land_Use[AVG],MATCH(LEFT($D153,5),Land_Use[Tech],0)),0)*$E153</f>
        <v>0</v>
      </c>
      <c r="L153" s="30">
        <f>IF(OR(LEFT($D153,5)="Solar",$D153="Wind"),INDEX(Land_Use[MIN],MATCH(LEFT($D153,5),Land_Use[Tech],0)),0)*$E153</f>
        <v>0</v>
      </c>
      <c r="M153" s="30">
        <f>IF(OR(LEFT($D153,5)="Solar",$D153="Wind"),INDEX(Land_Use[MAX],MATCH(LEFT($D153,5),Land_Use[Tech],0)),0)*$E153</f>
        <v>0</v>
      </c>
      <c r="N153" s="15">
        <f t="shared" si="40"/>
        <v>0</v>
      </c>
      <c r="O153" s="11">
        <f t="shared" si="41"/>
        <v>0</v>
      </c>
      <c r="P153" s="11">
        <f t="shared" si="42"/>
        <v>0</v>
      </c>
      <c r="Q153" s="11">
        <f t="shared" si="43"/>
        <v>0</v>
      </c>
      <c r="R153" s="11">
        <f t="shared" si="44"/>
        <v>0</v>
      </c>
      <c r="S153" s="30">
        <f t="shared" si="54"/>
        <v>0</v>
      </c>
      <c r="T153" s="30">
        <f t="shared" si="55"/>
        <v>0</v>
      </c>
      <c r="U153" s="30">
        <f t="shared" si="56"/>
        <v>0</v>
      </c>
      <c r="V153" s="30">
        <f t="shared" si="57"/>
        <v>0</v>
      </c>
      <c r="W153" s="30">
        <f t="shared" si="58"/>
        <v>0</v>
      </c>
      <c r="X153" s="30">
        <f t="shared" si="59"/>
        <v>0</v>
      </c>
      <c r="Z153" s="23" t="s">
        <v>76</v>
      </c>
      <c r="AA153" s="40" t="str">
        <f>IF(C153="Electricity",E153*SUMIFS(Electricity!S:S,Electricity!P:P,UserMade_Scenario!B153,Electricity!M:M,UserMade_Scenario!Z153,Electricity!O:O,UserMade_Scenario!D153),"")</f>
        <v/>
      </c>
      <c r="AB153" s="67">
        <v>1.093E-6</v>
      </c>
      <c r="AC153" s="67" t="s">
        <v>90</v>
      </c>
      <c r="AD153" s="39">
        <f>IFERROR(INDEX(Assumptions!B$145:B$146,MATCH($D153,Assumptions!$A$145:$A$146,0)),0)</f>
        <v>-229.20999999999998</v>
      </c>
      <c r="AE153" s="39">
        <f>IFERROR(INDEX(Assumptions!C$145:C$146,MATCH($D153,Assumptions!$A$145:$A$146,0)),0)</f>
        <v>-211.71999999999997</v>
      </c>
      <c r="AF153" s="39">
        <f>IFERROR(INDEX(Assumptions!D$145:D$146,MATCH($D153,Assumptions!$A$145:$A$146,0)),0)</f>
        <v>-408.02697478991581</v>
      </c>
      <c r="AG153" s="68">
        <f>IFERROR(INDEX(WaterUseH2[Average Direct Water Consumption (Gal/ kg h2)],MATCH(LEFT(D153,3),WaterUseH2[Key],0)),0)</f>
        <v>0</v>
      </c>
      <c r="AH153">
        <v>14</v>
      </c>
      <c r="AI153">
        <v>1.4</v>
      </c>
      <c r="AJ153">
        <v>250</v>
      </c>
      <c r="AK153">
        <v>0.31</v>
      </c>
      <c r="AL153" s="63">
        <f>IFERROR(INDEX(Job_Training[[Solar]:[Wind]],MATCH(AL$1,Job_Training[[`Typical Entry Level Education`]:[`Typical Entry Level Education`]],0),MATCH(LEFT($D153,5),Job_Training[[#Headers],[Solar]:[Wind]],0)),0)</f>
        <v>0</v>
      </c>
      <c r="AM153" s="63">
        <f>IFERROR(INDEX(Job_Training[[Solar]:[Wind]],MATCH(AM$1,Job_Training[[`Typical Entry Level Education`]:[`Typical Entry Level Education`]],0),MATCH(LEFT($D153,5),Job_Training[[#Headers],[Solar]:[Wind]],0)),0)</f>
        <v>0</v>
      </c>
      <c r="AN153" s="63">
        <f>IFERROR(INDEX(Job_Training[[Solar]:[Wind]],MATCH(AN$1,Job_Training[[`Typical Entry Level Education`]:[`Typical Entry Level Education`]],0),MATCH(LEFT($D153,5),Job_Training[[#Headers],[Solar]:[Wind]],0)),0)</f>
        <v>0</v>
      </c>
      <c r="AO153" s="63">
        <f>IFERROR(INDEX(Job_Training[[Solar]:[Wind]],MATCH(AO$1,Job_Training[[`Typical Entry Level Education`]:[`Typical Entry Level Education`]],0),MATCH(LEFT($D153,5),Job_Training[[#Headers],[Solar]:[Wind]],0)),0)</f>
        <v>0</v>
      </c>
      <c r="AP153">
        <f t="shared" si="60"/>
        <v>0</v>
      </c>
      <c r="AQ153" s="63">
        <f>IF(AP153&gt;0,IFERROR(INDEX(Assumptions!$C$165:$D$165,MATCH(LEFT($D153,5),Job_Training[[#Headers],[Solar]:[Wind]],0)),0),0)</f>
        <v>0</v>
      </c>
      <c r="AR153">
        <f>IF(AP153&gt;0,IFERROR(INDEX(Assumptions!$C$166:$D$166,MATCH(LEFT($D153,5),Job_Training[[#Headers],[Solar]:[Wind]],0)),0),0)</f>
        <v>0</v>
      </c>
    </row>
    <row r="154" spans="1:44" x14ac:dyDescent="0.35">
      <c r="A154" t="str">
        <f>UserInput!$B$2</f>
        <v>Current Projects</v>
      </c>
      <c r="B154">
        <v>2030</v>
      </c>
      <c r="C154" t="s">
        <v>87</v>
      </c>
      <c r="D154" t="s">
        <v>88</v>
      </c>
      <c r="E154" s="66">
        <f>INDEX(UserInput!$C$2:$M$22,MATCH(UserMade_Scenario!B154,UserInput!$A$2:$A$22,0),MATCH(LEFT(IF(RIGHT(C154,2)="H2",UserMade_Scenario!C154,D154),3),UserInput!$C$25:$M$25,0))</f>
        <v>0</v>
      </c>
      <c r="F154" t="s">
        <v>89</v>
      </c>
      <c r="G154" s="14">
        <f t="shared" si="61"/>
        <v>0</v>
      </c>
      <c r="H154" s="63">
        <f t="shared" si="51"/>
        <v>0</v>
      </c>
      <c r="I154" s="63">
        <f t="shared" si="52"/>
        <v>0</v>
      </c>
      <c r="J154" s="63">
        <f t="shared" si="53"/>
        <v>0</v>
      </c>
      <c r="K154" s="30">
        <f>IF(OR(LEFT($D154,5)="Solar",$D154="Wind"),INDEX(Land_Use[AVG],MATCH(LEFT($D154,5),Land_Use[Tech],0)),0)*$E154</f>
        <v>0</v>
      </c>
      <c r="L154" s="30">
        <f>IF(OR(LEFT($D154,5)="Solar",$D154="Wind"),INDEX(Land_Use[MIN],MATCH(LEFT($D154,5),Land_Use[Tech],0)),0)*$E154</f>
        <v>0</v>
      </c>
      <c r="M154" s="30">
        <f>IF(OR(LEFT($D154,5)="Solar",$D154="Wind"),INDEX(Land_Use[MAX],MATCH(LEFT($D154,5),Land_Use[Tech],0)),0)*$E154</f>
        <v>0</v>
      </c>
      <c r="N154" s="15">
        <f t="shared" si="40"/>
        <v>0</v>
      </c>
      <c r="O154" s="11">
        <f t="shared" si="41"/>
        <v>0</v>
      </c>
      <c r="P154" s="11">
        <f t="shared" si="42"/>
        <v>0</v>
      </c>
      <c r="Q154" s="11">
        <f t="shared" si="43"/>
        <v>0</v>
      </c>
      <c r="R154" s="11">
        <f t="shared" si="44"/>
        <v>0</v>
      </c>
      <c r="S154" s="30">
        <f t="shared" si="54"/>
        <v>0</v>
      </c>
      <c r="T154" s="30">
        <f t="shared" si="55"/>
        <v>0</v>
      </c>
      <c r="U154" s="30">
        <f t="shared" si="56"/>
        <v>0</v>
      </c>
      <c r="V154" s="30">
        <f t="shared" si="57"/>
        <v>0</v>
      </c>
      <c r="W154" s="30">
        <f t="shared" si="58"/>
        <v>0</v>
      </c>
      <c r="X154" s="30">
        <f t="shared" si="59"/>
        <v>0</v>
      </c>
      <c r="Z154" s="23" t="s">
        <v>76</v>
      </c>
      <c r="AA154" s="40" t="str">
        <f>IF(C154="Electricity",E154*SUMIFS(Electricity!S:S,Electricity!P:P,UserMade_Scenario!B154,Electricity!M:M,UserMade_Scenario!Z154,Electricity!O:O,UserMade_Scenario!D154),"")</f>
        <v/>
      </c>
      <c r="AB154" s="67">
        <v>1.093E-6</v>
      </c>
      <c r="AC154" s="67" t="s">
        <v>90</v>
      </c>
      <c r="AD154" s="39">
        <f>IFERROR(INDEX(Assumptions!B$145:B$146,MATCH($D154,Assumptions!$A$145:$A$146,0)),0)</f>
        <v>-229.20999999999998</v>
      </c>
      <c r="AE154" s="39">
        <f>IFERROR(INDEX(Assumptions!C$145:C$146,MATCH($D154,Assumptions!$A$145:$A$146,0)),0)</f>
        <v>-211.71999999999997</v>
      </c>
      <c r="AF154" s="39">
        <f>IFERROR(INDEX(Assumptions!D$145:D$146,MATCH($D154,Assumptions!$A$145:$A$146,0)),0)</f>
        <v>-408.02697478991581</v>
      </c>
      <c r="AG154" s="68">
        <f>IFERROR(INDEX(WaterUseH2[Average Direct Water Consumption (Gal/ kg h2)],MATCH(LEFT(D154,3),WaterUseH2[Key],0)),0)</f>
        <v>0</v>
      </c>
      <c r="AH154">
        <v>14</v>
      </c>
      <c r="AI154">
        <v>1.4</v>
      </c>
      <c r="AJ154">
        <v>250</v>
      </c>
      <c r="AK154">
        <v>0.31</v>
      </c>
      <c r="AL154" s="63">
        <f>IFERROR(INDEX(Job_Training[[Solar]:[Wind]],MATCH(AL$1,Job_Training[[`Typical Entry Level Education`]:[`Typical Entry Level Education`]],0),MATCH(LEFT($D154,5),Job_Training[[#Headers],[Solar]:[Wind]],0)),0)</f>
        <v>0</v>
      </c>
      <c r="AM154" s="63">
        <f>IFERROR(INDEX(Job_Training[[Solar]:[Wind]],MATCH(AM$1,Job_Training[[`Typical Entry Level Education`]:[`Typical Entry Level Education`]],0),MATCH(LEFT($D154,5),Job_Training[[#Headers],[Solar]:[Wind]],0)),0)</f>
        <v>0</v>
      </c>
      <c r="AN154" s="63">
        <f>IFERROR(INDEX(Job_Training[[Solar]:[Wind]],MATCH(AN$1,Job_Training[[`Typical Entry Level Education`]:[`Typical Entry Level Education`]],0),MATCH(LEFT($D154,5),Job_Training[[#Headers],[Solar]:[Wind]],0)),0)</f>
        <v>0</v>
      </c>
      <c r="AO154" s="63">
        <f>IFERROR(INDEX(Job_Training[[Solar]:[Wind]],MATCH(AO$1,Job_Training[[`Typical Entry Level Education`]:[`Typical Entry Level Education`]],0),MATCH(LEFT($D154,5),Job_Training[[#Headers],[Solar]:[Wind]],0)),0)</f>
        <v>0</v>
      </c>
      <c r="AP154">
        <f t="shared" si="60"/>
        <v>0</v>
      </c>
      <c r="AQ154" s="63">
        <f>IF(AP154&gt;0,IFERROR(INDEX(Assumptions!$C$165:$D$165,MATCH(LEFT($D154,5),Job_Training[[#Headers],[Solar]:[Wind]],0)),0),0)</f>
        <v>0</v>
      </c>
      <c r="AR154">
        <f>IF(AP154&gt;0,IFERROR(INDEX(Assumptions!$C$166:$D$166,MATCH(LEFT($D154,5),Job_Training[[#Headers],[Solar]:[Wind]],0)),0),0)</f>
        <v>0</v>
      </c>
    </row>
    <row r="155" spans="1:44" x14ac:dyDescent="0.35">
      <c r="A155" t="str">
        <f>UserInput!$B$2</f>
        <v>Current Projects</v>
      </c>
      <c r="B155">
        <v>2031</v>
      </c>
      <c r="C155" t="s">
        <v>87</v>
      </c>
      <c r="D155" t="s">
        <v>88</v>
      </c>
      <c r="E155" s="66">
        <f>INDEX(UserInput!$C$2:$M$22,MATCH(UserMade_Scenario!B155,UserInput!$A$2:$A$22,0),MATCH(LEFT(IF(RIGHT(C155,2)="H2",UserMade_Scenario!C155,D155),3),UserInput!$C$25:$M$25,0))</f>
        <v>0</v>
      </c>
      <c r="F155" t="s">
        <v>89</v>
      </c>
      <c r="G155" s="14">
        <f t="shared" si="61"/>
        <v>0</v>
      </c>
      <c r="H155" s="63">
        <f t="shared" si="51"/>
        <v>0</v>
      </c>
      <c r="I155" s="63">
        <f t="shared" si="52"/>
        <v>0</v>
      </c>
      <c r="J155" s="63">
        <f t="shared" si="53"/>
        <v>0</v>
      </c>
      <c r="K155" s="30">
        <f>IF(OR(LEFT($D155,5)="Solar",$D155="Wind"),INDEX(Land_Use[AVG],MATCH(LEFT($D155,5),Land_Use[Tech],0)),0)*$E155</f>
        <v>0</v>
      </c>
      <c r="L155" s="30">
        <f>IF(OR(LEFT($D155,5)="Solar",$D155="Wind"),INDEX(Land_Use[MIN],MATCH(LEFT($D155,5),Land_Use[Tech],0)),0)*$E155</f>
        <v>0</v>
      </c>
      <c r="M155" s="30">
        <f>IF(OR(LEFT($D155,5)="Solar",$D155="Wind"),INDEX(Land_Use[MAX],MATCH(LEFT($D155,5),Land_Use[Tech],0)),0)*$E155</f>
        <v>0</v>
      </c>
      <c r="N155" s="15">
        <f t="shared" si="40"/>
        <v>0</v>
      </c>
      <c r="O155" s="11">
        <f t="shared" si="41"/>
        <v>0</v>
      </c>
      <c r="P155" s="11">
        <f t="shared" si="42"/>
        <v>0</v>
      </c>
      <c r="Q155" s="11">
        <f t="shared" si="43"/>
        <v>0</v>
      </c>
      <c r="R155" s="11">
        <f t="shared" si="44"/>
        <v>0</v>
      </c>
      <c r="S155" s="30">
        <f t="shared" si="54"/>
        <v>0</v>
      </c>
      <c r="T155" s="30">
        <f t="shared" si="55"/>
        <v>0</v>
      </c>
      <c r="U155" s="30">
        <f t="shared" si="56"/>
        <v>0</v>
      </c>
      <c r="V155" s="30">
        <f t="shared" si="57"/>
        <v>0</v>
      </c>
      <c r="W155" s="30">
        <f t="shared" si="58"/>
        <v>0</v>
      </c>
      <c r="X155" s="30">
        <f t="shared" si="59"/>
        <v>0</v>
      </c>
      <c r="Z155" s="23" t="s">
        <v>76</v>
      </c>
      <c r="AA155" s="40" t="str">
        <f>IF(C155="Electricity",E155*SUMIFS(Electricity!S:S,Electricity!P:P,UserMade_Scenario!B155,Electricity!M:M,UserMade_Scenario!Z155,Electricity!O:O,UserMade_Scenario!D155),"")</f>
        <v/>
      </c>
      <c r="AB155" s="67">
        <v>1.093E-6</v>
      </c>
      <c r="AC155" s="67" t="s">
        <v>90</v>
      </c>
      <c r="AD155" s="39">
        <f>IFERROR(INDEX(Assumptions!B$145:B$146,MATCH($D155,Assumptions!$A$145:$A$146,0)),0)</f>
        <v>-229.20999999999998</v>
      </c>
      <c r="AE155" s="39">
        <f>IFERROR(INDEX(Assumptions!C$145:C$146,MATCH($D155,Assumptions!$A$145:$A$146,0)),0)</f>
        <v>-211.71999999999997</v>
      </c>
      <c r="AF155" s="39">
        <f>IFERROR(INDEX(Assumptions!D$145:D$146,MATCH($D155,Assumptions!$A$145:$A$146,0)),0)</f>
        <v>-408.02697478991581</v>
      </c>
      <c r="AG155" s="68">
        <f>IFERROR(INDEX(WaterUseH2[Average Direct Water Consumption (Gal/ kg h2)],MATCH(LEFT(D155,3),WaterUseH2[Key],0)),0)</f>
        <v>0</v>
      </c>
      <c r="AH155">
        <v>14</v>
      </c>
      <c r="AI155">
        <v>1.4</v>
      </c>
      <c r="AJ155">
        <v>250</v>
      </c>
      <c r="AK155">
        <v>0.31</v>
      </c>
      <c r="AL155" s="63">
        <f>IFERROR(INDEX(Job_Training[[Solar]:[Wind]],MATCH(AL$1,Job_Training[[`Typical Entry Level Education`]:[`Typical Entry Level Education`]],0),MATCH(LEFT($D155,5),Job_Training[[#Headers],[Solar]:[Wind]],0)),0)</f>
        <v>0</v>
      </c>
      <c r="AM155" s="63">
        <f>IFERROR(INDEX(Job_Training[[Solar]:[Wind]],MATCH(AM$1,Job_Training[[`Typical Entry Level Education`]:[`Typical Entry Level Education`]],0),MATCH(LEFT($D155,5),Job_Training[[#Headers],[Solar]:[Wind]],0)),0)</f>
        <v>0</v>
      </c>
      <c r="AN155" s="63">
        <f>IFERROR(INDEX(Job_Training[[Solar]:[Wind]],MATCH(AN$1,Job_Training[[`Typical Entry Level Education`]:[`Typical Entry Level Education`]],0),MATCH(LEFT($D155,5),Job_Training[[#Headers],[Solar]:[Wind]],0)),0)</f>
        <v>0</v>
      </c>
      <c r="AO155" s="63">
        <f>IFERROR(INDEX(Job_Training[[Solar]:[Wind]],MATCH(AO$1,Job_Training[[`Typical Entry Level Education`]:[`Typical Entry Level Education`]],0),MATCH(LEFT($D155,5),Job_Training[[#Headers],[Solar]:[Wind]],0)),0)</f>
        <v>0</v>
      </c>
      <c r="AP155">
        <f t="shared" si="60"/>
        <v>0</v>
      </c>
      <c r="AQ155" s="63">
        <f>IF(AP155&gt;0,IFERROR(INDEX(Assumptions!$C$165:$D$165,MATCH(LEFT($D155,5),Job_Training[[#Headers],[Solar]:[Wind]],0)),0),0)</f>
        <v>0</v>
      </c>
      <c r="AR155">
        <f>IF(AP155&gt;0,IFERROR(INDEX(Assumptions!$C$166:$D$166,MATCH(LEFT($D155,5),Job_Training[[#Headers],[Solar]:[Wind]],0)),0),0)</f>
        <v>0</v>
      </c>
    </row>
    <row r="156" spans="1:44" x14ac:dyDescent="0.35">
      <c r="A156" t="str">
        <f>UserInput!$B$2</f>
        <v>Current Projects</v>
      </c>
      <c r="B156">
        <v>2032</v>
      </c>
      <c r="C156" t="s">
        <v>87</v>
      </c>
      <c r="D156" t="s">
        <v>88</v>
      </c>
      <c r="E156" s="66">
        <f>INDEX(UserInput!$C$2:$M$22,MATCH(UserMade_Scenario!B156,UserInput!$A$2:$A$22,0),MATCH(LEFT(IF(RIGHT(C156,2)="H2",UserMade_Scenario!C156,D156),3),UserInput!$C$25:$M$25,0))</f>
        <v>0</v>
      </c>
      <c r="F156" t="s">
        <v>89</v>
      </c>
      <c r="G156" s="14">
        <f t="shared" si="61"/>
        <v>0</v>
      </c>
      <c r="H156" s="63">
        <f t="shared" si="51"/>
        <v>0</v>
      </c>
      <c r="I156" s="63">
        <f t="shared" si="52"/>
        <v>0</v>
      </c>
      <c r="J156" s="63">
        <f t="shared" si="53"/>
        <v>0</v>
      </c>
      <c r="K156" s="30">
        <f>IF(OR(LEFT($D156,5)="Solar",$D156="Wind"),INDEX(Land_Use[AVG],MATCH(LEFT($D156,5),Land_Use[Tech],0)),0)*$E156</f>
        <v>0</v>
      </c>
      <c r="L156" s="30">
        <f>IF(OR(LEFT($D156,5)="Solar",$D156="Wind"),INDEX(Land_Use[MIN],MATCH(LEFT($D156,5),Land_Use[Tech],0)),0)*$E156</f>
        <v>0</v>
      </c>
      <c r="M156" s="30">
        <f>IF(OR(LEFT($D156,5)="Solar",$D156="Wind"),INDEX(Land_Use[MAX],MATCH(LEFT($D156,5),Land_Use[Tech],0)),0)*$E156</f>
        <v>0</v>
      </c>
      <c r="N156" s="15">
        <f t="shared" si="40"/>
        <v>0</v>
      </c>
      <c r="O156" s="11">
        <f t="shared" si="41"/>
        <v>0</v>
      </c>
      <c r="P156" s="11">
        <f t="shared" si="42"/>
        <v>0</v>
      </c>
      <c r="Q156" s="11">
        <f t="shared" si="43"/>
        <v>0</v>
      </c>
      <c r="R156" s="11">
        <f t="shared" si="44"/>
        <v>0</v>
      </c>
      <c r="S156" s="30">
        <f t="shared" si="54"/>
        <v>0</v>
      </c>
      <c r="T156" s="30">
        <f t="shared" si="55"/>
        <v>0</v>
      </c>
      <c r="U156" s="30">
        <f t="shared" si="56"/>
        <v>0</v>
      </c>
      <c r="V156" s="30">
        <f t="shared" si="57"/>
        <v>0</v>
      </c>
      <c r="W156" s="30">
        <f t="shared" si="58"/>
        <v>0</v>
      </c>
      <c r="X156" s="30">
        <f t="shared" si="59"/>
        <v>0</v>
      </c>
      <c r="Z156" s="23" t="s">
        <v>76</v>
      </c>
      <c r="AA156" s="40" t="str">
        <f>IF(C156="Electricity",E156*SUMIFS(Electricity!S:S,Electricity!P:P,UserMade_Scenario!B156,Electricity!M:M,UserMade_Scenario!Z156,Electricity!O:O,UserMade_Scenario!D156),"")</f>
        <v/>
      </c>
      <c r="AB156" s="67">
        <v>1.093E-6</v>
      </c>
      <c r="AC156" s="67" t="s">
        <v>90</v>
      </c>
      <c r="AD156" s="39">
        <f>IFERROR(INDEX(Assumptions!B$145:B$146,MATCH($D156,Assumptions!$A$145:$A$146,0)),0)</f>
        <v>-229.20999999999998</v>
      </c>
      <c r="AE156" s="39">
        <f>IFERROR(INDEX(Assumptions!C$145:C$146,MATCH($D156,Assumptions!$A$145:$A$146,0)),0)</f>
        <v>-211.71999999999997</v>
      </c>
      <c r="AF156" s="39">
        <f>IFERROR(INDEX(Assumptions!D$145:D$146,MATCH($D156,Assumptions!$A$145:$A$146,0)),0)</f>
        <v>-408.02697478991581</v>
      </c>
      <c r="AG156" s="68">
        <f>IFERROR(INDEX(WaterUseH2[Average Direct Water Consumption (Gal/ kg h2)],MATCH(LEFT(D156,3),WaterUseH2[Key],0)),0)</f>
        <v>0</v>
      </c>
      <c r="AH156">
        <v>14</v>
      </c>
      <c r="AI156">
        <v>1.4</v>
      </c>
      <c r="AJ156">
        <v>250</v>
      </c>
      <c r="AK156">
        <v>0.31</v>
      </c>
      <c r="AL156" s="63">
        <f>IFERROR(INDEX(Job_Training[[Solar]:[Wind]],MATCH(AL$1,Job_Training[[`Typical Entry Level Education`]:[`Typical Entry Level Education`]],0),MATCH(LEFT($D156,5),Job_Training[[#Headers],[Solar]:[Wind]],0)),0)</f>
        <v>0</v>
      </c>
      <c r="AM156" s="63">
        <f>IFERROR(INDEX(Job_Training[[Solar]:[Wind]],MATCH(AM$1,Job_Training[[`Typical Entry Level Education`]:[`Typical Entry Level Education`]],0),MATCH(LEFT($D156,5),Job_Training[[#Headers],[Solar]:[Wind]],0)),0)</f>
        <v>0</v>
      </c>
      <c r="AN156" s="63">
        <f>IFERROR(INDEX(Job_Training[[Solar]:[Wind]],MATCH(AN$1,Job_Training[[`Typical Entry Level Education`]:[`Typical Entry Level Education`]],0),MATCH(LEFT($D156,5),Job_Training[[#Headers],[Solar]:[Wind]],0)),0)</f>
        <v>0</v>
      </c>
      <c r="AO156" s="63">
        <f>IFERROR(INDEX(Job_Training[[Solar]:[Wind]],MATCH(AO$1,Job_Training[[`Typical Entry Level Education`]:[`Typical Entry Level Education`]],0),MATCH(LEFT($D156,5),Job_Training[[#Headers],[Solar]:[Wind]],0)),0)</f>
        <v>0</v>
      </c>
      <c r="AP156">
        <f t="shared" si="60"/>
        <v>0</v>
      </c>
      <c r="AQ156" s="63">
        <f>IF(AP156&gt;0,IFERROR(INDEX(Assumptions!$C$165:$D$165,MATCH(LEFT($D156,5),Job_Training[[#Headers],[Solar]:[Wind]],0)),0),0)</f>
        <v>0</v>
      </c>
      <c r="AR156">
        <f>IF(AP156&gt;0,IFERROR(INDEX(Assumptions!$C$166:$D$166,MATCH(LEFT($D156,5),Job_Training[[#Headers],[Solar]:[Wind]],0)),0),0)</f>
        <v>0</v>
      </c>
    </row>
    <row r="157" spans="1:44" x14ac:dyDescent="0.35">
      <c r="A157" t="str">
        <f>UserInput!$B$2</f>
        <v>Current Projects</v>
      </c>
      <c r="B157">
        <v>2033</v>
      </c>
      <c r="C157" t="s">
        <v>87</v>
      </c>
      <c r="D157" t="s">
        <v>88</v>
      </c>
      <c r="E157" s="66">
        <f>INDEX(UserInput!$C$2:$M$22,MATCH(UserMade_Scenario!B157,UserInput!$A$2:$A$22,0),MATCH(LEFT(IF(RIGHT(C157,2)="H2",UserMade_Scenario!C157,D157),3),UserInput!$C$25:$M$25,0))</f>
        <v>0</v>
      </c>
      <c r="F157" t="s">
        <v>89</v>
      </c>
      <c r="G157" s="14">
        <f t="shared" si="61"/>
        <v>0</v>
      </c>
      <c r="H157" s="63">
        <f t="shared" si="51"/>
        <v>0</v>
      </c>
      <c r="I157" s="63">
        <f t="shared" si="52"/>
        <v>0</v>
      </c>
      <c r="J157" s="63">
        <f t="shared" si="53"/>
        <v>0</v>
      </c>
      <c r="K157" s="30">
        <f>IF(OR(LEFT($D157,5)="Solar",$D157="Wind"),INDEX(Land_Use[AVG],MATCH(LEFT($D157,5),Land_Use[Tech],0)),0)*$E157</f>
        <v>0</v>
      </c>
      <c r="L157" s="30">
        <f>IF(OR(LEFT($D157,5)="Solar",$D157="Wind"),INDEX(Land_Use[MIN],MATCH(LEFT($D157,5),Land_Use[Tech],0)),0)*$E157</f>
        <v>0</v>
      </c>
      <c r="M157" s="30">
        <f>IF(OR(LEFT($D157,5)="Solar",$D157="Wind"),INDEX(Land_Use[MAX],MATCH(LEFT($D157,5),Land_Use[Tech],0)),0)*$E157</f>
        <v>0</v>
      </c>
      <c r="N157" s="15">
        <f t="shared" si="40"/>
        <v>0</v>
      </c>
      <c r="O157" s="11">
        <f t="shared" si="41"/>
        <v>0</v>
      </c>
      <c r="P157" s="11">
        <f t="shared" si="42"/>
        <v>0</v>
      </c>
      <c r="Q157" s="11">
        <f t="shared" si="43"/>
        <v>0</v>
      </c>
      <c r="R157" s="11">
        <f t="shared" si="44"/>
        <v>0</v>
      </c>
      <c r="S157" s="30">
        <f t="shared" si="54"/>
        <v>0</v>
      </c>
      <c r="T157" s="30">
        <f t="shared" si="55"/>
        <v>0</v>
      </c>
      <c r="U157" s="30">
        <f t="shared" si="56"/>
        <v>0</v>
      </c>
      <c r="V157" s="30">
        <f t="shared" si="57"/>
        <v>0</v>
      </c>
      <c r="W157" s="30">
        <f t="shared" si="58"/>
        <v>0</v>
      </c>
      <c r="X157" s="30">
        <f t="shared" si="59"/>
        <v>0</v>
      </c>
      <c r="Z157" s="23" t="s">
        <v>76</v>
      </c>
      <c r="AA157" s="40" t="str">
        <f>IF(C157="Electricity",E157*SUMIFS(Electricity!S:S,Electricity!P:P,UserMade_Scenario!B157,Electricity!M:M,UserMade_Scenario!Z157,Electricity!O:O,UserMade_Scenario!D157),"")</f>
        <v/>
      </c>
      <c r="AB157" s="67">
        <v>1.093E-6</v>
      </c>
      <c r="AC157" s="67" t="s">
        <v>90</v>
      </c>
      <c r="AD157" s="39">
        <f>IFERROR(INDEX(Assumptions!B$145:B$146,MATCH($D157,Assumptions!$A$145:$A$146,0)),0)</f>
        <v>-229.20999999999998</v>
      </c>
      <c r="AE157" s="39">
        <f>IFERROR(INDEX(Assumptions!C$145:C$146,MATCH($D157,Assumptions!$A$145:$A$146,0)),0)</f>
        <v>-211.71999999999997</v>
      </c>
      <c r="AF157" s="39">
        <f>IFERROR(INDEX(Assumptions!D$145:D$146,MATCH($D157,Assumptions!$A$145:$A$146,0)),0)</f>
        <v>-408.02697478991581</v>
      </c>
      <c r="AG157" s="68">
        <f>IFERROR(INDEX(WaterUseH2[Average Direct Water Consumption (Gal/ kg h2)],MATCH(LEFT(D157,3),WaterUseH2[Key],0)),0)</f>
        <v>0</v>
      </c>
      <c r="AH157">
        <v>14</v>
      </c>
      <c r="AI157">
        <v>1.4</v>
      </c>
      <c r="AJ157">
        <v>250</v>
      </c>
      <c r="AK157">
        <v>0.31</v>
      </c>
      <c r="AL157" s="63">
        <f>IFERROR(INDEX(Job_Training[[Solar]:[Wind]],MATCH(AL$1,Job_Training[[`Typical Entry Level Education`]:[`Typical Entry Level Education`]],0),MATCH(LEFT($D157,5),Job_Training[[#Headers],[Solar]:[Wind]],0)),0)</f>
        <v>0</v>
      </c>
      <c r="AM157" s="63">
        <f>IFERROR(INDEX(Job_Training[[Solar]:[Wind]],MATCH(AM$1,Job_Training[[`Typical Entry Level Education`]:[`Typical Entry Level Education`]],0),MATCH(LEFT($D157,5),Job_Training[[#Headers],[Solar]:[Wind]],0)),0)</f>
        <v>0</v>
      </c>
      <c r="AN157" s="63">
        <f>IFERROR(INDEX(Job_Training[[Solar]:[Wind]],MATCH(AN$1,Job_Training[[`Typical Entry Level Education`]:[`Typical Entry Level Education`]],0),MATCH(LEFT($D157,5),Job_Training[[#Headers],[Solar]:[Wind]],0)),0)</f>
        <v>0</v>
      </c>
      <c r="AO157" s="63">
        <f>IFERROR(INDEX(Job_Training[[Solar]:[Wind]],MATCH(AO$1,Job_Training[[`Typical Entry Level Education`]:[`Typical Entry Level Education`]],0),MATCH(LEFT($D157,5),Job_Training[[#Headers],[Solar]:[Wind]],0)),0)</f>
        <v>0</v>
      </c>
      <c r="AP157">
        <f t="shared" si="60"/>
        <v>0</v>
      </c>
      <c r="AQ157" s="63">
        <f>IF(AP157&gt;0,IFERROR(INDEX(Assumptions!$C$165:$D$165,MATCH(LEFT($D157,5),Job_Training[[#Headers],[Solar]:[Wind]],0)),0),0)</f>
        <v>0</v>
      </c>
      <c r="AR157">
        <f>IF(AP157&gt;0,IFERROR(INDEX(Assumptions!$C$166:$D$166,MATCH(LEFT($D157,5),Job_Training[[#Headers],[Solar]:[Wind]],0)),0),0)</f>
        <v>0</v>
      </c>
    </row>
    <row r="158" spans="1:44" x14ac:dyDescent="0.35">
      <c r="A158" t="str">
        <f>UserInput!$B$2</f>
        <v>Current Projects</v>
      </c>
      <c r="B158">
        <v>2034</v>
      </c>
      <c r="C158" t="s">
        <v>87</v>
      </c>
      <c r="D158" t="s">
        <v>88</v>
      </c>
      <c r="E158" s="66">
        <f>INDEX(UserInput!$C$2:$M$22,MATCH(UserMade_Scenario!B158,UserInput!$A$2:$A$22,0),MATCH(LEFT(IF(RIGHT(C158,2)="H2",UserMade_Scenario!C158,D158),3),UserInput!$C$25:$M$25,0))</f>
        <v>0</v>
      </c>
      <c r="F158" t="s">
        <v>89</v>
      </c>
      <c r="G158" s="14">
        <f t="shared" si="61"/>
        <v>0</v>
      </c>
      <c r="H158" s="63">
        <f t="shared" si="51"/>
        <v>0</v>
      </c>
      <c r="I158" s="63">
        <f t="shared" si="52"/>
        <v>0</v>
      </c>
      <c r="J158" s="63">
        <f t="shared" si="53"/>
        <v>0</v>
      </c>
      <c r="K158" s="30">
        <f>IF(OR(LEFT($D158,5)="Solar",$D158="Wind"),INDEX(Land_Use[AVG],MATCH(LEFT($D158,5),Land_Use[Tech],0)),0)*$E158</f>
        <v>0</v>
      </c>
      <c r="L158" s="30">
        <f>IF(OR(LEFT($D158,5)="Solar",$D158="Wind"),INDEX(Land_Use[MIN],MATCH(LEFT($D158,5),Land_Use[Tech],0)),0)*$E158</f>
        <v>0</v>
      </c>
      <c r="M158" s="30">
        <f>IF(OR(LEFT($D158,5)="Solar",$D158="Wind"),INDEX(Land_Use[MAX],MATCH(LEFT($D158,5),Land_Use[Tech],0)),0)*$E158</f>
        <v>0</v>
      </c>
      <c r="N158" s="15">
        <f t="shared" si="40"/>
        <v>0</v>
      </c>
      <c r="O158" s="11">
        <f t="shared" si="41"/>
        <v>0</v>
      </c>
      <c r="P158" s="11">
        <f t="shared" si="42"/>
        <v>0</v>
      </c>
      <c r="Q158" s="11">
        <f t="shared" si="43"/>
        <v>0</v>
      </c>
      <c r="R158" s="11">
        <f t="shared" si="44"/>
        <v>0</v>
      </c>
      <c r="S158" s="30">
        <f t="shared" si="54"/>
        <v>0</v>
      </c>
      <c r="T158" s="30">
        <f t="shared" si="55"/>
        <v>0</v>
      </c>
      <c r="U158" s="30">
        <f t="shared" si="56"/>
        <v>0</v>
      </c>
      <c r="V158" s="30">
        <f t="shared" si="57"/>
        <v>0</v>
      </c>
      <c r="W158" s="30">
        <f t="shared" si="58"/>
        <v>0</v>
      </c>
      <c r="X158" s="30">
        <f t="shared" si="59"/>
        <v>0</v>
      </c>
      <c r="Z158" s="23" t="s">
        <v>76</v>
      </c>
      <c r="AA158" s="40" t="str">
        <f>IF(C158="Electricity",E158*SUMIFS(Electricity!S:S,Electricity!P:P,UserMade_Scenario!B158,Electricity!M:M,UserMade_Scenario!Z158,Electricity!O:O,UserMade_Scenario!D158),"")</f>
        <v/>
      </c>
      <c r="AB158" s="67">
        <v>1.0930000000000002E-6</v>
      </c>
      <c r="AC158" s="67" t="s">
        <v>90</v>
      </c>
      <c r="AD158" s="39">
        <f>IFERROR(INDEX(Assumptions!B$145:B$146,MATCH($D158,Assumptions!$A$145:$A$146,0)),0)</f>
        <v>-229.20999999999998</v>
      </c>
      <c r="AE158" s="39">
        <f>IFERROR(INDEX(Assumptions!C$145:C$146,MATCH($D158,Assumptions!$A$145:$A$146,0)),0)</f>
        <v>-211.71999999999997</v>
      </c>
      <c r="AF158" s="39">
        <f>IFERROR(INDEX(Assumptions!D$145:D$146,MATCH($D158,Assumptions!$A$145:$A$146,0)),0)</f>
        <v>-408.02697478991581</v>
      </c>
      <c r="AG158" s="68">
        <f>IFERROR(INDEX(WaterUseH2[Average Direct Water Consumption (Gal/ kg h2)],MATCH(LEFT(D158,3),WaterUseH2[Key],0)),0)</f>
        <v>0</v>
      </c>
      <c r="AH158">
        <v>14</v>
      </c>
      <c r="AI158">
        <v>1.4</v>
      </c>
      <c r="AJ158">
        <v>250</v>
      </c>
      <c r="AK158">
        <v>0.31</v>
      </c>
      <c r="AL158" s="63">
        <f>IFERROR(INDEX(Job_Training[[Solar]:[Wind]],MATCH(AL$1,Job_Training[[`Typical Entry Level Education`]:[`Typical Entry Level Education`]],0),MATCH(LEFT($D158,5),Job_Training[[#Headers],[Solar]:[Wind]],0)),0)</f>
        <v>0</v>
      </c>
      <c r="AM158" s="63">
        <f>IFERROR(INDEX(Job_Training[[Solar]:[Wind]],MATCH(AM$1,Job_Training[[`Typical Entry Level Education`]:[`Typical Entry Level Education`]],0),MATCH(LEFT($D158,5),Job_Training[[#Headers],[Solar]:[Wind]],0)),0)</f>
        <v>0</v>
      </c>
      <c r="AN158" s="63">
        <f>IFERROR(INDEX(Job_Training[[Solar]:[Wind]],MATCH(AN$1,Job_Training[[`Typical Entry Level Education`]:[`Typical Entry Level Education`]],0),MATCH(LEFT($D158,5),Job_Training[[#Headers],[Solar]:[Wind]],0)),0)</f>
        <v>0</v>
      </c>
      <c r="AO158" s="63">
        <f>IFERROR(INDEX(Job_Training[[Solar]:[Wind]],MATCH(AO$1,Job_Training[[`Typical Entry Level Education`]:[`Typical Entry Level Education`]],0),MATCH(LEFT($D158,5),Job_Training[[#Headers],[Solar]:[Wind]],0)),0)</f>
        <v>0</v>
      </c>
      <c r="AP158">
        <f t="shared" si="60"/>
        <v>0</v>
      </c>
      <c r="AQ158" s="63">
        <f>IF(AP158&gt;0,IFERROR(INDEX(Assumptions!$C$165:$D$165,MATCH(LEFT($D158,5),Job_Training[[#Headers],[Solar]:[Wind]],0)),0),0)</f>
        <v>0</v>
      </c>
      <c r="AR158">
        <f>IF(AP158&gt;0,IFERROR(INDEX(Assumptions!$C$166:$D$166,MATCH(LEFT($D158,5),Job_Training[[#Headers],[Solar]:[Wind]],0)),0),0)</f>
        <v>0</v>
      </c>
    </row>
    <row r="159" spans="1:44" x14ac:dyDescent="0.35">
      <c r="A159" t="str">
        <f>UserInput!$B$2</f>
        <v>Current Projects</v>
      </c>
      <c r="B159">
        <v>2035</v>
      </c>
      <c r="C159" t="s">
        <v>87</v>
      </c>
      <c r="D159" t="s">
        <v>88</v>
      </c>
      <c r="E159" s="66">
        <f>INDEX(UserInput!$C$2:$M$22,MATCH(UserMade_Scenario!B159,UserInput!$A$2:$A$22,0),MATCH(LEFT(IF(RIGHT(C159,2)="H2",UserMade_Scenario!C159,D159),3),UserInput!$C$25:$M$25,0))</f>
        <v>0</v>
      </c>
      <c r="F159" t="s">
        <v>89</v>
      </c>
      <c r="G159" s="14">
        <f t="shared" si="61"/>
        <v>0</v>
      </c>
      <c r="H159" s="63">
        <f t="shared" si="51"/>
        <v>0</v>
      </c>
      <c r="I159" s="63">
        <f t="shared" si="52"/>
        <v>0</v>
      </c>
      <c r="J159" s="63">
        <f t="shared" si="53"/>
        <v>0</v>
      </c>
      <c r="K159" s="30">
        <f>IF(OR(LEFT($D159,5)="Solar",$D159="Wind"),INDEX(Land_Use[AVG],MATCH(LEFT($D159,5),Land_Use[Tech],0)),0)*$E159</f>
        <v>0</v>
      </c>
      <c r="L159" s="30">
        <f>IF(OR(LEFT($D159,5)="Solar",$D159="Wind"),INDEX(Land_Use[MIN],MATCH(LEFT($D159,5),Land_Use[Tech],0)),0)*$E159</f>
        <v>0</v>
      </c>
      <c r="M159" s="30">
        <f>IF(OR(LEFT($D159,5)="Solar",$D159="Wind"),INDEX(Land_Use[MAX],MATCH(LEFT($D159,5),Land_Use[Tech],0)),0)*$E159</f>
        <v>0</v>
      </c>
      <c r="N159" s="15">
        <f t="shared" si="40"/>
        <v>0</v>
      </c>
      <c r="O159" s="11">
        <f t="shared" si="41"/>
        <v>0</v>
      </c>
      <c r="P159" s="11">
        <f t="shared" si="42"/>
        <v>0</v>
      </c>
      <c r="Q159" s="11">
        <f t="shared" si="43"/>
        <v>0</v>
      </c>
      <c r="R159" s="11">
        <f t="shared" si="44"/>
        <v>0</v>
      </c>
      <c r="S159" s="30">
        <f t="shared" si="54"/>
        <v>0</v>
      </c>
      <c r="T159" s="30">
        <f t="shared" si="55"/>
        <v>0</v>
      </c>
      <c r="U159" s="30">
        <f t="shared" si="56"/>
        <v>0</v>
      </c>
      <c r="V159" s="30">
        <f t="shared" si="57"/>
        <v>0</v>
      </c>
      <c r="W159" s="30">
        <f t="shared" si="58"/>
        <v>0</v>
      </c>
      <c r="X159" s="30">
        <f t="shared" si="59"/>
        <v>0</v>
      </c>
      <c r="Z159" s="23" t="s">
        <v>76</v>
      </c>
      <c r="AA159" s="40" t="str">
        <f>IF(C159="Electricity",E159*SUMIFS(Electricity!S:S,Electricity!P:P,UserMade_Scenario!B159,Electricity!M:M,UserMade_Scenario!Z159,Electricity!O:O,UserMade_Scenario!D159),"")</f>
        <v/>
      </c>
      <c r="AB159" s="67">
        <v>1.0930000000000002E-6</v>
      </c>
      <c r="AC159" s="67" t="s">
        <v>90</v>
      </c>
      <c r="AD159" s="39">
        <f>IFERROR(INDEX(Assumptions!B$145:B$146,MATCH($D159,Assumptions!$A$145:$A$146,0)),0)</f>
        <v>-229.20999999999998</v>
      </c>
      <c r="AE159" s="39">
        <f>IFERROR(INDEX(Assumptions!C$145:C$146,MATCH($D159,Assumptions!$A$145:$A$146,0)),0)</f>
        <v>-211.71999999999997</v>
      </c>
      <c r="AF159" s="39">
        <f>IFERROR(INDEX(Assumptions!D$145:D$146,MATCH($D159,Assumptions!$A$145:$A$146,0)),0)</f>
        <v>-408.02697478991581</v>
      </c>
      <c r="AG159" s="68">
        <f>IFERROR(INDEX(WaterUseH2[Average Direct Water Consumption (Gal/ kg h2)],MATCH(LEFT(D159,3),WaterUseH2[Key],0)),0)</f>
        <v>0</v>
      </c>
      <c r="AH159">
        <v>14</v>
      </c>
      <c r="AI159">
        <v>1.4</v>
      </c>
      <c r="AJ159">
        <v>250</v>
      </c>
      <c r="AK159">
        <v>0.31</v>
      </c>
      <c r="AL159" s="63">
        <f>IFERROR(INDEX(Job_Training[[Solar]:[Wind]],MATCH(AL$1,Job_Training[[`Typical Entry Level Education`]:[`Typical Entry Level Education`]],0),MATCH(LEFT($D159,5),Job_Training[[#Headers],[Solar]:[Wind]],0)),0)</f>
        <v>0</v>
      </c>
      <c r="AM159" s="63">
        <f>IFERROR(INDEX(Job_Training[[Solar]:[Wind]],MATCH(AM$1,Job_Training[[`Typical Entry Level Education`]:[`Typical Entry Level Education`]],0),MATCH(LEFT($D159,5),Job_Training[[#Headers],[Solar]:[Wind]],0)),0)</f>
        <v>0</v>
      </c>
      <c r="AN159" s="63">
        <f>IFERROR(INDEX(Job_Training[[Solar]:[Wind]],MATCH(AN$1,Job_Training[[`Typical Entry Level Education`]:[`Typical Entry Level Education`]],0),MATCH(LEFT($D159,5),Job_Training[[#Headers],[Solar]:[Wind]],0)),0)</f>
        <v>0</v>
      </c>
      <c r="AO159" s="63">
        <f>IFERROR(INDEX(Job_Training[[Solar]:[Wind]],MATCH(AO$1,Job_Training[[`Typical Entry Level Education`]:[`Typical Entry Level Education`]],0),MATCH(LEFT($D159,5),Job_Training[[#Headers],[Solar]:[Wind]],0)),0)</f>
        <v>0</v>
      </c>
      <c r="AP159">
        <f t="shared" si="60"/>
        <v>0</v>
      </c>
      <c r="AQ159" s="63">
        <f>IF(AP159&gt;0,IFERROR(INDEX(Assumptions!$C$165:$D$165,MATCH(LEFT($D159,5),Job_Training[[#Headers],[Solar]:[Wind]],0)),0),0)</f>
        <v>0</v>
      </c>
      <c r="AR159">
        <f>IF(AP159&gt;0,IFERROR(INDEX(Assumptions!$C$166:$D$166,MATCH(LEFT($D159,5),Job_Training[[#Headers],[Solar]:[Wind]],0)),0),0)</f>
        <v>0</v>
      </c>
    </row>
    <row r="160" spans="1:44" x14ac:dyDescent="0.35">
      <c r="A160" t="str">
        <f>UserInput!$B$2</f>
        <v>Current Projects</v>
      </c>
      <c r="B160">
        <v>2036</v>
      </c>
      <c r="C160" t="s">
        <v>87</v>
      </c>
      <c r="D160" t="s">
        <v>88</v>
      </c>
      <c r="E160" s="66">
        <f>INDEX(UserInput!$C$2:$M$22,MATCH(UserMade_Scenario!B160,UserInput!$A$2:$A$22,0),MATCH(LEFT(IF(RIGHT(C160,2)="H2",UserMade_Scenario!C160,D160),3),UserInput!$C$25:$M$25,0))</f>
        <v>0</v>
      </c>
      <c r="F160" t="s">
        <v>89</v>
      </c>
      <c r="G160" s="14">
        <f t="shared" si="61"/>
        <v>0</v>
      </c>
      <c r="H160" s="63">
        <f t="shared" si="51"/>
        <v>0</v>
      </c>
      <c r="I160" s="63">
        <f t="shared" si="52"/>
        <v>0</v>
      </c>
      <c r="J160" s="63">
        <f t="shared" si="53"/>
        <v>0</v>
      </c>
      <c r="K160" s="30">
        <f>IF(OR(LEFT($D160,5)="Solar",$D160="Wind"),INDEX(Land_Use[AVG],MATCH(LEFT($D160,5),Land_Use[Tech],0)),0)*$E160</f>
        <v>0</v>
      </c>
      <c r="L160" s="30">
        <f>IF(OR(LEFT($D160,5)="Solar",$D160="Wind"),INDEX(Land_Use[MIN],MATCH(LEFT($D160,5),Land_Use[Tech],0)),0)*$E160</f>
        <v>0</v>
      </c>
      <c r="M160" s="30">
        <f>IF(OR(LEFT($D160,5)="Solar",$D160="Wind"),INDEX(Land_Use[MAX],MATCH(LEFT($D160,5),Land_Use[Tech],0)),0)*$E160</f>
        <v>0</v>
      </c>
      <c r="N160" s="15">
        <f t="shared" si="40"/>
        <v>0</v>
      </c>
      <c r="O160" s="11">
        <f t="shared" si="41"/>
        <v>0</v>
      </c>
      <c r="P160" s="11">
        <f t="shared" si="42"/>
        <v>0</v>
      </c>
      <c r="Q160" s="11">
        <f t="shared" si="43"/>
        <v>0</v>
      </c>
      <c r="R160" s="11">
        <f t="shared" si="44"/>
        <v>0</v>
      </c>
      <c r="S160" s="30">
        <f t="shared" si="54"/>
        <v>0</v>
      </c>
      <c r="T160" s="30">
        <f t="shared" si="55"/>
        <v>0</v>
      </c>
      <c r="U160" s="30">
        <f t="shared" si="56"/>
        <v>0</v>
      </c>
      <c r="V160" s="30">
        <f t="shared" si="57"/>
        <v>0</v>
      </c>
      <c r="W160" s="30">
        <f t="shared" si="58"/>
        <v>0</v>
      </c>
      <c r="X160" s="30">
        <f t="shared" si="59"/>
        <v>0</v>
      </c>
      <c r="Z160" s="23" t="s">
        <v>76</v>
      </c>
      <c r="AA160" s="40" t="str">
        <f>IF(C160="Electricity",E160*SUMIFS(Electricity!S:S,Electricity!P:P,UserMade_Scenario!B160,Electricity!M:M,UserMade_Scenario!Z160,Electricity!O:O,UserMade_Scenario!D160),"")</f>
        <v/>
      </c>
      <c r="AB160" s="67">
        <v>1.0930000000000002E-6</v>
      </c>
      <c r="AC160" s="67" t="s">
        <v>90</v>
      </c>
      <c r="AD160" s="39">
        <f>IFERROR(INDEX(Assumptions!B$145:B$146,MATCH($D160,Assumptions!$A$145:$A$146,0)),0)</f>
        <v>-229.20999999999998</v>
      </c>
      <c r="AE160" s="39">
        <f>IFERROR(INDEX(Assumptions!C$145:C$146,MATCH($D160,Assumptions!$A$145:$A$146,0)),0)</f>
        <v>-211.71999999999997</v>
      </c>
      <c r="AF160" s="39">
        <f>IFERROR(INDEX(Assumptions!D$145:D$146,MATCH($D160,Assumptions!$A$145:$A$146,0)),0)</f>
        <v>-408.02697478991581</v>
      </c>
      <c r="AG160" s="68">
        <f>IFERROR(INDEX(WaterUseH2[Average Direct Water Consumption (Gal/ kg h2)],MATCH(LEFT(D160,3),WaterUseH2[Key],0)),0)</f>
        <v>0</v>
      </c>
      <c r="AH160">
        <v>14</v>
      </c>
      <c r="AI160">
        <v>1.4</v>
      </c>
      <c r="AJ160">
        <v>250</v>
      </c>
      <c r="AK160">
        <v>0.31</v>
      </c>
      <c r="AL160" s="63">
        <f>IFERROR(INDEX(Job_Training[[Solar]:[Wind]],MATCH(AL$1,Job_Training[[`Typical Entry Level Education`]:[`Typical Entry Level Education`]],0),MATCH(LEFT($D160,5),Job_Training[[#Headers],[Solar]:[Wind]],0)),0)</f>
        <v>0</v>
      </c>
      <c r="AM160" s="63">
        <f>IFERROR(INDEX(Job_Training[[Solar]:[Wind]],MATCH(AM$1,Job_Training[[`Typical Entry Level Education`]:[`Typical Entry Level Education`]],0),MATCH(LEFT($D160,5),Job_Training[[#Headers],[Solar]:[Wind]],0)),0)</f>
        <v>0</v>
      </c>
      <c r="AN160" s="63">
        <f>IFERROR(INDEX(Job_Training[[Solar]:[Wind]],MATCH(AN$1,Job_Training[[`Typical Entry Level Education`]:[`Typical Entry Level Education`]],0),MATCH(LEFT($D160,5),Job_Training[[#Headers],[Solar]:[Wind]],0)),0)</f>
        <v>0</v>
      </c>
      <c r="AO160" s="63">
        <f>IFERROR(INDEX(Job_Training[[Solar]:[Wind]],MATCH(AO$1,Job_Training[[`Typical Entry Level Education`]:[`Typical Entry Level Education`]],0),MATCH(LEFT($D160,5),Job_Training[[#Headers],[Solar]:[Wind]],0)),0)</f>
        <v>0</v>
      </c>
      <c r="AP160">
        <f t="shared" si="60"/>
        <v>0</v>
      </c>
      <c r="AQ160" s="63">
        <f>IF(AP160&gt;0,IFERROR(INDEX(Assumptions!$C$165:$D$165,MATCH(LEFT($D160,5),Job_Training[[#Headers],[Solar]:[Wind]],0)),0),0)</f>
        <v>0</v>
      </c>
      <c r="AR160">
        <f>IF(AP160&gt;0,IFERROR(INDEX(Assumptions!$C$166:$D$166,MATCH(LEFT($D160,5),Job_Training[[#Headers],[Solar]:[Wind]],0)),0),0)</f>
        <v>0</v>
      </c>
    </row>
    <row r="161" spans="1:44" x14ac:dyDescent="0.35">
      <c r="A161" t="str">
        <f>UserInput!$B$2</f>
        <v>Current Projects</v>
      </c>
      <c r="B161">
        <v>2037</v>
      </c>
      <c r="C161" t="s">
        <v>87</v>
      </c>
      <c r="D161" t="s">
        <v>88</v>
      </c>
      <c r="E161" s="66">
        <f>INDEX(UserInput!$C$2:$M$22,MATCH(UserMade_Scenario!B161,UserInput!$A$2:$A$22,0),MATCH(LEFT(IF(RIGHT(C161,2)="H2",UserMade_Scenario!C161,D161),3),UserInput!$C$25:$M$25,0))</f>
        <v>0</v>
      </c>
      <c r="F161" t="s">
        <v>89</v>
      </c>
      <c r="G161" s="14">
        <f t="shared" si="61"/>
        <v>0</v>
      </c>
      <c r="H161" s="63">
        <f t="shared" si="51"/>
        <v>0</v>
      </c>
      <c r="I161" s="63">
        <f t="shared" si="52"/>
        <v>0</v>
      </c>
      <c r="J161" s="63">
        <f t="shared" si="53"/>
        <v>0</v>
      </c>
      <c r="K161" s="30">
        <f>IF(OR(LEFT($D161,5)="Solar",$D161="Wind"),INDEX(Land_Use[AVG],MATCH(LEFT($D161,5),Land_Use[Tech],0)),0)*$E161</f>
        <v>0</v>
      </c>
      <c r="L161" s="30">
        <f>IF(OR(LEFT($D161,5)="Solar",$D161="Wind"),INDEX(Land_Use[MIN],MATCH(LEFT($D161,5),Land_Use[Tech],0)),0)*$E161</f>
        <v>0</v>
      </c>
      <c r="M161" s="30">
        <f>IF(OR(LEFT($D161,5)="Solar",$D161="Wind"),INDEX(Land_Use[MAX],MATCH(LEFT($D161,5),Land_Use[Tech],0)),0)*$E161</f>
        <v>0</v>
      </c>
      <c r="N161" s="15">
        <f t="shared" ref="N161:N192" si="62">E161*AG161*1000/1000000</f>
        <v>0</v>
      </c>
      <c r="O161" s="11">
        <f t="shared" ref="O161:O192" si="63">$K161*AH$2</f>
        <v>0</v>
      </c>
      <c r="P161" s="11">
        <f t="shared" ref="P161:P192" si="64">$K161*AI$2</f>
        <v>0</v>
      </c>
      <c r="Q161" s="11">
        <f t="shared" ref="Q161:Q192" si="65">$K161*AJ$2</f>
        <v>0</v>
      </c>
      <c r="R161" s="11">
        <f t="shared" ref="R161:R192" si="66">$K161*AK$2</f>
        <v>0</v>
      </c>
      <c r="S161" s="30">
        <f t="shared" si="54"/>
        <v>0</v>
      </c>
      <c r="T161" s="30">
        <f t="shared" si="55"/>
        <v>0</v>
      </c>
      <c r="U161" s="30">
        <f t="shared" si="56"/>
        <v>0</v>
      </c>
      <c r="V161" s="30">
        <f t="shared" si="57"/>
        <v>0</v>
      </c>
      <c r="W161" s="30">
        <f t="shared" si="58"/>
        <v>0</v>
      </c>
      <c r="X161" s="30">
        <f t="shared" si="59"/>
        <v>0</v>
      </c>
      <c r="Z161" s="23" t="s">
        <v>76</v>
      </c>
      <c r="AA161" s="40" t="str">
        <f>IF(C161="Electricity",E161*SUMIFS(Electricity!S:S,Electricity!P:P,UserMade_Scenario!B161,Electricity!M:M,UserMade_Scenario!Z161,Electricity!O:O,UserMade_Scenario!D161),"")</f>
        <v/>
      </c>
      <c r="AB161" s="67">
        <v>1.0930000000000002E-6</v>
      </c>
      <c r="AC161" s="67" t="s">
        <v>90</v>
      </c>
      <c r="AD161" s="39">
        <f>IFERROR(INDEX(Assumptions!B$145:B$146,MATCH($D161,Assumptions!$A$145:$A$146,0)),0)</f>
        <v>-229.20999999999998</v>
      </c>
      <c r="AE161" s="39">
        <f>IFERROR(INDEX(Assumptions!C$145:C$146,MATCH($D161,Assumptions!$A$145:$A$146,0)),0)</f>
        <v>-211.71999999999997</v>
      </c>
      <c r="AF161" s="39">
        <f>IFERROR(INDEX(Assumptions!D$145:D$146,MATCH($D161,Assumptions!$A$145:$A$146,0)),0)</f>
        <v>-408.02697478991581</v>
      </c>
      <c r="AG161" s="68">
        <f>IFERROR(INDEX(WaterUseH2[Average Direct Water Consumption (Gal/ kg h2)],MATCH(LEFT(D161,3),WaterUseH2[Key],0)),0)</f>
        <v>0</v>
      </c>
      <c r="AH161">
        <v>14</v>
      </c>
      <c r="AI161">
        <v>1.4</v>
      </c>
      <c r="AJ161">
        <v>250</v>
      </c>
      <c r="AK161">
        <v>0.31</v>
      </c>
      <c r="AL161" s="63">
        <f>IFERROR(INDEX(Job_Training[[Solar]:[Wind]],MATCH(AL$1,Job_Training[[`Typical Entry Level Education`]:[`Typical Entry Level Education`]],0),MATCH(LEFT($D161,5),Job_Training[[#Headers],[Solar]:[Wind]],0)),0)</f>
        <v>0</v>
      </c>
      <c r="AM161" s="63">
        <f>IFERROR(INDEX(Job_Training[[Solar]:[Wind]],MATCH(AM$1,Job_Training[[`Typical Entry Level Education`]:[`Typical Entry Level Education`]],0),MATCH(LEFT($D161,5),Job_Training[[#Headers],[Solar]:[Wind]],0)),0)</f>
        <v>0</v>
      </c>
      <c r="AN161" s="63">
        <f>IFERROR(INDEX(Job_Training[[Solar]:[Wind]],MATCH(AN$1,Job_Training[[`Typical Entry Level Education`]:[`Typical Entry Level Education`]],0),MATCH(LEFT($D161,5),Job_Training[[#Headers],[Solar]:[Wind]],0)),0)</f>
        <v>0</v>
      </c>
      <c r="AO161" s="63">
        <f>IFERROR(INDEX(Job_Training[[Solar]:[Wind]],MATCH(AO$1,Job_Training[[`Typical Entry Level Education`]:[`Typical Entry Level Education`]],0),MATCH(LEFT($D161,5),Job_Training[[#Headers],[Solar]:[Wind]],0)),0)</f>
        <v>0</v>
      </c>
      <c r="AP161">
        <f t="shared" si="60"/>
        <v>0</v>
      </c>
      <c r="AQ161" s="63">
        <f>IF(AP161&gt;0,IFERROR(INDEX(Assumptions!$C$165:$D$165,MATCH(LEFT($D161,5),Job_Training[[#Headers],[Solar]:[Wind]],0)),0),0)</f>
        <v>0</v>
      </c>
      <c r="AR161">
        <f>IF(AP161&gt;0,IFERROR(INDEX(Assumptions!$C$166:$D$166,MATCH(LEFT($D161,5),Job_Training[[#Headers],[Solar]:[Wind]],0)),0),0)</f>
        <v>0</v>
      </c>
    </row>
    <row r="162" spans="1:44" x14ac:dyDescent="0.35">
      <c r="A162" t="str">
        <f>UserInput!$B$2</f>
        <v>Current Projects</v>
      </c>
      <c r="B162">
        <v>2038</v>
      </c>
      <c r="C162" t="s">
        <v>87</v>
      </c>
      <c r="D162" t="s">
        <v>88</v>
      </c>
      <c r="E162" s="66">
        <f>INDEX(UserInput!$C$2:$M$22,MATCH(UserMade_Scenario!B162,UserInput!$A$2:$A$22,0),MATCH(LEFT(IF(RIGHT(C162,2)="H2",UserMade_Scenario!C162,D162),3),UserInput!$C$25:$M$25,0))</f>
        <v>0</v>
      </c>
      <c r="F162" t="s">
        <v>89</v>
      </c>
      <c r="G162" s="14">
        <f t="shared" si="61"/>
        <v>0</v>
      </c>
      <c r="H162" s="63">
        <f t="shared" si="51"/>
        <v>0</v>
      </c>
      <c r="I162" s="63">
        <f t="shared" si="52"/>
        <v>0</v>
      </c>
      <c r="J162" s="63">
        <f t="shared" si="53"/>
        <v>0</v>
      </c>
      <c r="K162" s="30">
        <f>IF(OR(LEFT($D162,5)="Solar",$D162="Wind"),INDEX(Land_Use[AVG],MATCH(LEFT($D162,5),Land_Use[Tech],0)),0)*$E162</f>
        <v>0</v>
      </c>
      <c r="L162" s="30">
        <f>IF(OR(LEFT($D162,5)="Solar",$D162="Wind"),INDEX(Land_Use[MIN],MATCH(LEFT($D162,5),Land_Use[Tech],0)),0)*$E162</f>
        <v>0</v>
      </c>
      <c r="M162" s="30">
        <f>IF(OR(LEFT($D162,5)="Solar",$D162="Wind"),INDEX(Land_Use[MAX],MATCH(LEFT($D162,5),Land_Use[Tech],0)),0)*$E162</f>
        <v>0</v>
      </c>
      <c r="N162" s="15">
        <f t="shared" si="62"/>
        <v>0</v>
      </c>
      <c r="O162" s="11">
        <f t="shared" si="63"/>
        <v>0</v>
      </c>
      <c r="P162" s="11">
        <f t="shared" si="64"/>
        <v>0</v>
      </c>
      <c r="Q162" s="11">
        <f t="shared" si="65"/>
        <v>0</v>
      </c>
      <c r="R162" s="11">
        <f t="shared" si="66"/>
        <v>0</v>
      </c>
      <c r="S162" s="30">
        <f t="shared" si="54"/>
        <v>0</v>
      </c>
      <c r="T162" s="30">
        <f t="shared" si="55"/>
        <v>0</v>
      </c>
      <c r="U162" s="30">
        <f t="shared" si="56"/>
        <v>0</v>
      </c>
      <c r="V162" s="30">
        <f t="shared" si="57"/>
        <v>0</v>
      </c>
      <c r="W162" s="30">
        <f t="shared" si="58"/>
        <v>0</v>
      </c>
      <c r="X162" s="30">
        <f t="shared" si="59"/>
        <v>0</v>
      </c>
      <c r="Z162" s="23" t="s">
        <v>76</v>
      </c>
      <c r="AA162" s="40" t="str">
        <f>IF(C162="Electricity",E162*SUMIFS(Electricity!S:S,Electricity!P:P,UserMade_Scenario!B162,Electricity!M:M,UserMade_Scenario!Z162,Electricity!O:O,UserMade_Scenario!D162),"")</f>
        <v/>
      </c>
      <c r="AB162" s="67">
        <v>1.0930000000000002E-6</v>
      </c>
      <c r="AC162" s="67" t="s">
        <v>90</v>
      </c>
      <c r="AD162" s="39">
        <f>IFERROR(INDEX(Assumptions!B$145:B$146,MATCH($D162,Assumptions!$A$145:$A$146,0)),0)</f>
        <v>-229.20999999999998</v>
      </c>
      <c r="AE162" s="39">
        <f>IFERROR(INDEX(Assumptions!C$145:C$146,MATCH($D162,Assumptions!$A$145:$A$146,0)),0)</f>
        <v>-211.71999999999997</v>
      </c>
      <c r="AF162" s="39">
        <f>IFERROR(INDEX(Assumptions!D$145:D$146,MATCH($D162,Assumptions!$A$145:$A$146,0)),0)</f>
        <v>-408.02697478991581</v>
      </c>
      <c r="AG162" s="68">
        <f>IFERROR(INDEX(WaterUseH2[Average Direct Water Consumption (Gal/ kg h2)],MATCH(LEFT(D162,3),WaterUseH2[Key],0)),0)</f>
        <v>0</v>
      </c>
      <c r="AH162">
        <v>14</v>
      </c>
      <c r="AI162">
        <v>1.4</v>
      </c>
      <c r="AJ162">
        <v>250</v>
      </c>
      <c r="AK162">
        <v>0.31</v>
      </c>
      <c r="AL162" s="63">
        <f>IFERROR(INDEX(Job_Training[[Solar]:[Wind]],MATCH(AL$1,Job_Training[[`Typical Entry Level Education`]:[`Typical Entry Level Education`]],0),MATCH(LEFT($D162,5),Job_Training[[#Headers],[Solar]:[Wind]],0)),0)</f>
        <v>0</v>
      </c>
      <c r="AM162" s="63">
        <f>IFERROR(INDEX(Job_Training[[Solar]:[Wind]],MATCH(AM$1,Job_Training[[`Typical Entry Level Education`]:[`Typical Entry Level Education`]],0),MATCH(LEFT($D162,5),Job_Training[[#Headers],[Solar]:[Wind]],0)),0)</f>
        <v>0</v>
      </c>
      <c r="AN162" s="63">
        <f>IFERROR(INDEX(Job_Training[[Solar]:[Wind]],MATCH(AN$1,Job_Training[[`Typical Entry Level Education`]:[`Typical Entry Level Education`]],0),MATCH(LEFT($D162,5),Job_Training[[#Headers],[Solar]:[Wind]],0)),0)</f>
        <v>0</v>
      </c>
      <c r="AO162" s="63">
        <f>IFERROR(INDEX(Job_Training[[Solar]:[Wind]],MATCH(AO$1,Job_Training[[`Typical Entry Level Education`]:[`Typical Entry Level Education`]],0),MATCH(LEFT($D162,5),Job_Training[[#Headers],[Solar]:[Wind]],0)),0)</f>
        <v>0</v>
      </c>
      <c r="AP162">
        <f t="shared" si="60"/>
        <v>0</v>
      </c>
      <c r="AQ162" s="63">
        <f>IF(AP162&gt;0,IFERROR(INDEX(Assumptions!$C$165:$D$165,MATCH(LEFT($D162,5),Job_Training[[#Headers],[Solar]:[Wind]],0)),0),0)</f>
        <v>0</v>
      </c>
      <c r="AR162">
        <f>IF(AP162&gt;0,IFERROR(INDEX(Assumptions!$C$166:$D$166,MATCH(LEFT($D162,5),Job_Training[[#Headers],[Solar]:[Wind]],0)),0),0)</f>
        <v>0</v>
      </c>
    </row>
    <row r="163" spans="1:44" x14ac:dyDescent="0.35">
      <c r="A163" t="str">
        <f>UserInput!$B$2</f>
        <v>Current Projects</v>
      </c>
      <c r="B163">
        <v>2039</v>
      </c>
      <c r="C163" t="s">
        <v>87</v>
      </c>
      <c r="D163" t="s">
        <v>88</v>
      </c>
      <c r="E163" s="66">
        <f>INDEX(UserInput!$C$2:$M$22,MATCH(UserMade_Scenario!B163,UserInput!$A$2:$A$22,0),MATCH(LEFT(IF(RIGHT(C163,2)="H2",UserMade_Scenario!C163,D163),3),UserInput!$C$25:$M$25,0))</f>
        <v>0</v>
      </c>
      <c r="F163" t="s">
        <v>89</v>
      </c>
      <c r="G163" s="14">
        <f t="shared" ref="G163:G194" si="67">E163*AB163</f>
        <v>0</v>
      </c>
      <c r="H163" s="63">
        <f t="shared" si="51"/>
        <v>0</v>
      </c>
      <c r="I163" s="63">
        <f t="shared" si="52"/>
        <v>0</v>
      </c>
      <c r="J163" s="63">
        <f t="shared" si="53"/>
        <v>0</v>
      </c>
      <c r="K163" s="30">
        <f>IF(OR(LEFT($D163,5)="Solar",$D163="Wind"),INDEX(Land_Use[AVG],MATCH(LEFT($D163,5),Land_Use[Tech],0)),0)*$E163</f>
        <v>0</v>
      </c>
      <c r="L163" s="30">
        <f>IF(OR(LEFT($D163,5)="Solar",$D163="Wind"),INDEX(Land_Use[MIN],MATCH(LEFT($D163,5),Land_Use[Tech],0)),0)*$E163</f>
        <v>0</v>
      </c>
      <c r="M163" s="30">
        <f>IF(OR(LEFT($D163,5)="Solar",$D163="Wind"),INDEX(Land_Use[MAX],MATCH(LEFT($D163,5),Land_Use[Tech],0)),0)*$E163</f>
        <v>0</v>
      </c>
      <c r="N163" s="15">
        <f t="shared" si="62"/>
        <v>0</v>
      </c>
      <c r="O163" s="11">
        <f t="shared" si="63"/>
        <v>0</v>
      </c>
      <c r="P163" s="11">
        <f t="shared" si="64"/>
        <v>0</v>
      </c>
      <c r="Q163" s="11">
        <f t="shared" si="65"/>
        <v>0</v>
      </c>
      <c r="R163" s="11">
        <f t="shared" si="66"/>
        <v>0</v>
      </c>
      <c r="S163" s="30">
        <f t="shared" si="54"/>
        <v>0</v>
      </c>
      <c r="T163" s="30">
        <f t="shared" si="55"/>
        <v>0</v>
      </c>
      <c r="U163" s="30">
        <f t="shared" si="56"/>
        <v>0</v>
      </c>
      <c r="V163" s="30">
        <f t="shared" si="57"/>
        <v>0</v>
      </c>
      <c r="W163" s="30">
        <f t="shared" si="58"/>
        <v>0</v>
      </c>
      <c r="X163" s="30">
        <f t="shared" si="59"/>
        <v>0</v>
      </c>
      <c r="Z163" s="23" t="s">
        <v>76</v>
      </c>
      <c r="AA163" s="40" t="str">
        <f>IF(C163="Electricity",E163*SUMIFS(Electricity!S:S,Electricity!P:P,UserMade_Scenario!B163,Electricity!M:M,UserMade_Scenario!Z163,Electricity!O:O,UserMade_Scenario!D163),"")</f>
        <v/>
      </c>
      <c r="AB163" s="67">
        <v>1.0930000000000002E-6</v>
      </c>
      <c r="AC163" s="67" t="s">
        <v>90</v>
      </c>
      <c r="AD163" s="39">
        <f>IFERROR(INDEX(Assumptions!B$145:B$146,MATCH($D163,Assumptions!$A$145:$A$146,0)),0)</f>
        <v>-229.20999999999998</v>
      </c>
      <c r="AE163" s="39">
        <f>IFERROR(INDEX(Assumptions!C$145:C$146,MATCH($D163,Assumptions!$A$145:$A$146,0)),0)</f>
        <v>-211.71999999999997</v>
      </c>
      <c r="AF163" s="39">
        <f>IFERROR(INDEX(Assumptions!D$145:D$146,MATCH($D163,Assumptions!$A$145:$A$146,0)),0)</f>
        <v>-408.02697478991581</v>
      </c>
      <c r="AG163" s="68">
        <f>IFERROR(INDEX(WaterUseH2[Average Direct Water Consumption (Gal/ kg h2)],MATCH(LEFT(D163,3),WaterUseH2[Key],0)),0)</f>
        <v>0</v>
      </c>
      <c r="AH163">
        <v>14</v>
      </c>
      <c r="AI163">
        <v>1.4</v>
      </c>
      <c r="AJ163">
        <v>250</v>
      </c>
      <c r="AK163">
        <v>0.31</v>
      </c>
      <c r="AL163" s="63">
        <f>IFERROR(INDEX(Job_Training[[Solar]:[Wind]],MATCH(AL$1,Job_Training[[`Typical Entry Level Education`]:[`Typical Entry Level Education`]],0),MATCH(LEFT($D163,5),Job_Training[[#Headers],[Solar]:[Wind]],0)),0)</f>
        <v>0</v>
      </c>
      <c r="AM163" s="63">
        <f>IFERROR(INDEX(Job_Training[[Solar]:[Wind]],MATCH(AM$1,Job_Training[[`Typical Entry Level Education`]:[`Typical Entry Level Education`]],0),MATCH(LEFT($D163,5),Job_Training[[#Headers],[Solar]:[Wind]],0)),0)</f>
        <v>0</v>
      </c>
      <c r="AN163" s="63">
        <f>IFERROR(INDEX(Job_Training[[Solar]:[Wind]],MATCH(AN$1,Job_Training[[`Typical Entry Level Education`]:[`Typical Entry Level Education`]],0),MATCH(LEFT($D163,5),Job_Training[[#Headers],[Solar]:[Wind]],0)),0)</f>
        <v>0</v>
      </c>
      <c r="AO163" s="63">
        <f>IFERROR(INDEX(Job_Training[[Solar]:[Wind]],MATCH(AO$1,Job_Training[[`Typical Entry Level Education`]:[`Typical Entry Level Education`]],0),MATCH(LEFT($D163,5),Job_Training[[#Headers],[Solar]:[Wind]],0)),0)</f>
        <v>0</v>
      </c>
      <c r="AP163">
        <f t="shared" si="60"/>
        <v>0</v>
      </c>
      <c r="AQ163" s="63">
        <f>IF(AP163&gt;0,IFERROR(INDEX(Assumptions!$C$165:$D$165,MATCH(LEFT($D163,5),Job_Training[[#Headers],[Solar]:[Wind]],0)),0),0)</f>
        <v>0</v>
      </c>
      <c r="AR163">
        <f>IF(AP163&gt;0,IFERROR(INDEX(Assumptions!$C$166:$D$166,MATCH(LEFT($D163,5),Job_Training[[#Headers],[Solar]:[Wind]],0)),0),0)</f>
        <v>0</v>
      </c>
    </row>
    <row r="164" spans="1:44" x14ac:dyDescent="0.35">
      <c r="A164" t="str">
        <f>UserInput!$B$2</f>
        <v>Current Projects</v>
      </c>
      <c r="B164">
        <v>2040</v>
      </c>
      <c r="C164" t="s">
        <v>87</v>
      </c>
      <c r="D164" t="s">
        <v>88</v>
      </c>
      <c r="E164" s="66">
        <f>INDEX(UserInput!$C$2:$M$22,MATCH(UserMade_Scenario!B164,UserInput!$A$2:$A$22,0),MATCH(LEFT(IF(RIGHT(C164,2)="H2",UserMade_Scenario!C164,D164),3),UserInput!$C$25:$M$25,0))</f>
        <v>0</v>
      </c>
      <c r="F164" t="s">
        <v>89</v>
      </c>
      <c r="G164" s="14">
        <f t="shared" si="67"/>
        <v>0</v>
      </c>
      <c r="H164" s="63">
        <f t="shared" si="51"/>
        <v>0</v>
      </c>
      <c r="I164" s="63">
        <f t="shared" si="52"/>
        <v>0</v>
      </c>
      <c r="J164" s="63">
        <f t="shared" si="53"/>
        <v>0</v>
      </c>
      <c r="K164" s="30">
        <f>IF(OR(LEFT($D164,5)="Solar",$D164="Wind"),INDEX(Land_Use[AVG],MATCH(LEFT($D164,5),Land_Use[Tech],0)),0)*$E164</f>
        <v>0</v>
      </c>
      <c r="L164" s="30">
        <f>IF(OR(LEFT($D164,5)="Solar",$D164="Wind"),INDEX(Land_Use[MIN],MATCH(LEFT($D164,5),Land_Use[Tech],0)),0)*$E164</f>
        <v>0</v>
      </c>
      <c r="M164" s="30">
        <f>IF(OR(LEFT($D164,5)="Solar",$D164="Wind"),INDEX(Land_Use[MAX],MATCH(LEFT($D164,5),Land_Use[Tech],0)),0)*$E164</f>
        <v>0</v>
      </c>
      <c r="N164" s="15">
        <f t="shared" si="62"/>
        <v>0</v>
      </c>
      <c r="O164" s="11">
        <f t="shared" si="63"/>
        <v>0</v>
      </c>
      <c r="P164" s="11">
        <f t="shared" si="64"/>
        <v>0</v>
      </c>
      <c r="Q164" s="11">
        <f t="shared" si="65"/>
        <v>0</v>
      </c>
      <c r="R164" s="11">
        <f t="shared" si="66"/>
        <v>0</v>
      </c>
      <c r="S164" s="30">
        <f t="shared" si="54"/>
        <v>0</v>
      </c>
      <c r="T164" s="30">
        <f t="shared" si="55"/>
        <v>0</v>
      </c>
      <c r="U164" s="30">
        <f t="shared" si="56"/>
        <v>0</v>
      </c>
      <c r="V164" s="30">
        <f t="shared" si="57"/>
        <v>0</v>
      </c>
      <c r="W164" s="30">
        <f t="shared" si="58"/>
        <v>0</v>
      </c>
      <c r="X164" s="30">
        <f t="shared" si="59"/>
        <v>0</v>
      </c>
      <c r="Z164" s="23" t="s">
        <v>76</v>
      </c>
      <c r="AA164" s="40" t="str">
        <f>IF(C164="Electricity",E164*SUMIFS(Electricity!S:S,Electricity!P:P,UserMade_Scenario!B164,Electricity!M:M,UserMade_Scenario!Z164,Electricity!O:O,UserMade_Scenario!D164),"")</f>
        <v/>
      </c>
      <c r="AB164" s="67">
        <v>1.0930000000000002E-6</v>
      </c>
      <c r="AC164" s="67" t="s">
        <v>90</v>
      </c>
      <c r="AD164" s="39">
        <f>IFERROR(INDEX(Assumptions!B$145:B$146,MATCH($D164,Assumptions!$A$145:$A$146,0)),0)</f>
        <v>-229.20999999999998</v>
      </c>
      <c r="AE164" s="39">
        <f>IFERROR(INDEX(Assumptions!C$145:C$146,MATCH($D164,Assumptions!$A$145:$A$146,0)),0)</f>
        <v>-211.71999999999997</v>
      </c>
      <c r="AF164" s="39">
        <f>IFERROR(INDEX(Assumptions!D$145:D$146,MATCH($D164,Assumptions!$A$145:$A$146,0)),0)</f>
        <v>-408.02697478991581</v>
      </c>
      <c r="AG164" s="68">
        <f>IFERROR(INDEX(WaterUseH2[Average Direct Water Consumption (Gal/ kg h2)],MATCH(LEFT(D164,3),WaterUseH2[Key],0)),0)</f>
        <v>0</v>
      </c>
      <c r="AH164">
        <v>14</v>
      </c>
      <c r="AI164">
        <v>1.4</v>
      </c>
      <c r="AJ164">
        <v>250</v>
      </c>
      <c r="AK164">
        <v>0.31</v>
      </c>
      <c r="AL164" s="63">
        <f>IFERROR(INDEX(Job_Training[[Solar]:[Wind]],MATCH(AL$1,Job_Training[[`Typical Entry Level Education`]:[`Typical Entry Level Education`]],0),MATCH(LEFT($D164,5),Job_Training[[#Headers],[Solar]:[Wind]],0)),0)</f>
        <v>0</v>
      </c>
      <c r="AM164" s="63">
        <f>IFERROR(INDEX(Job_Training[[Solar]:[Wind]],MATCH(AM$1,Job_Training[[`Typical Entry Level Education`]:[`Typical Entry Level Education`]],0),MATCH(LEFT($D164,5),Job_Training[[#Headers],[Solar]:[Wind]],0)),0)</f>
        <v>0</v>
      </c>
      <c r="AN164" s="63">
        <f>IFERROR(INDEX(Job_Training[[Solar]:[Wind]],MATCH(AN$1,Job_Training[[`Typical Entry Level Education`]:[`Typical Entry Level Education`]],0),MATCH(LEFT($D164,5),Job_Training[[#Headers],[Solar]:[Wind]],0)),0)</f>
        <v>0</v>
      </c>
      <c r="AO164" s="63">
        <f>IFERROR(INDEX(Job_Training[[Solar]:[Wind]],MATCH(AO$1,Job_Training[[`Typical Entry Level Education`]:[`Typical Entry Level Education`]],0),MATCH(LEFT($D164,5),Job_Training[[#Headers],[Solar]:[Wind]],0)),0)</f>
        <v>0</v>
      </c>
      <c r="AP164">
        <f t="shared" si="60"/>
        <v>0</v>
      </c>
      <c r="AQ164" s="63">
        <f>IF(AP164&gt;0,IFERROR(INDEX(Assumptions!$C$165:$D$165,MATCH(LEFT($D164,5),Job_Training[[#Headers],[Solar]:[Wind]],0)),0),0)</f>
        <v>0</v>
      </c>
      <c r="AR164">
        <f>IF(AP164&gt;0,IFERROR(INDEX(Assumptions!$C$166:$D$166,MATCH(LEFT($D164,5),Job_Training[[#Headers],[Solar]:[Wind]],0)),0),0)</f>
        <v>0</v>
      </c>
    </row>
    <row r="165" spans="1:44" x14ac:dyDescent="0.35">
      <c r="A165" t="str">
        <f>UserInput!$B$2</f>
        <v>Current Projects</v>
      </c>
      <c r="B165">
        <v>2041</v>
      </c>
      <c r="C165" t="s">
        <v>87</v>
      </c>
      <c r="D165" t="s">
        <v>88</v>
      </c>
      <c r="E165" s="66">
        <f>INDEX(UserInput!$C$2:$M$22,MATCH(UserMade_Scenario!B165,UserInput!$A$2:$A$22,0),MATCH(LEFT(IF(RIGHT(C165,2)="H2",UserMade_Scenario!C165,D165),3),UserInput!$C$25:$M$25,0))</f>
        <v>0</v>
      </c>
      <c r="F165" t="s">
        <v>89</v>
      </c>
      <c r="G165" s="14">
        <f t="shared" si="67"/>
        <v>0</v>
      </c>
      <c r="H165" s="63">
        <f t="shared" si="51"/>
        <v>0</v>
      </c>
      <c r="I165" s="63">
        <f t="shared" si="52"/>
        <v>0</v>
      </c>
      <c r="J165" s="63">
        <f t="shared" si="53"/>
        <v>0</v>
      </c>
      <c r="K165" s="30">
        <f>IF(OR(LEFT($D165,5)="Solar",$D165="Wind"),INDEX(Land_Use[AVG],MATCH(LEFT($D165,5),Land_Use[Tech],0)),0)*$E165</f>
        <v>0</v>
      </c>
      <c r="L165" s="30">
        <f>IF(OR(LEFT($D165,5)="Solar",$D165="Wind"),INDEX(Land_Use[MIN],MATCH(LEFT($D165,5),Land_Use[Tech],0)),0)*$E165</f>
        <v>0</v>
      </c>
      <c r="M165" s="30">
        <f>IF(OR(LEFT($D165,5)="Solar",$D165="Wind"),INDEX(Land_Use[MAX],MATCH(LEFT($D165,5),Land_Use[Tech],0)),0)*$E165</f>
        <v>0</v>
      </c>
      <c r="N165" s="15">
        <f t="shared" si="62"/>
        <v>0</v>
      </c>
      <c r="O165" s="11">
        <f t="shared" si="63"/>
        <v>0</v>
      </c>
      <c r="P165" s="11">
        <f t="shared" si="64"/>
        <v>0</v>
      </c>
      <c r="Q165" s="11">
        <f t="shared" si="65"/>
        <v>0</v>
      </c>
      <c r="R165" s="11">
        <f t="shared" si="66"/>
        <v>0</v>
      </c>
      <c r="S165" s="30">
        <f t="shared" si="54"/>
        <v>0</v>
      </c>
      <c r="T165" s="30">
        <f t="shared" si="55"/>
        <v>0</v>
      </c>
      <c r="U165" s="30">
        <f t="shared" si="56"/>
        <v>0</v>
      </c>
      <c r="V165" s="30">
        <f t="shared" si="57"/>
        <v>0</v>
      </c>
      <c r="W165" s="30">
        <f t="shared" si="58"/>
        <v>0</v>
      </c>
      <c r="X165" s="30">
        <f t="shared" si="59"/>
        <v>0</v>
      </c>
      <c r="Z165" s="23" t="s">
        <v>76</v>
      </c>
      <c r="AA165" s="40" t="str">
        <f>IF(C165="Electricity",E165*SUMIFS(Electricity!S:S,Electricity!P:P,UserMade_Scenario!B165,Electricity!M:M,UserMade_Scenario!Z165,Electricity!O:O,UserMade_Scenario!D165),"")</f>
        <v/>
      </c>
      <c r="AB165" s="67">
        <v>1.0930000000000002E-6</v>
      </c>
      <c r="AC165" s="67" t="s">
        <v>90</v>
      </c>
      <c r="AD165" s="39">
        <f>IFERROR(INDEX(Assumptions!B$145:B$146,MATCH($D165,Assumptions!$A$145:$A$146,0)),0)</f>
        <v>-229.20999999999998</v>
      </c>
      <c r="AE165" s="39">
        <f>IFERROR(INDEX(Assumptions!C$145:C$146,MATCH($D165,Assumptions!$A$145:$A$146,0)),0)</f>
        <v>-211.71999999999997</v>
      </c>
      <c r="AF165" s="39">
        <f>IFERROR(INDEX(Assumptions!D$145:D$146,MATCH($D165,Assumptions!$A$145:$A$146,0)),0)</f>
        <v>-408.02697478991581</v>
      </c>
      <c r="AG165" s="68">
        <f>IFERROR(INDEX(WaterUseH2[Average Direct Water Consumption (Gal/ kg h2)],MATCH(LEFT(D165,3),WaterUseH2[Key],0)),0)</f>
        <v>0</v>
      </c>
      <c r="AH165">
        <v>14</v>
      </c>
      <c r="AI165">
        <v>1.4</v>
      </c>
      <c r="AJ165">
        <v>250</v>
      </c>
      <c r="AK165">
        <v>0.31</v>
      </c>
      <c r="AL165" s="63">
        <f>IFERROR(INDEX(Job_Training[[Solar]:[Wind]],MATCH(AL$1,Job_Training[[`Typical Entry Level Education`]:[`Typical Entry Level Education`]],0),MATCH(LEFT($D165,5),Job_Training[[#Headers],[Solar]:[Wind]],0)),0)</f>
        <v>0</v>
      </c>
      <c r="AM165" s="63">
        <f>IFERROR(INDEX(Job_Training[[Solar]:[Wind]],MATCH(AM$1,Job_Training[[`Typical Entry Level Education`]:[`Typical Entry Level Education`]],0),MATCH(LEFT($D165,5),Job_Training[[#Headers],[Solar]:[Wind]],0)),0)</f>
        <v>0</v>
      </c>
      <c r="AN165" s="63">
        <f>IFERROR(INDEX(Job_Training[[Solar]:[Wind]],MATCH(AN$1,Job_Training[[`Typical Entry Level Education`]:[`Typical Entry Level Education`]],0),MATCH(LEFT($D165,5),Job_Training[[#Headers],[Solar]:[Wind]],0)),0)</f>
        <v>0</v>
      </c>
      <c r="AO165" s="63">
        <f>IFERROR(INDEX(Job_Training[[Solar]:[Wind]],MATCH(AO$1,Job_Training[[`Typical Entry Level Education`]:[`Typical Entry Level Education`]],0),MATCH(LEFT($D165,5),Job_Training[[#Headers],[Solar]:[Wind]],0)),0)</f>
        <v>0</v>
      </c>
      <c r="AP165">
        <f t="shared" si="60"/>
        <v>0</v>
      </c>
      <c r="AQ165" s="63">
        <f>IF(AP165&gt;0,IFERROR(INDEX(Assumptions!$C$165:$D$165,MATCH(LEFT($D165,5),Job_Training[[#Headers],[Solar]:[Wind]],0)),0),0)</f>
        <v>0</v>
      </c>
      <c r="AR165">
        <f>IF(AP165&gt;0,IFERROR(INDEX(Assumptions!$C$166:$D$166,MATCH(LEFT($D165,5),Job_Training[[#Headers],[Solar]:[Wind]],0)),0),0)</f>
        <v>0</v>
      </c>
    </row>
    <row r="166" spans="1:44" x14ac:dyDescent="0.35">
      <c r="A166" t="str">
        <f>UserInput!$B$2</f>
        <v>Current Projects</v>
      </c>
      <c r="B166">
        <v>2042</v>
      </c>
      <c r="C166" t="s">
        <v>87</v>
      </c>
      <c r="D166" t="s">
        <v>88</v>
      </c>
      <c r="E166" s="66">
        <f>INDEX(UserInput!$C$2:$M$22,MATCH(UserMade_Scenario!B166,UserInput!$A$2:$A$22,0),MATCH(LEFT(IF(RIGHT(C166,2)="H2",UserMade_Scenario!C166,D166),3),UserInput!$C$25:$M$25,0))</f>
        <v>0</v>
      </c>
      <c r="F166" t="s">
        <v>89</v>
      </c>
      <c r="G166" s="14">
        <f t="shared" si="67"/>
        <v>0</v>
      </c>
      <c r="H166" s="63">
        <f t="shared" si="51"/>
        <v>0</v>
      </c>
      <c r="I166" s="63">
        <f t="shared" si="52"/>
        <v>0</v>
      </c>
      <c r="J166" s="63">
        <f t="shared" si="53"/>
        <v>0</v>
      </c>
      <c r="K166" s="30">
        <f>IF(OR(LEFT($D166,5)="Solar",$D166="Wind"),INDEX(Land_Use[AVG],MATCH(LEFT($D166,5),Land_Use[Tech],0)),0)*$E166</f>
        <v>0</v>
      </c>
      <c r="L166" s="30">
        <f>IF(OR(LEFT($D166,5)="Solar",$D166="Wind"),INDEX(Land_Use[MIN],MATCH(LEFT($D166,5),Land_Use[Tech],0)),0)*$E166</f>
        <v>0</v>
      </c>
      <c r="M166" s="30">
        <f>IF(OR(LEFT($D166,5)="Solar",$D166="Wind"),INDEX(Land_Use[MAX],MATCH(LEFT($D166,5),Land_Use[Tech],0)),0)*$E166</f>
        <v>0</v>
      </c>
      <c r="N166" s="15">
        <f t="shared" si="62"/>
        <v>0</v>
      </c>
      <c r="O166" s="11">
        <f t="shared" si="63"/>
        <v>0</v>
      </c>
      <c r="P166" s="11">
        <f t="shared" si="64"/>
        <v>0</v>
      </c>
      <c r="Q166" s="11">
        <f t="shared" si="65"/>
        <v>0</v>
      </c>
      <c r="R166" s="11">
        <f t="shared" si="66"/>
        <v>0</v>
      </c>
      <c r="S166" s="30">
        <f t="shared" si="54"/>
        <v>0</v>
      </c>
      <c r="T166" s="30">
        <f t="shared" si="55"/>
        <v>0</v>
      </c>
      <c r="U166" s="30">
        <f t="shared" si="56"/>
        <v>0</v>
      </c>
      <c r="V166" s="30">
        <f t="shared" si="57"/>
        <v>0</v>
      </c>
      <c r="W166" s="30">
        <f t="shared" si="58"/>
        <v>0</v>
      </c>
      <c r="X166" s="30">
        <f t="shared" si="59"/>
        <v>0</v>
      </c>
      <c r="Z166" s="23" t="s">
        <v>76</v>
      </c>
      <c r="AA166" s="40" t="str">
        <f>IF(C166="Electricity",E166*SUMIFS(Electricity!S:S,Electricity!P:P,UserMade_Scenario!B166,Electricity!M:M,UserMade_Scenario!Z166,Electricity!O:O,UserMade_Scenario!D166),"")</f>
        <v/>
      </c>
      <c r="AB166" s="67">
        <v>1.0930000000000002E-6</v>
      </c>
      <c r="AC166" s="67" t="s">
        <v>90</v>
      </c>
      <c r="AD166" s="39">
        <f>IFERROR(INDEX(Assumptions!B$145:B$146,MATCH($D166,Assumptions!$A$145:$A$146,0)),0)</f>
        <v>-229.20999999999998</v>
      </c>
      <c r="AE166" s="39">
        <f>IFERROR(INDEX(Assumptions!C$145:C$146,MATCH($D166,Assumptions!$A$145:$A$146,0)),0)</f>
        <v>-211.71999999999997</v>
      </c>
      <c r="AF166" s="39">
        <f>IFERROR(INDEX(Assumptions!D$145:D$146,MATCH($D166,Assumptions!$A$145:$A$146,0)),0)</f>
        <v>-408.02697478991581</v>
      </c>
      <c r="AG166" s="68">
        <f>IFERROR(INDEX(WaterUseH2[Average Direct Water Consumption (Gal/ kg h2)],MATCH(LEFT(D166,3),WaterUseH2[Key],0)),0)</f>
        <v>0</v>
      </c>
      <c r="AH166">
        <v>14</v>
      </c>
      <c r="AI166">
        <v>1.4</v>
      </c>
      <c r="AJ166">
        <v>250</v>
      </c>
      <c r="AK166">
        <v>0.31</v>
      </c>
      <c r="AL166" s="63">
        <f>IFERROR(INDEX(Job_Training[[Solar]:[Wind]],MATCH(AL$1,Job_Training[[`Typical Entry Level Education`]:[`Typical Entry Level Education`]],0),MATCH(LEFT($D166,5),Job_Training[[#Headers],[Solar]:[Wind]],0)),0)</f>
        <v>0</v>
      </c>
      <c r="AM166" s="63">
        <f>IFERROR(INDEX(Job_Training[[Solar]:[Wind]],MATCH(AM$1,Job_Training[[`Typical Entry Level Education`]:[`Typical Entry Level Education`]],0),MATCH(LEFT($D166,5),Job_Training[[#Headers],[Solar]:[Wind]],0)),0)</f>
        <v>0</v>
      </c>
      <c r="AN166" s="63">
        <f>IFERROR(INDEX(Job_Training[[Solar]:[Wind]],MATCH(AN$1,Job_Training[[`Typical Entry Level Education`]:[`Typical Entry Level Education`]],0),MATCH(LEFT($D166,5),Job_Training[[#Headers],[Solar]:[Wind]],0)),0)</f>
        <v>0</v>
      </c>
      <c r="AO166" s="63">
        <f>IFERROR(INDEX(Job_Training[[Solar]:[Wind]],MATCH(AO$1,Job_Training[[`Typical Entry Level Education`]:[`Typical Entry Level Education`]],0),MATCH(LEFT($D166,5),Job_Training[[#Headers],[Solar]:[Wind]],0)),0)</f>
        <v>0</v>
      </c>
      <c r="AP166">
        <f t="shared" si="60"/>
        <v>0</v>
      </c>
      <c r="AQ166" s="63">
        <f>IF(AP166&gt;0,IFERROR(INDEX(Assumptions!$C$165:$D$165,MATCH(LEFT($D166,5),Job_Training[[#Headers],[Solar]:[Wind]],0)),0),0)</f>
        <v>0</v>
      </c>
      <c r="AR166">
        <f>IF(AP166&gt;0,IFERROR(INDEX(Assumptions!$C$166:$D$166,MATCH(LEFT($D166,5),Job_Training[[#Headers],[Solar]:[Wind]],0)),0),0)</f>
        <v>0</v>
      </c>
    </row>
    <row r="167" spans="1:44" x14ac:dyDescent="0.35">
      <c r="A167" t="str">
        <f>UserInput!$B$2</f>
        <v>Current Projects</v>
      </c>
      <c r="B167">
        <v>2043</v>
      </c>
      <c r="C167" t="s">
        <v>87</v>
      </c>
      <c r="D167" t="s">
        <v>88</v>
      </c>
      <c r="E167" s="66">
        <f>INDEX(UserInput!$C$2:$M$22,MATCH(UserMade_Scenario!B167,UserInput!$A$2:$A$22,0),MATCH(LEFT(IF(RIGHT(C167,2)="H2",UserMade_Scenario!C167,D167),3),UserInput!$C$25:$M$25,0))</f>
        <v>0</v>
      </c>
      <c r="F167" t="s">
        <v>89</v>
      </c>
      <c r="G167" s="14">
        <f t="shared" si="67"/>
        <v>0</v>
      </c>
      <c r="H167" s="63">
        <f t="shared" si="51"/>
        <v>0</v>
      </c>
      <c r="I167" s="63">
        <f t="shared" si="52"/>
        <v>0</v>
      </c>
      <c r="J167" s="63">
        <f t="shared" si="53"/>
        <v>0</v>
      </c>
      <c r="K167" s="30">
        <f>IF(OR(LEFT($D167,5)="Solar",$D167="Wind"),INDEX(Land_Use[AVG],MATCH(LEFT($D167,5),Land_Use[Tech],0)),0)*$E167</f>
        <v>0</v>
      </c>
      <c r="L167" s="30">
        <f>IF(OR(LEFT($D167,5)="Solar",$D167="Wind"),INDEX(Land_Use[MIN],MATCH(LEFT($D167,5),Land_Use[Tech],0)),0)*$E167</f>
        <v>0</v>
      </c>
      <c r="M167" s="30">
        <f>IF(OR(LEFT($D167,5)="Solar",$D167="Wind"),INDEX(Land_Use[MAX],MATCH(LEFT($D167,5),Land_Use[Tech],0)),0)*$E167</f>
        <v>0</v>
      </c>
      <c r="N167" s="15">
        <f t="shared" si="62"/>
        <v>0</v>
      </c>
      <c r="O167" s="11">
        <f t="shared" si="63"/>
        <v>0</v>
      </c>
      <c r="P167" s="11">
        <f t="shared" si="64"/>
        <v>0</v>
      </c>
      <c r="Q167" s="11">
        <f t="shared" si="65"/>
        <v>0</v>
      </c>
      <c r="R167" s="11">
        <f t="shared" si="66"/>
        <v>0</v>
      </c>
      <c r="S167" s="30">
        <f t="shared" si="54"/>
        <v>0</v>
      </c>
      <c r="T167" s="30">
        <f t="shared" si="55"/>
        <v>0</v>
      </c>
      <c r="U167" s="30">
        <f t="shared" si="56"/>
        <v>0</v>
      </c>
      <c r="V167" s="30">
        <f t="shared" si="57"/>
        <v>0</v>
      </c>
      <c r="W167" s="30">
        <f t="shared" si="58"/>
        <v>0</v>
      </c>
      <c r="X167" s="30">
        <f t="shared" si="59"/>
        <v>0</v>
      </c>
      <c r="Z167" s="23" t="s">
        <v>76</v>
      </c>
      <c r="AA167" s="40" t="str">
        <f>IF(C167="Electricity",E167*SUMIFS(Electricity!S:S,Electricity!P:P,UserMade_Scenario!B167,Electricity!M:M,UserMade_Scenario!Z167,Electricity!O:O,UserMade_Scenario!D167),"")</f>
        <v/>
      </c>
      <c r="AB167" s="67">
        <v>1.0930000000000002E-6</v>
      </c>
      <c r="AC167" s="67" t="s">
        <v>90</v>
      </c>
      <c r="AD167" s="39">
        <f>IFERROR(INDEX(Assumptions!B$145:B$146,MATCH($D167,Assumptions!$A$145:$A$146,0)),0)</f>
        <v>-229.20999999999998</v>
      </c>
      <c r="AE167" s="39">
        <f>IFERROR(INDEX(Assumptions!C$145:C$146,MATCH($D167,Assumptions!$A$145:$A$146,0)),0)</f>
        <v>-211.71999999999997</v>
      </c>
      <c r="AF167" s="39">
        <f>IFERROR(INDEX(Assumptions!D$145:D$146,MATCH($D167,Assumptions!$A$145:$A$146,0)),0)</f>
        <v>-408.02697478991581</v>
      </c>
      <c r="AG167" s="68">
        <f>IFERROR(INDEX(WaterUseH2[Average Direct Water Consumption (Gal/ kg h2)],MATCH(LEFT(D167,3),WaterUseH2[Key],0)),0)</f>
        <v>0</v>
      </c>
      <c r="AH167">
        <v>14</v>
      </c>
      <c r="AI167">
        <v>1.4</v>
      </c>
      <c r="AJ167">
        <v>250</v>
      </c>
      <c r="AK167">
        <v>0.31</v>
      </c>
      <c r="AL167" s="63">
        <f>IFERROR(INDEX(Job_Training[[Solar]:[Wind]],MATCH(AL$1,Job_Training[[`Typical Entry Level Education`]:[`Typical Entry Level Education`]],0),MATCH(LEFT($D167,5),Job_Training[[#Headers],[Solar]:[Wind]],0)),0)</f>
        <v>0</v>
      </c>
      <c r="AM167" s="63">
        <f>IFERROR(INDEX(Job_Training[[Solar]:[Wind]],MATCH(AM$1,Job_Training[[`Typical Entry Level Education`]:[`Typical Entry Level Education`]],0),MATCH(LEFT($D167,5),Job_Training[[#Headers],[Solar]:[Wind]],0)),0)</f>
        <v>0</v>
      </c>
      <c r="AN167" s="63">
        <f>IFERROR(INDEX(Job_Training[[Solar]:[Wind]],MATCH(AN$1,Job_Training[[`Typical Entry Level Education`]:[`Typical Entry Level Education`]],0),MATCH(LEFT($D167,5),Job_Training[[#Headers],[Solar]:[Wind]],0)),0)</f>
        <v>0</v>
      </c>
      <c r="AO167" s="63">
        <f>IFERROR(INDEX(Job_Training[[Solar]:[Wind]],MATCH(AO$1,Job_Training[[`Typical Entry Level Education`]:[`Typical Entry Level Education`]],0),MATCH(LEFT($D167,5),Job_Training[[#Headers],[Solar]:[Wind]],0)),0)</f>
        <v>0</v>
      </c>
      <c r="AP167">
        <f t="shared" si="60"/>
        <v>0</v>
      </c>
      <c r="AQ167" s="63">
        <f>IF(AP167&gt;0,IFERROR(INDEX(Assumptions!$C$165:$D$165,MATCH(LEFT($D167,5),Job_Training[[#Headers],[Solar]:[Wind]],0)),0),0)</f>
        <v>0</v>
      </c>
      <c r="AR167">
        <f>IF(AP167&gt;0,IFERROR(INDEX(Assumptions!$C$166:$D$166,MATCH(LEFT($D167,5),Job_Training[[#Headers],[Solar]:[Wind]],0)),0),0)</f>
        <v>0</v>
      </c>
    </row>
    <row r="168" spans="1:44" x14ac:dyDescent="0.35">
      <c r="A168" t="str">
        <f>UserInput!$B$2</f>
        <v>Current Projects</v>
      </c>
      <c r="B168">
        <v>2044</v>
      </c>
      <c r="C168" t="s">
        <v>87</v>
      </c>
      <c r="D168" t="s">
        <v>88</v>
      </c>
      <c r="E168" s="66">
        <f>INDEX(UserInput!$C$2:$M$22,MATCH(UserMade_Scenario!B168,UserInput!$A$2:$A$22,0),MATCH(LEFT(IF(RIGHT(C168,2)="H2",UserMade_Scenario!C168,D168),3),UserInput!$C$25:$M$25,0))</f>
        <v>0</v>
      </c>
      <c r="F168" t="s">
        <v>89</v>
      </c>
      <c r="G168" s="14">
        <f t="shared" si="67"/>
        <v>0</v>
      </c>
      <c r="H168" s="63">
        <f t="shared" si="51"/>
        <v>0</v>
      </c>
      <c r="I168" s="63">
        <f t="shared" si="52"/>
        <v>0</v>
      </c>
      <c r="J168" s="63">
        <f t="shared" si="53"/>
        <v>0</v>
      </c>
      <c r="K168" s="30">
        <f>IF(OR(LEFT($D168,5)="Solar",$D168="Wind"),INDEX(Land_Use[AVG],MATCH(LEFT($D168,5),Land_Use[Tech],0)),0)*$E168</f>
        <v>0</v>
      </c>
      <c r="L168" s="30">
        <f>IF(OR(LEFT($D168,5)="Solar",$D168="Wind"),INDEX(Land_Use[MIN],MATCH(LEFT($D168,5),Land_Use[Tech],0)),0)*$E168</f>
        <v>0</v>
      </c>
      <c r="M168" s="30">
        <f>IF(OR(LEFT($D168,5)="Solar",$D168="Wind"),INDEX(Land_Use[MAX],MATCH(LEFT($D168,5),Land_Use[Tech],0)),0)*$E168</f>
        <v>0</v>
      </c>
      <c r="N168" s="15">
        <f t="shared" si="62"/>
        <v>0</v>
      </c>
      <c r="O168" s="11">
        <f t="shared" si="63"/>
        <v>0</v>
      </c>
      <c r="P168" s="11">
        <f t="shared" si="64"/>
        <v>0</v>
      </c>
      <c r="Q168" s="11">
        <f t="shared" si="65"/>
        <v>0</v>
      </c>
      <c r="R168" s="11">
        <f t="shared" si="66"/>
        <v>0</v>
      </c>
      <c r="S168" s="30">
        <f t="shared" si="54"/>
        <v>0</v>
      </c>
      <c r="T168" s="30">
        <f t="shared" si="55"/>
        <v>0</v>
      </c>
      <c r="U168" s="30">
        <f t="shared" si="56"/>
        <v>0</v>
      </c>
      <c r="V168" s="30">
        <f t="shared" si="57"/>
        <v>0</v>
      </c>
      <c r="W168" s="30">
        <f t="shared" si="58"/>
        <v>0</v>
      </c>
      <c r="X168" s="30">
        <f t="shared" si="59"/>
        <v>0</v>
      </c>
      <c r="Z168" s="23" t="s">
        <v>76</v>
      </c>
      <c r="AA168" s="40" t="str">
        <f>IF(C168="Electricity",E168*SUMIFS(Electricity!S:S,Electricity!P:P,UserMade_Scenario!B168,Electricity!M:M,UserMade_Scenario!Z168,Electricity!O:O,UserMade_Scenario!D168),"")</f>
        <v/>
      </c>
      <c r="AB168" s="67">
        <v>1.0930000000000002E-6</v>
      </c>
      <c r="AC168" s="67" t="s">
        <v>90</v>
      </c>
      <c r="AD168" s="39">
        <f>IFERROR(INDEX(Assumptions!B$145:B$146,MATCH($D168,Assumptions!$A$145:$A$146,0)),0)</f>
        <v>-229.20999999999998</v>
      </c>
      <c r="AE168" s="39">
        <f>IFERROR(INDEX(Assumptions!C$145:C$146,MATCH($D168,Assumptions!$A$145:$A$146,0)),0)</f>
        <v>-211.71999999999997</v>
      </c>
      <c r="AF168" s="39">
        <f>IFERROR(INDEX(Assumptions!D$145:D$146,MATCH($D168,Assumptions!$A$145:$A$146,0)),0)</f>
        <v>-408.02697478991581</v>
      </c>
      <c r="AG168" s="68">
        <f>IFERROR(INDEX(WaterUseH2[Average Direct Water Consumption (Gal/ kg h2)],MATCH(LEFT(D168,3),WaterUseH2[Key],0)),0)</f>
        <v>0</v>
      </c>
      <c r="AH168">
        <v>14</v>
      </c>
      <c r="AI168">
        <v>1.4</v>
      </c>
      <c r="AJ168">
        <v>250</v>
      </c>
      <c r="AK168">
        <v>0.31</v>
      </c>
      <c r="AL168" s="63">
        <f>IFERROR(INDEX(Job_Training[[Solar]:[Wind]],MATCH(AL$1,Job_Training[[`Typical Entry Level Education`]:[`Typical Entry Level Education`]],0),MATCH(LEFT($D168,5),Job_Training[[#Headers],[Solar]:[Wind]],0)),0)</f>
        <v>0</v>
      </c>
      <c r="AM168" s="63">
        <f>IFERROR(INDEX(Job_Training[[Solar]:[Wind]],MATCH(AM$1,Job_Training[[`Typical Entry Level Education`]:[`Typical Entry Level Education`]],0),MATCH(LEFT($D168,5),Job_Training[[#Headers],[Solar]:[Wind]],0)),0)</f>
        <v>0</v>
      </c>
      <c r="AN168" s="63">
        <f>IFERROR(INDEX(Job_Training[[Solar]:[Wind]],MATCH(AN$1,Job_Training[[`Typical Entry Level Education`]:[`Typical Entry Level Education`]],0),MATCH(LEFT($D168,5),Job_Training[[#Headers],[Solar]:[Wind]],0)),0)</f>
        <v>0</v>
      </c>
      <c r="AO168" s="63">
        <f>IFERROR(INDEX(Job_Training[[Solar]:[Wind]],MATCH(AO$1,Job_Training[[`Typical Entry Level Education`]:[`Typical Entry Level Education`]],0),MATCH(LEFT($D168,5),Job_Training[[#Headers],[Solar]:[Wind]],0)),0)</f>
        <v>0</v>
      </c>
      <c r="AP168">
        <f t="shared" si="60"/>
        <v>0</v>
      </c>
      <c r="AQ168" s="63">
        <f>IF(AP168&gt;0,IFERROR(INDEX(Assumptions!$C$165:$D$165,MATCH(LEFT($D168,5),Job_Training[[#Headers],[Solar]:[Wind]],0)),0),0)</f>
        <v>0</v>
      </c>
      <c r="AR168">
        <f>IF(AP168&gt;0,IFERROR(INDEX(Assumptions!$C$166:$D$166,MATCH(LEFT($D168,5),Job_Training[[#Headers],[Solar]:[Wind]],0)),0),0)</f>
        <v>0</v>
      </c>
    </row>
    <row r="169" spans="1:44" x14ac:dyDescent="0.35">
      <c r="A169" t="str">
        <f>UserInput!$B$2</f>
        <v>Current Projects</v>
      </c>
      <c r="B169">
        <v>2045</v>
      </c>
      <c r="C169" t="s">
        <v>87</v>
      </c>
      <c r="D169" t="s">
        <v>88</v>
      </c>
      <c r="E169" s="66">
        <f>INDEX(UserInput!$C$2:$M$22,MATCH(UserMade_Scenario!B169,UserInput!$A$2:$A$22,0),MATCH(LEFT(IF(RIGHT(C169,2)="H2",UserMade_Scenario!C169,D169),3),UserInput!$C$25:$M$25,0))</f>
        <v>0</v>
      </c>
      <c r="F169" t="s">
        <v>89</v>
      </c>
      <c r="G169" s="14">
        <f t="shared" si="67"/>
        <v>0</v>
      </c>
      <c r="H169" s="63">
        <f t="shared" si="51"/>
        <v>0</v>
      </c>
      <c r="I169" s="63">
        <f t="shared" si="52"/>
        <v>0</v>
      </c>
      <c r="J169" s="63">
        <f t="shared" si="53"/>
        <v>0</v>
      </c>
      <c r="K169" s="30">
        <f>IF(OR(LEFT($D169,5)="Solar",$D169="Wind"),INDEX(Land_Use[AVG],MATCH(LEFT($D169,5),Land_Use[Tech],0)),0)*$E169</f>
        <v>0</v>
      </c>
      <c r="L169" s="30">
        <f>IF(OR(LEFT($D169,5)="Solar",$D169="Wind"),INDEX(Land_Use[MIN],MATCH(LEFT($D169,5),Land_Use[Tech],0)),0)*$E169</f>
        <v>0</v>
      </c>
      <c r="M169" s="30">
        <f>IF(OR(LEFT($D169,5)="Solar",$D169="Wind"),INDEX(Land_Use[MAX],MATCH(LEFT($D169,5),Land_Use[Tech],0)),0)*$E169</f>
        <v>0</v>
      </c>
      <c r="N169" s="15">
        <f t="shared" si="62"/>
        <v>0</v>
      </c>
      <c r="O169" s="11">
        <f t="shared" si="63"/>
        <v>0</v>
      </c>
      <c r="P169" s="11">
        <f t="shared" si="64"/>
        <v>0</v>
      </c>
      <c r="Q169" s="11">
        <f t="shared" si="65"/>
        <v>0</v>
      </c>
      <c r="R169" s="11">
        <f t="shared" si="66"/>
        <v>0</v>
      </c>
      <c r="S169" s="30">
        <f t="shared" si="54"/>
        <v>0</v>
      </c>
      <c r="T169" s="30">
        <f t="shared" si="55"/>
        <v>0</v>
      </c>
      <c r="U169" s="30">
        <f t="shared" si="56"/>
        <v>0</v>
      </c>
      <c r="V169" s="30">
        <f t="shared" si="57"/>
        <v>0</v>
      </c>
      <c r="W169" s="30">
        <f t="shared" si="58"/>
        <v>0</v>
      </c>
      <c r="X169" s="30">
        <f t="shared" si="59"/>
        <v>0</v>
      </c>
      <c r="Z169" s="23" t="s">
        <v>76</v>
      </c>
      <c r="AA169" s="40" t="str">
        <f>IF(C169="Electricity",E169*SUMIFS(Electricity!S:S,Electricity!P:P,UserMade_Scenario!B169,Electricity!M:M,UserMade_Scenario!Z169,Electricity!O:O,UserMade_Scenario!D169),"")</f>
        <v/>
      </c>
      <c r="AB169" s="67">
        <v>1.0930000000000002E-6</v>
      </c>
      <c r="AC169" s="67" t="s">
        <v>90</v>
      </c>
      <c r="AD169" s="39">
        <f>IFERROR(INDEX(Assumptions!B$145:B$146,MATCH($D169,Assumptions!$A$145:$A$146,0)),0)</f>
        <v>-229.20999999999998</v>
      </c>
      <c r="AE169" s="39">
        <f>IFERROR(INDEX(Assumptions!C$145:C$146,MATCH($D169,Assumptions!$A$145:$A$146,0)),0)</f>
        <v>-211.71999999999997</v>
      </c>
      <c r="AF169" s="39">
        <f>IFERROR(INDEX(Assumptions!D$145:D$146,MATCH($D169,Assumptions!$A$145:$A$146,0)),0)</f>
        <v>-408.02697478991581</v>
      </c>
      <c r="AG169" s="68">
        <f>IFERROR(INDEX(WaterUseH2[Average Direct Water Consumption (Gal/ kg h2)],MATCH(LEFT(D169,3),WaterUseH2[Key],0)),0)</f>
        <v>0</v>
      </c>
      <c r="AH169">
        <v>14</v>
      </c>
      <c r="AI169">
        <v>1.4</v>
      </c>
      <c r="AJ169">
        <v>250</v>
      </c>
      <c r="AK169">
        <v>0.31</v>
      </c>
      <c r="AL169" s="63">
        <f>IFERROR(INDEX(Job_Training[[Solar]:[Wind]],MATCH(AL$1,Job_Training[[`Typical Entry Level Education`]:[`Typical Entry Level Education`]],0),MATCH(LEFT($D169,5),Job_Training[[#Headers],[Solar]:[Wind]],0)),0)</f>
        <v>0</v>
      </c>
      <c r="AM169" s="63">
        <f>IFERROR(INDEX(Job_Training[[Solar]:[Wind]],MATCH(AM$1,Job_Training[[`Typical Entry Level Education`]:[`Typical Entry Level Education`]],0),MATCH(LEFT($D169,5),Job_Training[[#Headers],[Solar]:[Wind]],0)),0)</f>
        <v>0</v>
      </c>
      <c r="AN169" s="63">
        <f>IFERROR(INDEX(Job_Training[[Solar]:[Wind]],MATCH(AN$1,Job_Training[[`Typical Entry Level Education`]:[`Typical Entry Level Education`]],0),MATCH(LEFT($D169,5),Job_Training[[#Headers],[Solar]:[Wind]],0)),0)</f>
        <v>0</v>
      </c>
      <c r="AO169" s="63">
        <f>IFERROR(INDEX(Job_Training[[Solar]:[Wind]],MATCH(AO$1,Job_Training[[`Typical Entry Level Education`]:[`Typical Entry Level Education`]],0),MATCH(LEFT($D169,5),Job_Training[[#Headers],[Solar]:[Wind]],0)),0)</f>
        <v>0</v>
      </c>
      <c r="AP169">
        <f t="shared" si="60"/>
        <v>0</v>
      </c>
      <c r="AQ169" s="63">
        <f>IF(AP169&gt;0,IFERROR(INDEX(Assumptions!$C$165:$D$165,MATCH(LEFT($D169,5),Job_Training[[#Headers],[Solar]:[Wind]],0)),0),0)</f>
        <v>0</v>
      </c>
      <c r="AR169">
        <f>IF(AP169&gt;0,IFERROR(INDEX(Assumptions!$C$166:$D$166,MATCH(LEFT($D169,5),Job_Training[[#Headers],[Solar]:[Wind]],0)),0),0)</f>
        <v>0</v>
      </c>
    </row>
    <row r="170" spans="1:44" x14ac:dyDescent="0.35">
      <c r="A170" t="str">
        <f>UserInput!$B$2</f>
        <v>Current Projects</v>
      </c>
      <c r="B170">
        <v>2025</v>
      </c>
      <c r="C170" t="s">
        <v>87</v>
      </c>
      <c r="D170" t="s">
        <v>91</v>
      </c>
      <c r="E170" s="66">
        <f>INDEX(UserInput!$C$2:$M$22,MATCH(UserMade_Scenario!B170,UserInput!$A$2:$A$22,0),MATCH(LEFT(IF(RIGHT(C170,2)="H2",UserMade_Scenario!C170,D170),3),UserInput!$C$25:$M$25,0))</f>
        <v>0</v>
      </c>
      <c r="F170" t="s">
        <v>89</v>
      </c>
      <c r="G170" s="14">
        <f t="shared" si="67"/>
        <v>0</v>
      </c>
      <c r="H170" s="63">
        <f t="shared" si="51"/>
        <v>0</v>
      </c>
      <c r="I170" s="63">
        <f t="shared" si="52"/>
        <v>0</v>
      </c>
      <c r="J170" s="63">
        <f t="shared" si="53"/>
        <v>0</v>
      </c>
      <c r="K170" s="30">
        <f>IF(OR(LEFT($D170,5)="Solar",$D170="Wind"),INDEX(Land_Use[AVG],MATCH(LEFT($D170,5),Land_Use[Tech],0)),0)*$E170</f>
        <v>0</v>
      </c>
      <c r="L170" s="30">
        <f>IF(OR(LEFT($D170,5)="Solar",$D170="Wind"),INDEX(Land_Use[MIN],MATCH(LEFT($D170,5),Land_Use[Tech],0)),0)*$E170</f>
        <v>0</v>
      </c>
      <c r="M170" s="30">
        <f>IF(OR(LEFT($D170,5)="Solar",$D170="Wind"),INDEX(Land_Use[MAX],MATCH(LEFT($D170,5),Land_Use[Tech],0)),0)*$E170</f>
        <v>0</v>
      </c>
      <c r="N170" s="15">
        <f t="shared" si="62"/>
        <v>0</v>
      </c>
      <c r="O170" s="11">
        <f t="shared" si="63"/>
        <v>0</v>
      </c>
      <c r="P170" s="11">
        <f t="shared" si="64"/>
        <v>0</v>
      </c>
      <c r="Q170" s="11">
        <f t="shared" si="65"/>
        <v>0</v>
      </c>
      <c r="R170" s="11">
        <f t="shared" si="66"/>
        <v>0</v>
      </c>
      <c r="S170" s="30">
        <f t="shared" si="54"/>
        <v>0</v>
      </c>
      <c r="T170" s="30">
        <f t="shared" si="55"/>
        <v>0</v>
      </c>
      <c r="U170" s="30">
        <f t="shared" si="56"/>
        <v>0</v>
      </c>
      <c r="V170" s="30">
        <f t="shared" si="57"/>
        <v>0</v>
      </c>
      <c r="W170" s="30">
        <f t="shared" si="58"/>
        <v>0</v>
      </c>
      <c r="X170" s="30">
        <f t="shared" si="59"/>
        <v>0</v>
      </c>
      <c r="Z170" s="23" t="s">
        <v>76</v>
      </c>
      <c r="AA170" s="40" t="str">
        <f>IF(C170="Electricity",E170*SUMIFS(Electricity!S:S,Electricity!P:P,UserMade_Scenario!B170,Electricity!M:M,UserMade_Scenario!Z170,Electricity!O:O,UserMade_Scenario!D170),"")</f>
        <v/>
      </c>
      <c r="AB170" s="67">
        <v>1.093E-6</v>
      </c>
      <c r="AC170" s="67" t="s">
        <v>90</v>
      </c>
      <c r="AD170" s="39">
        <f>IFERROR(INDEX(Assumptions!B$145:B$146,MATCH($D170,Assumptions!$A$145:$A$146,0)),0)</f>
        <v>-34.209999999999994</v>
      </c>
      <c r="AE170" s="39">
        <f>IFERROR(INDEX(Assumptions!C$145:C$146,MATCH($D170,Assumptions!$A$145:$A$146,0)),0)</f>
        <v>-34.209999999999994</v>
      </c>
      <c r="AF170" s="39">
        <f>IFERROR(INDEX(Assumptions!D$145:D$146,MATCH($D170,Assumptions!$A$145:$A$146,0)),0)</f>
        <v>-133.26499999999999</v>
      </c>
      <c r="AG170" s="68">
        <f>IFERROR(INDEX(WaterUseH2[Average Direct Water Consumption (Gal/ kg h2)],MATCH(LEFT(D170,3),WaterUseH2[Key],0)),0)</f>
        <v>0</v>
      </c>
      <c r="AH170">
        <v>14</v>
      </c>
      <c r="AI170">
        <v>1.4</v>
      </c>
      <c r="AJ170">
        <v>250</v>
      </c>
      <c r="AK170">
        <v>0.31</v>
      </c>
      <c r="AL170" s="63">
        <f>IFERROR(INDEX(Job_Training[[Solar]:[Wind]],MATCH(AL$1,Job_Training[[`Typical Entry Level Education`]:[`Typical Entry Level Education`]],0),MATCH(LEFT($D170,5),Job_Training[[#Headers],[Solar]:[Wind]],0)),0)</f>
        <v>0</v>
      </c>
      <c r="AM170" s="63">
        <f>IFERROR(INDEX(Job_Training[[Solar]:[Wind]],MATCH(AM$1,Job_Training[[`Typical Entry Level Education`]:[`Typical Entry Level Education`]],0),MATCH(LEFT($D170,5),Job_Training[[#Headers],[Solar]:[Wind]],0)),0)</f>
        <v>0</v>
      </c>
      <c r="AN170" s="63">
        <f>IFERROR(INDEX(Job_Training[[Solar]:[Wind]],MATCH(AN$1,Job_Training[[`Typical Entry Level Education`]:[`Typical Entry Level Education`]],0),MATCH(LEFT($D170,5),Job_Training[[#Headers],[Solar]:[Wind]],0)),0)</f>
        <v>0</v>
      </c>
      <c r="AO170" s="63">
        <f>IFERROR(INDEX(Job_Training[[Solar]:[Wind]],MATCH(AO$1,Job_Training[[`Typical Entry Level Education`]:[`Typical Entry Level Education`]],0),MATCH(LEFT($D170,5),Job_Training[[#Headers],[Solar]:[Wind]],0)),0)</f>
        <v>0</v>
      </c>
      <c r="AP170">
        <f t="shared" si="60"/>
        <v>0</v>
      </c>
      <c r="AQ170" s="63">
        <f>IF(AP170&gt;0,IFERROR(INDEX(Assumptions!$C$165:$D$165,MATCH(LEFT($D170,5),Job_Training[[#Headers],[Solar]:[Wind]],0)),0),0)</f>
        <v>0</v>
      </c>
      <c r="AR170">
        <f>IF(AP170&gt;0,IFERROR(INDEX(Assumptions!$C$166:$D$166,MATCH(LEFT($D170,5),Job_Training[[#Headers],[Solar]:[Wind]],0)),0),0)</f>
        <v>0</v>
      </c>
    </row>
    <row r="171" spans="1:44" x14ac:dyDescent="0.35">
      <c r="A171" t="str">
        <f>UserInput!$B$2</f>
        <v>Current Projects</v>
      </c>
      <c r="B171">
        <v>2026</v>
      </c>
      <c r="C171" t="s">
        <v>87</v>
      </c>
      <c r="D171" t="s">
        <v>91</v>
      </c>
      <c r="E171" s="66">
        <f>INDEX(UserInput!$C$2:$M$22,MATCH(UserMade_Scenario!B171,UserInput!$A$2:$A$22,0),MATCH(LEFT(IF(RIGHT(C171,2)="H2",UserMade_Scenario!C171,D171),3),UserInput!$C$25:$M$25,0))</f>
        <v>0</v>
      </c>
      <c r="F171" t="s">
        <v>89</v>
      </c>
      <c r="G171" s="14">
        <f t="shared" si="67"/>
        <v>0</v>
      </c>
      <c r="H171" s="63">
        <f t="shared" si="51"/>
        <v>0</v>
      </c>
      <c r="I171" s="63">
        <f t="shared" si="52"/>
        <v>0</v>
      </c>
      <c r="J171" s="63">
        <f t="shared" si="53"/>
        <v>0</v>
      </c>
      <c r="K171" s="30">
        <f>IF(OR(LEFT($D171,5)="Solar",$D171="Wind"),INDEX(Land_Use[AVG],MATCH(LEFT($D171,5),Land_Use[Tech],0)),0)*$E171</f>
        <v>0</v>
      </c>
      <c r="L171" s="30">
        <f>IF(OR(LEFT($D171,5)="Solar",$D171="Wind"),INDEX(Land_Use[MIN],MATCH(LEFT($D171,5),Land_Use[Tech],0)),0)*$E171</f>
        <v>0</v>
      </c>
      <c r="M171" s="30">
        <f>IF(OR(LEFT($D171,5)="Solar",$D171="Wind"),INDEX(Land_Use[MAX],MATCH(LEFT($D171,5),Land_Use[Tech],0)),0)*$E171</f>
        <v>0</v>
      </c>
      <c r="N171" s="15">
        <f t="shared" si="62"/>
        <v>0</v>
      </c>
      <c r="O171" s="11">
        <f t="shared" si="63"/>
        <v>0</v>
      </c>
      <c r="P171" s="11">
        <f t="shared" si="64"/>
        <v>0</v>
      </c>
      <c r="Q171" s="11">
        <f t="shared" si="65"/>
        <v>0</v>
      </c>
      <c r="R171" s="11">
        <f t="shared" si="66"/>
        <v>0</v>
      </c>
      <c r="S171" s="30">
        <f t="shared" si="54"/>
        <v>0</v>
      </c>
      <c r="T171" s="30">
        <f t="shared" si="55"/>
        <v>0</v>
      </c>
      <c r="U171" s="30">
        <f t="shared" si="56"/>
        <v>0</v>
      </c>
      <c r="V171" s="30">
        <f t="shared" si="57"/>
        <v>0</v>
      </c>
      <c r="W171" s="30">
        <f t="shared" si="58"/>
        <v>0</v>
      </c>
      <c r="X171" s="30">
        <f t="shared" si="59"/>
        <v>0</v>
      </c>
      <c r="Z171" s="23" t="s">
        <v>76</v>
      </c>
      <c r="AA171" s="40" t="str">
        <f>IF(C171="Electricity",E171*SUMIFS(Electricity!S:S,Electricity!P:P,UserMade_Scenario!B171,Electricity!M:M,UserMade_Scenario!Z171,Electricity!O:O,UserMade_Scenario!D171),"")</f>
        <v/>
      </c>
      <c r="AB171" s="67">
        <v>1.093E-6</v>
      </c>
      <c r="AC171" s="67" t="s">
        <v>90</v>
      </c>
      <c r="AD171" s="39">
        <f>IFERROR(INDEX(Assumptions!B$145:B$146,MATCH($D171,Assumptions!$A$145:$A$146,0)),0)</f>
        <v>-34.209999999999994</v>
      </c>
      <c r="AE171" s="39">
        <f>IFERROR(INDEX(Assumptions!C$145:C$146,MATCH($D171,Assumptions!$A$145:$A$146,0)),0)</f>
        <v>-34.209999999999994</v>
      </c>
      <c r="AF171" s="39">
        <f>IFERROR(INDEX(Assumptions!D$145:D$146,MATCH($D171,Assumptions!$A$145:$A$146,0)),0)</f>
        <v>-133.26499999999999</v>
      </c>
      <c r="AG171" s="68">
        <f>IFERROR(INDEX(WaterUseH2[Average Direct Water Consumption (Gal/ kg h2)],MATCH(LEFT(D171,3),WaterUseH2[Key],0)),0)</f>
        <v>0</v>
      </c>
      <c r="AH171">
        <v>14</v>
      </c>
      <c r="AI171">
        <v>1.4</v>
      </c>
      <c r="AJ171">
        <v>250</v>
      </c>
      <c r="AK171">
        <v>0.31</v>
      </c>
      <c r="AL171" s="63">
        <f>IFERROR(INDEX(Job_Training[[Solar]:[Wind]],MATCH(AL$1,Job_Training[[`Typical Entry Level Education`]:[`Typical Entry Level Education`]],0),MATCH(LEFT($D171,5),Job_Training[[#Headers],[Solar]:[Wind]],0)),0)</f>
        <v>0</v>
      </c>
      <c r="AM171" s="63">
        <f>IFERROR(INDEX(Job_Training[[Solar]:[Wind]],MATCH(AM$1,Job_Training[[`Typical Entry Level Education`]:[`Typical Entry Level Education`]],0),MATCH(LEFT($D171,5),Job_Training[[#Headers],[Solar]:[Wind]],0)),0)</f>
        <v>0</v>
      </c>
      <c r="AN171" s="63">
        <f>IFERROR(INDEX(Job_Training[[Solar]:[Wind]],MATCH(AN$1,Job_Training[[`Typical Entry Level Education`]:[`Typical Entry Level Education`]],0),MATCH(LEFT($D171,5),Job_Training[[#Headers],[Solar]:[Wind]],0)),0)</f>
        <v>0</v>
      </c>
      <c r="AO171" s="63">
        <f>IFERROR(INDEX(Job_Training[[Solar]:[Wind]],MATCH(AO$1,Job_Training[[`Typical Entry Level Education`]:[`Typical Entry Level Education`]],0),MATCH(LEFT($D171,5),Job_Training[[#Headers],[Solar]:[Wind]],0)),0)</f>
        <v>0</v>
      </c>
      <c r="AP171">
        <f t="shared" si="60"/>
        <v>0</v>
      </c>
      <c r="AQ171" s="63">
        <f>IF(AP171&gt;0,IFERROR(INDEX(Assumptions!$C$165:$D$165,MATCH(LEFT($D171,5),Job_Training[[#Headers],[Solar]:[Wind]],0)),0),0)</f>
        <v>0</v>
      </c>
      <c r="AR171">
        <f>IF(AP171&gt;0,IFERROR(INDEX(Assumptions!$C$166:$D$166,MATCH(LEFT($D171,5),Job_Training[[#Headers],[Solar]:[Wind]],0)),0),0)</f>
        <v>0</v>
      </c>
    </row>
    <row r="172" spans="1:44" x14ac:dyDescent="0.35">
      <c r="A172" t="str">
        <f>UserInput!$B$2</f>
        <v>Current Projects</v>
      </c>
      <c r="B172">
        <v>2027</v>
      </c>
      <c r="C172" t="s">
        <v>87</v>
      </c>
      <c r="D172" t="s">
        <v>91</v>
      </c>
      <c r="E172" s="66">
        <f>INDEX(UserInput!$C$2:$M$22,MATCH(UserMade_Scenario!B172,UserInput!$A$2:$A$22,0),MATCH(LEFT(IF(RIGHT(C172,2)="H2",UserMade_Scenario!C172,D172),3),UserInput!$C$25:$M$25,0))</f>
        <v>0</v>
      </c>
      <c r="F172" t="s">
        <v>89</v>
      </c>
      <c r="G172" s="14">
        <f t="shared" si="67"/>
        <v>0</v>
      </c>
      <c r="H172" s="63">
        <f t="shared" si="51"/>
        <v>0</v>
      </c>
      <c r="I172" s="63">
        <f t="shared" si="52"/>
        <v>0</v>
      </c>
      <c r="J172" s="63">
        <f t="shared" si="53"/>
        <v>0</v>
      </c>
      <c r="K172" s="30">
        <f>IF(OR(LEFT($D172,5)="Solar",$D172="Wind"),INDEX(Land_Use[AVG],MATCH(LEFT($D172,5),Land_Use[Tech],0)),0)*$E172</f>
        <v>0</v>
      </c>
      <c r="L172" s="30">
        <f>IF(OR(LEFT($D172,5)="Solar",$D172="Wind"),INDEX(Land_Use[MIN],MATCH(LEFT($D172,5),Land_Use[Tech],0)),0)*$E172</f>
        <v>0</v>
      </c>
      <c r="M172" s="30">
        <f>IF(OR(LEFT($D172,5)="Solar",$D172="Wind"),INDEX(Land_Use[MAX],MATCH(LEFT($D172,5),Land_Use[Tech],0)),0)*$E172</f>
        <v>0</v>
      </c>
      <c r="N172" s="15">
        <f t="shared" si="62"/>
        <v>0</v>
      </c>
      <c r="O172" s="11">
        <f t="shared" si="63"/>
        <v>0</v>
      </c>
      <c r="P172" s="11">
        <f t="shared" si="64"/>
        <v>0</v>
      </c>
      <c r="Q172" s="11">
        <f t="shared" si="65"/>
        <v>0</v>
      </c>
      <c r="R172" s="11">
        <f t="shared" si="66"/>
        <v>0</v>
      </c>
      <c r="S172" s="30">
        <f t="shared" si="54"/>
        <v>0</v>
      </c>
      <c r="T172" s="30">
        <f t="shared" si="55"/>
        <v>0</v>
      </c>
      <c r="U172" s="30">
        <f t="shared" si="56"/>
        <v>0</v>
      </c>
      <c r="V172" s="30">
        <f t="shared" si="57"/>
        <v>0</v>
      </c>
      <c r="W172" s="30">
        <f t="shared" si="58"/>
        <v>0</v>
      </c>
      <c r="X172" s="30">
        <f t="shared" si="59"/>
        <v>0</v>
      </c>
      <c r="Z172" s="23" t="s">
        <v>76</v>
      </c>
      <c r="AA172" s="40" t="str">
        <f>IF(C172="Electricity",E172*SUMIFS(Electricity!S:S,Electricity!P:P,UserMade_Scenario!B172,Electricity!M:M,UserMade_Scenario!Z172,Electricity!O:O,UserMade_Scenario!D172),"")</f>
        <v/>
      </c>
      <c r="AB172" s="67">
        <v>1.093E-6</v>
      </c>
      <c r="AC172" s="67" t="s">
        <v>90</v>
      </c>
      <c r="AD172" s="39">
        <f>IFERROR(INDEX(Assumptions!B$145:B$146,MATCH($D172,Assumptions!$A$145:$A$146,0)),0)</f>
        <v>-34.209999999999994</v>
      </c>
      <c r="AE172" s="39">
        <f>IFERROR(INDEX(Assumptions!C$145:C$146,MATCH($D172,Assumptions!$A$145:$A$146,0)),0)</f>
        <v>-34.209999999999994</v>
      </c>
      <c r="AF172" s="39">
        <f>IFERROR(INDEX(Assumptions!D$145:D$146,MATCH($D172,Assumptions!$A$145:$A$146,0)),0)</f>
        <v>-133.26499999999999</v>
      </c>
      <c r="AG172" s="68">
        <f>IFERROR(INDEX(WaterUseH2[Average Direct Water Consumption (Gal/ kg h2)],MATCH(LEFT(D172,3),WaterUseH2[Key],0)),0)</f>
        <v>0</v>
      </c>
      <c r="AH172">
        <v>14</v>
      </c>
      <c r="AI172">
        <v>1.4</v>
      </c>
      <c r="AJ172">
        <v>250</v>
      </c>
      <c r="AK172">
        <v>0.31</v>
      </c>
      <c r="AL172" s="63">
        <f>IFERROR(INDEX(Job_Training[[Solar]:[Wind]],MATCH(AL$1,Job_Training[[`Typical Entry Level Education`]:[`Typical Entry Level Education`]],0),MATCH(LEFT($D172,5),Job_Training[[#Headers],[Solar]:[Wind]],0)),0)</f>
        <v>0</v>
      </c>
      <c r="AM172" s="63">
        <f>IFERROR(INDEX(Job_Training[[Solar]:[Wind]],MATCH(AM$1,Job_Training[[`Typical Entry Level Education`]:[`Typical Entry Level Education`]],0),MATCH(LEFT($D172,5),Job_Training[[#Headers],[Solar]:[Wind]],0)),0)</f>
        <v>0</v>
      </c>
      <c r="AN172" s="63">
        <f>IFERROR(INDEX(Job_Training[[Solar]:[Wind]],MATCH(AN$1,Job_Training[[`Typical Entry Level Education`]:[`Typical Entry Level Education`]],0),MATCH(LEFT($D172,5),Job_Training[[#Headers],[Solar]:[Wind]],0)),0)</f>
        <v>0</v>
      </c>
      <c r="AO172" s="63">
        <f>IFERROR(INDEX(Job_Training[[Solar]:[Wind]],MATCH(AO$1,Job_Training[[`Typical Entry Level Education`]:[`Typical Entry Level Education`]],0),MATCH(LEFT($D172,5),Job_Training[[#Headers],[Solar]:[Wind]],0)),0)</f>
        <v>0</v>
      </c>
      <c r="AP172">
        <f t="shared" si="60"/>
        <v>0</v>
      </c>
      <c r="AQ172" s="63">
        <f>IF(AP172&gt;0,IFERROR(INDEX(Assumptions!$C$165:$D$165,MATCH(LEFT($D172,5),Job_Training[[#Headers],[Solar]:[Wind]],0)),0),0)</f>
        <v>0</v>
      </c>
      <c r="AR172">
        <f>IF(AP172&gt;0,IFERROR(INDEX(Assumptions!$C$166:$D$166,MATCH(LEFT($D172,5),Job_Training[[#Headers],[Solar]:[Wind]],0)),0),0)</f>
        <v>0</v>
      </c>
    </row>
    <row r="173" spans="1:44" x14ac:dyDescent="0.35">
      <c r="A173" t="str">
        <f>UserInput!$B$2</f>
        <v>Current Projects</v>
      </c>
      <c r="B173">
        <v>2028</v>
      </c>
      <c r="C173" t="s">
        <v>87</v>
      </c>
      <c r="D173" t="s">
        <v>91</v>
      </c>
      <c r="E173" s="66">
        <f>INDEX(UserInput!$C$2:$M$22,MATCH(UserMade_Scenario!B173,UserInput!$A$2:$A$22,0),MATCH(LEFT(IF(RIGHT(C173,2)="H2",UserMade_Scenario!C173,D173),3),UserInput!$C$25:$M$25,0))</f>
        <v>0</v>
      </c>
      <c r="F173" t="s">
        <v>89</v>
      </c>
      <c r="G173" s="14">
        <f t="shared" si="67"/>
        <v>0</v>
      </c>
      <c r="H173" s="63">
        <f t="shared" si="51"/>
        <v>0</v>
      </c>
      <c r="I173" s="63">
        <f t="shared" si="52"/>
        <v>0</v>
      </c>
      <c r="J173" s="63">
        <f t="shared" si="53"/>
        <v>0</v>
      </c>
      <c r="K173" s="30">
        <f>IF(OR(LEFT($D173,5)="Solar",$D173="Wind"),INDEX(Land_Use[AVG],MATCH(LEFT($D173,5),Land_Use[Tech],0)),0)*$E173</f>
        <v>0</v>
      </c>
      <c r="L173" s="30">
        <f>IF(OR(LEFT($D173,5)="Solar",$D173="Wind"),INDEX(Land_Use[MIN],MATCH(LEFT($D173,5),Land_Use[Tech],0)),0)*$E173</f>
        <v>0</v>
      </c>
      <c r="M173" s="30">
        <f>IF(OR(LEFT($D173,5)="Solar",$D173="Wind"),INDEX(Land_Use[MAX],MATCH(LEFT($D173,5),Land_Use[Tech],0)),0)*$E173</f>
        <v>0</v>
      </c>
      <c r="N173" s="15">
        <f t="shared" si="62"/>
        <v>0</v>
      </c>
      <c r="O173" s="11">
        <f t="shared" si="63"/>
        <v>0</v>
      </c>
      <c r="P173" s="11">
        <f t="shared" si="64"/>
        <v>0</v>
      </c>
      <c r="Q173" s="11">
        <f t="shared" si="65"/>
        <v>0</v>
      </c>
      <c r="R173" s="11">
        <f t="shared" si="66"/>
        <v>0</v>
      </c>
      <c r="S173" s="30">
        <f t="shared" si="54"/>
        <v>0</v>
      </c>
      <c r="T173" s="30">
        <f t="shared" si="55"/>
        <v>0</v>
      </c>
      <c r="U173" s="30">
        <f t="shared" si="56"/>
        <v>0</v>
      </c>
      <c r="V173" s="30">
        <f t="shared" si="57"/>
        <v>0</v>
      </c>
      <c r="W173" s="30">
        <f t="shared" si="58"/>
        <v>0</v>
      </c>
      <c r="X173" s="30">
        <f t="shared" si="59"/>
        <v>0</v>
      </c>
      <c r="Z173" s="23" t="s">
        <v>76</v>
      </c>
      <c r="AA173" s="40" t="str">
        <f>IF(C173="Electricity",E173*SUMIFS(Electricity!S:S,Electricity!P:P,UserMade_Scenario!B173,Electricity!M:M,UserMade_Scenario!Z173,Electricity!O:O,UserMade_Scenario!D173),"")</f>
        <v/>
      </c>
      <c r="AB173" s="67">
        <v>1.093E-6</v>
      </c>
      <c r="AC173" s="67" t="s">
        <v>90</v>
      </c>
      <c r="AD173" s="39">
        <f>IFERROR(INDEX(Assumptions!B$145:B$146,MATCH($D173,Assumptions!$A$145:$A$146,0)),0)</f>
        <v>-34.209999999999994</v>
      </c>
      <c r="AE173" s="39">
        <f>IFERROR(INDEX(Assumptions!C$145:C$146,MATCH($D173,Assumptions!$A$145:$A$146,0)),0)</f>
        <v>-34.209999999999994</v>
      </c>
      <c r="AF173" s="39">
        <f>IFERROR(INDEX(Assumptions!D$145:D$146,MATCH($D173,Assumptions!$A$145:$A$146,0)),0)</f>
        <v>-133.26499999999999</v>
      </c>
      <c r="AG173" s="68">
        <f>IFERROR(INDEX(WaterUseH2[Average Direct Water Consumption (Gal/ kg h2)],MATCH(LEFT(D173,3),WaterUseH2[Key],0)),0)</f>
        <v>0</v>
      </c>
      <c r="AH173">
        <v>14</v>
      </c>
      <c r="AI173">
        <v>1.4</v>
      </c>
      <c r="AJ173">
        <v>250</v>
      </c>
      <c r="AK173">
        <v>0.31</v>
      </c>
      <c r="AL173" s="63">
        <f>IFERROR(INDEX(Job_Training[[Solar]:[Wind]],MATCH(AL$1,Job_Training[[`Typical Entry Level Education`]:[`Typical Entry Level Education`]],0),MATCH(LEFT($D173,5),Job_Training[[#Headers],[Solar]:[Wind]],0)),0)</f>
        <v>0</v>
      </c>
      <c r="AM173" s="63">
        <f>IFERROR(INDEX(Job_Training[[Solar]:[Wind]],MATCH(AM$1,Job_Training[[`Typical Entry Level Education`]:[`Typical Entry Level Education`]],0),MATCH(LEFT($D173,5),Job_Training[[#Headers],[Solar]:[Wind]],0)),0)</f>
        <v>0</v>
      </c>
      <c r="AN173" s="63">
        <f>IFERROR(INDEX(Job_Training[[Solar]:[Wind]],MATCH(AN$1,Job_Training[[`Typical Entry Level Education`]:[`Typical Entry Level Education`]],0),MATCH(LEFT($D173,5),Job_Training[[#Headers],[Solar]:[Wind]],0)),0)</f>
        <v>0</v>
      </c>
      <c r="AO173" s="63">
        <f>IFERROR(INDEX(Job_Training[[Solar]:[Wind]],MATCH(AO$1,Job_Training[[`Typical Entry Level Education`]:[`Typical Entry Level Education`]],0),MATCH(LEFT($D173,5),Job_Training[[#Headers],[Solar]:[Wind]],0)),0)</f>
        <v>0</v>
      </c>
      <c r="AP173">
        <f t="shared" si="60"/>
        <v>0</v>
      </c>
      <c r="AQ173" s="63">
        <f>IF(AP173&gt;0,IFERROR(INDEX(Assumptions!$C$165:$D$165,MATCH(LEFT($D173,5),Job_Training[[#Headers],[Solar]:[Wind]],0)),0),0)</f>
        <v>0</v>
      </c>
      <c r="AR173">
        <f>IF(AP173&gt;0,IFERROR(INDEX(Assumptions!$C$166:$D$166,MATCH(LEFT($D173,5),Job_Training[[#Headers],[Solar]:[Wind]],0)),0),0)</f>
        <v>0</v>
      </c>
    </row>
    <row r="174" spans="1:44" x14ac:dyDescent="0.35">
      <c r="A174" t="str">
        <f>UserInput!$B$2</f>
        <v>Current Projects</v>
      </c>
      <c r="B174">
        <v>2029</v>
      </c>
      <c r="C174" t="s">
        <v>87</v>
      </c>
      <c r="D174" t="s">
        <v>91</v>
      </c>
      <c r="E174" s="66">
        <f>INDEX(UserInput!$C$2:$M$22,MATCH(UserMade_Scenario!B174,UserInput!$A$2:$A$22,0),MATCH(LEFT(IF(RIGHT(C174,2)="H2",UserMade_Scenario!C174,D174),3),UserInput!$C$25:$M$25,0))</f>
        <v>0</v>
      </c>
      <c r="F174" t="s">
        <v>89</v>
      </c>
      <c r="G174" s="14">
        <f t="shared" si="67"/>
        <v>0</v>
      </c>
      <c r="H174" s="63">
        <f t="shared" si="51"/>
        <v>0</v>
      </c>
      <c r="I174" s="63">
        <f t="shared" si="52"/>
        <v>0</v>
      </c>
      <c r="J174" s="63">
        <f t="shared" si="53"/>
        <v>0</v>
      </c>
      <c r="K174" s="30">
        <f>IF(OR(LEFT($D174,5)="Solar",$D174="Wind"),INDEX(Land_Use[AVG],MATCH(LEFT($D174,5),Land_Use[Tech],0)),0)*$E174</f>
        <v>0</v>
      </c>
      <c r="L174" s="30">
        <f>IF(OR(LEFT($D174,5)="Solar",$D174="Wind"),INDEX(Land_Use[MIN],MATCH(LEFT($D174,5),Land_Use[Tech],0)),0)*$E174</f>
        <v>0</v>
      </c>
      <c r="M174" s="30">
        <f>IF(OR(LEFT($D174,5)="Solar",$D174="Wind"),INDEX(Land_Use[MAX],MATCH(LEFT($D174,5),Land_Use[Tech],0)),0)*$E174</f>
        <v>0</v>
      </c>
      <c r="N174" s="15">
        <f t="shared" si="62"/>
        <v>0</v>
      </c>
      <c r="O174" s="11">
        <f t="shared" si="63"/>
        <v>0</v>
      </c>
      <c r="P174" s="11">
        <f t="shared" si="64"/>
        <v>0</v>
      </c>
      <c r="Q174" s="11">
        <f t="shared" si="65"/>
        <v>0</v>
      </c>
      <c r="R174" s="11">
        <f t="shared" si="66"/>
        <v>0</v>
      </c>
      <c r="S174" s="30">
        <f t="shared" si="54"/>
        <v>0</v>
      </c>
      <c r="T174" s="30">
        <f t="shared" si="55"/>
        <v>0</v>
      </c>
      <c r="U174" s="30">
        <f t="shared" si="56"/>
        <v>0</v>
      </c>
      <c r="V174" s="30">
        <f t="shared" si="57"/>
        <v>0</v>
      </c>
      <c r="W174" s="30">
        <f t="shared" si="58"/>
        <v>0</v>
      </c>
      <c r="X174" s="30">
        <f t="shared" si="59"/>
        <v>0</v>
      </c>
      <c r="Z174" s="23" t="s">
        <v>76</v>
      </c>
      <c r="AA174" s="40" t="str">
        <f>IF(C174="Electricity",E174*SUMIFS(Electricity!S:S,Electricity!P:P,UserMade_Scenario!B174,Electricity!M:M,UserMade_Scenario!Z174,Electricity!O:O,UserMade_Scenario!D174),"")</f>
        <v/>
      </c>
      <c r="AB174" s="67">
        <v>1.093E-6</v>
      </c>
      <c r="AC174" s="67" t="s">
        <v>90</v>
      </c>
      <c r="AD174" s="39">
        <f>IFERROR(INDEX(Assumptions!B$145:B$146,MATCH($D174,Assumptions!$A$145:$A$146,0)),0)</f>
        <v>-34.209999999999994</v>
      </c>
      <c r="AE174" s="39">
        <f>IFERROR(INDEX(Assumptions!C$145:C$146,MATCH($D174,Assumptions!$A$145:$A$146,0)),0)</f>
        <v>-34.209999999999994</v>
      </c>
      <c r="AF174" s="39">
        <f>IFERROR(INDEX(Assumptions!D$145:D$146,MATCH($D174,Assumptions!$A$145:$A$146,0)),0)</f>
        <v>-133.26499999999999</v>
      </c>
      <c r="AG174" s="68">
        <f>IFERROR(INDEX(WaterUseH2[Average Direct Water Consumption (Gal/ kg h2)],MATCH(LEFT(D174,3),WaterUseH2[Key],0)),0)</f>
        <v>0</v>
      </c>
      <c r="AH174">
        <v>14</v>
      </c>
      <c r="AI174">
        <v>1.4</v>
      </c>
      <c r="AJ174">
        <v>250</v>
      </c>
      <c r="AK174">
        <v>0.31</v>
      </c>
      <c r="AL174" s="63">
        <f>IFERROR(INDEX(Job_Training[[Solar]:[Wind]],MATCH(AL$1,Job_Training[[`Typical Entry Level Education`]:[`Typical Entry Level Education`]],0),MATCH(LEFT($D174,5),Job_Training[[#Headers],[Solar]:[Wind]],0)),0)</f>
        <v>0</v>
      </c>
      <c r="AM174" s="63">
        <f>IFERROR(INDEX(Job_Training[[Solar]:[Wind]],MATCH(AM$1,Job_Training[[`Typical Entry Level Education`]:[`Typical Entry Level Education`]],0),MATCH(LEFT($D174,5),Job_Training[[#Headers],[Solar]:[Wind]],0)),0)</f>
        <v>0</v>
      </c>
      <c r="AN174" s="63">
        <f>IFERROR(INDEX(Job_Training[[Solar]:[Wind]],MATCH(AN$1,Job_Training[[`Typical Entry Level Education`]:[`Typical Entry Level Education`]],0),MATCH(LEFT($D174,5),Job_Training[[#Headers],[Solar]:[Wind]],0)),0)</f>
        <v>0</v>
      </c>
      <c r="AO174" s="63">
        <f>IFERROR(INDEX(Job_Training[[Solar]:[Wind]],MATCH(AO$1,Job_Training[[`Typical Entry Level Education`]:[`Typical Entry Level Education`]],0),MATCH(LEFT($D174,5),Job_Training[[#Headers],[Solar]:[Wind]],0)),0)</f>
        <v>0</v>
      </c>
      <c r="AP174">
        <f t="shared" si="60"/>
        <v>0</v>
      </c>
      <c r="AQ174" s="63">
        <f>IF(AP174&gt;0,IFERROR(INDEX(Assumptions!$C$165:$D$165,MATCH(LEFT($D174,5),Job_Training[[#Headers],[Solar]:[Wind]],0)),0),0)</f>
        <v>0</v>
      </c>
      <c r="AR174">
        <f>IF(AP174&gt;0,IFERROR(INDEX(Assumptions!$C$166:$D$166,MATCH(LEFT($D174,5),Job_Training[[#Headers],[Solar]:[Wind]],0)),0),0)</f>
        <v>0</v>
      </c>
    </row>
    <row r="175" spans="1:44" x14ac:dyDescent="0.35">
      <c r="A175" t="str">
        <f>UserInput!$B$2</f>
        <v>Current Projects</v>
      </c>
      <c r="B175">
        <v>2030</v>
      </c>
      <c r="C175" t="s">
        <v>87</v>
      </c>
      <c r="D175" t="s">
        <v>91</v>
      </c>
      <c r="E175" s="66">
        <f>INDEX(UserInput!$C$2:$M$22,MATCH(UserMade_Scenario!B175,UserInput!$A$2:$A$22,0),MATCH(LEFT(IF(RIGHT(C175,2)="H2",UserMade_Scenario!C175,D175),3),UserInput!$C$25:$M$25,0))</f>
        <v>0</v>
      </c>
      <c r="F175" t="s">
        <v>89</v>
      </c>
      <c r="G175" s="14">
        <f t="shared" si="67"/>
        <v>0</v>
      </c>
      <c r="H175" s="63">
        <f t="shared" si="51"/>
        <v>0</v>
      </c>
      <c r="I175" s="63">
        <f t="shared" si="52"/>
        <v>0</v>
      </c>
      <c r="J175" s="63">
        <f t="shared" si="53"/>
        <v>0</v>
      </c>
      <c r="K175" s="30">
        <f>IF(OR(LEFT($D175,5)="Solar",$D175="Wind"),INDEX(Land_Use[AVG],MATCH(LEFT($D175,5),Land_Use[Tech],0)),0)*$E175</f>
        <v>0</v>
      </c>
      <c r="L175" s="30">
        <f>IF(OR(LEFT($D175,5)="Solar",$D175="Wind"),INDEX(Land_Use[MIN],MATCH(LEFT($D175,5),Land_Use[Tech],0)),0)*$E175</f>
        <v>0</v>
      </c>
      <c r="M175" s="30">
        <f>IF(OR(LEFT($D175,5)="Solar",$D175="Wind"),INDEX(Land_Use[MAX],MATCH(LEFT($D175,5),Land_Use[Tech],0)),0)*$E175</f>
        <v>0</v>
      </c>
      <c r="N175" s="15">
        <f t="shared" si="62"/>
        <v>0</v>
      </c>
      <c r="O175" s="11">
        <f t="shared" si="63"/>
        <v>0</v>
      </c>
      <c r="P175" s="11">
        <f t="shared" si="64"/>
        <v>0</v>
      </c>
      <c r="Q175" s="11">
        <f t="shared" si="65"/>
        <v>0</v>
      </c>
      <c r="R175" s="11">
        <f t="shared" si="66"/>
        <v>0</v>
      </c>
      <c r="S175" s="30">
        <f t="shared" si="54"/>
        <v>0</v>
      </c>
      <c r="T175" s="30">
        <f t="shared" si="55"/>
        <v>0</v>
      </c>
      <c r="U175" s="30">
        <f t="shared" si="56"/>
        <v>0</v>
      </c>
      <c r="V175" s="30">
        <f t="shared" si="57"/>
        <v>0</v>
      </c>
      <c r="W175" s="30">
        <f t="shared" si="58"/>
        <v>0</v>
      </c>
      <c r="X175" s="30">
        <f t="shared" si="59"/>
        <v>0</v>
      </c>
      <c r="Z175" s="23" t="s">
        <v>76</v>
      </c>
      <c r="AA175" s="40" t="str">
        <f>IF(C175="Electricity",E175*SUMIFS(Electricity!S:S,Electricity!P:P,UserMade_Scenario!B175,Electricity!M:M,UserMade_Scenario!Z175,Electricity!O:O,UserMade_Scenario!D175),"")</f>
        <v/>
      </c>
      <c r="AB175" s="67">
        <v>1.093E-6</v>
      </c>
      <c r="AC175" s="67" t="s">
        <v>90</v>
      </c>
      <c r="AD175" s="39">
        <f>IFERROR(INDEX(Assumptions!B$145:B$146,MATCH($D175,Assumptions!$A$145:$A$146,0)),0)</f>
        <v>-34.209999999999994</v>
      </c>
      <c r="AE175" s="39">
        <f>IFERROR(INDEX(Assumptions!C$145:C$146,MATCH($D175,Assumptions!$A$145:$A$146,0)),0)</f>
        <v>-34.209999999999994</v>
      </c>
      <c r="AF175" s="39">
        <f>IFERROR(INDEX(Assumptions!D$145:D$146,MATCH($D175,Assumptions!$A$145:$A$146,0)),0)</f>
        <v>-133.26499999999999</v>
      </c>
      <c r="AG175" s="68">
        <f>IFERROR(INDEX(WaterUseH2[Average Direct Water Consumption (Gal/ kg h2)],MATCH(LEFT(D175,3),WaterUseH2[Key],0)),0)</f>
        <v>0</v>
      </c>
      <c r="AH175">
        <v>14</v>
      </c>
      <c r="AI175">
        <v>1.4</v>
      </c>
      <c r="AJ175">
        <v>250</v>
      </c>
      <c r="AK175">
        <v>0.31</v>
      </c>
      <c r="AL175" s="63">
        <f>IFERROR(INDEX(Job_Training[[Solar]:[Wind]],MATCH(AL$1,Job_Training[[`Typical Entry Level Education`]:[`Typical Entry Level Education`]],0),MATCH(LEFT($D175,5),Job_Training[[#Headers],[Solar]:[Wind]],0)),0)</f>
        <v>0</v>
      </c>
      <c r="AM175" s="63">
        <f>IFERROR(INDEX(Job_Training[[Solar]:[Wind]],MATCH(AM$1,Job_Training[[`Typical Entry Level Education`]:[`Typical Entry Level Education`]],0),MATCH(LEFT($D175,5),Job_Training[[#Headers],[Solar]:[Wind]],0)),0)</f>
        <v>0</v>
      </c>
      <c r="AN175" s="63">
        <f>IFERROR(INDEX(Job_Training[[Solar]:[Wind]],MATCH(AN$1,Job_Training[[`Typical Entry Level Education`]:[`Typical Entry Level Education`]],0),MATCH(LEFT($D175,5),Job_Training[[#Headers],[Solar]:[Wind]],0)),0)</f>
        <v>0</v>
      </c>
      <c r="AO175" s="63">
        <f>IFERROR(INDEX(Job_Training[[Solar]:[Wind]],MATCH(AO$1,Job_Training[[`Typical Entry Level Education`]:[`Typical Entry Level Education`]],0),MATCH(LEFT($D175,5),Job_Training[[#Headers],[Solar]:[Wind]],0)),0)</f>
        <v>0</v>
      </c>
      <c r="AP175">
        <f t="shared" si="60"/>
        <v>0</v>
      </c>
      <c r="AQ175" s="63">
        <f>IF(AP175&gt;0,IFERROR(INDEX(Assumptions!$C$165:$D$165,MATCH(LEFT($D175,5),Job_Training[[#Headers],[Solar]:[Wind]],0)),0),0)</f>
        <v>0</v>
      </c>
      <c r="AR175">
        <f>IF(AP175&gt;0,IFERROR(INDEX(Assumptions!$C$166:$D$166,MATCH(LEFT($D175,5),Job_Training[[#Headers],[Solar]:[Wind]],0)),0),0)</f>
        <v>0</v>
      </c>
    </row>
    <row r="176" spans="1:44" x14ac:dyDescent="0.35">
      <c r="A176" t="str">
        <f>UserInput!$B$2</f>
        <v>Current Projects</v>
      </c>
      <c r="B176">
        <v>2031</v>
      </c>
      <c r="C176" t="s">
        <v>87</v>
      </c>
      <c r="D176" t="s">
        <v>91</v>
      </c>
      <c r="E176" s="66">
        <f>INDEX(UserInput!$C$2:$M$22,MATCH(UserMade_Scenario!B176,UserInput!$A$2:$A$22,0),MATCH(LEFT(IF(RIGHT(C176,2)="H2",UserMade_Scenario!C176,D176),3),UserInput!$C$25:$M$25,0))</f>
        <v>0</v>
      </c>
      <c r="F176" t="s">
        <v>89</v>
      </c>
      <c r="G176" s="14">
        <f t="shared" si="67"/>
        <v>0</v>
      </c>
      <c r="H176" s="63">
        <f t="shared" si="51"/>
        <v>0</v>
      </c>
      <c r="I176" s="63">
        <f t="shared" si="52"/>
        <v>0</v>
      </c>
      <c r="J176" s="63">
        <f t="shared" si="53"/>
        <v>0</v>
      </c>
      <c r="K176" s="30">
        <f>IF(OR(LEFT($D176,5)="Solar",$D176="Wind"),INDEX(Land_Use[AVG],MATCH(LEFT($D176,5),Land_Use[Tech],0)),0)*$E176</f>
        <v>0</v>
      </c>
      <c r="L176" s="30">
        <f>IF(OR(LEFT($D176,5)="Solar",$D176="Wind"),INDEX(Land_Use[MIN],MATCH(LEFT($D176,5),Land_Use[Tech],0)),0)*$E176</f>
        <v>0</v>
      </c>
      <c r="M176" s="30">
        <f>IF(OR(LEFT($D176,5)="Solar",$D176="Wind"),INDEX(Land_Use[MAX],MATCH(LEFT($D176,5),Land_Use[Tech],0)),0)*$E176</f>
        <v>0</v>
      </c>
      <c r="N176" s="15">
        <f t="shared" si="62"/>
        <v>0</v>
      </c>
      <c r="O176" s="11">
        <f t="shared" si="63"/>
        <v>0</v>
      </c>
      <c r="P176" s="11">
        <f t="shared" si="64"/>
        <v>0</v>
      </c>
      <c r="Q176" s="11">
        <f t="shared" si="65"/>
        <v>0</v>
      </c>
      <c r="R176" s="11">
        <f t="shared" si="66"/>
        <v>0</v>
      </c>
      <c r="S176" s="30">
        <f t="shared" si="54"/>
        <v>0</v>
      </c>
      <c r="T176" s="30">
        <f t="shared" si="55"/>
        <v>0</v>
      </c>
      <c r="U176" s="30">
        <f t="shared" si="56"/>
        <v>0</v>
      </c>
      <c r="V176" s="30">
        <f t="shared" si="57"/>
        <v>0</v>
      </c>
      <c r="W176" s="30">
        <f t="shared" si="58"/>
        <v>0</v>
      </c>
      <c r="X176" s="30">
        <f t="shared" si="59"/>
        <v>0</v>
      </c>
      <c r="Z176" s="23" t="s">
        <v>76</v>
      </c>
      <c r="AA176" s="40" t="str">
        <f>IF(C176="Electricity",E176*SUMIFS(Electricity!S:S,Electricity!P:P,UserMade_Scenario!B176,Electricity!M:M,UserMade_Scenario!Z176,Electricity!O:O,UserMade_Scenario!D176),"")</f>
        <v/>
      </c>
      <c r="AB176" s="67">
        <v>1.093E-6</v>
      </c>
      <c r="AC176" s="67" t="s">
        <v>90</v>
      </c>
      <c r="AD176" s="39">
        <f>IFERROR(INDEX(Assumptions!B$145:B$146,MATCH($D176,Assumptions!$A$145:$A$146,0)),0)</f>
        <v>-34.209999999999994</v>
      </c>
      <c r="AE176" s="39">
        <f>IFERROR(INDEX(Assumptions!C$145:C$146,MATCH($D176,Assumptions!$A$145:$A$146,0)),0)</f>
        <v>-34.209999999999994</v>
      </c>
      <c r="AF176" s="39">
        <f>IFERROR(INDEX(Assumptions!D$145:D$146,MATCH($D176,Assumptions!$A$145:$A$146,0)),0)</f>
        <v>-133.26499999999999</v>
      </c>
      <c r="AG176" s="68">
        <f>IFERROR(INDEX(WaterUseH2[Average Direct Water Consumption (Gal/ kg h2)],MATCH(LEFT(D176,3),WaterUseH2[Key],0)),0)</f>
        <v>0</v>
      </c>
      <c r="AH176">
        <v>14</v>
      </c>
      <c r="AI176">
        <v>1.4</v>
      </c>
      <c r="AJ176">
        <v>250</v>
      </c>
      <c r="AK176">
        <v>0.31</v>
      </c>
      <c r="AL176" s="63">
        <f>IFERROR(INDEX(Job_Training[[Solar]:[Wind]],MATCH(AL$1,Job_Training[[`Typical Entry Level Education`]:[`Typical Entry Level Education`]],0),MATCH(LEFT($D176,5),Job_Training[[#Headers],[Solar]:[Wind]],0)),0)</f>
        <v>0</v>
      </c>
      <c r="AM176" s="63">
        <f>IFERROR(INDEX(Job_Training[[Solar]:[Wind]],MATCH(AM$1,Job_Training[[`Typical Entry Level Education`]:[`Typical Entry Level Education`]],0),MATCH(LEFT($D176,5),Job_Training[[#Headers],[Solar]:[Wind]],0)),0)</f>
        <v>0</v>
      </c>
      <c r="AN176" s="63">
        <f>IFERROR(INDEX(Job_Training[[Solar]:[Wind]],MATCH(AN$1,Job_Training[[`Typical Entry Level Education`]:[`Typical Entry Level Education`]],0),MATCH(LEFT($D176,5),Job_Training[[#Headers],[Solar]:[Wind]],0)),0)</f>
        <v>0</v>
      </c>
      <c r="AO176" s="63">
        <f>IFERROR(INDEX(Job_Training[[Solar]:[Wind]],MATCH(AO$1,Job_Training[[`Typical Entry Level Education`]:[`Typical Entry Level Education`]],0),MATCH(LEFT($D176,5),Job_Training[[#Headers],[Solar]:[Wind]],0)),0)</f>
        <v>0</v>
      </c>
      <c r="AP176">
        <f t="shared" si="60"/>
        <v>0</v>
      </c>
      <c r="AQ176" s="63">
        <f>IF(AP176&gt;0,IFERROR(INDEX(Assumptions!$C$165:$D$165,MATCH(LEFT($D176,5),Job_Training[[#Headers],[Solar]:[Wind]],0)),0),0)</f>
        <v>0</v>
      </c>
      <c r="AR176">
        <f>IF(AP176&gt;0,IFERROR(INDEX(Assumptions!$C$166:$D$166,MATCH(LEFT($D176,5),Job_Training[[#Headers],[Solar]:[Wind]],0)),0),0)</f>
        <v>0</v>
      </c>
    </row>
    <row r="177" spans="1:44" x14ac:dyDescent="0.35">
      <c r="A177" t="str">
        <f>UserInput!$B$2</f>
        <v>Current Projects</v>
      </c>
      <c r="B177">
        <v>2032</v>
      </c>
      <c r="C177" t="s">
        <v>87</v>
      </c>
      <c r="D177" t="s">
        <v>91</v>
      </c>
      <c r="E177" s="66">
        <f>INDEX(UserInput!$C$2:$M$22,MATCH(UserMade_Scenario!B177,UserInput!$A$2:$A$22,0),MATCH(LEFT(IF(RIGHT(C177,2)="H2",UserMade_Scenario!C177,D177),3),UserInput!$C$25:$M$25,0))</f>
        <v>0</v>
      </c>
      <c r="F177" t="s">
        <v>89</v>
      </c>
      <c r="G177" s="14">
        <f t="shared" si="67"/>
        <v>0</v>
      </c>
      <c r="H177" s="63">
        <f t="shared" si="51"/>
        <v>0</v>
      </c>
      <c r="I177" s="63">
        <f t="shared" si="52"/>
        <v>0</v>
      </c>
      <c r="J177" s="63">
        <f t="shared" si="53"/>
        <v>0</v>
      </c>
      <c r="K177" s="30">
        <f>IF(OR(LEFT($D177,5)="Solar",$D177="Wind"),INDEX(Land_Use[AVG],MATCH(LEFT($D177,5),Land_Use[Tech],0)),0)*$E177</f>
        <v>0</v>
      </c>
      <c r="L177" s="30">
        <f>IF(OR(LEFT($D177,5)="Solar",$D177="Wind"),INDEX(Land_Use[MIN],MATCH(LEFT($D177,5),Land_Use[Tech],0)),0)*$E177</f>
        <v>0</v>
      </c>
      <c r="M177" s="30">
        <f>IF(OR(LEFT($D177,5)="Solar",$D177="Wind"),INDEX(Land_Use[MAX],MATCH(LEFT($D177,5),Land_Use[Tech],0)),0)*$E177</f>
        <v>0</v>
      </c>
      <c r="N177" s="15">
        <f t="shared" si="62"/>
        <v>0</v>
      </c>
      <c r="O177" s="11">
        <f t="shared" si="63"/>
        <v>0</v>
      </c>
      <c r="P177" s="11">
        <f t="shared" si="64"/>
        <v>0</v>
      </c>
      <c r="Q177" s="11">
        <f t="shared" si="65"/>
        <v>0</v>
      </c>
      <c r="R177" s="11">
        <f t="shared" si="66"/>
        <v>0</v>
      </c>
      <c r="S177" s="30">
        <f t="shared" si="54"/>
        <v>0</v>
      </c>
      <c r="T177" s="30">
        <f t="shared" si="55"/>
        <v>0</v>
      </c>
      <c r="U177" s="30">
        <f t="shared" si="56"/>
        <v>0</v>
      </c>
      <c r="V177" s="30">
        <f t="shared" si="57"/>
        <v>0</v>
      </c>
      <c r="W177" s="30">
        <f t="shared" si="58"/>
        <v>0</v>
      </c>
      <c r="X177" s="30">
        <f t="shared" si="59"/>
        <v>0</v>
      </c>
      <c r="Z177" s="23" t="s">
        <v>76</v>
      </c>
      <c r="AA177" s="40" t="str">
        <f>IF(C177="Electricity",E177*SUMIFS(Electricity!S:S,Electricity!P:P,UserMade_Scenario!B177,Electricity!M:M,UserMade_Scenario!Z177,Electricity!O:O,UserMade_Scenario!D177),"")</f>
        <v/>
      </c>
      <c r="AB177" s="67">
        <v>1.093E-6</v>
      </c>
      <c r="AC177" s="67" t="s">
        <v>90</v>
      </c>
      <c r="AD177" s="39">
        <f>IFERROR(INDEX(Assumptions!B$145:B$146,MATCH($D177,Assumptions!$A$145:$A$146,0)),0)</f>
        <v>-34.209999999999994</v>
      </c>
      <c r="AE177" s="39">
        <f>IFERROR(INDEX(Assumptions!C$145:C$146,MATCH($D177,Assumptions!$A$145:$A$146,0)),0)</f>
        <v>-34.209999999999994</v>
      </c>
      <c r="AF177" s="39">
        <f>IFERROR(INDEX(Assumptions!D$145:D$146,MATCH($D177,Assumptions!$A$145:$A$146,0)),0)</f>
        <v>-133.26499999999999</v>
      </c>
      <c r="AG177" s="68">
        <f>IFERROR(INDEX(WaterUseH2[Average Direct Water Consumption (Gal/ kg h2)],MATCH(LEFT(D177,3),WaterUseH2[Key],0)),0)</f>
        <v>0</v>
      </c>
      <c r="AH177">
        <v>14</v>
      </c>
      <c r="AI177">
        <v>1.4</v>
      </c>
      <c r="AJ177">
        <v>250</v>
      </c>
      <c r="AK177">
        <v>0.31</v>
      </c>
      <c r="AL177" s="63">
        <f>IFERROR(INDEX(Job_Training[[Solar]:[Wind]],MATCH(AL$1,Job_Training[[`Typical Entry Level Education`]:[`Typical Entry Level Education`]],0),MATCH(LEFT($D177,5),Job_Training[[#Headers],[Solar]:[Wind]],0)),0)</f>
        <v>0</v>
      </c>
      <c r="AM177" s="63">
        <f>IFERROR(INDEX(Job_Training[[Solar]:[Wind]],MATCH(AM$1,Job_Training[[`Typical Entry Level Education`]:[`Typical Entry Level Education`]],0),MATCH(LEFT($D177,5),Job_Training[[#Headers],[Solar]:[Wind]],0)),0)</f>
        <v>0</v>
      </c>
      <c r="AN177" s="63">
        <f>IFERROR(INDEX(Job_Training[[Solar]:[Wind]],MATCH(AN$1,Job_Training[[`Typical Entry Level Education`]:[`Typical Entry Level Education`]],0),MATCH(LEFT($D177,5),Job_Training[[#Headers],[Solar]:[Wind]],0)),0)</f>
        <v>0</v>
      </c>
      <c r="AO177" s="63">
        <f>IFERROR(INDEX(Job_Training[[Solar]:[Wind]],MATCH(AO$1,Job_Training[[`Typical Entry Level Education`]:[`Typical Entry Level Education`]],0),MATCH(LEFT($D177,5),Job_Training[[#Headers],[Solar]:[Wind]],0)),0)</f>
        <v>0</v>
      </c>
      <c r="AP177">
        <f t="shared" si="60"/>
        <v>0</v>
      </c>
      <c r="AQ177" s="63">
        <f>IF(AP177&gt;0,IFERROR(INDEX(Assumptions!$C$165:$D$165,MATCH(LEFT($D177,5),Job_Training[[#Headers],[Solar]:[Wind]],0)),0),0)</f>
        <v>0</v>
      </c>
      <c r="AR177">
        <f>IF(AP177&gt;0,IFERROR(INDEX(Assumptions!$C$166:$D$166,MATCH(LEFT($D177,5),Job_Training[[#Headers],[Solar]:[Wind]],0)),0),0)</f>
        <v>0</v>
      </c>
    </row>
    <row r="178" spans="1:44" x14ac:dyDescent="0.35">
      <c r="A178" t="str">
        <f>UserInput!$B$2</f>
        <v>Current Projects</v>
      </c>
      <c r="B178">
        <v>2033</v>
      </c>
      <c r="C178" t="s">
        <v>87</v>
      </c>
      <c r="D178" t="s">
        <v>91</v>
      </c>
      <c r="E178" s="66">
        <f>INDEX(UserInput!$C$2:$M$22,MATCH(UserMade_Scenario!B178,UserInput!$A$2:$A$22,0),MATCH(LEFT(IF(RIGHT(C178,2)="H2",UserMade_Scenario!C178,D178),3),UserInput!$C$25:$M$25,0))</f>
        <v>0</v>
      </c>
      <c r="F178" t="s">
        <v>89</v>
      </c>
      <c r="G178" s="14">
        <f t="shared" si="67"/>
        <v>0</v>
      </c>
      <c r="H178" s="63">
        <f t="shared" si="51"/>
        <v>0</v>
      </c>
      <c r="I178" s="63">
        <f t="shared" si="52"/>
        <v>0</v>
      </c>
      <c r="J178" s="63">
        <f t="shared" si="53"/>
        <v>0</v>
      </c>
      <c r="K178" s="30">
        <f>IF(OR(LEFT($D178,5)="Solar",$D178="Wind"),INDEX(Land_Use[AVG],MATCH(LEFT($D178,5),Land_Use[Tech],0)),0)*$E178</f>
        <v>0</v>
      </c>
      <c r="L178" s="30">
        <f>IF(OR(LEFT($D178,5)="Solar",$D178="Wind"),INDEX(Land_Use[MIN],MATCH(LEFT($D178,5),Land_Use[Tech],0)),0)*$E178</f>
        <v>0</v>
      </c>
      <c r="M178" s="30">
        <f>IF(OR(LEFT($D178,5)="Solar",$D178="Wind"),INDEX(Land_Use[MAX],MATCH(LEFT($D178,5),Land_Use[Tech],0)),0)*$E178</f>
        <v>0</v>
      </c>
      <c r="N178" s="15">
        <f t="shared" si="62"/>
        <v>0</v>
      </c>
      <c r="O178" s="11">
        <f t="shared" si="63"/>
        <v>0</v>
      </c>
      <c r="P178" s="11">
        <f t="shared" si="64"/>
        <v>0</v>
      </c>
      <c r="Q178" s="11">
        <f t="shared" si="65"/>
        <v>0</v>
      </c>
      <c r="R178" s="11">
        <f t="shared" si="66"/>
        <v>0</v>
      </c>
      <c r="S178" s="30">
        <f t="shared" si="54"/>
        <v>0</v>
      </c>
      <c r="T178" s="30">
        <f t="shared" si="55"/>
        <v>0</v>
      </c>
      <c r="U178" s="30">
        <f t="shared" si="56"/>
        <v>0</v>
      </c>
      <c r="V178" s="30">
        <f t="shared" si="57"/>
        <v>0</v>
      </c>
      <c r="W178" s="30">
        <f t="shared" si="58"/>
        <v>0</v>
      </c>
      <c r="X178" s="30">
        <f t="shared" si="59"/>
        <v>0</v>
      </c>
      <c r="Z178" s="23" t="s">
        <v>76</v>
      </c>
      <c r="AA178" s="40" t="str">
        <f>IF(C178="Electricity",E178*SUMIFS(Electricity!S:S,Electricity!P:P,UserMade_Scenario!B178,Electricity!M:M,UserMade_Scenario!Z178,Electricity!O:O,UserMade_Scenario!D178),"")</f>
        <v/>
      </c>
      <c r="AB178" s="67">
        <v>1.093E-6</v>
      </c>
      <c r="AC178" s="67" t="s">
        <v>90</v>
      </c>
      <c r="AD178" s="39">
        <f>IFERROR(INDEX(Assumptions!B$145:B$146,MATCH($D178,Assumptions!$A$145:$A$146,0)),0)</f>
        <v>-34.209999999999994</v>
      </c>
      <c r="AE178" s="39">
        <f>IFERROR(INDEX(Assumptions!C$145:C$146,MATCH($D178,Assumptions!$A$145:$A$146,0)),0)</f>
        <v>-34.209999999999994</v>
      </c>
      <c r="AF178" s="39">
        <f>IFERROR(INDEX(Assumptions!D$145:D$146,MATCH($D178,Assumptions!$A$145:$A$146,0)),0)</f>
        <v>-133.26499999999999</v>
      </c>
      <c r="AG178" s="68">
        <f>IFERROR(INDEX(WaterUseH2[Average Direct Water Consumption (Gal/ kg h2)],MATCH(LEFT(D178,3),WaterUseH2[Key],0)),0)</f>
        <v>0</v>
      </c>
      <c r="AH178">
        <v>14</v>
      </c>
      <c r="AI178">
        <v>1.4</v>
      </c>
      <c r="AJ178">
        <v>250</v>
      </c>
      <c r="AK178">
        <v>0.31</v>
      </c>
      <c r="AL178" s="63">
        <f>IFERROR(INDEX(Job_Training[[Solar]:[Wind]],MATCH(AL$1,Job_Training[[`Typical Entry Level Education`]:[`Typical Entry Level Education`]],0),MATCH(LEFT($D178,5),Job_Training[[#Headers],[Solar]:[Wind]],0)),0)</f>
        <v>0</v>
      </c>
      <c r="AM178" s="63">
        <f>IFERROR(INDEX(Job_Training[[Solar]:[Wind]],MATCH(AM$1,Job_Training[[`Typical Entry Level Education`]:[`Typical Entry Level Education`]],0),MATCH(LEFT($D178,5),Job_Training[[#Headers],[Solar]:[Wind]],0)),0)</f>
        <v>0</v>
      </c>
      <c r="AN178" s="63">
        <f>IFERROR(INDEX(Job_Training[[Solar]:[Wind]],MATCH(AN$1,Job_Training[[`Typical Entry Level Education`]:[`Typical Entry Level Education`]],0),MATCH(LEFT($D178,5),Job_Training[[#Headers],[Solar]:[Wind]],0)),0)</f>
        <v>0</v>
      </c>
      <c r="AO178" s="63">
        <f>IFERROR(INDEX(Job_Training[[Solar]:[Wind]],MATCH(AO$1,Job_Training[[`Typical Entry Level Education`]:[`Typical Entry Level Education`]],0),MATCH(LEFT($D178,5),Job_Training[[#Headers],[Solar]:[Wind]],0)),0)</f>
        <v>0</v>
      </c>
      <c r="AP178">
        <f t="shared" si="60"/>
        <v>0</v>
      </c>
      <c r="AQ178" s="63">
        <f>IF(AP178&gt;0,IFERROR(INDEX(Assumptions!$C$165:$D$165,MATCH(LEFT($D178,5),Job_Training[[#Headers],[Solar]:[Wind]],0)),0),0)</f>
        <v>0</v>
      </c>
      <c r="AR178">
        <f>IF(AP178&gt;0,IFERROR(INDEX(Assumptions!$C$166:$D$166,MATCH(LEFT($D178,5),Job_Training[[#Headers],[Solar]:[Wind]],0)),0),0)</f>
        <v>0</v>
      </c>
    </row>
    <row r="179" spans="1:44" x14ac:dyDescent="0.35">
      <c r="A179" t="str">
        <f>UserInput!$B$2</f>
        <v>Current Projects</v>
      </c>
      <c r="B179">
        <v>2034</v>
      </c>
      <c r="C179" t="s">
        <v>87</v>
      </c>
      <c r="D179" t="s">
        <v>91</v>
      </c>
      <c r="E179" s="66">
        <f>INDEX(UserInput!$C$2:$M$22,MATCH(UserMade_Scenario!B179,UserInput!$A$2:$A$22,0),MATCH(LEFT(IF(RIGHT(C179,2)="H2",UserMade_Scenario!C179,D179),3),UserInput!$C$25:$M$25,0))</f>
        <v>0</v>
      </c>
      <c r="F179" t="s">
        <v>89</v>
      </c>
      <c r="G179" s="14">
        <f t="shared" si="67"/>
        <v>0</v>
      </c>
      <c r="H179" s="63">
        <f t="shared" si="51"/>
        <v>0</v>
      </c>
      <c r="I179" s="63">
        <f t="shared" si="52"/>
        <v>0</v>
      </c>
      <c r="J179" s="63">
        <f t="shared" si="53"/>
        <v>0</v>
      </c>
      <c r="K179" s="30">
        <f>IF(OR(LEFT($D179,5)="Solar",$D179="Wind"),INDEX(Land_Use[AVG],MATCH(LEFT($D179,5),Land_Use[Tech],0)),0)*$E179</f>
        <v>0</v>
      </c>
      <c r="L179" s="30">
        <f>IF(OR(LEFT($D179,5)="Solar",$D179="Wind"),INDEX(Land_Use[MIN],MATCH(LEFT($D179,5),Land_Use[Tech],0)),0)*$E179</f>
        <v>0</v>
      </c>
      <c r="M179" s="30">
        <f>IF(OR(LEFT($D179,5)="Solar",$D179="Wind"),INDEX(Land_Use[MAX],MATCH(LEFT($D179,5),Land_Use[Tech],0)),0)*$E179</f>
        <v>0</v>
      </c>
      <c r="N179" s="15">
        <f t="shared" si="62"/>
        <v>0</v>
      </c>
      <c r="O179" s="11">
        <f t="shared" si="63"/>
        <v>0</v>
      </c>
      <c r="P179" s="11">
        <f t="shared" si="64"/>
        <v>0</v>
      </c>
      <c r="Q179" s="11">
        <f t="shared" si="65"/>
        <v>0</v>
      </c>
      <c r="R179" s="11">
        <f t="shared" si="66"/>
        <v>0</v>
      </c>
      <c r="S179" s="30">
        <f t="shared" si="54"/>
        <v>0</v>
      </c>
      <c r="T179" s="30">
        <f t="shared" si="55"/>
        <v>0</v>
      </c>
      <c r="U179" s="30">
        <f t="shared" si="56"/>
        <v>0</v>
      </c>
      <c r="V179" s="30">
        <f t="shared" si="57"/>
        <v>0</v>
      </c>
      <c r="W179" s="30">
        <f t="shared" si="58"/>
        <v>0</v>
      </c>
      <c r="X179" s="30">
        <f t="shared" si="59"/>
        <v>0</v>
      </c>
      <c r="Z179" s="23" t="s">
        <v>76</v>
      </c>
      <c r="AA179" s="40" t="str">
        <f>IF(C179="Electricity",E179*SUMIFS(Electricity!S:S,Electricity!P:P,UserMade_Scenario!B179,Electricity!M:M,UserMade_Scenario!Z179,Electricity!O:O,UserMade_Scenario!D179),"")</f>
        <v/>
      </c>
      <c r="AB179" s="67">
        <v>1.0930000000000002E-6</v>
      </c>
      <c r="AC179" s="67" t="s">
        <v>90</v>
      </c>
      <c r="AD179" s="39">
        <f>IFERROR(INDEX(Assumptions!B$145:B$146,MATCH($D179,Assumptions!$A$145:$A$146,0)),0)</f>
        <v>-34.209999999999994</v>
      </c>
      <c r="AE179" s="39">
        <f>IFERROR(INDEX(Assumptions!C$145:C$146,MATCH($D179,Assumptions!$A$145:$A$146,0)),0)</f>
        <v>-34.209999999999994</v>
      </c>
      <c r="AF179" s="39">
        <f>IFERROR(INDEX(Assumptions!D$145:D$146,MATCH($D179,Assumptions!$A$145:$A$146,0)),0)</f>
        <v>-133.26499999999999</v>
      </c>
      <c r="AG179" s="68">
        <f>IFERROR(INDEX(WaterUseH2[Average Direct Water Consumption (Gal/ kg h2)],MATCH(LEFT(D179,3),WaterUseH2[Key],0)),0)</f>
        <v>0</v>
      </c>
      <c r="AH179">
        <v>14</v>
      </c>
      <c r="AI179">
        <v>1.4</v>
      </c>
      <c r="AJ179">
        <v>250</v>
      </c>
      <c r="AK179">
        <v>0.31</v>
      </c>
      <c r="AL179" s="63">
        <f>IFERROR(INDEX(Job_Training[[Solar]:[Wind]],MATCH(AL$1,Job_Training[[`Typical Entry Level Education`]:[`Typical Entry Level Education`]],0),MATCH(LEFT($D179,5),Job_Training[[#Headers],[Solar]:[Wind]],0)),0)</f>
        <v>0</v>
      </c>
      <c r="AM179" s="63">
        <f>IFERROR(INDEX(Job_Training[[Solar]:[Wind]],MATCH(AM$1,Job_Training[[`Typical Entry Level Education`]:[`Typical Entry Level Education`]],0),MATCH(LEFT($D179,5),Job_Training[[#Headers],[Solar]:[Wind]],0)),0)</f>
        <v>0</v>
      </c>
      <c r="AN179" s="63">
        <f>IFERROR(INDEX(Job_Training[[Solar]:[Wind]],MATCH(AN$1,Job_Training[[`Typical Entry Level Education`]:[`Typical Entry Level Education`]],0),MATCH(LEFT($D179,5),Job_Training[[#Headers],[Solar]:[Wind]],0)),0)</f>
        <v>0</v>
      </c>
      <c r="AO179" s="63">
        <f>IFERROR(INDEX(Job_Training[[Solar]:[Wind]],MATCH(AO$1,Job_Training[[`Typical Entry Level Education`]:[`Typical Entry Level Education`]],0),MATCH(LEFT($D179,5),Job_Training[[#Headers],[Solar]:[Wind]],0)),0)</f>
        <v>0</v>
      </c>
      <c r="AP179">
        <f t="shared" si="60"/>
        <v>0</v>
      </c>
      <c r="AQ179" s="63">
        <f>IF(AP179&gt;0,IFERROR(INDEX(Assumptions!$C$165:$D$165,MATCH(LEFT($D179,5),Job_Training[[#Headers],[Solar]:[Wind]],0)),0),0)</f>
        <v>0</v>
      </c>
      <c r="AR179">
        <f>IF(AP179&gt;0,IFERROR(INDEX(Assumptions!$C$166:$D$166,MATCH(LEFT($D179,5),Job_Training[[#Headers],[Solar]:[Wind]],0)),0),0)</f>
        <v>0</v>
      </c>
    </row>
    <row r="180" spans="1:44" x14ac:dyDescent="0.35">
      <c r="A180" t="str">
        <f>UserInput!$B$2</f>
        <v>Current Projects</v>
      </c>
      <c r="B180">
        <v>2035</v>
      </c>
      <c r="C180" t="s">
        <v>87</v>
      </c>
      <c r="D180" t="s">
        <v>91</v>
      </c>
      <c r="E180" s="66">
        <f>INDEX(UserInput!$C$2:$M$22,MATCH(UserMade_Scenario!B180,UserInput!$A$2:$A$22,0),MATCH(LEFT(IF(RIGHT(C180,2)="H2",UserMade_Scenario!C180,D180),3),UserInput!$C$25:$M$25,0))</f>
        <v>0</v>
      </c>
      <c r="F180" t="s">
        <v>89</v>
      </c>
      <c r="G180" s="14">
        <f t="shared" si="67"/>
        <v>0</v>
      </c>
      <c r="H180" s="63">
        <f t="shared" si="51"/>
        <v>0</v>
      </c>
      <c r="I180" s="63">
        <f t="shared" si="52"/>
        <v>0</v>
      </c>
      <c r="J180" s="63">
        <f t="shared" si="53"/>
        <v>0</v>
      </c>
      <c r="K180" s="30">
        <f>IF(OR(LEFT($D180,5)="Solar",$D180="Wind"),INDEX(Land_Use[AVG],MATCH(LEFT($D180,5),Land_Use[Tech],0)),0)*$E180</f>
        <v>0</v>
      </c>
      <c r="L180" s="30">
        <f>IF(OR(LEFT($D180,5)="Solar",$D180="Wind"),INDEX(Land_Use[MIN],MATCH(LEFT($D180,5),Land_Use[Tech],0)),0)*$E180</f>
        <v>0</v>
      </c>
      <c r="M180" s="30">
        <f>IF(OR(LEFT($D180,5)="Solar",$D180="Wind"),INDEX(Land_Use[MAX],MATCH(LEFT($D180,5),Land_Use[Tech],0)),0)*$E180</f>
        <v>0</v>
      </c>
      <c r="N180" s="15">
        <f t="shared" si="62"/>
        <v>0</v>
      </c>
      <c r="O180" s="11">
        <f t="shared" si="63"/>
        <v>0</v>
      </c>
      <c r="P180" s="11">
        <f t="shared" si="64"/>
        <v>0</v>
      </c>
      <c r="Q180" s="11">
        <f t="shared" si="65"/>
        <v>0</v>
      </c>
      <c r="R180" s="11">
        <f t="shared" si="66"/>
        <v>0</v>
      </c>
      <c r="S180" s="30">
        <f t="shared" si="54"/>
        <v>0</v>
      </c>
      <c r="T180" s="30">
        <f t="shared" si="55"/>
        <v>0</v>
      </c>
      <c r="U180" s="30">
        <f t="shared" si="56"/>
        <v>0</v>
      </c>
      <c r="V180" s="30">
        <f t="shared" si="57"/>
        <v>0</v>
      </c>
      <c r="W180" s="30">
        <f t="shared" si="58"/>
        <v>0</v>
      </c>
      <c r="X180" s="30">
        <f t="shared" si="59"/>
        <v>0</v>
      </c>
      <c r="Z180" s="23" t="s">
        <v>76</v>
      </c>
      <c r="AA180" s="40" t="str">
        <f>IF(C180="Electricity",E180*SUMIFS(Electricity!S:S,Electricity!P:P,UserMade_Scenario!B180,Electricity!M:M,UserMade_Scenario!Z180,Electricity!O:O,UserMade_Scenario!D180),"")</f>
        <v/>
      </c>
      <c r="AB180" s="67">
        <v>1.0930000000000002E-6</v>
      </c>
      <c r="AC180" s="67" t="s">
        <v>90</v>
      </c>
      <c r="AD180" s="39">
        <f>IFERROR(INDEX(Assumptions!B$145:B$146,MATCH($D180,Assumptions!$A$145:$A$146,0)),0)</f>
        <v>-34.209999999999994</v>
      </c>
      <c r="AE180" s="39">
        <f>IFERROR(INDEX(Assumptions!C$145:C$146,MATCH($D180,Assumptions!$A$145:$A$146,0)),0)</f>
        <v>-34.209999999999994</v>
      </c>
      <c r="AF180" s="39">
        <f>IFERROR(INDEX(Assumptions!D$145:D$146,MATCH($D180,Assumptions!$A$145:$A$146,0)),0)</f>
        <v>-133.26499999999999</v>
      </c>
      <c r="AG180" s="68">
        <f>IFERROR(INDEX(WaterUseH2[Average Direct Water Consumption (Gal/ kg h2)],MATCH(LEFT(D180,3),WaterUseH2[Key],0)),0)</f>
        <v>0</v>
      </c>
      <c r="AH180">
        <v>14</v>
      </c>
      <c r="AI180">
        <v>1.4</v>
      </c>
      <c r="AJ180">
        <v>250</v>
      </c>
      <c r="AK180">
        <v>0.31</v>
      </c>
      <c r="AL180" s="63">
        <f>IFERROR(INDEX(Job_Training[[Solar]:[Wind]],MATCH(AL$1,Job_Training[[`Typical Entry Level Education`]:[`Typical Entry Level Education`]],0),MATCH(LEFT($D180,5),Job_Training[[#Headers],[Solar]:[Wind]],0)),0)</f>
        <v>0</v>
      </c>
      <c r="AM180" s="63">
        <f>IFERROR(INDEX(Job_Training[[Solar]:[Wind]],MATCH(AM$1,Job_Training[[`Typical Entry Level Education`]:[`Typical Entry Level Education`]],0),MATCH(LEFT($D180,5),Job_Training[[#Headers],[Solar]:[Wind]],0)),0)</f>
        <v>0</v>
      </c>
      <c r="AN180" s="63">
        <f>IFERROR(INDEX(Job_Training[[Solar]:[Wind]],MATCH(AN$1,Job_Training[[`Typical Entry Level Education`]:[`Typical Entry Level Education`]],0),MATCH(LEFT($D180,5),Job_Training[[#Headers],[Solar]:[Wind]],0)),0)</f>
        <v>0</v>
      </c>
      <c r="AO180" s="63">
        <f>IFERROR(INDEX(Job_Training[[Solar]:[Wind]],MATCH(AO$1,Job_Training[[`Typical Entry Level Education`]:[`Typical Entry Level Education`]],0),MATCH(LEFT($D180,5),Job_Training[[#Headers],[Solar]:[Wind]],0)),0)</f>
        <v>0</v>
      </c>
      <c r="AP180">
        <f t="shared" si="60"/>
        <v>0</v>
      </c>
      <c r="AQ180" s="63">
        <f>IF(AP180&gt;0,IFERROR(INDEX(Assumptions!$C$165:$D$165,MATCH(LEFT($D180,5),Job_Training[[#Headers],[Solar]:[Wind]],0)),0),0)</f>
        <v>0</v>
      </c>
      <c r="AR180">
        <f>IF(AP180&gt;0,IFERROR(INDEX(Assumptions!$C$166:$D$166,MATCH(LEFT($D180,5),Job_Training[[#Headers],[Solar]:[Wind]],0)),0),0)</f>
        <v>0</v>
      </c>
    </row>
    <row r="181" spans="1:44" x14ac:dyDescent="0.35">
      <c r="A181" t="str">
        <f>UserInput!$B$2</f>
        <v>Current Projects</v>
      </c>
      <c r="B181">
        <v>2036</v>
      </c>
      <c r="C181" t="s">
        <v>87</v>
      </c>
      <c r="D181" t="s">
        <v>91</v>
      </c>
      <c r="E181" s="66">
        <f>INDEX(UserInput!$C$2:$M$22,MATCH(UserMade_Scenario!B181,UserInput!$A$2:$A$22,0),MATCH(LEFT(IF(RIGHT(C181,2)="H2",UserMade_Scenario!C181,D181),3),UserInput!$C$25:$M$25,0))</f>
        <v>0</v>
      </c>
      <c r="F181" t="s">
        <v>89</v>
      </c>
      <c r="G181" s="14">
        <f t="shared" si="67"/>
        <v>0</v>
      </c>
      <c r="H181" s="63">
        <f t="shared" si="51"/>
        <v>0</v>
      </c>
      <c r="I181" s="63">
        <f t="shared" si="52"/>
        <v>0</v>
      </c>
      <c r="J181" s="63">
        <f t="shared" si="53"/>
        <v>0</v>
      </c>
      <c r="K181" s="30">
        <f>IF(OR(LEFT($D181,5)="Solar",$D181="Wind"),INDEX(Land_Use[AVG],MATCH(LEFT($D181,5),Land_Use[Tech],0)),0)*$E181</f>
        <v>0</v>
      </c>
      <c r="L181" s="30">
        <f>IF(OR(LEFT($D181,5)="Solar",$D181="Wind"),INDEX(Land_Use[MIN],MATCH(LEFT($D181,5),Land_Use[Tech],0)),0)*$E181</f>
        <v>0</v>
      </c>
      <c r="M181" s="30">
        <f>IF(OR(LEFT($D181,5)="Solar",$D181="Wind"),INDEX(Land_Use[MAX],MATCH(LEFT($D181,5),Land_Use[Tech],0)),0)*$E181</f>
        <v>0</v>
      </c>
      <c r="N181" s="15">
        <f t="shared" si="62"/>
        <v>0</v>
      </c>
      <c r="O181" s="11">
        <f t="shared" si="63"/>
        <v>0</v>
      </c>
      <c r="P181" s="11">
        <f t="shared" si="64"/>
        <v>0</v>
      </c>
      <c r="Q181" s="11">
        <f t="shared" si="65"/>
        <v>0</v>
      </c>
      <c r="R181" s="11">
        <f t="shared" si="66"/>
        <v>0</v>
      </c>
      <c r="S181" s="30">
        <f t="shared" si="54"/>
        <v>0</v>
      </c>
      <c r="T181" s="30">
        <f t="shared" si="55"/>
        <v>0</v>
      </c>
      <c r="U181" s="30">
        <f t="shared" si="56"/>
        <v>0</v>
      </c>
      <c r="V181" s="30">
        <f t="shared" si="57"/>
        <v>0</v>
      </c>
      <c r="W181" s="30">
        <f t="shared" si="58"/>
        <v>0</v>
      </c>
      <c r="X181" s="30">
        <f t="shared" si="59"/>
        <v>0</v>
      </c>
      <c r="Z181" s="23" t="s">
        <v>76</v>
      </c>
      <c r="AA181" s="40" t="str">
        <f>IF(C181="Electricity",E181*SUMIFS(Electricity!S:S,Electricity!P:P,UserMade_Scenario!B181,Electricity!M:M,UserMade_Scenario!Z181,Electricity!O:O,UserMade_Scenario!D181),"")</f>
        <v/>
      </c>
      <c r="AB181" s="67">
        <v>1.0930000000000002E-6</v>
      </c>
      <c r="AC181" s="67" t="s">
        <v>90</v>
      </c>
      <c r="AD181" s="39">
        <f>IFERROR(INDEX(Assumptions!B$145:B$146,MATCH($D181,Assumptions!$A$145:$A$146,0)),0)</f>
        <v>-34.209999999999994</v>
      </c>
      <c r="AE181" s="39">
        <f>IFERROR(INDEX(Assumptions!C$145:C$146,MATCH($D181,Assumptions!$A$145:$A$146,0)),0)</f>
        <v>-34.209999999999994</v>
      </c>
      <c r="AF181" s="39">
        <f>IFERROR(INDEX(Assumptions!D$145:D$146,MATCH($D181,Assumptions!$A$145:$A$146,0)),0)</f>
        <v>-133.26499999999999</v>
      </c>
      <c r="AG181" s="68">
        <f>IFERROR(INDEX(WaterUseH2[Average Direct Water Consumption (Gal/ kg h2)],MATCH(LEFT(D181,3),WaterUseH2[Key],0)),0)</f>
        <v>0</v>
      </c>
      <c r="AH181">
        <v>14</v>
      </c>
      <c r="AI181">
        <v>1.4</v>
      </c>
      <c r="AJ181">
        <v>250</v>
      </c>
      <c r="AK181">
        <v>0.31</v>
      </c>
      <c r="AL181" s="63">
        <f>IFERROR(INDEX(Job_Training[[Solar]:[Wind]],MATCH(AL$1,Job_Training[[`Typical Entry Level Education`]:[`Typical Entry Level Education`]],0),MATCH(LEFT($D181,5),Job_Training[[#Headers],[Solar]:[Wind]],0)),0)</f>
        <v>0</v>
      </c>
      <c r="AM181" s="63">
        <f>IFERROR(INDEX(Job_Training[[Solar]:[Wind]],MATCH(AM$1,Job_Training[[`Typical Entry Level Education`]:[`Typical Entry Level Education`]],0),MATCH(LEFT($D181,5),Job_Training[[#Headers],[Solar]:[Wind]],0)),0)</f>
        <v>0</v>
      </c>
      <c r="AN181" s="63">
        <f>IFERROR(INDEX(Job_Training[[Solar]:[Wind]],MATCH(AN$1,Job_Training[[`Typical Entry Level Education`]:[`Typical Entry Level Education`]],0),MATCH(LEFT($D181,5),Job_Training[[#Headers],[Solar]:[Wind]],0)),0)</f>
        <v>0</v>
      </c>
      <c r="AO181" s="63">
        <f>IFERROR(INDEX(Job_Training[[Solar]:[Wind]],MATCH(AO$1,Job_Training[[`Typical Entry Level Education`]:[`Typical Entry Level Education`]],0),MATCH(LEFT($D181,5),Job_Training[[#Headers],[Solar]:[Wind]],0)),0)</f>
        <v>0</v>
      </c>
      <c r="AP181">
        <f t="shared" si="60"/>
        <v>0</v>
      </c>
      <c r="AQ181" s="63">
        <f>IF(AP181&gt;0,IFERROR(INDEX(Assumptions!$C$165:$D$165,MATCH(LEFT($D181,5),Job_Training[[#Headers],[Solar]:[Wind]],0)),0),0)</f>
        <v>0</v>
      </c>
      <c r="AR181">
        <f>IF(AP181&gt;0,IFERROR(INDEX(Assumptions!$C$166:$D$166,MATCH(LEFT($D181,5),Job_Training[[#Headers],[Solar]:[Wind]],0)),0),0)</f>
        <v>0</v>
      </c>
    </row>
    <row r="182" spans="1:44" x14ac:dyDescent="0.35">
      <c r="A182" t="str">
        <f>UserInput!$B$2</f>
        <v>Current Projects</v>
      </c>
      <c r="B182">
        <v>2037</v>
      </c>
      <c r="C182" t="s">
        <v>87</v>
      </c>
      <c r="D182" t="s">
        <v>91</v>
      </c>
      <c r="E182" s="66">
        <f>INDEX(UserInput!$C$2:$M$22,MATCH(UserMade_Scenario!B182,UserInput!$A$2:$A$22,0),MATCH(LEFT(IF(RIGHT(C182,2)="H2",UserMade_Scenario!C182,D182),3),UserInput!$C$25:$M$25,0))</f>
        <v>0</v>
      </c>
      <c r="F182" t="s">
        <v>89</v>
      </c>
      <c r="G182" s="14">
        <f t="shared" si="67"/>
        <v>0</v>
      </c>
      <c r="H182" s="63">
        <f t="shared" si="51"/>
        <v>0</v>
      </c>
      <c r="I182" s="63">
        <f t="shared" si="52"/>
        <v>0</v>
      </c>
      <c r="J182" s="63">
        <f t="shared" si="53"/>
        <v>0</v>
      </c>
      <c r="K182" s="30">
        <f>IF(OR(LEFT($D182,5)="Solar",$D182="Wind"),INDEX(Land_Use[AVG],MATCH(LEFT($D182,5),Land_Use[Tech],0)),0)*$E182</f>
        <v>0</v>
      </c>
      <c r="L182" s="30">
        <f>IF(OR(LEFT($D182,5)="Solar",$D182="Wind"),INDEX(Land_Use[MIN],MATCH(LEFT($D182,5),Land_Use[Tech],0)),0)*$E182</f>
        <v>0</v>
      </c>
      <c r="M182" s="30">
        <f>IF(OR(LEFT($D182,5)="Solar",$D182="Wind"),INDEX(Land_Use[MAX],MATCH(LEFT($D182,5),Land_Use[Tech],0)),0)*$E182</f>
        <v>0</v>
      </c>
      <c r="N182" s="15">
        <f t="shared" si="62"/>
        <v>0</v>
      </c>
      <c r="O182" s="11">
        <f t="shared" si="63"/>
        <v>0</v>
      </c>
      <c r="P182" s="11">
        <f t="shared" si="64"/>
        <v>0</v>
      </c>
      <c r="Q182" s="11">
        <f t="shared" si="65"/>
        <v>0</v>
      </c>
      <c r="R182" s="11">
        <f t="shared" si="66"/>
        <v>0</v>
      </c>
      <c r="S182" s="30">
        <f t="shared" si="54"/>
        <v>0</v>
      </c>
      <c r="T182" s="30">
        <f t="shared" si="55"/>
        <v>0</v>
      </c>
      <c r="U182" s="30">
        <f t="shared" si="56"/>
        <v>0</v>
      </c>
      <c r="V182" s="30">
        <f t="shared" si="57"/>
        <v>0</v>
      </c>
      <c r="W182" s="30">
        <f t="shared" si="58"/>
        <v>0</v>
      </c>
      <c r="X182" s="30">
        <f t="shared" si="59"/>
        <v>0</v>
      </c>
      <c r="Z182" s="23" t="s">
        <v>76</v>
      </c>
      <c r="AA182" s="40" t="str">
        <f>IF(C182="Electricity",E182*SUMIFS(Electricity!S:S,Electricity!P:P,UserMade_Scenario!B182,Electricity!M:M,UserMade_Scenario!Z182,Electricity!O:O,UserMade_Scenario!D182),"")</f>
        <v/>
      </c>
      <c r="AB182" s="67">
        <v>1.0930000000000002E-6</v>
      </c>
      <c r="AC182" s="67" t="s">
        <v>90</v>
      </c>
      <c r="AD182" s="39">
        <f>IFERROR(INDEX(Assumptions!B$145:B$146,MATCH($D182,Assumptions!$A$145:$A$146,0)),0)</f>
        <v>-34.209999999999994</v>
      </c>
      <c r="AE182" s="39">
        <f>IFERROR(INDEX(Assumptions!C$145:C$146,MATCH($D182,Assumptions!$A$145:$A$146,0)),0)</f>
        <v>-34.209999999999994</v>
      </c>
      <c r="AF182" s="39">
        <f>IFERROR(INDEX(Assumptions!D$145:D$146,MATCH($D182,Assumptions!$A$145:$A$146,0)),0)</f>
        <v>-133.26499999999999</v>
      </c>
      <c r="AG182" s="68">
        <f>IFERROR(INDEX(WaterUseH2[Average Direct Water Consumption (Gal/ kg h2)],MATCH(LEFT(D182,3),WaterUseH2[Key],0)),0)</f>
        <v>0</v>
      </c>
      <c r="AH182">
        <v>14</v>
      </c>
      <c r="AI182">
        <v>1.4</v>
      </c>
      <c r="AJ182">
        <v>250</v>
      </c>
      <c r="AK182">
        <v>0.31</v>
      </c>
      <c r="AL182" s="63">
        <f>IFERROR(INDEX(Job_Training[[Solar]:[Wind]],MATCH(AL$1,Job_Training[[`Typical Entry Level Education`]:[`Typical Entry Level Education`]],0),MATCH(LEFT($D182,5),Job_Training[[#Headers],[Solar]:[Wind]],0)),0)</f>
        <v>0</v>
      </c>
      <c r="AM182" s="63">
        <f>IFERROR(INDEX(Job_Training[[Solar]:[Wind]],MATCH(AM$1,Job_Training[[`Typical Entry Level Education`]:[`Typical Entry Level Education`]],0),MATCH(LEFT($D182,5),Job_Training[[#Headers],[Solar]:[Wind]],0)),0)</f>
        <v>0</v>
      </c>
      <c r="AN182" s="63">
        <f>IFERROR(INDEX(Job_Training[[Solar]:[Wind]],MATCH(AN$1,Job_Training[[`Typical Entry Level Education`]:[`Typical Entry Level Education`]],0),MATCH(LEFT($D182,5),Job_Training[[#Headers],[Solar]:[Wind]],0)),0)</f>
        <v>0</v>
      </c>
      <c r="AO182" s="63">
        <f>IFERROR(INDEX(Job_Training[[Solar]:[Wind]],MATCH(AO$1,Job_Training[[`Typical Entry Level Education`]:[`Typical Entry Level Education`]],0),MATCH(LEFT($D182,5),Job_Training[[#Headers],[Solar]:[Wind]],0)),0)</f>
        <v>0</v>
      </c>
      <c r="AP182">
        <f t="shared" si="60"/>
        <v>0</v>
      </c>
      <c r="AQ182" s="63">
        <f>IF(AP182&gt;0,IFERROR(INDEX(Assumptions!$C$165:$D$165,MATCH(LEFT($D182,5),Job_Training[[#Headers],[Solar]:[Wind]],0)),0),0)</f>
        <v>0</v>
      </c>
      <c r="AR182">
        <f>IF(AP182&gt;0,IFERROR(INDEX(Assumptions!$C$166:$D$166,MATCH(LEFT($D182,5),Job_Training[[#Headers],[Solar]:[Wind]],0)),0),0)</f>
        <v>0</v>
      </c>
    </row>
    <row r="183" spans="1:44" x14ac:dyDescent="0.35">
      <c r="A183" t="str">
        <f>UserInput!$B$2</f>
        <v>Current Projects</v>
      </c>
      <c r="B183">
        <v>2038</v>
      </c>
      <c r="C183" t="s">
        <v>87</v>
      </c>
      <c r="D183" t="s">
        <v>91</v>
      </c>
      <c r="E183" s="66">
        <f>INDEX(UserInput!$C$2:$M$22,MATCH(UserMade_Scenario!B183,UserInput!$A$2:$A$22,0),MATCH(LEFT(IF(RIGHT(C183,2)="H2",UserMade_Scenario!C183,D183),3),UserInput!$C$25:$M$25,0))</f>
        <v>0</v>
      </c>
      <c r="F183" t="s">
        <v>89</v>
      </c>
      <c r="G183" s="14">
        <f t="shared" si="67"/>
        <v>0</v>
      </c>
      <c r="H183" s="63">
        <f t="shared" si="51"/>
        <v>0</v>
      </c>
      <c r="I183" s="63">
        <f t="shared" si="52"/>
        <v>0</v>
      </c>
      <c r="J183" s="63">
        <f t="shared" si="53"/>
        <v>0</v>
      </c>
      <c r="K183" s="30">
        <f>IF(OR(LEFT($D183,5)="Solar",$D183="Wind"),INDEX(Land_Use[AVG],MATCH(LEFT($D183,5),Land_Use[Tech],0)),0)*$E183</f>
        <v>0</v>
      </c>
      <c r="L183" s="30">
        <f>IF(OR(LEFT($D183,5)="Solar",$D183="Wind"),INDEX(Land_Use[MIN],MATCH(LEFT($D183,5),Land_Use[Tech],0)),0)*$E183</f>
        <v>0</v>
      </c>
      <c r="M183" s="30">
        <f>IF(OR(LEFT($D183,5)="Solar",$D183="Wind"),INDEX(Land_Use[MAX],MATCH(LEFT($D183,5),Land_Use[Tech],0)),0)*$E183</f>
        <v>0</v>
      </c>
      <c r="N183" s="15">
        <f t="shared" si="62"/>
        <v>0</v>
      </c>
      <c r="O183" s="11">
        <f t="shared" si="63"/>
        <v>0</v>
      </c>
      <c r="P183" s="11">
        <f t="shared" si="64"/>
        <v>0</v>
      </c>
      <c r="Q183" s="11">
        <f t="shared" si="65"/>
        <v>0</v>
      </c>
      <c r="R183" s="11">
        <f t="shared" si="66"/>
        <v>0</v>
      </c>
      <c r="S183" s="30">
        <f t="shared" si="54"/>
        <v>0</v>
      </c>
      <c r="T183" s="30">
        <f t="shared" si="55"/>
        <v>0</v>
      </c>
      <c r="U183" s="30">
        <f t="shared" si="56"/>
        <v>0</v>
      </c>
      <c r="V183" s="30">
        <f t="shared" si="57"/>
        <v>0</v>
      </c>
      <c r="W183" s="30">
        <f t="shared" si="58"/>
        <v>0</v>
      </c>
      <c r="X183" s="30">
        <f t="shared" si="59"/>
        <v>0</v>
      </c>
      <c r="Z183" s="23" t="s">
        <v>76</v>
      </c>
      <c r="AA183" s="40" t="str">
        <f>IF(C183="Electricity",E183*SUMIFS(Electricity!S:S,Electricity!P:P,UserMade_Scenario!B183,Electricity!M:M,UserMade_Scenario!Z183,Electricity!O:O,UserMade_Scenario!D183),"")</f>
        <v/>
      </c>
      <c r="AB183" s="67">
        <v>1.0930000000000002E-6</v>
      </c>
      <c r="AC183" s="67" t="s">
        <v>90</v>
      </c>
      <c r="AD183" s="39">
        <f>IFERROR(INDEX(Assumptions!B$145:B$146,MATCH($D183,Assumptions!$A$145:$A$146,0)),0)</f>
        <v>-34.209999999999994</v>
      </c>
      <c r="AE183" s="39">
        <f>IFERROR(INDEX(Assumptions!C$145:C$146,MATCH($D183,Assumptions!$A$145:$A$146,0)),0)</f>
        <v>-34.209999999999994</v>
      </c>
      <c r="AF183" s="39">
        <f>IFERROR(INDEX(Assumptions!D$145:D$146,MATCH($D183,Assumptions!$A$145:$A$146,0)),0)</f>
        <v>-133.26499999999999</v>
      </c>
      <c r="AG183" s="68">
        <f>IFERROR(INDEX(WaterUseH2[Average Direct Water Consumption (Gal/ kg h2)],MATCH(LEFT(D183,3),WaterUseH2[Key],0)),0)</f>
        <v>0</v>
      </c>
      <c r="AH183">
        <v>14</v>
      </c>
      <c r="AI183">
        <v>1.4</v>
      </c>
      <c r="AJ183">
        <v>250</v>
      </c>
      <c r="AK183">
        <v>0.31</v>
      </c>
      <c r="AL183" s="63">
        <f>IFERROR(INDEX(Job_Training[[Solar]:[Wind]],MATCH(AL$1,Job_Training[[`Typical Entry Level Education`]:[`Typical Entry Level Education`]],0),MATCH(LEFT($D183,5),Job_Training[[#Headers],[Solar]:[Wind]],0)),0)</f>
        <v>0</v>
      </c>
      <c r="AM183" s="63">
        <f>IFERROR(INDEX(Job_Training[[Solar]:[Wind]],MATCH(AM$1,Job_Training[[`Typical Entry Level Education`]:[`Typical Entry Level Education`]],0),MATCH(LEFT($D183,5),Job_Training[[#Headers],[Solar]:[Wind]],0)),0)</f>
        <v>0</v>
      </c>
      <c r="AN183" s="63">
        <f>IFERROR(INDEX(Job_Training[[Solar]:[Wind]],MATCH(AN$1,Job_Training[[`Typical Entry Level Education`]:[`Typical Entry Level Education`]],0),MATCH(LEFT($D183,5),Job_Training[[#Headers],[Solar]:[Wind]],0)),0)</f>
        <v>0</v>
      </c>
      <c r="AO183" s="63">
        <f>IFERROR(INDEX(Job_Training[[Solar]:[Wind]],MATCH(AO$1,Job_Training[[`Typical Entry Level Education`]:[`Typical Entry Level Education`]],0),MATCH(LEFT($D183,5),Job_Training[[#Headers],[Solar]:[Wind]],0)),0)</f>
        <v>0</v>
      </c>
      <c r="AP183">
        <f t="shared" si="60"/>
        <v>0</v>
      </c>
      <c r="AQ183" s="63">
        <f>IF(AP183&gt;0,IFERROR(INDEX(Assumptions!$C$165:$D$165,MATCH(LEFT($D183,5),Job_Training[[#Headers],[Solar]:[Wind]],0)),0),0)</f>
        <v>0</v>
      </c>
      <c r="AR183">
        <f>IF(AP183&gt;0,IFERROR(INDEX(Assumptions!$C$166:$D$166,MATCH(LEFT($D183,5),Job_Training[[#Headers],[Solar]:[Wind]],0)),0),0)</f>
        <v>0</v>
      </c>
    </row>
    <row r="184" spans="1:44" x14ac:dyDescent="0.35">
      <c r="A184" t="str">
        <f>UserInput!$B$2</f>
        <v>Current Projects</v>
      </c>
      <c r="B184">
        <v>2039</v>
      </c>
      <c r="C184" t="s">
        <v>87</v>
      </c>
      <c r="D184" t="s">
        <v>91</v>
      </c>
      <c r="E184" s="66">
        <f>INDEX(UserInput!$C$2:$M$22,MATCH(UserMade_Scenario!B184,UserInput!$A$2:$A$22,0),MATCH(LEFT(IF(RIGHT(C184,2)="H2",UserMade_Scenario!C184,D184),3),UserInput!$C$25:$M$25,0))</f>
        <v>0</v>
      </c>
      <c r="F184" t="s">
        <v>89</v>
      </c>
      <c r="G184" s="14">
        <f t="shared" si="67"/>
        <v>0</v>
      </c>
      <c r="H184" s="63">
        <f t="shared" si="51"/>
        <v>0</v>
      </c>
      <c r="I184" s="63">
        <f t="shared" si="52"/>
        <v>0</v>
      </c>
      <c r="J184" s="63">
        <f t="shared" si="53"/>
        <v>0</v>
      </c>
      <c r="K184" s="30">
        <f>IF(OR(LEFT($D184,5)="Solar",$D184="Wind"),INDEX(Land_Use[AVG],MATCH(LEFT($D184,5),Land_Use[Tech],0)),0)*$E184</f>
        <v>0</v>
      </c>
      <c r="L184" s="30">
        <f>IF(OR(LEFT($D184,5)="Solar",$D184="Wind"),INDEX(Land_Use[MIN],MATCH(LEFT($D184,5),Land_Use[Tech],0)),0)*$E184</f>
        <v>0</v>
      </c>
      <c r="M184" s="30">
        <f>IF(OR(LEFT($D184,5)="Solar",$D184="Wind"),INDEX(Land_Use[MAX],MATCH(LEFT($D184,5),Land_Use[Tech],0)),0)*$E184</f>
        <v>0</v>
      </c>
      <c r="N184" s="15">
        <f t="shared" si="62"/>
        <v>0</v>
      </c>
      <c r="O184" s="11">
        <f t="shared" si="63"/>
        <v>0</v>
      </c>
      <c r="P184" s="11">
        <f t="shared" si="64"/>
        <v>0</v>
      </c>
      <c r="Q184" s="11">
        <f t="shared" si="65"/>
        <v>0</v>
      </c>
      <c r="R184" s="11">
        <f t="shared" si="66"/>
        <v>0</v>
      </c>
      <c r="S184" s="30">
        <f t="shared" si="54"/>
        <v>0</v>
      </c>
      <c r="T184" s="30">
        <f t="shared" si="55"/>
        <v>0</v>
      </c>
      <c r="U184" s="30">
        <f t="shared" si="56"/>
        <v>0</v>
      </c>
      <c r="V184" s="30">
        <f t="shared" si="57"/>
        <v>0</v>
      </c>
      <c r="W184" s="30">
        <f t="shared" si="58"/>
        <v>0</v>
      </c>
      <c r="X184" s="30">
        <f t="shared" si="59"/>
        <v>0</v>
      </c>
      <c r="Z184" s="23" t="s">
        <v>76</v>
      </c>
      <c r="AA184" s="40" t="str">
        <f>IF(C184="Electricity",E184*SUMIFS(Electricity!S:S,Electricity!P:P,UserMade_Scenario!B184,Electricity!M:M,UserMade_Scenario!Z184,Electricity!O:O,UserMade_Scenario!D184),"")</f>
        <v/>
      </c>
      <c r="AB184" s="67">
        <v>1.0930000000000002E-6</v>
      </c>
      <c r="AC184" s="67" t="s">
        <v>90</v>
      </c>
      <c r="AD184" s="39">
        <f>IFERROR(INDEX(Assumptions!B$145:B$146,MATCH($D184,Assumptions!$A$145:$A$146,0)),0)</f>
        <v>-34.209999999999994</v>
      </c>
      <c r="AE184" s="39">
        <f>IFERROR(INDEX(Assumptions!C$145:C$146,MATCH($D184,Assumptions!$A$145:$A$146,0)),0)</f>
        <v>-34.209999999999994</v>
      </c>
      <c r="AF184" s="39">
        <f>IFERROR(INDEX(Assumptions!D$145:D$146,MATCH($D184,Assumptions!$A$145:$A$146,0)),0)</f>
        <v>-133.26499999999999</v>
      </c>
      <c r="AG184" s="68">
        <f>IFERROR(INDEX(WaterUseH2[Average Direct Water Consumption (Gal/ kg h2)],MATCH(LEFT(D184,3),WaterUseH2[Key],0)),0)</f>
        <v>0</v>
      </c>
      <c r="AH184">
        <v>14</v>
      </c>
      <c r="AI184">
        <v>1.4</v>
      </c>
      <c r="AJ184">
        <v>250</v>
      </c>
      <c r="AK184">
        <v>0.31</v>
      </c>
      <c r="AL184" s="63">
        <f>IFERROR(INDEX(Job_Training[[Solar]:[Wind]],MATCH(AL$1,Job_Training[[`Typical Entry Level Education`]:[`Typical Entry Level Education`]],0),MATCH(LEFT($D184,5),Job_Training[[#Headers],[Solar]:[Wind]],0)),0)</f>
        <v>0</v>
      </c>
      <c r="AM184" s="63">
        <f>IFERROR(INDEX(Job_Training[[Solar]:[Wind]],MATCH(AM$1,Job_Training[[`Typical Entry Level Education`]:[`Typical Entry Level Education`]],0),MATCH(LEFT($D184,5),Job_Training[[#Headers],[Solar]:[Wind]],0)),0)</f>
        <v>0</v>
      </c>
      <c r="AN184" s="63">
        <f>IFERROR(INDEX(Job_Training[[Solar]:[Wind]],MATCH(AN$1,Job_Training[[`Typical Entry Level Education`]:[`Typical Entry Level Education`]],0),MATCH(LEFT($D184,5),Job_Training[[#Headers],[Solar]:[Wind]],0)),0)</f>
        <v>0</v>
      </c>
      <c r="AO184" s="63">
        <f>IFERROR(INDEX(Job_Training[[Solar]:[Wind]],MATCH(AO$1,Job_Training[[`Typical Entry Level Education`]:[`Typical Entry Level Education`]],0),MATCH(LEFT($D184,5),Job_Training[[#Headers],[Solar]:[Wind]],0)),0)</f>
        <v>0</v>
      </c>
      <c r="AP184">
        <f t="shared" si="60"/>
        <v>0</v>
      </c>
      <c r="AQ184" s="63">
        <f>IF(AP184&gt;0,IFERROR(INDEX(Assumptions!$C$165:$D$165,MATCH(LEFT($D184,5),Job_Training[[#Headers],[Solar]:[Wind]],0)),0),0)</f>
        <v>0</v>
      </c>
      <c r="AR184">
        <f>IF(AP184&gt;0,IFERROR(INDEX(Assumptions!$C$166:$D$166,MATCH(LEFT($D184,5),Job_Training[[#Headers],[Solar]:[Wind]],0)),0),0)</f>
        <v>0</v>
      </c>
    </row>
    <row r="185" spans="1:44" x14ac:dyDescent="0.35">
      <c r="A185" t="str">
        <f>UserInput!$B$2</f>
        <v>Current Projects</v>
      </c>
      <c r="B185">
        <v>2040</v>
      </c>
      <c r="C185" t="s">
        <v>87</v>
      </c>
      <c r="D185" t="s">
        <v>91</v>
      </c>
      <c r="E185" s="66">
        <f>INDEX(UserInput!$C$2:$M$22,MATCH(UserMade_Scenario!B185,UserInput!$A$2:$A$22,0),MATCH(LEFT(IF(RIGHT(C185,2)="H2",UserMade_Scenario!C185,D185),3),UserInput!$C$25:$M$25,0))</f>
        <v>0</v>
      </c>
      <c r="F185" t="s">
        <v>89</v>
      </c>
      <c r="G185" s="14">
        <f t="shared" si="67"/>
        <v>0</v>
      </c>
      <c r="H185" s="63">
        <f t="shared" si="51"/>
        <v>0</v>
      </c>
      <c r="I185" s="63">
        <f t="shared" si="52"/>
        <v>0</v>
      </c>
      <c r="J185" s="63">
        <f t="shared" si="53"/>
        <v>0</v>
      </c>
      <c r="K185" s="30">
        <f>IF(OR(LEFT($D185,5)="Solar",$D185="Wind"),INDEX(Land_Use[AVG],MATCH(LEFT($D185,5),Land_Use[Tech],0)),0)*$E185</f>
        <v>0</v>
      </c>
      <c r="L185" s="30">
        <f>IF(OR(LEFT($D185,5)="Solar",$D185="Wind"),INDEX(Land_Use[MIN],MATCH(LEFT($D185,5),Land_Use[Tech],0)),0)*$E185</f>
        <v>0</v>
      </c>
      <c r="M185" s="30">
        <f>IF(OR(LEFT($D185,5)="Solar",$D185="Wind"),INDEX(Land_Use[MAX],MATCH(LEFT($D185,5),Land_Use[Tech],0)),0)*$E185</f>
        <v>0</v>
      </c>
      <c r="N185" s="15">
        <f t="shared" si="62"/>
        <v>0</v>
      </c>
      <c r="O185" s="11">
        <f t="shared" si="63"/>
        <v>0</v>
      </c>
      <c r="P185" s="11">
        <f t="shared" si="64"/>
        <v>0</v>
      </c>
      <c r="Q185" s="11">
        <f t="shared" si="65"/>
        <v>0</v>
      </c>
      <c r="R185" s="11">
        <f t="shared" si="66"/>
        <v>0</v>
      </c>
      <c r="S185" s="30">
        <f t="shared" si="54"/>
        <v>0</v>
      </c>
      <c r="T185" s="30">
        <f t="shared" si="55"/>
        <v>0</v>
      </c>
      <c r="U185" s="30">
        <f t="shared" si="56"/>
        <v>0</v>
      </c>
      <c r="V185" s="30">
        <f t="shared" si="57"/>
        <v>0</v>
      </c>
      <c r="W185" s="30">
        <f t="shared" si="58"/>
        <v>0</v>
      </c>
      <c r="X185" s="30">
        <f t="shared" si="59"/>
        <v>0</v>
      </c>
      <c r="Z185" s="23" t="s">
        <v>76</v>
      </c>
      <c r="AA185" s="40" t="str">
        <f>IF(C185="Electricity",E185*SUMIFS(Electricity!S:S,Electricity!P:P,UserMade_Scenario!B185,Electricity!M:M,UserMade_Scenario!Z185,Electricity!O:O,UserMade_Scenario!D185),"")</f>
        <v/>
      </c>
      <c r="AB185" s="67">
        <v>1.0930000000000002E-6</v>
      </c>
      <c r="AC185" s="67" t="s">
        <v>90</v>
      </c>
      <c r="AD185" s="39">
        <f>IFERROR(INDEX(Assumptions!B$145:B$146,MATCH($D185,Assumptions!$A$145:$A$146,0)),0)</f>
        <v>-34.209999999999994</v>
      </c>
      <c r="AE185" s="39">
        <f>IFERROR(INDEX(Assumptions!C$145:C$146,MATCH($D185,Assumptions!$A$145:$A$146,0)),0)</f>
        <v>-34.209999999999994</v>
      </c>
      <c r="AF185" s="39">
        <f>IFERROR(INDEX(Assumptions!D$145:D$146,MATCH($D185,Assumptions!$A$145:$A$146,0)),0)</f>
        <v>-133.26499999999999</v>
      </c>
      <c r="AG185" s="68">
        <f>IFERROR(INDEX(WaterUseH2[Average Direct Water Consumption (Gal/ kg h2)],MATCH(LEFT(D185,3),WaterUseH2[Key],0)),0)</f>
        <v>0</v>
      </c>
      <c r="AH185">
        <v>14</v>
      </c>
      <c r="AI185">
        <v>1.4</v>
      </c>
      <c r="AJ185">
        <v>250</v>
      </c>
      <c r="AK185">
        <v>0.31</v>
      </c>
      <c r="AL185" s="63">
        <f>IFERROR(INDEX(Job_Training[[Solar]:[Wind]],MATCH(AL$1,Job_Training[[`Typical Entry Level Education`]:[`Typical Entry Level Education`]],0),MATCH(LEFT($D185,5),Job_Training[[#Headers],[Solar]:[Wind]],0)),0)</f>
        <v>0</v>
      </c>
      <c r="AM185" s="63">
        <f>IFERROR(INDEX(Job_Training[[Solar]:[Wind]],MATCH(AM$1,Job_Training[[`Typical Entry Level Education`]:[`Typical Entry Level Education`]],0),MATCH(LEFT($D185,5),Job_Training[[#Headers],[Solar]:[Wind]],0)),0)</f>
        <v>0</v>
      </c>
      <c r="AN185" s="63">
        <f>IFERROR(INDEX(Job_Training[[Solar]:[Wind]],MATCH(AN$1,Job_Training[[`Typical Entry Level Education`]:[`Typical Entry Level Education`]],0),MATCH(LEFT($D185,5),Job_Training[[#Headers],[Solar]:[Wind]],0)),0)</f>
        <v>0</v>
      </c>
      <c r="AO185" s="63">
        <f>IFERROR(INDEX(Job_Training[[Solar]:[Wind]],MATCH(AO$1,Job_Training[[`Typical Entry Level Education`]:[`Typical Entry Level Education`]],0),MATCH(LEFT($D185,5),Job_Training[[#Headers],[Solar]:[Wind]],0)),0)</f>
        <v>0</v>
      </c>
      <c r="AP185">
        <f t="shared" si="60"/>
        <v>0</v>
      </c>
      <c r="AQ185" s="63">
        <f>IF(AP185&gt;0,IFERROR(INDEX(Assumptions!$C$165:$D$165,MATCH(LEFT($D185,5),Job_Training[[#Headers],[Solar]:[Wind]],0)),0),0)</f>
        <v>0</v>
      </c>
      <c r="AR185">
        <f>IF(AP185&gt;0,IFERROR(INDEX(Assumptions!$C$166:$D$166,MATCH(LEFT($D185,5),Job_Training[[#Headers],[Solar]:[Wind]],0)),0),0)</f>
        <v>0</v>
      </c>
    </row>
    <row r="186" spans="1:44" x14ac:dyDescent="0.35">
      <c r="A186" t="str">
        <f>UserInput!$B$2</f>
        <v>Current Projects</v>
      </c>
      <c r="B186">
        <v>2041</v>
      </c>
      <c r="C186" t="s">
        <v>87</v>
      </c>
      <c r="D186" t="s">
        <v>91</v>
      </c>
      <c r="E186" s="66">
        <f>INDEX(UserInput!$C$2:$M$22,MATCH(UserMade_Scenario!B186,UserInput!$A$2:$A$22,0),MATCH(LEFT(IF(RIGHT(C186,2)="H2",UserMade_Scenario!C186,D186),3),UserInput!$C$25:$M$25,0))</f>
        <v>0</v>
      </c>
      <c r="F186" t="s">
        <v>89</v>
      </c>
      <c r="G186" s="14">
        <f t="shared" si="67"/>
        <v>0</v>
      </c>
      <c r="H186" s="63">
        <f t="shared" si="51"/>
        <v>0</v>
      </c>
      <c r="I186" s="63">
        <f t="shared" si="52"/>
        <v>0</v>
      </c>
      <c r="J186" s="63">
        <f t="shared" si="53"/>
        <v>0</v>
      </c>
      <c r="K186" s="30">
        <f>IF(OR(LEFT($D186,5)="Solar",$D186="Wind"),INDEX(Land_Use[AVG],MATCH(LEFT($D186,5),Land_Use[Tech],0)),0)*$E186</f>
        <v>0</v>
      </c>
      <c r="L186" s="30">
        <f>IF(OR(LEFT($D186,5)="Solar",$D186="Wind"),INDEX(Land_Use[MIN],MATCH(LEFT($D186,5),Land_Use[Tech],0)),0)*$E186</f>
        <v>0</v>
      </c>
      <c r="M186" s="30">
        <f>IF(OR(LEFT($D186,5)="Solar",$D186="Wind"),INDEX(Land_Use[MAX],MATCH(LEFT($D186,5),Land_Use[Tech],0)),0)*$E186</f>
        <v>0</v>
      </c>
      <c r="N186" s="15">
        <f t="shared" si="62"/>
        <v>0</v>
      </c>
      <c r="O186" s="11">
        <f t="shared" si="63"/>
        <v>0</v>
      </c>
      <c r="P186" s="11">
        <f t="shared" si="64"/>
        <v>0</v>
      </c>
      <c r="Q186" s="11">
        <f t="shared" si="65"/>
        <v>0</v>
      </c>
      <c r="R186" s="11">
        <f t="shared" si="66"/>
        <v>0</v>
      </c>
      <c r="S186" s="30">
        <f t="shared" si="54"/>
        <v>0</v>
      </c>
      <c r="T186" s="30">
        <f t="shared" si="55"/>
        <v>0</v>
      </c>
      <c r="U186" s="30">
        <f t="shared" si="56"/>
        <v>0</v>
      </c>
      <c r="V186" s="30">
        <f t="shared" si="57"/>
        <v>0</v>
      </c>
      <c r="W186" s="30">
        <f t="shared" si="58"/>
        <v>0</v>
      </c>
      <c r="X186" s="30">
        <f t="shared" si="59"/>
        <v>0</v>
      </c>
      <c r="Z186" s="23" t="s">
        <v>76</v>
      </c>
      <c r="AA186" s="40" t="str">
        <f>IF(C186="Electricity",E186*SUMIFS(Electricity!S:S,Electricity!P:P,UserMade_Scenario!B186,Electricity!M:M,UserMade_Scenario!Z186,Electricity!O:O,UserMade_Scenario!D186),"")</f>
        <v/>
      </c>
      <c r="AB186" s="67">
        <v>1.0930000000000002E-6</v>
      </c>
      <c r="AC186" s="67" t="s">
        <v>90</v>
      </c>
      <c r="AD186" s="39">
        <f>IFERROR(INDEX(Assumptions!B$145:B$146,MATCH($D186,Assumptions!$A$145:$A$146,0)),0)</f>
        <v>-34.209999999999994</v>
      </c>
      <c r="AE186" s="39">
        <f>IFERROR(INDEX(Assumptions!C$145:C$146,MATCH($D186,Assumptions!$A$145:$A$146,0)),0)</f>
        <v>-34.209999999999994</v>
      </c>
      <c r="AF186" s="39">
        <f>IFERROR(INDEX(Assumptions!D$145:D$146,MATCH($D186,Assumptions!$A$145:$A$146,0)),0)</f>
        <v>-133.26499999999999</v>
      </c>
      <c r="AG186" s="68">
        <f>IFERROR(INDEX(WaterUseH2[Average Direct Water Consumption (Gal/ kg h2)],MATCH(LEFT(D186,3),WaterUseH2[Key],0)),0)</f>
        <v>0</v>
      </c>
      <c r="AH186">
        <v>14</v>
      </c>
      <c r="AI186">
        <v>1.4</v>
      </c>
      <c r="AJ186">
        <v>250</v>
      </c>
      <c r="AK186">
        <v>0.31</v>
      </c>
      <c r="AL186" s="63">
        <f>IFERROR(INDEX(Job_Training[[Solar]:[Wind]],MATCH(AL$1,Job_Training[[`Typical Entry Level Education`]:[`Typical Entry Level Education`]],0),MATCH(LEFT($D186,5),Job_Training[[#Headers],[Solar]:[Wind]],0)),0)</f>
        <v>0</v>
      </c>
      <c r="AM186" s="63">
        <f>IFERROR(INDEX(Job_Training[[Solar]:[Wind]],MATCH(AM$1,Job_Training[[`Typical Entry Level Education`]:[`Typical Entry Level Education`]],0),MATCH(LEFT($D186,5),Job_Training[[#Headers],[Solar]:[Wind]],0)),0)</f>
        <v>0</v>
      </c>
      <c r="AN186" s="63">
        <f>IFERROR(INDEX(Job_Training[[Solar]:[Wind]],MATCH(AN$1,Job_Training[[`Typical Entry Level Education`]:[`Typical Entry Level Education`]],0),MATCH(LEFT($D186,5),Job_Training[[#Headers],[Solar]:[Wind]],0)),0)</f>
        <v>0</v>
      </c>
      <c r="AO186" s="63">
        <f>IFERROR(INDEX(Job_Training[[Solar]:[Wind]],MATCH(AO$1,Job_Training[[`Typical Entry Level Education`]:[`Typical Entry Level Education`]],0),MATCH(LEFT($D186,5),Job_Training[[#Headers],[Solar]:[Wind]],0)),0)</f>
        <v>0</v>
      </c>
      <c r="AP186">
        <f t="shared" si="60"/>
        <v>0</v>
      </c>
      <c r="AQ186" s="63">
        <f>IF(AP186&gt;0,IFERROR(INDEX(Assumptions!$C$165:$D$165,MATCH(LEFT($D186,5),Job_Training[[#Headers],[Solar]:[Wind]],0)),0),0)</f>
        <v>0</v>
      </c>
      <c r="AR186">
        <f>IF(AP186&gt;0,IFERROR(INDEX(Assumptions!$C$166:$D$166,MATCH(LEFT($D186,5),Job_Training[[#Headers],[Solar]:[Wind]],0)),0),0)</f>
        <v>0</v>
      </c>
    </row>
    <row r="187" spans="1:44" x14ac:dyDescent="0.35">
      <c r="A187" t="str">
        <f>UserInput!$B$2</f>
        <v>Current Projects</v>
      </c>
      <c r="B187">
        <v>2042</v>
      </c>
      <c r="C187" t="s">
        <v>87</v>
      </c>
      <c r="D187" t="s">
        <v>91</v>
      </c>
      <c r="E187" s="66">
        <f>INDEX(UserInput!$C$2:$M$22,MATCH(UserMade_Scenario!B187,UserInput!$A$2:$A$22,0),MATCH(LEFT(IF(RIGHT(C187,2)="H2",UserMade_Scenario!C187,D187),3),UserInput!$C$25:$M$25,0))</f>
        <v>0</v>
      </c>
      <c r="F187" t="s">
        <v>89</v>
      </c>
      <c r="G187" s="14">
        <f t="shared" si="67"/>
        <v>0</v>
      </c>
      <c r="H187" s="63">
        <f t="shared" si="51"/>
        <v>0</v>
      </c>
      <c r="I187" s="63">
        <f t="shared" si="52"/>
        <v>0</v>
      </c>
      <c r="J187" s="63">
        <f t="shared" si="53"/>
        <v>0</v>
      </c>
      <c r="K187" s="30">
        <f>IF(OR(LEFT($D187,5)="Solar",$D187="Wind"),INDEX(Land_Use[AVG],MATCH(LEFT($D187,5),Land_Use[Tech],0)),0)*$E187</f>
        <v>0</v>
      </c>
      <c r="L187" s="30">
        <f>IF(OR(LEFT($D187,5)="Solar",$D187="Wind"),INDEX(Land_Use[MIN],MATCH(LEFT($D187,5),Land_Use[Tech],0)),0)*$E187</f>
        <v>0</v>
      </c>
      <c r="M187" s="30">
        <f>IF(OR(LEFT($D187,5)="Solar",$D187="Wind"),INDEX(Land_Use[MAX],MATCH(LEFT($D187,5),Land_Use[Tech],0)),0)*$E187</f>
        <v>0</v>
      </c>
      <c r="N187" s="15">
        <f t="shared" si="62"/>
        <v>0</v>
      </c>
      <c r="O187" s="11">
        <f t="shared" si="63"/>
        <v>0</v>
      </c>
      <c r="P187" s="11">
        <f t="shared" si="64"/>
        <v>0</v>
      </c>
      <c r="Q187" s="11">
        <f t="shared" si="65"/>
        <v>0</v>
      </c>
      <c r="R187" s="11">
        <f t="shared" si="66"/>
        <v>0</v>
      </c>
      <c r="S187" s="30">
        <f t="shared" si="54"/>
        <v>0</v>
      </c>
      <c r="T187" s="30">
        <f t="shared" si="55"/>
        <v>0</v>
      </c>
      <c r="U187" s="30">
        <f t="shared" si="56"/>
        <v>0</v>
      </c>
      <c r="V187" s="30">
        <f t="shared" si="57"/>
        <v>0</v>
      </c>
      <c r="W187" s="30">
        <f t="shared" si="58"/>
        <v>0</v>
      </c>
      <c r="X187" s="30">
        <f t="shared" si="59"/>
        <v>0</v>
      </c>
      <c r="Z187" s="23" t="s">
        <v>76</v>
      </c>
      <c r="AA187" s="40" t="str">
        <f>IF(C187="Electricity",E187*SUMIFS(Electricity!S:S,Electricity!P:P,UserMade_Scenario!B187,Electricity!M:M,UserMade_Scenario!Z187,Electricity!O:O,UserMade_Scenario!D187),"")</f>
        <v/>
      </c>
      <c r="AB187" s="67">
        <v>1.0930000000000002E-6</v>
      </c>
      <c r="AC187" s="67" t="s">
        <v>90</v>
      </c>
      <c r="AD187" s="39">
        <f>IFERROR(INDEX(Assumptions!B$145:B$146,MATCH($D187,Assumptions!$A$145:$A$146,0)),0)</f>
        <v>-34.209999999999994</v>
      </c>
      <c r="AE187" s="39">
        <f>IFERROR(INDEX(Assumptions!C$145:C$146,MATCH($D187,Assumptions!$A$145:$A$146,0)),0)</f>
        <v>-34.209999999999994</v>
      </c>
      <c r="AF187" s="39">
        <f>IFERROR(INDEX(Assumptions!D$145:D$146,MATCH($D187,Assumptions!$A$145:$A$146,0)),0)</f>
        <v>-133.26499999999999</v>
      </c>
      <c r="AG187" s="68">
        <f>IFERROR(INDEX(WaterUseH2[Average Direct Water Consumption (Gal/ kg h2)],MATCH(LEFT(D187,3),WaterUseH2[Key],0)),0)</f>
        <v>0</v>
      </c>
      <c r="AH187">
        <v>14</v>
      </c>
      <c r="AI187">
        <v>1.4</v>
      </c>
      <c r="AJ187">
        <v>250</v>
      </c>
      <c r="AK187">
        <v>0.31</v>
      </c>
      <c r="AL187" s="63">
        <f>IFERROR(INDEX(Job_Training[[Solar]:[Wind]],MATCH(AL$1,Job_Training[[`Typical Entry Level Education`]:[`Typical Entry Level Education`]],0),MATCH(LEFT($D187,5),Job_Training[[#Headers],[Solar]:[Wind]],0)),0)</f>
        <v>0</v>
      </c>
      <c r="AM187" s="63">
        <f>IFERROR(INDEX(Job_Training[[Solar]:[Wind]],MATCH(AM$1,Job_Training[[`Typical Entry Level Education`]:[`Typical Entry Level Education`]],0),MATCH(LEFT($D187,5),Job_Training[[#Headers],[Solar]:[Wind]],0)),0)</f>
        <v>0</v>
      </c>
      <c r="AN187" s="63">
        <f>IFERROR(INDEX(Job_Training[[Solar]:[Wind]],MATCH(AN$1,Job_Training[[`Typical Entry Level Education`]:[`Typical Entry Level Education`]],0),MATCH(LEFT($D187,5),Job_Training[[#Headers],[Solar]:[Wind]],0)),0)</f>
        <v>0</v>
      </c>
      <c r="AO187" s="63">
        <f>IFERROR(INDEX(Job_Training[[Solar]:[Wind]],MATCH(AO$1,Job_Training[[`Typical Entry Level Education`]:[`Typical Entry Level Education`]],0),MATCH(LEFT($D187,5),Job_Training[[#Headers],[Solar]:[Wind]],0)),0)</f>
        <v>0</v>
      </c>
      <c r="AP187">
        <f t="shared" si="60"/>
        <v>0</v>
      </c>
      <c r="AQ187" s="63">
        <f>IF(AP187&gt;0,IFERROR(INDEX(Assumptions!$C$165:$D$165,MATCH(LEFT($D187,5),Job_Training[[#Headers],[Solar]:[Wind]],0)),0),0)</f>
        <v>0</v>
      </c>
      <c r="AR187">
        <f>IF(AP187&gt;0,IFERROR(INDEX(Assumptions!$C$166:$D$166,MATCH(LEFT($D187,5),Job_Training[[#Headers],[Solar]:[Wind]],0)),0),0)</f>
        <v>0</v>
      </c>
    </row>
    <row r="188" spans="1:44" x14ac:dyDescent="0.35">
      <c r="A188" t="str">
        <f>UserInput!$B$2</f>
        <v>Current Projects</v>
      </c>
      <c r="B188">
        <v>2043</v>
      </c>
      <c r="C188" t="s">
        <v>87</v>
      </c>
      <c r="D188" t="s">
        <v>91</v>
      </c>
      <c r="E188" s="66">
        <f>INDEX(UserInput!$C$2:$M$22,MATCH(UserMade_Scenario!B188,UserInput!$A$2:$A$22,0),MATCH(LEFT(IF(RIGHT(C188,2)="H2",UserMade_Scenario!C188,D188),3),UserInput!$C$25:$M$25,0))</f>
        <v>0</v>
      </c>
      <c r="F188" t="s">
        <v>89</v>
      </c>
      <c r="G188" s="14">
        <f t="shared" si="67"/>
        <v>0</v>
      </c>
      <c r="H188" s="63">
        <f t="shared" si="51"/>
        <v>0</v>
      </c>
      <c r="I188" s="63">
        <f t="shared" si="52"/>
        <v>0</v>
      </c>
      <c r="J188" s="63">
        <f t="shared" si="53"/>
        <v>0</v>
      </c>
      <c r="K188" s="30">
        <f>IF(OR(LEFT($D188,5)="Solar",$D188="Wind"),INDEX(Land_Use[AVG],MATCH(LEFT($D188,5),Land_Use[Tech],0)),0)*$E188</f>
        <v>0</v>
      </c>
      <c r="L188" s="30">
        <f>IF(OR(LEFT($D188,5)="Solar",$D188="Wind"),INDEX(Land_Use[MIN],MATCH(LEFT($D188,5),Land_Use[Tech],0)),0)*$E188</f>
        <v>0</v>
      </c>
      <c r="M188" s="30">
        <f>IF(OR(LEFT($D188,5)="Solar",$D188="Wind"),INDEX(Land_Use[MAX],MATCH(LEFT($D188,5),Land_Use[Tech],0)),0)*$E188</f>
        <v>0</v>
      </c>
      <c r="N188" s="15">
        <f t="shared" si="62"/>
        <v>0</v>
      </c>
      <c r="O188" s="11">
        <f t="shared" si="63"/>
        <v>0</v>
      </c>
      <c r="P188" s="11">
        <f t="shared" si="64"/>
        <v>0</v>
      </c>
      <c r="Q188" s="11">
        <f t="shared" si="65"/>
        <v>0</v>
      </c>
      <c r="R188" s="11">
        <f t="shared" si="66"/>
        <v>0</v>
      </c>
      <c r="S188" s="30">
        <f t="shared" si="54"/>
        <v>0</v>
      </c>
      <c r="T188" s="30">
        <f t="shared" si="55"/>
        <v>0</v>
      </c>
      <c r="U188" s="30">
        <f t="shared" si="56"/>
        <v>0</v>
      </c>
      <c r="V188" s="30">
        <f t="shared" si="57"/>
        <v>0</v>
      </c>
      <c r="W188" s="30">
        <f t="shared" si="58"/>
        <v>0</v>
      </c>
      <c r="X188" s="30">
        <f t="shared" si="59"/>
        <v>0</v>
      </c>
      <c r="Z188" s="23" t="s">
        <v>76</v>
      </c>
      <c r="AA188" s="40" t="str">
        <f>IF(C188="Electricity",E188*SUMIFS(Electricity!S:S,Electricity!P:P,UserMade_Scenario!B188,Electricity!M:M,UserMade_Scenario!Z188,Electricity!O:O,UserMade_Scenario!D188),"")</f>
        <v/>
      </c>
      <c r="AB188" s="67">
        <v>1.0930000000000002E-6</v>
      </c>
      <c r="AC188" s="67" t="s">
        <v>90</v>
      </c>
      <c r="AD188" s="39">
        <f>IFERROR(INDEX(Assumptions!B$145:B$146,MATCH($D188,Assumptions!$A$145:$A$146,0)),0)</f>
        <v>-34.209999999999994</v>
      </c>
      <c r="AE188" s="39">
        <f>IFERROR(INDEX(Assumptions!C$145:C$146,MATCH($D188,Assumptions!$A$145:$A$146,0)),0)</f>
        <v>-34.209999999999994</v>
      </c>
      <c r="AF188" s="39">
        <f>IFERROR(INDEX(Assumptions!D$145:D$146,MATCH($D188,Assumptions!$A$145:$A$146,0)),0)</f>
        <v>-133.26499999999999</v>
      </c>
      <c r="AG188" s="68">
        <f>IFERROR(INDEX(WaterUseH2[Average Direct Water Consumption (Gal/ kg h2)],MATCH(LEFT(D188,3),WaterUseH2[Key],0)),0)</f>
        <v>0</v>
      </c>
      <c r="AH188">
        <v>14</v>
      </c>
      <c r="AI188">
        <v>1.4</v>
      </c>
      <c r="AJ188">
        <v>250</v>
      </c>
      <c r="AK188">
        <v>0.31</v>
      </c>
      <c r="AL188" s="63">
        <f>IFERROR(INDEX(Job_Training[[Solar]:[Wind]],MATCH(AL$1,Job_Training[[`Typical Entry Level Education`]:[`Typical Entry Level Education`]],0),MATCH(LEFT($D188,5),Job_Training[[#Headers],[Solar]:[Wind]],0)),0)</f>
        <v>0</v>
      </c>
      <c r="AM188" s="63">
        <f>IFERROR(INDEX(Job_Training[[Solar]:[Wind]],MATCH(AM$1,Job_Training[[`Typical Entry Level Education`]:[`Typical Entry Level Education`]],0),MATCH(LEFT($D188,5),Job_Training[[#Headers],[Solar]:[Wind]],0)),0)</f>
        <v>0</v>
      </c>
      <c r="AN188" s="63">
        <f>IFERROR(INDEX(Job_Training[[Solar]:[Wind]],MATCH(AN$1,Job_Training[[`Typical Entry Level Education`]:[`Typical Entry Level Education`]],0),MATCH(LEFT($D188,5),Job_Training[[#Headers],[Solar]:[Wind]],0)),0)</f>
        <v>0</v>
      </c>
      <c r="AO188" s="63">
        <f>IFERROR(INDEX(Job_Training[[Solar]:[Wind]],MATCH(AO$1,Job_Training[[`Typical Entry Level Education`]:[`Typical Entry Level Education`]],0),MATCH(LEFT($D188,5),Job_Training[[#Headers],[Solar]:[Wind]],0)),0)</f>
        <v>0</v>
      </c>
      <c r="AP188">
        <f t="shared" si="60"/>
        <v>0</v>
      </c>
      <c r="AQ188" s="63">
        <f>IF(AP188&gt;0,IFERROR(INDEX(Assumptions!$C$165:$D$165,MATCH(LEFT($D188,5),Job_Training[[#Headers],[Solar]:[Wind]],0)),0),0)</f>
        <v>0</v>
      </c>
      <c r="AR188">
        <f>IF(AP188&gt;0,IFERROR(INDEX(Assumptions!$C$166:$D$166,MATCH(LEFT($D188,5),Job_Training[[#Headers],[Solar]:[Wind]],0)),0),0)</f>
        <v>0</v>
      </c>
    </row>
    <row r="189" spans="1:44" x14ac:dyDescent="0.35">
      <c r="A189" t="str">
        <f>UserInput!$B$2</f>
        <v>Current Projects</v>
      </c>
      <c r="B189">
        <v>2044</v>
      </c>
      <c r="C189" t="s">
        <v>87</v>
      </c>
      <c r="D189" t="s">
        <v>91</v>
      </c>
      <c r="E189" s="66">
        <f>INDEX(UserInput!$C$2:$M$22,MATCH(UserMade_Scenario!B189,UserInput!$A$2:$A$22,0),MATCH(LEFT(IF(RIGHT(C189,2)="H2",UserMade_Scenario!C189,D189),3),UserInput!$C$25:$M$25,0))</f>
        <v>0</v>
      </c>
      <c r="F189" t="s">
        <v>89</v>
      </c>
      <c r="G189" s="14">
        <f t="shared" si="67"/>
        <v>0</v>
      </c>
      <c r="H189" s="63">
        <f t="shared" si="51"/>
        <v>0</v>
      </c>
      <c r="I189" s="63">
        <f t="shared" si="52"/>
        <v>0</v>
      </c>
      <c r="J189" s="63">
        <f t="shared" si="53"/>
        <v>0</v>
      </c>
      <c r="K189" s="30">
        <f>IF(OR(LEFT($D189,5)="Solar",$D189="Wind"),INDEX(Land_Use[AVG],MATCH(LEFT($D189,5),Land_Use[Tech],0)),0)*$E189</f>
        <v>0</v>
      </c>
      <c r="L189" s="30">
        <f>IF(OR(LEFT($D189,5)="Solar",$D189="Wind"),INDEX(Land_Use[MIN],MATCH(LEFT($D189,5),Land_Use[Tech],0)),0)*$E189</f>
        <v>0</v>
      </c>
      <c r="M189" s="30">
        <f>IF(OR(LEFT($D189,5)="Solar",$D189="Wind"),INDEX(Land_Use[MAX],MATCH(LEFT($D189,5),Land_Use[Tech],0)),0)*$E189</f>
        <v>0</v>
      </c>
      <c r="N189" s="15">
        <f t="shared" si="62"/>
        <v>0</v>
      </c>
      <c r="O189" s="11">
        <f t="shared" si="63"/>
        <v>0</v>
      </c>
      <c r="P189" s="11">
        <f t="shared" si="64"/>
        <v>0</v>
      </c>
      <c r="Q189" s="11">
        <f t="shared" si="65"/>
        <v>0</v>
      </c>
      <c r="R189" s="11">
        <f t="shared" si="66"/>
        <v>0</v>
      </c>
      <c r="S189" s="30">
        <f t="shared" si="54"/>
        <v>0</v>
      </c>
      <c r="T189" s="30">
        <f t="shared" si="55"/>
        <v>0</v>
      </c>
      <c r="U189" s="30">
        <f t="shared" si="56"/>
        <v>0</v>
      </c>
      <c r="V189" s="30">
        <f t="shared" si="57"/>
        <v>0</v>
      </c>
      <c r="W189" s="30">
        <f t="shared" si="58"/>
        <v>0</v>
      </c>
      <c r="X189" s="30">
        <f t="shared" si="59"/>
        <v>0</v>
      </c>
      <c r="Z189" s="23" t="s">
        <v>76</v>
      </c>
      <c r="AA189" s="40" t="str">
        <f>IF(C189="Electricity",E189*SUMIFS(Electricity!S:S,Electricity!P:P,UserMade_Scenario!B189,Electricity!M:M,UserMade_Scenario!Z189,Electricity!O:O,UserMade_Scenario!D189),"")</f>
        <v/>
      </c>
      <c r="AB189" s="67">
        <v>1.0930000000000002E-6</v>
      </c>
      <c r="AC189" s="67" t="s">
        <v>90</v>
      </c>
      <c r="AD189" s="39">
        <f>IFERROR(INDEX(Assumptions!B$145:B$146,MATCH($D189,Assumptions!$A$145:$A$146,0)),0)</f>
        <v>-34.209999999999994</v>
      </c>
      <c r="AE189" s="39">
        <f>IFERROR(INDEX(Assumptions!C$145:C$146,MATCH($D189,Assumptions!$A$145:$A$146,0)),0)</f>
        <v>-34.209999999999994</v>
      </c>
      <c r="AF189" s="39">
        <f>IFERROR(INDEX(Assumptions!D$145:D$146,MATCH($D189,Assumptions!$A$145:$A$146,0)),0)</f>
        <v>-133.26499999999999</v>
      </c>
      <c r="AG189" s="68">
        <f>IFERROR(INDEX(WaterUseH2[Average Direct Water Consumption (Gal/ kg h2)],MATCH(LEFT(D189,3),WaterUseH2[Key],0)),0)</f>
        <v>0</v>
      </c>
      <c r="AH189">
        <v>14</v>
      </c>
      <c r="AI189">
        <v>1.4</v>
      </c>
      <c r="AJ189">
        <v>250</v>
      </c>
      <c r="AK189">
        <v>0.31</v>
      </c>
      <c r="AL189" s="63">
        <f>IFERROR(INDEX(Job_Training[[Solar]:[Wind]],MATCH(AL$1,Job_Training[[`Typical Entry Level Education`]:[`Typical Entry Level Education`]],0),MATCH(LEFT($D189,5),Job_Training[[#Headers],[Solar]:[Wind]],0)),0)</f>
        <v>0</v>
      </c>
      <c r="AM189" s="63">
        <f>IFERROR(INDEX(Job_Training[[Solar]:[Wind]],MATCH(AM$1,Job_Training[[`Typical Entry Level Education`]:[`Typical Entry Level Education`]],0),MATCH(LEFT($D189,5),Job_Training[[#Headers],[Solar]:[Wind]],0)),0)</f>
        <v>0</v>
      </c>
      <c r="AN189" s="63">
        <f>IFERROR(INDEX(Job_Training[[Solar]:[Wind]],MATCH(AN$1,Job_Training[[`Typical Entry Level Education`]:[`Typical Entry Level Education`]],0),MATCH(LEFT($D189,5),Job_Training[[#Headers],[Solar]:[Wind]],0)),0)</f>
        <v>0</v>
      </c>
      <c r="AO189" s="63">
        <f>IFERROR(INDEX(Job_Training[[Solar]:[Wind]],MATCH(AO$1,Job_Training[[`Typical Entry Level Education`]:[`Typical Entry Level Education`]],0),MATCH(LEFT($D189,5),Job_Training[[#Headers],[Solar]:[Wind]],0)),0)</f>
        <v>0</v>
      </c>
      <c r="AP189">
        <f t="shared" si="60"/>
        <v>0</v>
      </c>
      <c r="AQ189" s="63">
        <f>IF(AP189&gt;0,IFERROR(INDEX(Assumptions!$C$165:$D$165,MATCH(LEFT($D189,5),Job_Training[[#Headers],[Solar]:[Wind]],0)),0),0)</f>
        <v>0</v>
      </c>
      <c r="AR189">
        <f>IF(AP189&gt;0,IFERROR(INDEX(Assumptions!$C$166:$D$166,MATCH(LEFT($D189,5),Job_Training[[#Headers],[Solar]:[Wind]],0)),0),0)</f>
        <v>0</v>
      </c>
    </row>
    <row r="190" spans="1:44" x14ac:dyDescent="0.35">
      <c r="A190" t="str">
        <f>UserInput!$B$2</f>
        <v>Current Projects</v>
      </c>
      <c r="B190">
        <v>2045</v>
      </c>
      <c r="C190" t="s">
        <v>87</v>
      </c>
      <c r="D190" t="s">
        <v>91</v>
      </c>
      <c r="E190" s="66">
        <f>INDEX(UserInput!$C$2:$M$22,MATCH(UserMade_Scenario!B190,UserInput!$A$2:$A$22,0),MATCH(LEFT(IF(RIGHT(C190,2)="H2",UserMade_Scenario!C190,D190),3),UserInput!$C$25:$M$25,0))</f>
        <v>0</v>
      </c>
      <c r="F190" t="s">
        <v>89</v>
      </c>
      <c r="G190" s="14">
        <f t="shared" si="67"/>
        <v>0</v>
      </c>
      <c r="H190" s="63">
        <f t="shared" si="51"/>
        <v>0</v>
      </c>
      <c r="I190" s="63">
        <f t="shared" si="52"/>
        <v>0</v>
      </c>
      <c r="J190" s="63">
        <f t="shared" si="53"/>
        <v>0</v>
      </c>
      <c r="K190" s="30">
        <f>IF(OR(LEFT($D190,5)="Solar",$D190="Wind"),INDEX(Land_Use[AVG],MATCH(LEFT($D190,5),Land_Use[Tech],0)),0)*$E190</f>
        <v>0</v>
      </c>
      <c r="L190" s="30">
        <f>IF(OR(LEFT($D190,5)="Solar",$D190="Wind"),INDEX(Land_Use[MIN],MATCH(LEFT($D190,5),Land_Use[Tech],0)),0)*$E190</f>
        <v>0</v>
      </c>
      <c r="M190" s="30">
        <f>IF(OR(LEFT($D190,5)="Solar",$D190="Wind"),INDEX(Land_Use[MAX],MATCH(LEFT($D190,5),Land_Use[Tech],0)),0)*$E190</f>
        <v>0</v>
      </c>
      <c r="N190" s="15">
        <f t="shared" si="62"/>
        <v>0</v>
      </c>
      <c r="O190" s="11">
        <f t="shared" si="63"/>
        <v>0</v>
      </c>
      <c r="P190" s="11">
        <f t="shared" si="64"/>
        <v>0</v>
      </c>
      <c r="Q190" s="11">
        <f t="shared" si="65"/>
        <v>0</v>
      </c>
      <c r="R190" s="11">
        <f t="shared" si="66"/>
        <v>0</v>
      </c>
      <c r="S190" s="30">
        <f t="shared" si="54"/>
        <v>0</v>
      </c>
      <c r="T190" s="30">
        <f t="shared" si="55"/>
        <v>0</v>
      </c>
      <c r="U190" s="30">
        <f t="shared" si="56"/>
        <v>0</v>
      </c>
      <c r="V190" s="30">
        <f t="shared" si="57"/>
        <v>0</v>
      </c>
      <c r="W190" s="30">
        <f t="shared" si="58"/>
        <v>0</v>
      </c>
      <c r="X190" s="30">
        <f t="shared" si="59"/>
        <v>0</v>
      </c>
      <c r="Z190" s="23" t="s">
        <v>76</v>
      </c>
      <c r="AA190" s="40" t="str">
        <f>IF(C190="Electricity",E190*SUMIFS(Electricity!S:S,Electricity!P:P,UserMade_Scenario!B190,Electricity!M:M,UserMade_Scenario!Z190,Electricity!O:O,UserMade_Scenario!D190),"")</f>
        <v/>
      </c>
      <c r="AB190" s="67">
        <v>1.0930000000000002E-6</v>
      </c>
      <c r="AC190" s="67" t="s">
        <v>90</v>
      </c>
      <c r="AD190" s="39">
        <f>IFERROR(INDEX(Assumptions!B$145:B$146,MATCH($D190,Assumptions!$A$145:$A$146,0)),0)</f>
        <v>-34.209999999999994</v>
      </c>
      <c r="AE190" s="39">
        <f>IFERROR(INDEX(Assumptions!C$145:C$146,MATCH($D190,Assumptions!$A$145:$A$146,0)),0)</f>
        <v>-34.209999999999994</v>
      </c>
      <c r="AF190" s="39">
        <f>IFERROR(INDEX(Assumptions!D$145:D$146,MATCH($D190,Assumptions!$A$145:$A$146,0)),0)</f>
        <v>-133.26499999999999</v>
      </c>
      <c r="AG190" s="68">
        <f>IFERROR(INDEX(WaterUseH2[Average Direct Water Consumption (Gal/ kg h2)],MATCH(LEFT(D190,3),WaterUseH2[Key],0)),0)</f>
        <v>0</v>
      </c>
      <c r="AH190">
        <v>14</v>
      </c>
      <c r="AI190">
        <v>1.4</v>
      </c>
      <c r="AJ190">
        <v>250</v>
      </c>
      <c r="AK190">
        <v>0.31</v>
      </c>
      <c r="AL190" s="63">
        <f>IFERROR(INDEX(Job_Training[[Solar]:[Wind]],MATCH(AL$1,Job_Training[[`Typical Entry Level Education`]:[`Typical Entry Level Education`]],0),MATCH(LEFT($D190,5),Job_Training[[#Headers],[Solar]:[Wind]],0)),0)</f>
        <v>0</v>
      </c>
      <c r="AM190" s="63">
        <f>IFERROR(INDEX(Job_Training[[Solar]:[Wind]],MATCH(AM$1,Job_Training[[`Typical Entry Level Education`]:[`Typical Entry Level Education`]],0),MATCH(LEFT($D190,5),Job_Training[[#Headers],[Solar]:[Wind]],0)),0)</f>
        <v>0</v>
      </c>
      <c r="AN190" s="63">
        <f>IFERROR(INDEX(Job_Training[[Solar]:[Wind]],MATCH(AN$1,Job_Training[[`Typical Entry Level Education`]:[`Typical Entry Level Education`]],0),MATCH(LEFT($D190,5),Job_Training[[#Headers],[Solar]:[Wind]],0)),0)</f>
        <v>0</v>
      </c>
      <c r="AO190" s="63">
        <f>IFERROR(INDEX(Job_Training[[Solar]:[Wind]],MATCH(AO$1,Job_Training[[`Typical Entry Level Education`]:[`Typical Entry Level Education`]],0),MATCH(LEFT($D190,5),Job_Training[[#Headers],[Solar]:[Wind]],0)),0)</f>
        <v>0</v>
      </c>
      <c r="AP190">
        <f t="shared" si="60"/>
        <v>0</v>
      </c>
      <c r="AQ190" s="63">
        <f>IF(AP190&gt;0,IFERROR(INDEX(Assumptions!$C$165:$D$165,MATCH(LEFT($D190,5),Job_Training[[#Headers],[Solar]:[Wind]],0)),0),0)</f>
        <v>0</v>
      </c>
      <c r="AR190">
        <f>IF(AP190&gt;0,IFERROR(INDEX(Assumptions!$C$166:$D$166,MATCH(LEFT($D190,5),Job_Training[[#Headers],[Solar]:[Wind]],0)),0),0)</f>
        <v>0</v>
      </c>
    </row>
    <row r="191" spans="1:44" x14ac:dyDescent="0.35">
      <c r="A191" t="str">
        <f>UserInput!$B$2</f>
        <v>Current Projects</v>
      </c>
      <c r="B191">
        <v>2025</v>
      </c>
      <c r="C191" t="s">
        <v>92</v>
      </c>
      <c r="D191" t="s">
        <v>93</v>
      </c>
      <c r="E191" s="66">
        <f>INDEX(UserInput!$C$2:$M$22,MATCH(UserMade_Scenario!B191,UserInput!$A$2:$A$22,0),MATCH(LEFT(IF(RIGHT(C191,2)="H2",UserMade_Scenario!C191,D191),3),UserInput!$C$25:$M$25,0))</f>
        <v>0</v>
      </c>
      <c r="F191" t="s">
        <v>94</v>
      </c>
      <c r="G191" s="14">
        <f t="shared" si="67"/>
        <v>0</v>
      </c>
      <c r="H191" s="63">
        <f t="shared" si="51"/>
        <v>0</v>
      </c>
      <c r="I191" s="63">
        <f t="shared" si="52"/>
        <v>0</v>
      </c>
      <c r="J191" s="63">
        <f t="shared" si="53"/>
        <v>0</v>
      </c>
      <c r="K191" s="30">
        <f>IF(OR(LEFT($D191,5)="Solar",$D191="Wind"),INDEX(Land_Use[AVG],MATCH(LEFT($D191,5),Land_Use[Tech],0)),0)*$E191</f>
        <v>0</v>
      </c>
      <c r="L191" s="30">
        <f>IF(OR(LEFT($D191,5)="Solar",$D191="Wind"),INDEX(Land_Use[MIN],MATCH(LEFT($D191,5),Land_Use[Tech],0)),0)*$E191</f>
        <v>0</v>
      </c>
      <c r="M191" s="30">
        <f>IF(OR(LEFT($D191,5)="Solar",$D191="Wind"),INDEX(Land_Use[MAX],MATCH(LEFT($D191,5),Land_Use[Tech],0)),0)*$E191</f>
        <v>0</v>
      </c>
      <c r="N191" s="15">
        <f t="shared" si="62"/>
        <v>0</v>
      </c>
      <c r="O191" s="11">
        <f t="shared" si="63"/>
        <v>0</v>
      </c>
      <c r="P191" s="11">
        <f t="shared" si="64"/>
        <v>0</v>
      </c>
      <c r="Q191" s="11">
        <f t="shared" si="65"/>
        <v>0</v>
      </c>
      <c r="R191" s="11">
        <f t="shared" si="66"/>
        <v>0</v>
      </c>
      <c r="S191" s="30">
        <f t="shared" si="54"/>
        <v>0</v>
      </c>
      <c r="T191" s="30">
        <f t="shared" si="55"/>
        <v>0</v>
      </c>
      <c r="U191" s="30">
        <f t="shared" si="56"/>
        <v>0</v>
      </c>
      <c r="V191" s="30">
        <f t="shared" si="57"/>
        <v>0</v>
      </c>
      <c r="W191" s="30">
        <f t="shared" si="58"/>
        <v>0</v>
      </c>
      <c r="X191" s="30">
        <f t="shared" si="59"/>
        <v>0</v>
      </c>
      <c r="Z191" s="23" t="s">
        <v>76</v>
      </c>
      <c r="AA191" s="40" t="str">
        <f>IF(C191="Electricity",E191*SUMIFS(Electricity!S:S,Electricity!P:P,UserMade_Scenario!B191,Electricity!M:M,UserMade_Scenario!Z191,Electricity!O:O,UserMade_Scenario!D191),"")</f>
        <v/>
      </c>
      <c r="AB191" s="67">
        <v>1.4243253975000002E-4</v>
      </c>
      <c r="AC191" s="67" t="s">
        <v>95</v>
      </c>
      <c r="AD191" s="39">
        <f>INDEX(Assumptions!E$120:E$141,MATCH(UserMade_Scenario!$B191,Assumptions!$A$120:$A$141,0))</f>
        <v>-16.64</v>
      </c>
      <c r="AE191" s="39">
        <f>INDEX(Assumptions!F$120:F$141,MATCH(UserMade_Scenario!$B191,Assumptions!$A$120:$A$141,0))</f>
        <v>-16.64</v>
      </c>
      <c r="AF191" s="39">
        <f>INDEX(Assumptions!G$120:G$141,MATCH(UserMade_Scenario!$B191,Assumptions!$A$120:$A$141,0))</f>
        <v>-39.14</v>
      </c>
      <c r="AG191" s="68">
        <f>IFERROR(INDEX(WaterUseH2[Average Direct Water Consumption (Gal/ kg h2)],MATCH(LEFT(D191,3),WaterUseH2[Key],0)),0)</f>
        <v>0</v>
      </c>
      <c r="AH191">
        <v>14</v>
      </c>
      <c r="AI191">
        <v>1.4</v>
      </c>
      <c r="AJ191">
        <v>250</v>
      </c>
      <c r="AK191">
        <v>0.31</v>
      </c>
      <c r="AL191" s="63">
        <f>IFERROR(INDEX(Job_Training[[Solar]:[Wind]],MATCH(AL$1,Job_Training[[`Typical Entry Level Education`]:[`Typical Entry Level Education`]],0),MATCH(LEFT($D191,5),Job_Training[[#Headers],[Solar]:[Wind]],0)),0)</f>
        <v>0</v>
      </c>
      <c r="AM191" s="63">
        <f>IFERROR(INDEX(Job_Training[[Solar]:[Wind]],MATCH(AM$1,Job_Training[[`Typical Entry Level Education`]:[`Typical Entry Level Education`]],0),MATCH(LEFT($D191,5),Job_Training[[#Headers],[Solar]:[Wind]],0)),0)</f>
        <v>0</v>
      </c>
      <c r="AN191" s="63">
        <f>IFERROR(INDEX(Job_Training[[Solar]:[Wind]],MATCH(AN$1,Job_Training[[`Typical Entry Level Education`]:[`Typical Entry Level Education`]],0),MATCH(LEFT($D191,5),Job_Training[[#Headers],[Solar]:[Wind]],0)),0)</f>
        <v>0</v>
      </c>
      <c r="AO191" s="63">
        <f>IFERROR(INDEX(Job_Training[[Solar]:[Wind]],MATCH(AO$1,Job_Training[[`Typical Entry Level Education`]:[`Typical Entry Level Education`]],0),MATCH(LEFT($D191,5),Job_Training[[#Headers],[Solar]:[Wind]],0)),0)</f>
        <v>0</v>
      </c>
      <c r="AP191">
        <f t="shared" si="60"/>
        <v>0</v>
      </c>
      <c r="AQ191" s="63">
        <f>IF(AP191&gt;0,IFERROR(INDEX(Assumptions!$C$165:$D$165,MATCH(LEFT($D191,5),Job_Training[[#Headers],[Solar]:[Wind]],0)),0),0)</f>
        <v>0</v>
      </c>
      <c r="AR191">
        <f>IF(AP191&gt;0,IFERROR(INDEX(Assumptions!$C$166:$D$166,MATCH(LEFT($D191,5),Job_Training[[#Headers],[Solar]:[Wind]],0)),0),0)</f>
        <v>0</v>
      </c>
    </row>
    <row r="192" spans="1:44" x14ac:dyDescent="0.35">
      <c r="A192" t="str">
        <f>UserInput!$B$2</f>
        <v>Current Projects</v>
      </c>
      <c r="B192">
        <v>2026</v>
      </c>
      <c r="C192" t="s">
        <v>92</v>
      </c>
      <c r="D192" t="s">
        <v>93</v>
      </c>
      <c r="E192" s="66">
        <f>INDEX(UserInput!$C$2:$M$22,MATCH(UserMade_Scenario!B192,UserInput!$A$2:$A$22,0),MATCH(LEFT(IF(RIGHT(C192,2)="H2",UserMade_Scenario!C192,D192),3),UserInput!$C$25:$M$25,0))</f>
        <v>0</v>
      </c>
      <c r="F192" t="s">
        <v>94</v>
      </c>
      <c r="G192" s="14">
        <f t="shared" si="67"/>
        <v>0</v>
      </c>
      <c r="H192" s="63">
        <f t="shared" si="51"/>
        <v>0</v>
      </c>
      <c r="I192" s="63">
        <f t="shared" si="52"/>
        <v>0</v>
      </c>
      <c r="J192" s="63">
        <f t="shared" si="53"/>
        <v>0</v>
      </c>
      <c r="K192" s="30">
        <f>IF(OR(LEFT($D192,5)="Solar",$D192="Wind"),INDEX(Land_Use[AVG],MATCH(LEFT($D192,5),Land_Use[Tech],0)),0)*$E192</f>
        <v>0</v>
      </c>
      <c r="L192" s="30">
        <f>IF(OR(LEFT($D192,5)="Solar",$D192="Wind"),INDEX(Land_Use[MIN],MATCH(LEFT($D192,5),Land_Use[Tech],0)),0)*$E192</f>
        <v>0</v>
      </c>
      <c r="M192" s="30">
        <f>IF(OR(LEFT($D192,5)="Solar",$D192="Wind"),INDEX(Land_Use[MAX],MATCH(LEFT($D192,5),Land_Use[Tech],0)),0)*$E192</f>
        <v>0</v>
      </c>
      <c r="N192" s="15">
        <f t="shared" si="62"/>
        <v>0</v>
      </c>
      <c r="O192" s="11">
        <f t="shared" si="63"/>
        <v>0</v>
      </c>
      <c r="P192" s="11">
        <f t="shared" si="64"/>
        <v>0</v>
      </c>
      <c r="Q192" s="11">
        <f t="shared" si="65"/>
        <v>0</v>
      </c>
      <c r="R192" s="11">
        <f t="shared" si="66"/>
        <v>0</v>
      </c>
      <c r="S192" s="30">
        <f t="shared" si="54"/>
        <v>0</v>
      </c>
      <c r="T192" s="30">
        <f t="shared" si="55"/>
        <v>0</v>
      </c>
      <c r="U192" s="30">
        <f t="shared" si="56"/>
        <v>0</v>
      </c>
      <c r="V192" s="30">
        <f t="shared" si="57"/>
        <v>0</v>
      </c>
      <c r="W192" s="30">
        <f t="shared" si="58"/>
        <v>0</v>
      </c>
      <c r="X192" s="30">
        <f t="shared" si="59"/>
        <v>0</v>
      </c>
      <c r="Z192" s="23" t="s">
        <v>76</v>
      </c>
      <c r="AA192" s="40" t="str">
        <f>IF(C192="Electricity",E192*SUMIFS(Electricity!S:S,Electricity!P:P,UserMade_Scenario!B192,Electricity!M:M,UserMade_Scenario!Z192,Electricity!O:O,UserMade_Scenario!D192),"")</f>
        <v/>
      </c>
      <c r="AB192" s="67">
        <v>1.4243253975000002E-4</v>
      </c>
      <c r="AC192" s="67" t="s">
        <v>95</v>
      </c>
      <c r="AD192" s="39">
        <f>INDEX(Assumptions!E$120:E$141,MATCH(UserMade_Scenario!$B192,Assumptions!$A$120:$A$141,0))</f>
        <v>-15.379999999999995</v>
      </c>
      <c r="AE192" s="39">
        <f>INDEX(Assumptions!F$120:F$141,MATCH(UserMade_Scenario!$B192,Assumptions!$A$120:$A$141,0))</f>
        <v>-15.379999999999995</v>
      </c>
      <c r="AF192" s="39">
        <f>INDEX(Assumptions!G$120:G$141,MATCH(UserMade_Scenario!$B192,Assumptions!$A$120:$A$141,0))</f>
        <v>-37.879999999999995</v>
      </c>
      <c r="AG192" s="68">
        <f>IFERROR(INDEX(WaterUseH2[Average Direct Water Consumption (Gal/ kg h2)],MATCH(LEFT(D192,3),WaterUseH2[Key],0)),0)</f>
        <v>0</v>
      </c>
      <c r="AH192">
        <v>14</v>
      </c>
      <c r="AI192">
        <v>1.4</v>
      </c>
      <c r="AJ192">
        <v>250</v>
      </c>
      <c r="AK192">
        <v>0.31</v>
      </c>
      <c r="AL192" s="63">
        <f>IFERROR(INDEX(Job_Training[[Solar]:[Wind]],MATCH(AL$1,Job_Training[[`Typical Entry Level Education`]:[`Typical Entry Level Education`]],0),MATCH(LEFT($D192,5),Job_Training[[#Headers],[Solar]:[Wind]],0)),0)</f>
        <v>0</v>
      </c>
      <c r="AM192" s="63">
        <f>IFERROR(INDEX(Job_Training[[Solar]:[Wind]],MATCH(AM$1,Job_Training[[`Typical Entry Level Education`]:[`Typical Entry Level Education`]],0),MATCH(LEFT($D192,5),Job_Training[[#Headers],[Solar]:[Wind]],0)),0)</f>
        <v>0</v>
      </c>
      <c r="AN192" s="63">
        <f>IFERROR(INDEX(Job_Training[[Solar]:[Wind]],MATCH(AN$1,Job_Training[[`Typical Entry Level Education`]:[`Typical Entry Level Education`]],0),MATCH(LEFT($D192,5),Job_Training[[#Headers],[Solar]:[Wind]],0)),0)</f>
        <v>0</v>
      </c>
      <c r="AO192" s="63">
        <f>IFERROR(INDEX(Job_Training[[Solar]:[Wind]],MATCH(AO$1,Job_Training[[`Typical Entry Level Education`]:[`Typical Entry Level Education`]],0),MATCH(LEFT($D192,5),Job_Training[[#Headers],[Solar]:[Wind]],0)),0)</f>
        <v>0</v>
      </c>
      <c r="AP192">
        <f t="shared" si="60"/>
        <v>0</v>
      </c>
      <c r="AQ192" s="63">
        <f>IF(AP192&gt;0,IFERROR(INDEX(Assumptions!$C$165:$D$165,MATCH(LEFT($D192,5),Job_Training[[#Headers],[Solar]:[Wind]],0)),0),0)</f>
        <v>0</v>
      </c>
      <c r="AR192">
        <f>IF(AP192&gt;0,IFERROR(INDEX(Assumptions!$C$166:$D$166,MATCH(LEFT($D192,5),Job_Training[[#Headers],[Solar]:[Wind]],0)),0),0)</f>
        <v>0</v>
      </c>
    </row>
    <row r="193" spans="1:44" x14ac:dyDescent="0.35">
      <c r="A193" t="str">
        <f>UserInput!$B$2</f>
        <v>Current Projects</v>
      </c>
      <c r="B193">
        <v>2027</v>
      </c>
      <c r="C193" t="s">
        <v>92</v>
      </c>
      <c r="D193" t="s">
        <v>93</v>
      </c>
      <c r="E193" s="66">
        <f>INDEX(UserInput!$C$2:$M$22,MATCH(UserMade_Scenario!B193,UserInput!$A$2:$A$22,0),MATCH(LEFT(IF(RIGHT(C193,2)="H2",UserMade_Scenario!C193,D193),3),UserInput!$C$25:$M$25,0))</f>
        <v>0</v>
      </c>
      <c r="F193" t="s">
        <v>94</v>
      </c>
      <c r="G193" s="14">
        <f t="shared" si="67"/>
        <v>0</v>
      </c>
      <c r="H193" s="63">
        <f t="shared" si="51"/>
        <v>0</v>
      </c>
      <c r="I193" s="63">
        <f t="shared" si="52"/>
        <v>0</v>
      </c>
      <c r="J193" s="63">
        <f t="shared" si="53"/>
        <v>0</v>
      </c>
      <c r="K193" s="30">
        <f>IF(OR(LEFT($D193,5)="Solar",$D193="Wind"),INDEX(Land_Use[AVG],MATCH(LEFT($D193,5),Land_Use[Tech],0)),0)*$E193</f>
        <v>0</v>
      </c>
      <c r="L193" s="30">
        <f>IF(OR(LEFT($D193,5)="Solar",$D193="Wind"),INDEX(Land_Use[MIN],MATCH(LEFT($D193,5),Land_Use[Tech],0)),0)*$E193</f>
        <v>0</v>
      </c>
      <c r="M193" s="30">
        <f>IF(OR(LEFT($D193,5)="Solar",$D193="Wind"),INDEX(Land_Use[MAX],MATCH(LEFT($D193,5),Land_Use[Tech],0)),0)*$E193</f>
        <v>0</v>
      </c>
      <c r="N193" s="15">
        <f t="shared" ref="N193:N224" si="68">E193*AG193*1000/1000000</f>
        <v>0</v>
      </c>
      <c r="O193" s="11">
        <f t="shared" ref="O193:O224" si="69">$K193*AH$2</f>
        <v>0</v>
      </c>
      <c r="P193" s="11">
        <f t="shared" ref="P193:P224" si="70">$K193*AI$2</f>
        <v>0</v>
      </c>
      <c r="Q193" s="11">
        <f t="shared" ref="Q193:Q224" si="71">$K193*AJ$2</f>
        <v>0</v>
      </c>
      <c r="R193" s="11">
        <f t="shared" ref="R193:R224" si="72">$K193*AK$2</f>
        <v>0</v>
      </c>
      <c r="S193" s="30">
        <f t="shared" si="54"/>
        <v>0</v>
      </c>
      <c r="T193" s="30">
        <f t="shared" si="55"/>
        <v>0</v>
      </c>
      <c r="U193" s="30">
        <f t="shared" si="56"/>
        <v>0</v>
      </c>
      <c r="V193" s="30">
        <f t="shared" si="57"/>
        <v>0</v>
      </c>
      <c r="W193" s="30">
        <f t="shared" si="58"/>
        <v>0</v>
      </c>
      <c r="X193" s="30">
        <f t="shared" si="59"/>
        <v>0</v>
      </c>
      <c r="Z193" s="23" t="s">
        <v>76</v>
      </c>
      <c r="AA193" s="40" t="str">
        <f>IF(C193="Electricity",E193*SUMIFS(Electricity!S:S,Electricity!P:P,UserMade_Scenario!B193,Electricity!M:M,UserMade_Scenario!Z193,Electricity!O:O,UserMade_Scenario!D193),"")</f>
        <v/>
      </c>
      <c r="AB193" s="67">
        <v>1.4243253975000002E-4</v>
      </c>
      <c r="AC193" s="67" t="s">
        <v>95</v>
      </c>
      <c r="AD193" s="39">
        <f>INDEX(Assumptions!E$120:E$141,MATCH(UserMade_Scenario!$B193,Assumptions!$A$120:$A$141,0))</f>
        <v>-14.129999999999995</v>
      </c>
      <c r="AE193" s="39">
        <f>INDEX(Assumptions!F$120:F$141,MATCH(UserMade_Scenario!$B193,Assumptions!$A$120:$A$141,0))</f>
        <v>-14.129999999999995</v>
      </c>
      <c r="AF193" s="39">
        <f>INDEX(Assumptions!G$120:G$141,MATCH(UserMade_Scenario!$B193,Assumptions!$A$120:$A$141,0))</f>
        <v>-36.629999999999995</v>
      </c>
      <c r="AG193" s="68">
        <f>IFERROR(INDEX(WaterUseH2[Average Direct Water Consumption (Gal/ kg h2)],MATCH(LEFT(D193,3),WaterUseH2[Key],0)),0)</f>
        <v>0</v>
      </c>
      <c r="AH193">
        <v>14</v>
      </c>
      <c r="AI193">
        <v>1.4</v>
      </c>
      <c r="AJ193">
        <v>250</v>
      </c>
      <c r="AK193">
        <v>0.31</v>
      </c>
      <c r="AL193" s="63">
        <f>IFERROR(INDEX(Job_Training[[Solar]:[Wind]],MATCH(AL$1,Job_Training[[`Typical Entry Level Education`]:[`Typical Entry Level Education`]],0),MATCH(LEFT($D193,5),Job_Training[[#Headers],[Solar]:[Wind]],0)),0)</f>
        <v>0</v>
      </c>
      <c r="AM193" s="63">
        <f>IFERROR(INDEX(Job_Training[[Solar]:[Wind]],MATCH(AM$1,Job_Training[[`Typical Entry Level Education`]:[`Typical Entry Level Education`]],0),MATCH(LEFT($D193,5),Job_Training[[#Headers],[Solar]:[Wind]],0)),0)</f>
        <v>0</v>
      </c>
      <c r="AN193" s="63">
        <f>IFERROR(INDEX(Job_Training[[Solar]:[Wind]],MATCH(AN$1,Job_Training[[`Typical Entry Level Education`]:[`Typical Entry Level Education`]],0),MATCH(LEFT($D193,5),Job_Training[[#Headers],[Solar]:[Wind]],0)),0)</f>
        <v>0</v>
      </c>
      <c r="AO193" s="63">
        <f>IFERROR(INDEX(Job_Training[[Solar]:[Wind]],MATCH(AO$1,Job_Training[[`Typical Entry Level Education`]:[`Typical Entry Level Education`]],0),MATCH(LEFT($D193,5),Job_Training[[#Headers],[Solar]:[Wind]],0)),0)</f>
        <v>0</v>
      </c>
      <c r="AP193">
        <f t="shared" si="60"/>
        <v>0</v>
      </c>
      <c r="AQ193" s="63">
        <f>IF(AP193&gt;0,IFERROR(INDEX(Assumptions!$C$165:$D$165,MATCH(LEFT($D193,5),Job_Training[[#Headers],[Solar]:[Wind]],0)),0),0)</f>
        <v>0</v>
      </c>
      <c r="AR193">
        <f>IF(AP193&gt;0,IFERROR(INDEX(Assumptions!$C$166:$D$166,MATCH(LEFT($D193,5),Job_Training[[#Headers],[Solar]:[Wind]],0)),0),0)</f>
        <v>0</v>
      </c>
    </row>
    <row r="194" spans="1:44" x14ac:dyDescent="0.35">
      <c r="A194" t="str">
        <f>UserInput!$B$2</f>
        <v>Current Projects</v>
      </c>
      <c r="B194">
        <v>2028</v>
      </c>
      <c r="C194" t="s">
        <v>92</v>
      </c>
      <c r="D194" t="s">
        <v>93</v>
      </c>
      <c r="E194" s="66">
        <f>INDEX(UserInput!$C$2:$M$22,MATCH(UserMade_Scenario!B194,UserInput!$A$2:$A$22,0),MATCH(LEFT(IF(RIGHT(C194,2)="H2",UserMade_Scenario!C194,D194),3),UserInput!$C$25:$M$25,0))</f>
        <v>0</v>
      </c>
      <c r="F194" t="s">
        <v>94</v>
      </c>
      <c r="G194" s="14">
        <f t="shared" si="67"/>
        <v>0</v>
      </c>
      <c r="H194" s="63">
        <f t="shared" si="51"/>
        <v>0</v>
      </c>
      <c r="I194" s="63">
        <f t="shared" si="52"/>
        <v>0</v>
      </c>
      <c r="J194" s="63">
        <f t="shared" si="53"/>
        <v>0</v>
      </c>
      <c r="K194" s="30">
        <f>IF(OR(LEFT($D194,5)="Solar",$D194="Wind"),INDEX(Land_Use[AVG],MATCH(LEFT($D194,5),Land_Use[Tech],0)),0)*$E194</f>
        <v>0</v>
      </c>
      <c r="L194" s="30">
        <f>IF(OR(LEFT($D194,5)="Solar",$D194="Wind"),INDEX(Land_Use[MIN],MATCH(LEFT($D194,5),Land_Use[Tech],0)),0)*$E194</f>
        <v>0</v>
      </c>
      <c r="M194" s="30">
        <f>IF(OR(LEFT($D194,5)="Solar",$D194="Wind"),INDEX(Land_Use[MAX],MATCH(LEFT($D194,5),Land_Use[Tech],0)),0)*$E194</f>
        <v>0</v>
      </c>
      <c r="N194" s="15">
        <f t="shared" si="68"/>
        <v>0</v>
      </c>
      <c r="O194" s="11">
        <f t="shared" si="69"/>
        <v>0</v>
      </c>
      <c r="P194" s="11">
        <f t="shared" si="70"/>
        <v>0</v>
      </c>
      <c r="Q194" s="11">
        <f t="shared" si="71"/>
        <v>0</v>
      </c>
      <c r="R194" s="11">
        <f t="shared" si="72"/>
        <v>0</v>
      </c>
      <c r="S194" s="30">
        <f t="shared" si="54"/>
        <v>0</v>
      </c>
      <c r="T194" s="30">
        <f t="shared" si="55"/>
        <v>0</v>
      </c>
      <c r="U194" s="30">
        <f t="shared" si="56"/>
        <v>0</v>
      </c>
      <c r="V194" s="30">
        <f t="shared" si="57"/>
        <v>0</v>
      </c>
      <c r="W194" s="30">
        <f t="shared" si="58"/>
        <v>0</v>
      </c>
      <c r="X194" s="30">
        <f t="shared" si="59"/>
        <v>0</v>
      </c>
      <c r="Z194" s="23" t="s">
        <v>76</v>
      </c>
      <c r="AA194" s="40" t="str">
        <f>IF(C194="Electricity",E194*SUMIFS(Electricity!S:S,Electricity!P:P,UserMade_Scenario!B194,Electricity!M:M,UserMade_Scenario!Z194,Electricity!O:O,UserMade_Scenario!D194),"")</f>
        <v/>
      </c>
      <c r="AB194" s="67">
        <v>1.4243253975000002E-4</v>
      </c>
      <c r="AC194" s="67" t="s">
        <v>95</v>
      </c>
      <c r="AD194" s="39">
        <f>INDEX(Assumptions!E$120:E$141,MATCH(UserMade_Scenario!$B194,Assumptions!$A$120:$A$141,0))</f>
        <v>-12.870000000000005</v>
      </c>
      <c r="AE194" s="39">
        <f>INDEX(Assumptions!F$120:F$141,MATCH(UserMade_Scenario!$B194,Assumptions!$A$120:$A$141,0))</f>
        <v>-12.870000000000005</v>
      </c>
      <c r="AF194" s="39">
        <f>INDEX(Assumptions!G$120:G$141,MATCH(UserMade_Scenario!$B194,Assumptions!$A$120:$A$141,0))</f>
        <v>-35.370000000000005</v>
      </c>
      <c r="AG194" s="68">
        <f>IFERROR(INDEX(WaterUseH2[Average Direct Water Consumption (Gal/ kg h2)],MATCH(LEFT(D194,3),WaterUseH2[Key],0)),0)</f>
        <v>0</v>
      </c>
      <c r="AH194">
        <v>14</v>
      </c>
      <c r="AI194">
        <v>1.4</v>
      </c>
      <c r="AJ194">
        <v>250</v>
      </c>
      <c r="AK194">
        <v>0.31</v>
      </c>
      <c r="AL194" s="63">
        <f>IFERROR(INDEX(Job_Training[[Solar]:[Wind]],MATCH(AL$1,Job_Training[[`Typical Entry Level Education`]:[`Typical Entry Level Education`]],0),MATCH(LEFT($D194,5),Job_Training[[#Headers],[Solar]:[Wind]],0)),0)</f>
        <v>0</v>
      </c>
      <c r="AM194" s="63">
        <f>IFERROR(INDEX(Job_Training[[Solar]:[Wind]],MATCH(AM$1,Job_Training[[`Typical Entry Level Education`]:[`Typical Entry Level Education`]],0),MATCH(LEFT($D194,5),Job_Training[[#Headers],[Solar]:[Wind]],0)),0)</f>
        <v>0</v>
      </c>
      <c r="AN194" s="63">
        <f>IFERROR(INDEX(Job_Training[[Solar]:[Wind]],MATCH(AN$1,Job_Training[[`Typical Entry Level Education`]:[`Typical Entry Level Education`]],0),MATCH(LEFT($D194,5),Job_Training[[#Headers],[Solar]:[Wind]],0)),0)</f>
        <v>0</v>
      </c>
      <c r="AO194" s="63">
        <f>IFERROR(INDEX(Job_Training[[Solar]:[Wind]],MATCH(AO$1,Job_Training[[`Typical Entry Level Education`]:[`Typical Entry Level Education`]],0),MATCH(LEFT($D194,5),Job_Training[[#Headers],[Solar]:[Wind]],0)),0)</f>
        <v>0</v>
      </c>
      <c r="AP194">
        <f t="shared" si="60"/>
        <v>0</v>
      </c>
      <c r="AQ194" s="63">
        <f>IF(AP194&gt;0,IFERROR(INDEX(Assumptions!$C$165:$D$165,MATCH(LEFT($D194,5),Job_Training[[#Headers],[Solar]:[Wind]],0)),0),0)</f>
        <v>0</v>
      </c>
      <c r="AR194">
        <f>IF(AP194&gt;0,IFERROR(INDEX(Assumptions!$C$166:$D$166,MATCH(LEFT($D194,5),Job_Training[[#Headers],[Solar]:[Wind]],0)),0),0)</f>
        <v>0</v>
      </c>
    </row>
    <row r="195" spans="1:44" x14ac:dyDescent="0.35">
      <c r="A195" t="str">
        <f>UserInput!$B$2</f>
        <v>Current Projects</v>
      </c>
      <c r="B195">
        <v>2029</v>
      </c>
      <c r="C195" t="s">
        <v>92</v>
      </c>
      <c r="D195" t="s">
        <v>93</v>
      </c>
      <c r="E195" s="66">
        <f>INDEX(UserInput!$C$2:$M$22,MATCH(UserMade_Scenario!B195,UserInput!$A$2:$A$22,0),MATCH(LEFT(IF(RIGHT(C195,2)="H2",UserMade_Scenario!C195,D195),3),UserInput!$C$25:$M$25,0))</f>
        <v>0</v>
      </c>
      <c r="F195" t="s">
        <v>94</v>
      </c>
      <c r="G195" s="14">
        <f t="shared" ref="G195:G226" si="73">E195*AB195</f>
        <v>0</v>
      </c>
      <c r="H195" s="63">
        <f t="shared" ref="H195:H232" si="74">IF($C195="Electricity",$AA195/1000000,$G195)*AD195*-1</f>
        <v>0</v>
      </c>
      <c r="I195" s="63">
        <f t="shared" ref="I195:I232" si="75">IF($C195="Electricity",$AA195/1000000,$G195)*AE195*-1</f>
        <v>0</v>
      </c>
      <c r="J195" s="63">
        <f t="shared" ref="J195:J232" si="76">IF($C195="Electricity",$AA195/1000000,$G195)*AF195*-1</f>
        <v>0</v>
      </c>
      <c r="K195" s="30">
        <f>IF(OR(LEFT($D195,5)="Solar",$D195="Wind"),INDEX(Land_Use[AVG],MATCH(LEFT($D195,5),Land_Use[Tech],0)),0)*$E195</f>
        <v>0</v>
      </c>
      <c r="L195" s="30">
        <f>IF(OR(LEFT($D195,5)="Solar",$D195="Wind"),INDEX(Land_Use[MIN],MATCH(LEFT($D195,5),Land_Use[Tech],0)),0)*$E195</f>
        <v>0</v>
      </c>
      <c r="M195" s="30">
        <f>IF(OR(LEFT($D195,5)="Solar",$D195="Wind"),INDEX(Land_Use[MAX],MATCH(LEFT($D195,5),Land_Use[Tech],0)),0)*$E195</f>
        <v>0</v>
      </c>
      <c r="N195" s="15">
        <f t="shared" si="68"/>
        <v>0</v>
      </c>
      <c r="O195" s="11">
        <f t="shared" si="69"/>
        <v>0</v>
      </c>
      <c r="P195" s="11">
        <f t="shared" si="70"/>
        <v>0</v>
      </c>
      <c r="Q195" s="11">
        <f t="shared" si="71"/>
        <v>0</v>
      </c>
      <c r="R195" s="11">
        <f t="shared" si="72"/>
        <v>0</v>
      </c>
      <c r="S195" s="30">
        <f t="shared" ref="S195:S258" si="77">MAX($AP195*AL195,0)</f>
        <v>0</v>
      </c>
      <c r="T195" s="30">
        <f t="shared" ref="T195:T258" si="78">MAX($AP195*AM195,0)</f>
        <v>0</v>
      </c>
      <c r="U195" s="30">
        <f t="shared" ref="U195:U258" si="79">MAX($AP195*AN195,0)</f>
        <v>0</v>
      </c>
      <c r="V195" s="30">
        <f t="shared" ref="V195:V258" si="80">MAX($AP195*AO195,0)</f>
        <v>0</v>
      </c>
      <c r="W195" s="30">
        <f t="shared" ref="W195:W258" si="81">$AP195*AQ195</f>
        <v>0</v>
      </c>
      <c r="X195" s="30">
        <f t="shared" ref="X195:X258" si="82">$AP195*AR195</f>
        <v>0</v>
      </c>
      <c r="Y195" s="31"/>
      <c r="Z195" s="23" t="s">
        <v>76</v>
      </c>
      <c r="AA195" s="40" t="str">
        <f>IF(C195="Electricity",E195*SUMIFS(Electricity!S:S,Electricity!P:P,UserMade_Scenario!B195,Electricity!M:M,UserMade_Scenario!Z195,Electricity!O:O,UserMade_Scenario!D195),"")</f>
        <v/>
      </c>
      <c r="AB195" s="67">
        <v>1.4243253975000002E-4</v>
      </c>
      <c r="AC195" s="67" t="s">
        <v>95</v>
      </c>
      <c r="AD195" s="39">
        <f>INDEX(Assumptions!E$120:E$141,MATCH(UserMade_Scenario!$B195,Assumptions!$A$120:$A$141,0))</f>
        <v>-11.620000000000005</v>
      </c>
      <c r="AE195" s="39">
        <f>INDEX(Assumptions!F$120:F$141,MATCH(UserMade_Scenario!$B195,Assumptions!$A$120:$A$141,0))</f>
        <v>-11.620000000000005</v>
      </c>
      <c r="AF195" s="39">
        <f>INDEX(Assumptions!G$120:G$141,MATCH(UserMade_Scenario!$B195,Assumptions!$A$120:$A$141,0))</f>
        <v>-34.120000000000005</v>
      </c>
      <c r="AG195" s="68">
        <f>IFERROR(INDEX(WaterUseH2[Average Direct Water Consumption (Gal/ kg h2)],MATCH(LEFT(D195,3),WaterUseH2[Key],0)),0)</f>
        <v>0</v>
      </c>
      <c r="AH195">
        <v>14</v>
      </c>
      <c r="AI195">
        <v>1.4</v>
      </c>
      <c r="AJ195">
        <v>250</v>
      </c>
      <c r="AK195">
        <v>0.31</v>
      </c>
      <c r="AL195" s="63">
        <f>IFERROR(INDEX(Job_Training[[Solar]:[Wind]],MATCH(AL$1,Job_Training[[`Typical Entry Level Education`]:[`Typical Entry Level Education`]],0),MATCH(LEFT($D195,5),Job_Training[[#Headers],[Solar]:[Wind]],0)),0)</f>
        <v>0</v>
      </c>
      <c r="AM195" s="63">
        <f>IFERROR(INDEX(Job_Training[[Solar]:[Wind]],MATCH(AM$1,Job_Training[[`Typical Entry Level Education`]:[`Typical Entry Level Education`]],0),MATCH(LEFT($D195,5),Job_Training[[#Headers],[Solar]:[Wind]],0)),0)</f>
        <v>0</v>
      </c>
      <c r="AN195" s="63">
        <f>IFERROR(INDEX(Job_Training[[Solar]:[Wind]],MATCH(AN$1,Job_Training[[`Typical Entry Level Education`]:[`Typical Entry Level Education`]],0),MATCH(LEFT($D195,5),Job_Training[[#Headers],[Solar]:[Wind]],0)),0)</f>
        <v>0</v>
      </c>
      <c r="AO195" s="63">
        <f>IFERROR(INDEX(Job_Training[[Solar]:[Wind]],MATCH(AO$1,Job_Training[[`Typical Entry Level Education`]:[`Typical Entry Level Education`]],0),MATCH(LEFT($D195,5),Job_Training[[#Headers],[Solar]:[Wind]],0)),0)</f>
        <v>0</v>
      </c>
      <c r="AP195">
        <f t="shared" ref="AP195:AP258" si="83">IF(OR($C195="Electricity",$D195="Solar (Off-Grid)"),IF($B195=2025,$E195,$E195-$E194),0)</f>
        <v>0</v>
      </c>
      <c r="AQ195" s="63">
        <f>IF(AP195&gt;0,IFERROR(INDEX(Assumptions!$C$165:$D$165,MATCH(LEFT($D195,5),Job_Training[[#Headers],[Solar]:[Wind]],0)),0),0)</f>
        <v>0</v>
      </c>
      <c r="AR195">
        <f>IF(AP195&gt;0,IFERROR(INDEX(Assumptions!$C$166:$D$166,MATCH(LEFT($D195,5),Job_Training[[#Headers],[Solar]:[Wind]],0)),0),0)</f>
        <v>0</v>
      </c>
    </row>
    <row r="196" spans="1:44" x14ac:dyDescent="0.35">
      <c r="A196" t="str">
        <f>UserInput!$B$2</f>
        <v>Current Projects</v>
      </c>
      <c r="B196">
        <v>2030</v>
      </c>
      <c r="C196" t="s">
        <v>92</v>
      </c>
      <c r="D196" t="s">
        <v>93</v>
      </c>
      <c r="E196" s="66">
        <f>INDEX(UserInput!$C$2:$M$22,MATCH(UserMade_Scenario!B196,UserInput!$A$2:$A$22,0),MATCH(LEFT(IF(RIGHT(C196,2)="H2",UserMade_Scenario!C196,D196),3),UserInput!$C$25:$M$25,0))</f>
        <v>0</v>
      </c>
      <c r="F196" t="s">
        <v>94</v>
      </c>
      <c r="G196" s="14">
        <f t="shared" si="73"/>
        <v>0</v>
      </c>
      <c r="H196" s="63">
        <f t="shared" si="74"/>
        <v>0</v>
      </c>
      <c r="I196" s="63">
        <f t="shared" si="75"/>
        <v>0</v>
      </c>
      <c r="J196" s="63">
        <f t="shared" si="76"/>
        <v>0</v>
      </c>
      <c r="K196" s="30">
        <f>IF(OR(LEFT($D196,5)="Solar",$D196="Wind"),INDEX(Land_Use[AVG],MATCH(LEFT($D196,5),Land_Use[Tech],0)),0)*$E196</f>
        <v>0</v>
      </c>
      <c r="L196" s="30">
        <f>IF(OR(LEFT($D196,5)="Solar",$D196="Wind"),INDEX(Land_Use[MIN],MATCH(LEFT($D196,5),Land_Use[Tech],0)),0)*$E196</f>
        <v>0</v>
      </c>
      <c r="M196" s="30">
        <f>IF(OR(LEFT($D196,5)="Solar",$D196="Wind"),INDEX(Land_Use[MAX],MATCH(LEFT($D196,5),Land_Use[Tech],0)),0)*$E196</f>
        <v>0</v>
      </c>
      <c r="N196" s="15">
        <f t="shared" si="68"/>
        <v>0</v>
      </c>
      <c r="O196" s="11">
        <f t="shared" si="69"/>
        <v>0</v>
      </c>
      <c r="P196" s="11">
        <f t="shared" si="70"/>
        <v>0</v>
      </c>
      <c r="Q196" s="11">
        <f t="shared" si="71"/>
        <v>0</v>
      </c>
      <c r="R196" s="11">
        <f t="shared" si="72"/>
        <v>0</v>
      </c>
      <c r="S196" s="30">
        <f t="shared" si="77"/>
        <v>0</v>
      </c>
      <c r="T196" s="30">
        <f t="shared" si="78"/>
        <v>0</v>
      </c>
      <c r="U196" s="30">
        <f t="shared" si="79"/>
        <v>0</v>
      </c>
      <c r="V196" s="30">
        <f t="shared" si="80"/>
        <v>0</v>
      </c>
      <c r="W196" s="30">
        <f t="shared" si="81"/>
        <v>0</v>
      </c>
      <c r="X196" s="30">
        <f t="shared" si="82"/>
        <v>0</v>
      </c>
      <c r="Z196" s="23" t="s">
        <v>76</v>
      </c>
      <c r="AA196" s="40" t="str">
        <f>IF(C196="Electricity",E196*SUMIFS(Electricity!S:S,Electricity!P:P,UserMade_Scenario!B196,Electricity!M:M,UserMade_Scenario!Z196,Electricity!O:O,UserMade_Scenario!D196),"")</f>
        <v/>
      </c>
      <c r="AB196" s="67">
        <v>1.4243253975000002E-4</v>
      </c>
      <c r="AC196" s="67" t="s">
        <v>95</v>
      </c>
      <c r="AD196" s="39">
        <f>INDEX(Assumptions!E$120:E$141,MATCH(UserMade_Scenario!$B196,Assumptions!$A$120:$A$141,0))</f>
        <v>-10.36</v>
      </c>
      <c r="AE196" s="39">
        <f>INDEX(Assumptions!F$120:F$141,MATCH(UserMade_Scenario!$B196,Assumptions!$A$120:$A$141,0))</f>
        <v>-10.36</v>
      </c>
      <c r="AF196" s="39">
        <f>INDEX(Assumptions!G$120:G$141,MATCH(UserMade_Scenario!$B196,Assumptions!$A$120:$A$141,0))</f>
        <v>-32.86</v>
      </c>
      <c r="AG196" s="68">
        <f>IFERROR(INDEX(WaterUseH2[Average Direct Water Consumption (Gal/ kg h2)],MATCH(LEFT(D196,3),WaterUseH2[Key],0)),0)</f>
        <v>0</v>
      </c>
      <c r="AH196">
        <v>14</v>
      </c>
      <c r="AI196">
        <v>1.4</v>
      </c>
      <c r="AJ196">
        <v>250</v>
      </c>
      <c r="AK196">
        <v>0.31</v>
      </c>
      <c r="AL196" s="63">
        <f>IFERROR(INDEX(Job_Training[[Solar]:[Wind]],MATCH(AL$1,Job_Training[[`Typical Entry Level Education`]:[`Typical Entry Level Education`]],0),MATCH(LEFT($D196,5),Job_Training[[#Headers],[Solar]:[Wind]],0)),0)</f>
        <v>0</v>
      </c>
      <c r="AM196" s="63">
        <f>IFERROR(INDEX(Job_Training[[Solar]:[Wind]],MATCH(AM$1,Job_Training[[`Typical Entry Level Education`]:[`Typical Entry Level Education`]],0),MATCH(LEFT($D196,5),Job_Training[[#Headers],[Solar]:[Wind]],0)),0)</f>
        <v>0</v>
      </c>
      <c r="AN196" s="63">
        <f>IFERROR(INDEX(Job_Training[[Solar]:[Wind]],MATCH(AN$1,Job_Training[[`Typical Entry Level Education`]:[`Typical Entry Level Education`]],0),MATCH(LEFT($D196,5),Job_Training[[#Headers],[Solar]:[Wind]],0)),0)</f>
        <v>0</v>
      </c>
      <c r="AO196" s="63">
        <f>IFERROR(INDEX(Job_Training[[Solar]:[Wind]],MATCH(AO$1,Job_Training[[`Typical Entry Level Education`]:[`Typical Entry Level Education`]],0),MATCH(LEFT($D196,5),Job_Training[[#Headers],[Solar]:[Wind]],0)),0)</f>
        <v>0</v>
      </c>
      <c r="AP196">
        <f t="shared" si="83"/>
        <v>0</v>
      </c>
      <c r="AQ196" s="63">
        <f>IF(AP196&gt;0,IFERROR(INDEX(Assumptions!$C$165:$D$165,MATCH(LEFT($D196,5),Job_Training[[#Headers],[Solar]:[Wind]],0)),0),0)</f>
        <v>0</v>
      </c>
      <c r="AR196">
        <f>IF(AP196&gt;0,IFERROR(INDEX(Assumptions!$C$166:$D$166,MATCH(LEFT($D196,5),Job_Training[[#Headers],[Solar]:[Wind]],0)),0),0)</f>
        <v>0</v>
      </c>
    </row>
    <row r="197" spans="1:44" x14ac:dyDescent="0.35">
      <c r="A197" t="str">
        <f>UserInput!$B$2</f>
        <v>Current Projects</v>
      </c>
      <c r="B197">
        <v>2031</v>
      </c>
      <c r="C197" t="s">
        <v>92</v>
      </c>
      <c r="D197" t="s">
        <v>93</v>
      </c>
      <c r="E197" s="66">
        <f>INDEX(UserInput!$C$2:$M$22,MATCH(UserMade_Scenario!B197,UserInput!$A$2:$A$22,0),MATCH(LEFT(IF(RIGHT(C197,2)="H2",UserMade_Scenario!C197,D197),3),UserInput!$C$25:$M$25,0))</f>
        <v>0</v>
      </c>
      <c r="F197" t="s">
        <v>94</v>
      </c>
      <c r="G197" s="14">
        <f t="shared" si="73"/>
        <v>0</v>
      </c>
      <c r="H197" s="63">
        <f t="shared" si="74"/>
        <v>0</v>
      </c>
      <c r="I197" s="63">
        <f t="shared" si="75"/>
        <v>0</v>
      </c>
      <c r="J197" s="63">
        <f t="shared" si="76"/>
        <v>0</v>
      </c>
      <c r="K197" s="30">
        <f>IF(OR(LEFT($D197,5)="Solar",$D197="Wind"),INDEX(Land_Use[AVG],MATCH(LEFT($D197,5),Land_Use[Tech],0)),0)*$E197</f>
        <v>0</v>
      </c>
      <c r="L197" s="30">
        <f>IF(OR(LEFT($D197,5)="Solar",$D197="Wind"),INDEX(Land_Use[MIN],MATCH(LEFT($D197,5),Land_Use[Tech],0)),0)*$E197</f>
        <v>0</v>
      </c>
      <c r="M197" s="30">
        <f>IF(OR(LEFT($D197,5)="Solar",$D197="Wind"),INDEX(Land_Use[MAX],MATCH(LEFT($D197,5),Land_Use[Tech],0)),0)*$E197</f>
        <v>0</v>
      </c>
      <c r="N197" s="15">
        <f t="shared" si="68"/>
        <v>0</v>
      </c>
      <c r="O197" s="11">
        <f t="shared" si="69"/>
        <v>0</v>
      </c>
      <c r="P197" s="11">
        <f t="shared" si="70"/>
        <v>0</v>
      </c>
      <c r="Q197" s="11">
        <f t="shared" si="71"/>
        <v>0</v>
      </c>
      <c r="R197" s="11">
        <f t="shared" si="72"/>
        <v>0</v>
      </c>
      <c r="S197" s="30">
        <f t="shared" si="77"/>
        <v>0</v>
      </c>
      <c r="T197" s="30">
        <f t="shared" si="78"/>
        <v>0</v>
      </c>
      <c r="U197" s="30">
        <f t="shared" si="79"/>
        <v>0</v>
      </c>
      <c r="V197" s="30">
        <f t="shared" si="80"/>
        <v>0</v>
      </c>
      <c r="W197" s="30">
        <f t="shared" si="81"/>
        <v>0</v>
      </c>
      <c r="X197" s="30">
        <f t="shared" si="82"/>
        <v>0</v>
      </c>
      <c r="Z197" s="23" t="s">
        <v>76</v>
      </c>
      <c r="AA197" s="40" t="str">
        <f>IF(C197="Electricity",E197*SUMIFS(Electricity!S:S,Electricity!P:P,UserMade_Scenario!B197,Electricity!M:M,UserMade_Scenario!Z197,Electricity!O:O,UserMade_Scenario!D197),"")</f>
        <v/>
      </c>
      <c r="AB197" s="67">
        <v>1.4243253975000002E-4</v>
      </c>
      <c r="AC197" s="67" t="s">
        <v>95</v>
      </c>
      <c r="AD197" s="39">
        <f>INDEX(Assumptions!E$120:E$141,MATCH(UserMade_Scenario!$B197,Assumptions!$A$120:$A$141,0))</f>
        <v>-10.36</v>
      </c>
      <c r="AE197" s="39">
        <f>INDEX(Assumptions!F$120:F$141,MATCH(UserMade_Scenario!$B197,Assumptions!$A$120:$A$141,0))</f>
        <v>-10.36</v>
      </c>
      <c r="AF197" s="39">
        <f>INDEX(Assumptions!G$120:G$141,MATCH(UserMade_Scenario!$B197,Assumptions!$A$120:$A$141,0))</f>
        <v>-32.86</v>
      </c>
      <c r="AG197" s="68">
        <f>IFERROR(INDEX(WaterUseH2[Average Direct Water Consumption (Gal/ kg h2)],MATCH(LEFT(D197,3),WaterUseH2[Key],0)),0)</f>
        <v>0</v>
      </c>
      <c r="AH197">
        <v>14</v>
      </c>
      <c r="AI197">
        <v>1.4</v>
      </c>
      <c r="AJ197">
        <v>250</v>
      </c>
      <c r="AK197">
        <v>0.31</v>
      </c>
      <c r="AL197" s="63">
        <f>IFERROR(INDEX(Job_Training[[Solar]:[Wind]],MATCH(AL$1,Job_Training[[`Typical Entry Level Education`]:[`Typical Entry Level Education`]],0),MATCH(LEFT($D197,5),Job_Training[[#Headers],[Solar]:[Wind]],0)),0)</f>
        <v>0</v>
      </c>
      <c r="AM197" s="63">
        <f>IFERROR(INDEX(Job_Training[[Solar]:[Wind]],MATCH(AM$1,Job_Training[[`Typical Entry Level Education`]:[`Typical Entry Level Education`]],0),MATCH(LEFT($D197,5),Job_Training[[#Headers],[Solar]:[Wind]],0)),0)</f>
        <v>0</v>
      </c>
      <c r="AN197" s="63">
        <f>IFERROR(INDEX(Job_Training[[Solar]:[Wind]],MATCH(AN$1,Job_Training[[`Typical Entry Level Education`]:[`Typical Entry Level Education`]],0),MATCH(LEFT($D197,5),Job_Training[[#Headers],[Solar]:[Wind]],0)),0)</f>
        <v>0</v>
      </c>
      <c r="AO197" s="63">
        <f>IFERROR(INDEX(Job_Training[[Solar]:[Wind]],MATCH(AO$1,Job_Training[[`Typical Entry Level Education`]:[`Typical Entry Level Education`]],0),MATCH(LEFT($D197,5),Job_Training[[#Headers],[Solar]:[Wind]],0)),0)</f>
        <v>0</v>
      </c>
      <c r="AP197">
        <f t="shared" si="83"/>
        <v>0</v>
      </c>
      <c r="AQ197" s="63">
        <f>IF(AP197&gt;0,IFERROR(INDEX(Assumptions!$C$165:$D$165,MATCH(LEFT($D197,5),Job_Training[[#Headers],[Solar]:[Wind]],0)),0),0)</f>
        <v>0</v>
      </c>
      <c r="AR197">
        <f>IF(AP197&gt;0,IFERROR(INDEX(Assumptions!$C$166:$D$166,MATCH(LEFT($D197,5),Job_Training[[#Headers],[Solar]:[Wind]],0)),0),0)</f>
        <v>0</v>
      </c>
    </row>
    <row r="198" spans="1:44" x14ac:dyDescent="0.35">
      <c r="A198" t="str">
        <f>UserInput!$B$2</f>
        <v>Current Projects</v>
      </c>
      <c r="B198">
        <v>2032</v>
      </c>
      <c r="C198" t="s">
        <v>92</v>
      </c>
      <c r="D198" t="s">
        <v>93</v>
      </c>
      <c r="E198" s="66">
        <f>INDEX(UserInput!$C$2:$M$22,MATCH(UserMade_Scenario!B198,UserInput!$A$2:$A$22,0),MATCH(LEFT(IF(RIGHT(C198,2)="H2",UserMade_Scenario!C198,D198),3),UserInput!$C$25:$M$25,0))</f>
        <v>0</v>
      </c>
      <c r="F198" t="s">
        <v>94</v>
      </c>
      <c r="G198" s="14">
        <f t="shared" si="73"/>
        <v>0</v>
      </c>
      <c r="H198" s="63">
        <f t="shared" si="74"/>
        <v>0</v>
      </c>
      <c r="I198" s="63">
        <f t="shared" si="75"/>
        <v>0</v>
      </c>
      <c r="J198" s="63">
        <f t="shared" si="76"/>
        <v>0</v>
      </c>
      <c r="K198" s="30">
        <f>IF(OR(LEFT($D198,5)="Solar",$D198="Wind"),INDEX(Land_Use[AVG],MATCH(LEFT($D198,5),Land_Use[Tech],0)),0)*$E198</f>
        <v>0</v>
      </c>
      <c r="L198" s="30">
        <f>IF(OR(LEFT($D198,5)="Solar",$D198="Wind"),INDEX(Land_Use[MIN],MATCH(LEFT($D198,5),Land_Use[Tech],0)),0)*$E198</f>
        <v>0</v>
      </c>
      <c r="M198" s="30">
        <f>IF(OR(LEFT($D198,5)="Solar",$D198="Wind"),INDEX(Land_Use[MAX],MATCH(LEFT($D198,5),Land_Use[Tech],0)),0)*$E198</f>
        <v>0</v>
      </c>
      <c r="N198" s="15">
        <f t="shared" si="68"/>
        <v>0</v>
      </c>
      <c r="O198" s="11">
        <f t="shared" si="69"/>
        <v>0</v>
      </c>
      <c r="P198" s="11">
        <f t="shared" si="70"/>
        <v>0</v>
      </c>
      <c r="Q198" s="11">
        <f t="shared" si="71"/>
        <v>0</v>
      </c>
      <c r="R198" s="11">
        <f t="shared" si="72"/>
        <v>0</v>
      </c>
      <c r="S198" s="30">
        <f t="shared" si="77"/>
        <v>0</v>
      </c>
      <c r="T198" s="30">
        <f t="shared" si="78"/>
        <v>0</v>
      </c>
      <c r="U198" s="30">
        <f t="shared" si="79"/>
        <v>0</v>
      </c>
      <c r="V198" s="30">
        <f t="shared" si="80"/>
        <v>0</v>
      </c>
      <c r="W198" s="30">
        <f t="shared" si="81"/>
        <v>0</v>
      </c>
      <c r="X198" s="30">
        <f t="shared" si="82"/>
        <v>0</v>
      </c>
      <c r="Z198" s="23" t="s">
        <v>76</v>
      </c>
      <c r="AA198" s="40" t="str">
        <f>IF(C198="Electricity",E198*SUMIFS(Electricity!S:S,Electricity!P:P,UserMade_Scenario!B198,Electricity!M:M,UserMade_Scenario!Z198,Electricity!O:O,UserMade_Scenario!D198),"")</f>
        <v/>
      </c>
      <c r="AB198" s="67">
        <v>1.4243253975000002E-4</v>
      </c>
      <c r="AC198" s="67" t="s">
        <v>95</v>
      </c>
      <c r="AD198" s="39">
        <f>INDEX(Assumptions!E$120:E$141,MATCH(UserMade_Scenario!$B198,Assumptions!$A$120:$A$141,0))</f>
        <v>-10.36</v>
      </c>
      <c r="AE198" s="39">
        <f>INDEX(Assumptions!F$120:F$141,MATCH(UserMade_Scenario!$B198,Assumptions!$A$120:$A$141,0))</f>
        <v>-10.36</v>
      </c>
      <c r="AF198" s="39">
        <f>INDEX(Assumptions!G$120:G$141,MATCH(UserMade_Scenario!$B198,Assumptions!$A$120:$A$141,0))</f>
        <v>-32.86</v>
      </c>
      <c r="AG198" s="68">
        <f>IFERROR(INDEX(WaterUseH2[Average Direct Water Consumption (Gal/ kg h2)],MATCH(LEFT(D198,3),WaterUseH2[Key],0)),0)</f>
        <v>0</v>
      </c>
      <c r="AH198">
        <v>14</v>
      </c>
      <c r="AI198">
        <v>1.4</v>
      </c>
      <c r="AJ198">
        <v>250</v>
      </c>
      <c r="AK198">
        <v>0.31</v>
      </c>
      <c r="AL198" s="63">
        <f>IFERROR(INDEX(Job_Training[[Solar]:[Wind]],MATCH(AL$1,Job_Training[[`Typical Entry Level Education`]:[`Typical Entry Level Education`]],0),MATCH(LEFT($D198,5),Job_Training[[#Headers],[Solar]:[Wind]],0)),0)</f>
        <v>0</v>
      </c>
      <c r="AM198" s="63">
        <f>IFERROR(INDEX(Job_Training[[Solar]:[Wind]],MATCH(AM$1,Job_Training[[`Typical Entry Level Education`]:[`Typical Entry Level Education`]],0),MATCH(LEFT($D198,5),Job_Training[[#Headers],[Solar]:[Wind]],0)),0)</f>
        <v>0</v>
      </c>
      <c r="AN198" s="63">
        <f>IFERROR(INDEX(Job_Training[[Solar]:[Wind]],MATCH(AN$1,Job_Training[[`Typical Entry Level Education`]:[`Typical Entry Level Education`]],0),MATCH(LEFT($D198,5),Job_Training[[#Headers],[Solar]:[Wind]],0)),0)</f>
        <v>0</v>
      </c>
      <c r="AO198" s="63">
        <f>IFERROR(INDEX(Job_Training[[Solar]:[Wind]],MATCH(AO$1,Job_Training[[`Typical Entry Level Education`]:[`Typical Entry Level Education`]],0),MATCH(LEFT($D198,5),Job_Training[[#Headers],[Solar]:[Wind]],0)),0)</f>
        <v>0</v>
      </c>
      <c r="AP198">
        <f t="shared" si="83"/>
        <v>0</v>
      </c>
      <c r="AQ198" s="63">
        <f>IF(AP198&gt;0,IFERROR(INDEX(Assumptions!$C$165:$D$165,MATCH(LEFT($D198,5),Job_Training[[#Headers],[Solar]:[Wind]],0)),0),0)</f>
        <v>0</v>
      </c>
      <c r="AR198">
        <f>IF(AP198&gt;0,IFERROR(INDEX(Assumptions!$C$166:$D$166,MATCH(LEFT($D198,5),Job_Training[[#Headers],[Solar]:[Wind]],0)),0),0)</f>
        <v>0</v>
      </c>
    </row>
    <row r="199" spans="1:44" x14ac:dyDescent="0.35">
      <c r="A199" t="str">
        <f>UserInput!$B$2</f>
        <v>Current Projects</v>
      </c>
      <c r="B199">
        <v>2033</v>
      </c>
      <c r="C199" t="s">
        <v>92</v>
      </c>
      <c r="D199" t="s">
        <v>93</v>
      </c>
      <c r="E199" s="66">
        <f>INDEX(UserInput!$C$2:$M$22,MATCH(UserMade_Scenario!B199,UserInput!$A$2:$A$22,0),MATCH(LEFT(IF(RIGHT(C199,2)="H2",UserMade_Scenario!C199,D199),3),UserInput!$C$25:$M$25,0))</f>
        <v>0</v>
      </c>
      <c r="F199" t="s">
        <v>94</v>
      </c>
      <c r="G199" s="14">
        <f t="shared" si="73"/>
        <v>0</v>
      </c>
      <c r="H199" s="63">
        <f t="shared" si="74"/>
        <v>0</v>
      </c>
      <c r="I199" s="63">
        <f t="shared" si="75"/>
        <v>0</v>
      </c>
      <c r="J199" s="63">
        <f t="shared" si="76"/>
        <v>0</v>
      </c>
      <c r="K199" s="30">
        <f>IF(OR(LEFT($D199,5)="Solar",$D199="Wind"),INDEX(Land_Use[AVG],MATCH(LEFT($D199,5),Land_Use[Tech],0)),0)*$E199</f>
        <v>0</v>
      </c>
      <c r="L199" s="30">
        <f>IF(OR(LEFT($D199,5)="Solar",$D199="Wind"),INDEX(Land_Use[MIN],MATCH(LEFT($D199,5),Land_Use[Tech],0)),0)*$E199</f>
        <v>0</v>
      </c>
      <c r="M199" s="30">
        <f>IF(OR(LEFT($D199,5)="Solar",$D199="Wind"),INDEX(Land_Use[MAX],MATCH(LEFT($D199,5),Land_Use[Tech],0)),0)*$E199</f>
        <v>0</v>
      </c>
      <c r="N199" s="15">
        <f t="shared" si="68"/>
        <v>0</v>
      </c>
      <c r="O199" s="11">
        <f t="shared" si="69"/>
        <v>0</v>
      </c>
      <c r="P199" s="11">
        <f t="shared" si="70"/>
        <v>0</v>
      </c>
      <c r="Q199" s="11">
        <f t="shared" si="71"/>
        <v>0</v>
      </c>
      <c r="R199" s="11">
        <f t="shared" si="72"/>
        <v>0</v>
      </c>
      <c r="S199" s="30">
        <f t="shared" si="77"/>
        <v>0</v>
      </c>
      <c r="T199" s="30">
        <f t="shared" si="78"/>
        <v>0</v>
      </c>
      <c r="U199" s="30">
        <f t="shared" si="79"/>
        <v>0</v>
      </c>
      <c r="V199" s="30">
        <f t="shared" si="80"/>
        <v>0</v>
      </c>
      <c r="W199" s="30">
        <f t="shared" si="81"/>
        <v>0</v>
      </c>
      <c r="X199" s="30">
        <f t="shared" si="82"/>
        <v>0</v>
      </c>
      <c r="Z199" s="23" t="s">
        <v>76</v>
      </c>
      <c r="AA199" s="40" t="str">
        <f>IF(C199="Electricity",E199*SUMIFS(Electricity!S:S,Electricity!P:P,UserMade_Scenario!B199,Electricity!M:M,UserMade_Scenario!Z199,Electricity!O:O,UserMade_Scenario!D199),"")</f>
        <v/>
      </c>
      <c r="AB199" s="67">
        <v>1.4243253975000002E-4</v>
      </c>
      <c r="AC199" s="67" t="s">
        <v>95</v>
      </c>
      <c r="AD199" s="39">
        <f>INDEX(Assumptions!E$120:E$141,MATCH(UserMade_Scenario!$B199,Assumptions!$A$120:$A$141,0))</f>
        <v>-10.36</v>
      </c>
      <c r="AE199" s="39">
        <f>INDEX(Assumptions!F$120:F$141,MATCH(UserMade_Scenario!$B199,Assumptions!$A$120:$A$141,0))</f>
        <v>-10.36</v>
      </c>
      <c r="AF199" s="39">
        <f>INDEX(Assumptions!G$120:G$141,MATCH(UserMade_Scenario!$B199,Assumptions!$A$120:$A$141,0))</f>
        <v>-32.86</v>
      </c>
      <c r="AG199" s="68">
        <f>IFERROR(INDEX(WaterUseH2[Average Direct Water Consumption (Gal/ kg h2)],MATCH(LEFT(D199,3),WaterUseH2[Key],0)),0)</f>
        <v>0</v>
      </c>
      <c r="AH199">
        <v>14</v>
      </c>
      <c r="AI199">
        <v>1.4</v>
      </c>
      <c r="AJ199">
        <v>250</v>
      </c>
      <c r="AK199">
        <v>0.31</v>
      </c>
      <c r="AL199" s="63">
        <f>IFERROR(INDEX(Job_Training[[Solar]:[Wind]],MATCH(AL$1,Job_Training[[`Typical Entry Level Education`]:[`Typical Entry Level Education`]],0),MATCH(LEFT($D199,5),Job_Training[[#Headers],[Solar]:[Wind]],0)),0)</f>
        <v>0</v>
      </c>
      <c r="AM199" s="63">
        <f>IFERROR(INDEX(Job_Training[[Solar]:[Wind]],MATCH(AM$1,Job_Training[[`Typical Entry Level Education`]:[`Typical Entry Level Education`]],0),MATCH(LEFT($D199,5),Job_Training[[#Headers],[Solar]:[Wind]],0)),0)</f>
        <v>0</v>
      </c>
      <c r="AN199" s="63">
        <f>IFERROR(INDEX(Job_Training[[Solar]:[Wind]],MATCH(AN$1,Job_Training[[`Typical Entry Level Education`]:[`Typical Entry Level Education`]],0),MATCH(LEFT($D199,5),Job_Training[[#Headers],[Solar]:[Wind]],0)),0)</f>
        <v>0</v>
      </c>
      <c r="AO199" s="63">
        <f>IFERROR(INDEX(Job_Training[[Solar]:[Wind]],MATCH(AO$1,Job_Training[[`Typical Entry Level Education`]:[`Typical Entry Level Education`]],0),MATCH(LEFT($D199,5),Job_Training[[#Headers],[Solar]:[Wind]],0)),0)</f>
        <v>0</v>
      </c>
      <c r="AP199">
        <f t="shared" si="83"/>
        <v>0</v>
      </c>
      <c r="AQ199" s="63">
        <f>IF(AP199&gt;0,IFERROR(INDEX(Assumptions!$C$165:$D$165,MATCH(LEFT($D199,5),Job_Training[[#Headers],[Solar]:[Wind]],0)),0),0)</f>
        <v>0</v>
      </c>
      <c r="AR199">
        <f>IF(AP199&gt;0,IFERROR(INDEX(Assumptions!$C$166:$D$166,MATCH(LEFT($D199,5),Job_Training[[#Headers],[Solar]:[Wind]],0)),0),0)</f>
        <v>0</v>
      </c>
    </row>
    <row r="200" spans="1:44" x14ac:dyDescent="0.35">
      <c r="A200" t="str">
        <f>UserInput!$B$2</f>
        <v>Current Projects</v>
      </c>
      <c r="B200">
        <v>2034</v>
      </c>
      <c r="C200" t="s">
        <v>92</v>
      </c>
      <c r="D200" t="s">
        <v>93</v>
      </c>
      <c r="E200" s="66">
        <f>INDEX(UserInput!$C$2:$M$22,MATCH(UserMade_Scenario!B200,UserInput!$A$2:$A$22,0),MATCH(LEFT(IF(RIGHT(C200,2)="H2",UserMade_Scenario!C200,D200),3),UserInput!$C$25:$M$25,0))</f>
        <v>0</v>
      </c>
      <c r="F200" t="s">
        <v>94</v>
      </c>
      <c r="G200" s="14">
        <f t="shared" si="73"/>
        <v>0</v>
      </c>
      <c r="H200" s="63">
        <f t="shared" si="74"/>
        <v>0</v>
      </c>
      <c r="I200" s="63">
        <f t="shared" si="75"/>
        <v>0</v>
      </c>
      <c r="J200" s="63">
        <f t="shared" si="76"/>
        <v>0</v>
      </c>
      <c r="K200" s="30">
        <f>IF(OR(LEFT($D200,5)="Solar",$D200="Wind"),INDEX(Land_Use[AVG],MATCH(LEFT($D200,5),Land_Use[Tech],0)),0)*$E200</f>
        <v>0</v>
      </c>
      <c r="L200" s="30">
        <f>IF(OR(LEFT($D200,5)="Solar",$D200="Wind"),INDEX(Land_Use[MIN],MATCH(LEFT($D200,5),Land_Use[Tech],0)),0)*$E200</f>
        <v>0</v>
      </c>
      <c r="M200" s="30">
        <f>IF(OR(LEFT($D200,5)="Solar",$D200="Wind"),INDEX(Land_Use[MAX],MATCH(LEFT($D200,5),Land_Use[Tech],0)),0)*$E200</f>
        <v>0</v>
      </c>
      <c r="N200" s="15">
        <f t="shared" si="68"/>
        <v>0</v>
      </c>
      <c r="O200" s="11">
        <f t="shared" si="69"/>
        <v>0</v>
      </c>
      <c r="P200" s="11">
        <f t="shared" si="70"/>
        <v>0</v>
      </c>
      <c r="Q200" s="11">
        <f t="shared" si="71"/>
        <v>0</v>
      </c>
      <c r="R200" s="11">
        <f t="shared" si="72"/>
        <v>0</v>
      </c>
      <c r="S200" s="30">
        <f t="shared" si="77"/>
        <v>0</v>
      </c>
      <c r="T200" s="30">
        <f t="shared" si="78"/>
        <v>0</v>
      </c>
      <c r="U200" s="30">
        <f t="shared" si="79"/>
        <v>0</v>
      </c>
      <c r="V200" s="30">
        <f t="shared" si="80"/>
        <v>0</v>
      </c>
      <c r="W200" s="30">
        <f t="shared" si="81"/>
        <v>0</v>
      </c>
      <c r="X200" s="30">
        <f t="shared" si="82"/>
        <v>0</v>
      </c>
      <c r="Z200" s="23" t="s">
        <v>76</v>
      </c>
      <c r="AA200" s="40" t="str">
        <f>IF(C200="Electricity",E200*SUMIFS(Electricity!S:S,Electricity!P:P,UserMade_Scenario!B200,Electricity!M:M,UserMade_Scenario!Z200,Electricity!O:O,UserMade_Scenario!D200),"")</f>
        <v/>
      </c>
      <c r="AB200" s="67">
        <v>1.4243253975000002E-4</v>
      </c>
      <c r="AC200" s="67" t="s">
        <v>95</v>
      </c>
      <c r="AD200" s="39">
        <f>INDEX(Assumptions!E$120:E$141,MATCH(UserMade_Scenario!$B200,Assumptions!$A$120:$A$141,0))</f>
        <v>-10.36</v>
      </c>
      <c r="AE200" s="39">
        <f>INDEX(Assumptions!F$120:F$141,MATCH(UserMade_Scenario!$B200,Assumptions!$A$120:$A$141,0))</f>
        <v>-10.36</v>
      </c>
      <c r="AF200" s="39">
        <f>INDEX(Assumptions!G$120:G$141,MATCH(UserMade_Scenario!$B200,Assumptions!$A$120:$A$141,0))</f>
        <v>-32.86</v>
      </c>
      <c r="AG200" s="68">
        <f>IFERROR(INDEX(WaterUseH2[Average Direct Water Consumption (Gal/ kg h2)],MATCH(LEFT(D200,3),WaterUseH2[Key],0)),0)</f>
        <v>0</v>
      </c>
      <c r="AH200">
        <v>14</v>
      </c>
      <c r="AI200">
        <v>1.4</v>
      </c>
      <c r="AJ200">
        <v>250</v>
      </c>
      <c r="AK200">
        <v>0.31</v>
      </c>
      <c r="AL200" s="63">
        <f>IFERROR(INDEX(Job_Training[[Solar]:[Wind]],MATCH(AL$1,Job_Training[[`Typical Entry Level Education`]:[`Typical Entry Level Education`]],0),MATCH(LEFT($D200,5),Job_Training[[#Headers],[Solar]:[Wind]],0)),0)</f>
        <v>0</v>
      </c>
      <c r="AM200" s="63">
        <f>IFERROR(INDEX(Job_Training[[Solar]:[Wind]],MATCH(AM$1,Job_Training[[`Typical Entry Level Education`]:[`Typical Entry Level Education`]],0),MATCH(LEFT($D200,5),Job_Training[[#Headers],[Solar]:[Wind]],0)),0)</f>
        <v>0</v>
      </c>
      <c r="AN200" s="63">
        <f>IFERROR(INDEX(Job_Training[[Solar]:[Wind]],MATCH(AN$1,Job_Training[[`Typical Entry Level Education`]:[`Typical Entry Level Education`]],0),MATCH(LEFT($D200,5),Job_Training[[#Headers],[Solar]:[Wind]],0)),0)</f>
        <v>0</v>
      </c>
      <c r="AO200" s="63">
        <f>IFERROR(INDEX(Job_Training[[Solar]:[Wind]],MATCH(AO$1,Job_Training[[`Typical Entry Level Education`]:[`Typical Entry Level Education`]],0),MATCH(LEFT($D200,5),Job_Training[[#Headers],[Solar]:[Wind]],0)),0)</f>
        <v>0</v>
      </c>
      <c r="AP200">
        <f t="shared" si="83"/>
        <v>0</v>
      </c>
      <c r="AQ200" s="63">
        <f>IF(AP200&gt;0,IFERROR(INDEX(Assumptions!$C$165:$D$165,MATCH(LEFT($D200,5),Job_Training[[#Headers],[Solar]:[Wind]],0)),0),0)</f>
        <v>0</v>
      </c>
      <c r="AR200">
        <f>IF(AP200&gt;0,IFERROR(INDEX(Assumptions!$C$166:$D$166,MATCH(LEFT($D200,5),Job_Training[[#Headers],[Solar]:[Wind]],0)),0),0)</f>
        <v>0</v>
      </c>
    </row>
    <row r="201" spans="1:44" x14ac:dyDescent="0.35">
      <c r="A201" t="str">
        <f>UserInput!$B$2</f>
        <v>Current Projects</v>
      </c>
      <c r="B201">
        <v>2035</v>
      </c>
      <c r="C201" t="s">
        <v>92</v>
      </c>
      <c r="D201" t="s">
        <v>93</v>
      </c>
      <c r="E201" s="66">
        <f>INDEX(UserInput!$C$2:$M$22,MATCH(UserMade_Scenario!B201,UserInput!$A$2:$A$22,0),MATCH(LEFT(IF(RIGHT(C201,2)="H2",UserMade_Scenario!C201,D201),3),UserInput!$C$25:$M$25,0))</f>
        <v>0</v>
      </c>
      <c r="F201" t="s">
        <v>94</v>
      </c>
      <c r="G201" s="14">
        <f t="shared" si="73"/>
        <v>0</v>
      </c>
      <c r="H201" s="63">
        <f t="shared" si="74"/>
        <v>0</v>
      </c>
      <c r="I201" s="63">
        <f t="shared" si="75"/>
        <v>0</v>
      </c>
      <c r="J201" s="63">
        <f t="shared" si="76"/>
        <v>0</v>
      </c>
      <c r="K201" s="30">
        <f>IF(OR(LEFT($D201,5)="Solar",$D201="Wind"),INDEX(Land_Use[AVG],MATCH(LEFT($D201,5),Land_Use[Tech],0)),0)*$E201</f>
        <v>0</v>
      </c>
      <c r="L201" s="30">
        <f>IF(OR(LEFT($D201,5)="Solar",$D201="Wind"),INDEX(Land_Use[MIN],MATCH(LEFT($D201,5),Land_Use[Tech],0)),0)*$E201</f>
        <v>0</v>
      </c>
      <c r="M201" s="30">
        <f>IF(OR(LEFT($D201,5)="Solar",$D201="Wind"),INDEX(Land_Use[MAX],MATCH(LEFT($D201,5),Land_Use[Tech],0)),0)*$E201</f>
        <v>0</v>
      </c>
      <c r="N201" s="15">
        <f t="shared" si="68"/>
        <v>0</v>
      </c>
      <c r="O201" s="11">
        <f t="shared" si="69"/>
        <v>0</v>
      </c>
      <c r="P201" s="11">
        <f t="shared" si="70"/>
        <v>0</v>
      </c>
      <c r="Q201" s="11">
        <f t="shared" si="71"/>
        <v>0</v>
      </c>
      <c r="R201" s="11">
        <f t="shared" si="72"/>
        <v>0</v>
      </c>
      <c r="S201" s="30">
        <f t="shared" si="77"/>
        <v>0</v>
      </c>
      <c r="T201" s="30">
        <f t="shared" si="78"/>
        <v>0</v>
      </c>
      <c r="U201" s="30">
        <f t="shared" si="79"/>
        <v>0</v>
      </c>
      <c r="V201" s="30">
        <f t="shared" si="80"/>
        <v>0</v>
      </c>
      <c r="W201" s="30">
        <f t="shared" si="81"/>
        <v>0</v>
      </c>
      <c r="X201" s="30">
        <f t="shared" si="82"/>
        <v>0</v>
      </c>
      <c r="Z201" s="23" t="s">
        <v>76</v>
      </c>
      <c r="AA201" s="40" t="str">
        <f>IF(C201="Electricity",E201*SUMIFS(Electricity!S:S,Electricity!P:P,UserMade_Scenario!B201,Electricity!M:M,UserMade_Scenario!Z201,Electricity!O:O,UserMade_Scenario!D201),"")</f>
        <v/>
      </c>
      <c r="AB201" s="67">
        <v>1.4243253975000002E-4</v>
      </c>
      <c r="AC201" s="67" t="s">
        <v>95</v>
      </c>
      <c r="AD201" s="39">
        <f>INDEX(Assumptions!E$120:E$141,MATCH(UserMade_Scenario!$B201,Assumptions!$A$120:$A$141,0))</f>
        <v>-10.36</v>
      </c>
      <c r="AE201" s="39">
        <f>INDEX(Assumptions!F$120:F$141,MATCH(UserMade_Scenario!$B201,Assumptions!$A$120:$A$141,0))</f>
        <v>-10.36</v>
      </c>
      <c r="AF201" s="39">
        <f>INDEX(Assumptions!G$120:G$141,MATCH(UserMade_Scenario!$B201,Assumptions!$A$120:$A$141,0))</f>
        <v>-32.86</v>
      </c>
      <c r="AG201" s="68">
        <f>IFERROR(INDEX(WaterUseH2[Average Direct Water Consumption (Gal/ kg h2)],MATCH(LEFT(D201,3),WaterUseH2[Key],0)),0)</f>
        <v>0</v>
      </c>
      <c r="AH201">
        <v>14</v>
      </c>
      <c r="AI201">
        <v>1.4</v>
      </c>
      <c r="AJ201">
        <v>250</v>
      </c>
      <c r="AK201">
        <v>0.31</v>
      </c>
      <c r="AL201" s="63">
        <f>IFERROR(INDEX(Job_Training[[Solar]:[Wind]],MATCH(AL$1,Job_Training[[`Typical Entry Level Education`]:[`Typical Entry Level Education`]],0),MATCH(LEFT($D201,5),Job_Training[[#Headers],[Solar]:[Wind]],0)),0)</f>
        <v>0</v>
      </c>
      <c r="AM201" s="63">
        <f>IFERROR(INDEX(Job_Training[[Solar]:[Wind]],MATCH(AM$1,Job_Training[[`Typical Entry Level Education`]:[`Typical Entry Level Education`]],0),MATCH(LEFT($D201,5),Job_Training[[#Headers],[Solar]:[Wind]],0)),0)</f>
        <v>0</v>
      </c>
      <c r="AN201" s="63">
        <f>IFERROR(INDEX(Job_Training[[Solar]:[Wind]],MATCH(AN$1,Job_Training[[`Typical Entry Level Education`]:[`Typical Entry Level Education`]],0),MATCH(LEFT($D201,5),Job_Training[[#Headers],[Solar]:[Wind]],0)),0)</f>
        <v>0</v>
      </c>
      <c r="AO201" s="63">
        <f>IFERROR(INDEX(Job_Training[[Solar]:[Wind]],MATCH(AO$1,Job_Training[[`Typical Entry Level Education`]:[`Typical Entry Level Education`]],0),MATCH(LEFT($D201,5),Job_Training[[#Headers],[Solar]:[Wind]],0)),0)</f>
        <v>0</v>
      </c>
      <c r="AP201">
        <f t="shared" si="83"/>
        <v>0</v>
      </c>
      <c r="AQ201" s="63">
        <f>IF(AP201&gt;0,IFERROR(INDEX(Assumptions!$C$165:$D$165,MATCH(LEFT($D201,5),Job_Training[[#Headers],[Solar]:[Wind]],0)),0),0)</f>
        <v>0</v>
      </c>
      <c r="AR201">
        <f>IF(AP201&gt;0,IFERROR(INDEX(Assumptions!$C$166:$D$166,MATCH(LEFT($D201,5),Job_Training[[#Headers],[Solar]:[Wind]],0)),0),0)</f>
        <v>0</v>
      </c>
    </row>
    <row r="202" spans="1:44" x14ac:dyDescent="0.35">
      <c r="A202" t="str">
        <f>UserInput!$B$2</f>
        <v>Current Projects</v>
      </c>
      <c r="B202">
        <v>2036</v>
      </c>
      <c r="C202" t="s">
        <v>92</v>
      </c>
      <c r="D202" t="s">
        <v>93</v>
      </c>
      <c r="E202" s="66">
        <f>INDEX(UserInput!$C$2:$M$22,MATCH(UserMade_Scenario!B202,UserInput!$A$2:$A$22,0),MATCH(LEFT(IF(RIGHT(C202,2)="H2",UserMade_Scenario!C202,D202),3),UserInput!$C$25:$M$25,0))</f>
        <v>0</v>
      </c>
      <c r="F202" t="s">
        <v>94</v>
      </c>
      <c r="G202" s="14">
        <f t="shared" si="73"/>
        <v>0</v>
      </c>
      <c r="H202" s="63">
        <f t="shared" si="74"/>
        <v>0</v>
      </c>
      <c r="I202" s="63">
        <f t="shared" si="75"/>
        <v>0</v>
      </c>
      <c r="J202" s="63">
        <f t="shared" si="76"/>
        <v>0</v>
      </c>
      <c r="K202" s="30">
        <f>IF(OR(LEFT($D202,5)="Solar",$D202="Wind"),INDEX(Land_Use[AVG],MATCH(LEFT($D202,5),Land_Use[Tech],0)),0)*$E202</f>
        <v>0</v>
      </c>
      <c r="L202" s="30">
        <f>IF(OR(LEFT($D202,5)="Solar",$D202="Wind"),INDEX(Land_Use[MIN],MATCH(LEFT($D202,5),Land_Use[Tech],0)),0)*$E202</f>
        <v>0</v>
      </c>
      <c r="M202" s="30">
        <f>IF(OR(LEFT($D202,5)="Solar",$D202="Wind"),INDEX(Land_Use[MAX],MATCH(LEFT($D202,5),Land_Use[Tech],0)),0)*$E202</f>
        <v>0</v>
      </c>
      <c r="N202" s="15">
        <f t="shared" si="68"/>
        <v>0</v>
      </c>
      <c r="O202" s="11">
        <f t="shared" si="69"/>
        <v>0</v>
      </c>
      <c r="P202" s="11">
        <f t="shared" si="70"/>
        <v>0</v>
      </c>
      <c r="Q202" s="11">
        <f t="shared" si="71"/>
        <v>0</v>
      </c>
      <c r="R202" s="11">
        <f t="shared" si="72"/>
        <v>0</v>
      </c>
      <c r="S202" s="30">
        <f t="shared" si="77"/>
        <v>0</v>
      </c>
      <c r="T202" s="30">
        <f t="shared" si="78"/>
        <v>0</v>
      </c>
      <c r="U202" s="30">
        <f t="shared" si="79"/>
        <v>0</v>
      </c>
      <c r="V202" s="30">
        <f t="shared" si="80"/>
        <v>0</v>
      </c>
      <c r="W202" s="30">
        <f t="shared" si="81"/>
        <v>0</v>
      </c>
      <c r="X202" s="30">
        <f t="shared" si="82"/>
        <v>0</v>
      </c>
      <c r="Z202" s="23" t="s">
        <v>76</v>
      </c>
      <c r="AA202" s="40" t="str">
        <f>IF(C202="Electricity",E202*SUMIFS(Electricity!S:S,Electricity!P:P,UserMade_Scenario!B202,Electricity!M:M,UserMade_Scenario!Z202,Electricity!O:O,UserMade_Scenario!D202),"")</f>
        <v/>
      </c>
      <c r="AB202" s="67">
        <v>1.4243253975000002E-4</v>
      </c>
      <c r="AC202" s="67" t="s">
        <v>95</v>
      </c>
      <c r="AD202" s="39">
        <f>INDEX(Assumptions!E$120:E$141,MATCH(UserMade_Scenario!$B202,Assumptions!$A$120:$A$141,0))</f>
        <v>-10.36</v>
      </c>
      <c r="AE202" s="39">
        <f>INDEX(Assumptions!F$120:F$141,MATCH(UserMade_Scenario!$B202,Assumptions!$A$120:$A$141,0))</f>
        <v>-10.36</v>
      </c>
      <c r="AF202" s="39">
        <f>INDEX(Assumptions!G$120:G$141,MATCH(UserMade_Scenario!$B202,Assumptions!$A$120:$A$141,0))</f>
        <v>-32.86</v>
      </c>
      <c r="AG202" s="68">
        <f>IFERROR(INDEX(WaterUseH2[Average Direct Water Consumption (Gal/ kg h2)],MATCH(LEFT(D202,3),WaterUseH2[Key],0)),0)</f>
        <v>0</v>
      </c>
      <c r="AH202">
        <v>14</v>
      </c>
      <c r="AI202">
        <v>1.4</v>
      </c>
      <c r="AJ202">
        <v>250</v>
      </c>
      <c r="AK202">
        <v>0.31</v>
      </c>
      <c r="AL202" s="63">
        <f>IFERROR(INDEX(Job_Training[[Solar]:[Wind]],MATCH(AL$1,Job_Training[[`Typical Entry Level Education`]:[`Typical Entry Level Education`]],0),MATCH(LEFT($D202,5),Job_Training[[#Headers],[Solar]:[Wind]],0)),0)</f>
        <v>0</v>
      </c>
      <c r="AM202" s="63">
        <f>IFERROR(INDEX(Job_Training[[Solar]:[Wind]],MATCH(AM$1,Job_Training[[`Typical Entry Level Education`]:[`Typical Entry Level Education`]],0),MATCH(LEFT($D202,5),Job_Training[[#Headers],[Solar]:[Wind]],0)),0)</f>
        <v>0</v>
      </c>
      <c r="AN202" s="63">
        <f>IFERROR(INDEX(Job_Training[[Solar]:[Wind]],MATCH(AN$1,Job_Training[[`Typical Entry Level Education`]:[`Typical Entry Level Education`]],0),MATCH(LEFT($D202,5),Job_Training[[#Headers],[Solar]:[Wind]],0)),0)</f>
        <v>0</v>
      </c>
      <c r="AO202" s="63">
        <f>IFERROR(INDEX(Job_Training[[Solar]:[Wind]],MATCH(AO$1,Job_Training[[`Typical Entry Level Education`]:[`Typical Entry Level Education`]],0),MATCH(LEFT($D202,5),Job_Training[[#Headers],[Solar]:[Wind]],0)),0)</f>
        <v>0</v>
      </c>
      <c r="AP202">
        <f t="shared" si="83"/>
        <v>0</v>
      </c>
      <c r="AQ202" s="63">
        <f>IF(AP202&gt;0,IFERROR(INDEX(Assumptions!$C$165:$D$165,MATCH(LEFT($D202,5),Job_Training[[#Headers],[Solar]:[Wind]],0)),0),0)</f>
        <v>0</v>
      </c>
      <c r="AR202">
        <f>IF(AP202&gt;0,IFERROR(INDEX(Assumptions!$C$166:$D$166,MATCH(LEFT($D202,5),Job_Training[[#Headers],[Solar]:[Wind]],0)),0),0)</f>
        <v>0</v>
      </c>
    </row>
    <row r="203" spans="1:44" x14ac:dyDescent="0.35">
      <c r="A203" t="str">
        <f>UserInput!$B$2</f>
        <v>Current Projects</v>
      </c>
      <c r="B203">
        <v>2037</v>
      </c>
      <c r="C203" t="s">
        <v>92</v>
      </c>
      <c r="D203" t="s">
        <v>93</v>
      </c>
      <c r="E203" s="66">
        <f>INDEX(UserInput!$C$2:$M$22,MATCH(UserMade_Scenario!B203,UserInput!$A$2:$A$22,0),MATCH(LEFT(IF(RIGHT(C203,2)="H2",UserMade_Scenario!C203,D203),3),UserInput!$C$25:$M$25,0))</f>
        <v>0</v>
      </c>
      <c r="F203" t="s">
        <v>94</v>
      </c>
      <c r="G203" s="14">
        <f t="shared" si="73"/>
        <v>0</v>
      </c>
      <c r="H203" s="63">
        <f t="shared" si="74"/>
        <v>0</v>
      </c>
      <c r="I203" s="63">
        <f t="shared" si="75"/>
        <v>0</v>
      </c>
      <c r="J203" s="63">
        <f t="shared" si="76"/>
        <v>0</v>
      </c>
      <c r="K203" s="30">
        <f>IF(OR(LEFT($D203,5)="Solar",$D203="Wind"),INDEX(Land_Use[AVG],MATCH(LEFT($D203,5),Land_Use[Tech],0)),0)*$E203</f>
        <v>0</v>
      </c>
      <c r="L203" s="30">
        <f>IF(OR(LEFT($D203,5)="Solar",$D203="Wind"),INDEX(Land_Use[MIN],MATCH(LEFT($D203,5),Land_Use[Tech],0)),0)*$E203</f>
        <v>0</v>
      </c>
      <c r="M203" s="30">
        <f>IF(OR(LEFT($D203,5)="Solar",$D203="Wind"),INDEX(Land_Use[MAX],MATCH(LEFT($D203,5),Land_Use[Tech],0)),0)*$E203</f>
        <v>0</v>
      </c>
      <c r="N203" s="15">
        <f t="shared" si="68"/>
        <v>0</v>
      </c>
      <c r="O203" s="11">
        <f t="shared" si="69"/>
        <v>0</v>
      </c>
      <c r="P203" s="11">
        <f t="shared" si="70"/>
        <v>0</v>
      </c>
      <c r="Q203" s="11">
        <f t="shared" si="71"/>
        <v>0</v>
      </c>
      <c r="R203" s="11">
        <f t="shared" si="72"/>
        <v>0</v>
      </c>
      <c r="S203" s="30">
        <f t="shared" si="77"/>
        <v>0</v>
      </c>
      <c r="T203" s="30">
        <f t="shared" si="78"/>
        <v>0</v>
      </c>
      <c r="U203" s="30">
        <f t="shared" si="79"/>
        <v>0</v>
      </c>
      <c r="V203" s="30">
        <f t="shared" si="80"/>
        <v>0</v>
      </c>
      <c r="W203" s="30">
        <f t="shared" si="81"/>
        <v>0</v>
      </c>
      <c r="X203" s="30">
        <f t="shared" si="82"/>
        <v>0</v>
      </c>
      <c r="Z203" s="23" t="s">
        <v>76</v>
      </c>
      <c r="AA203" s="40" t="str">
        <f>IF(C203="Electricity",E203*SUMIFS(Electricity!S:S,Electricity!P:P,UserMade_Scenario!B203,Electricity!M:M,UserMade_Scenario!Z203,Electricity!O:O,UserMade_Scenario!D203),"")</f>
        <v/>
      </c>
      <c r="AB203" s="67">
        <v>1.4243253975000002E-4</v>
      </c>
      <c r="AC203" s="67" t="s">
        <v>95</v>
      </c>
      <c r="AD203" s="39">
        <f>INDEX(Assumptions!E$120:E$141,MATCH(UserMade_Scenario!$B203,Assumptions!$A$120:$A$141,0))</f>
        <v>-10.36</v>
      </c>
      <c r="AE203" s="39">
        <f>INDEX(Assumptions!F$120:F$141,MATCH(UserMade_Scenario!$B203,Assumptions!$A$120:$A$141,0))</f>
        <v>-10.36</v>
      </c>
      <c r="AF203" s="39">
        <f>INDEX(Assumptions!G$120:G$141,MATCH(UserMade_Scenario!$B203,Assumptions!$A$120:$A$141,0))</f>
        <v>-32.86</v>
      </c>
      <c r="AG203" s="68">
        <f>IFERROR(INDEX(WaterUseH2[Average Direct Water Consumption (Gal/ kg h2)],MATCH(LEFT(D203,3),WaterUseH2[Key],0)),0)</f>
        <v>0</v>
      </c>
      <c r="AH203">
        <v>14</v>
      </c>
      <c r="AI203">
        <v>1.4</v>
      </c>
      <c r="AJ203">
        <v>250</v>
      </c>
      <c r="AK203">
        <v>0.31</v>
      </c>
      <c r="AL203" s="63">
        <f>IFERROR(INDEX(Job_Training[[Solar]:[Wind]],MATCH(AL$1,Job_Training[[`Typical Entry Level Education`]:[`Typical Entry Level Education`]],0),MATCH(LEFT($D203,5),Job_Training[[#Headers],[Solar]:[Wind]],0)),0)</f>
        <v>0</v>
      </c>
      <c r="AM203" s="63">
        <f>IFERROR(INDEX(Job_Training[[Solar]:[Wind]],MATCH(AM$1,Job_Training[[`Typical Entry Level Education`]:[`Typical Entry Level Education`]],0),MATCH(LEFT($D203,5),Job_Training[[#Headers],[Solar]:[Wind]],0)),0)</f>
        <v>0</v>
      </c>
      <c r="AN203" s="63">
        <f>IFERROR(INDEX(Job_Training[[Solar]:[Wind]],MATCH(AN$1,Job_Training[[`Typical Entry Level Education`]:[`Typical Entry Level Education`]],0),MATCH(LEFT($D203,5),Job_Training[[#Headers],[Solar]:[Wind]],0)),0)</f>
        <v>0</v>
      </c>
      <c r="AO203" s="63">
        <f>IFERROR(INDEX(Job_Training[[Solar]:[Wind]],MATCH(AO$1,Job_Training[[`Typical Entry Level Education`]:[`Typical Entry Level Education`]],0),MATCH(LEFT($D203,5),Job_Training[[#Headers],[Solar]:[Wind]],0)),0)</f>
        <v>0</v>
      </c>
      <c r="AP203">
        <f t="shared" si="83"/>
        <v>0</v>
      </c>
      <c r="AQ203" s="63">
        <f>IF(AP203&gt;0,IFERROR(INDEX(Assumptions!$C$165:$D$165,MATCH(LEFT($D203,5),Job_Training[[#Headers],[Solar]:[Wind]],0)),0),0)</f>
        <v>0</v>
      </c>
      <c r="AR203">
        <f>IF(AP203&gt;0,IFERROR(INDEX(Assumptions!$C$166:$D$166,MATCH(LEFT($D203,5),Job_Training[[#Headers],[Solar]:[Wind]],0)),0),0)</f>
        <v>0</v>
      </c>
    </row>
    <row r="204" spans="1:44" x14ac:dyDescent="0.35">
      <c r="A204" t="str">
        <f>UserInput!$B$2</f>
        <v>Current Projects</v>
      </c>
      <c r="B204">
        <v>2038</v>
      </c>
      <c r="C204" t="s">
        <v>92</v>
      </c>
      <c r="D204" t="s">
        <v>93</v>
      </c>
      <c r="E204" s="66">
        <f>INDEX(UserInput!$C$2:$M$22,MATCH(UserMade_Scenario!B204,UserInput!$A$2:$A$22,0),MATCH(LEFT(IF(RIGHT(C204,2)="H2",UserMade_Scenario!C204,D204),3),UserInput!$C$25:$M$25,0))</f>
        <v>0</v>
      </c>
      <c r="F204" t="s">
        <v>94</v>
      </c>
      <c r="G204" s="14">
        <f t="shared" si="73"/>
        <v>0</v>
      </c>
      <c r="H204" s="63">
        <f t="shared" si="74"/>
        <v>0</v>
      </c>
      <c r="I204" s="63">
        <f t="shared" si="75"/>
        <v>0</v>
      </c>
      <c r="J204" s="63">
        <f t="shared" si="76"/>
        <v>0</v>
      </c>
      <c r="K204" s="30">
        <f>IF(OR(LEFT($D204,5)="Solar",$D204="Wind"),INDEX(Land_Use[AVG],MATCH(LEFT($D204,5),Land_Use[Tech],0)),0)*$E204</f>
        <v>0</v>
      </c>
      <c r="L204" s="30">
        <f>IF(OR(LEFT($D204,5)="Solar",$D204="Wind"),INDEX(Land_Use[MIN],MATCH(LEFT($D204,5),Land_Use[Tech],0)),0)*$E204</f>
        <v>0</v>
      </c>
      <c r="M204" s="30">
        <f>IF(OR(LEFT($D204,5)="Solar",$D204="Wind"),INDEX(Land_Use[MAX],MATCH(LEFT($D204,5),Land_Use[Tech],0)),0)*$E204</f>
        <v>0</v>
      </c>
      <c r="N204" s="15">
        <f t="shared" si="68"/>
        <v>0</v>
      </c>
      <c r="O204" s="11">
        <f t="shared" si="69"/>
        <v>0</v>
      </c>
      <c r="P204" s="11">
        <f t="shared" si="70"/>
        <v>0</v>
      </c>
      <c r="Q204" s="11">
        <f t="shared" si="71"/>
        <v>0</v>
      </c>
      <c r="R204" s="11">
        <f t="shared" si="72"/>
        <v>0</v>
      </c>
      <c r="S204" s="30">
        <f t="shared" si="77"/>
        <v>0</v>
      </c>
      <c r="T204" s="30">
        <f t="shared" si="78"/>
        <v>0</v>
      </c>
      <c r="U204" s="30">
        <f t="shared" si="79"/>
        <v>0</v>
      </c>
      <c r="V204" s="30">
        <f t="shared" si="80"/>
        <v>0</v>
      </c>
      <c r="W204" s="30">
        <f t="shared" si="81"/>
        <v>0</v>
      </c>
      <c r="X204" s="30">
        <f t="shared" si="82"/>
        <v>0</v>
      </c>
      <c r="Z204" s="23" t="s">
        <v>76</v>
      </c>
      <c r="AA204" s="40" t="str">
        <f>IF(C204="Electricity",E204*SUMIFS(Electricity!S:S,Electricity!P:P,UserMade_Scenario!B204,Electricity!M:M,UserMade_Scenario!Z204,Electricity!O:O,UserMade_Scenario!D204),"")</f>
        <v/>
      </c>
      <c r="AB204" s="67">
        <v>1.4243253975000002E-4</v>
      </c>
      <c r="AC204" s="67" t="s">
        <v>95</v>
      </c>
      <c r="AD204" s="39">
        <f>INDEX(Assumptions!E$120:E$141,MATCH(UserMade_Scenario!$B204,Assumptions!$A$120:$A$141,0))</f>
        <v>-10.36</v>
      </c>
      <c r="AE204" s="39">
        <f>INDEX(Assumptions!F$120:F$141,MATCH(UserMade_Scenario!$B204,Assumptions!$A$120:$A$141,0))</f>
        <v>-10.36</v>
      </c>
      <c r="AF204" s="39">
        <f>INDEX(Assumptions!G$120:G$141,MATCH(UserMade_Scenario!$B204,Assumptions!$A$120:$A$141,0))</f>
        <v>-32.86</v>
      </c>
      <c r="AG204" s="68">
        <f>IFERROR(INDEX(WaterUseH2[Average Direct Water Consumption (Gal/ kg h2)],MATCH(LEFT(D204,3),WaterUseH2[Key],0)),0)</f>
        <v>0</v>
      </c>
      <c r="AH204">
        <v>14</v>
      </c>
      <c r="AI204">
        <v>1.4</v>
      </c>
      <c r="AJ204">
        <v>250</v>
      </c>
      <c r="AK204">
        <v>0.31</v>
      </c>
      <c r="AL204" s="63">
        <f>IFERROR(INDEX(Job_Training[[Solar]:[Wind]],MATCH(AL$1,Job_Training[[`Typical Entry Level Education`]:[`Typical Entry Level Education`]],0),MATCH(LEFT($D204,5),Job_Training[[#Headers],[Solar]:[Wind]],0)),0)</f>
        <v>0</v>
      </c>
      <c r="AM204" s="63">
        <f>IFERROR(INDEX(Job_Training[[Solar]:[Wind]],MATCH(AM$1,Job_Training[[`Typical Entry Level Education`]:[`Typical Entry Level Education`]],0),MATCH(LEFT($D204,5),Job_Training[[#Headers],[Solar]:[Wind]],0)),0)</f>
        <v>0</v>
      </c>
      <c r="AN204" s="63">
        <f>IFERROR(INDEX(Job_Training[[Solar]:[Wind]],MATCH(AN$1,Job_Training[[`Typical Entry Level Education`]:[`Typical Entry Level Education`]],0),MATCH(LEFT($D204,5),Job_Training[[#Headers],[Solar]:[Wind]],0)),0)</f>
        <v>0</v>
      </c>
      <c r="AO204" s="63">
        <f>IFERROR(INDEX(Job_Training[[Solar]:[Wind]],MATCH(AO$1,Job_Training[[`Typical Entry Level Education`]:[`Typical Entry Level Education`]],0),MATCH(LEFT($D204,5),Job_Training[[#Headers],[Solar]:[Wind]],0)),0)</f>
        <v>0</v>
      </c>
      <c r="AP204">
        <f t="shared" si="83"/>
        <v>0</v>
      </c>
      <c r="AQ204" s="63">
        <f>IF(AP204&gt;0,IFERROR(INDEX(Assumptions!$C$165:$D$165,MATCH(LEFT($D204,5),Job_Training[[#Headers],[Solar]:[Wind]],0)),0),0)</f>
        <v>0</v>
      </c>
      <c r="AR204">
        <f>IF(AP204&gt;0,IFERROR(INDEX(Assumptions!$C$166:$D$166,MATCH(LEFT($D204,5),Job_Training[[#Headers],[Solar]:[Wind]],0)),0),0)</f>
        <v>0</v>
      </c>
    </row>
    <row r="205" spans="1:44" x14ac:dyDescent="0.35">
      <c r="A205" t="str">
        <f>UserInput!$B$2</f>
        <v>Current Projects</v>
      </c>
      <c r="B205">
        <v>2039</v>
      </c>
      <c r="C205" t="s">
        <v>92</v>
      </c>
      <c r="D205" t="s">
        <v>93</v>
      </c>
      <c r="E205" s="66">
        <f>INDEX(UserInput!$C$2:$M$22,MATCH(UserMade_Scenario!B205,UserInput!$A$2:$A$22,0),MATCH(LEFT(IF(RIGHT(C205,2)="H2",UserMade_Scenario!C205,D205),3),UserInput!$C$25:$M$25,0))</f>
        <v>0</v>
      </c>
      <c r="F205" t="s">
        <v>94</v>
      </c>
      <c r="G205" s="14">
        <f t="shared" si="73"/>
        <v>0</v>
      </c>
      <c r="H205" s="63">
        <f t="shared" si="74"/>
        <v>0</v>
      </c>
      <c r="I205" s="63">
        <f t="shared" si="75"/>
        <v>0</v>
      </c>
      <c r="J205" s="63">
        <f t="shared" si="76"/>
        <v>0</v>
      </c>
      <c r="K205" s="30">
        <f>IF(OR(LEFT($D205,5)="Solar",$D205="Wind"),INDEX(Land_Use[AVG],MATCH(LEFT($D205,5),Land_Use[Tech],0)),0)*$E205</f>
        <v>0</v>
      </c>
      <c r="L205" s="30">
        <f>IF(OR(LEFT($D205,5)="Solar",$D205="Wind"),INDEX(Land_Use[MIN],MATCH(LEFT($D205,5),Land_Use[Tech],0)),0)*$E205</f>
        <v>0</v>
      </c>
      <c r="M205" s="30">
        <f>IF(OR(LEFT($D205,5)="Solar",$D205="Wind"),INDEX(Land_Use[MAX],MATCH(LEFT($D205,5),Land_Use[Tech],0)),0)*$E205</f>
        <v>0</v>
      </c>
      <c r="N205" s="15">
        <f t="shared" si="68"/>
        <v>0</v>
      </c>
      <c r="O205" s="11">
        <f t="shared" si="69"/>
        <v>0</v>
      </c>
      <c r="P205" s="11">
        <f t="shared" si="70"/>
        <v>0</v>
      </c>
      <c r="Q205" s="11">
        <f t="shared" si="71"/>
        <v>0</v>
      </c>
      <c r="R205" s="11">
        <f t="shared" si="72"/>
        <v>0</v>
      </c>
      <c r="S205" s="30">
        <f t="shared" si="77"/>
        <v>0</v>
      </c>
      <c r="T205" s="30">
        <f t="shared" si="78"/>
        <v>0</v>
      </c>
      <c r="U205" s="30">
        <f t="shared" si="79"/>
        <v>0</v>
      </c>
      <c r="V205" s="30">
        <f t="shared" si="80"/>
        <v>0</v>
      </c>
      <c r="W205" s="30">
        <f t="shared" si="81"/>
        <v>0</v>
      </c>
      <c r="X205" s="30">
        <f t="shared" si="82"/>
        <v>0</v>
      </c>
      <c r="Z205" s="23" t="s">
        <v>76</v>
      </c>
      <c r="AA205" s="40" t="str">
        <f>IF(C205="Electricity",E205*SUMIFS(Electricity!S:S,Electricity!P:P,UserMade_Scenario!B205,Electricity!M:M,UserMade_Scenario!Z205,Electricity!O:O,UserMade_Scenario!D205),"")</f>
        <v/>
      </c>
      <c r="AB205" s="67">
        <v>1.4243253975000002E-4</v>
      </c>
      <c r="AC205" s="67" t="s">
        <v>95</v>
      </c>
      <c r="AD205" s="39">
        <f>INDEX(Assumptions!E$120:E$141,MATCH(UserMade_Scenario!$B205,Assumptions!$A$120:$A$141,0))</f>
        <v>-10.36</v>
      </c>
      <c r="AE205" s="39">
        <f>INDEX(Assumptions!F$120:F$141,MATCH(UserMade_Scenario!$B205,Assumptions!$A$120:$A$141,0))</f>
        <v>-10.36</v>
      </c>
      <c r="AF205" s="39">
        <f>INDEX(Assumptions!G$120:G$141,MATCH(UserMade_Scenario!$B205,Assumptions!$A$120:$A$141,0))</f>
        <v>-32.86</v>
      </c>
      <c r="AG205" s="68">
        <f>IFERROR(INDEX(WaterUseH2[Average Direct Water Consumption (Gal/ kg h2)],MATCH(LEFT(D205,3),WaterUseH2[Key],0)),0)</f>
        <v>0</v>
      </c>
      <c r="AH205">
        <v>14</v>
      </c>
      <c r="AI205">
        <v>1.4</v>
      </c>
      <c r="AJ205">
        <v>250</v>
      </c>
      <c r="AK205">
        <v>0.31</v>
      </c>
      <c r="AL205" s="63">
        <f>IFERROR(INDEX(Job_Training[[Solar]:[Wind]],MATCH(AL$1,Job_Training[[`Typical Entry Level Education`]:[`Typical Entry Level Education`]],0),MATCH(LEFT($D205,5),Job_Training[[#Headers],[Solar]:[Wind]],0)),0)</f>
        <v>0</v>
      </c>
      <c r="AM205" s="63">
        <f>IFERROR(INDEX(Job_Training[[Solar]:[Wind]],MATCH(AM$1,Job_Training[[`Typical Entry Level Education`]:[`Typical Entry Level Education`]],0),MATCH(LEFT($D205,5),Job_Training[[#Headers],[Solar]:[Wind]],0)),0)</f>
        <v>0</v>
      </c>
      <c r="AN205" s="63">
        <f>IFERROR(INDEX(Job_Training[[Solar]:[Wind]],MATCH(AN$1,Job_Training[[`Typical Entry Level Education`]:[`Typical Entry Level Education`]],0),MATCH(LEFT($D205,5),Job_Training[[#Headers],[Solar]:[Wind]],0)),0)</f>
        <v>0</v>
      </c>
      <c r="AO205" s="63">
        <f>IFERROR(INDEX(Job_Training[[Solar]:[Wind]],MATCH(AO$1,Job_Training[[`Typical Entry Level Education`]:[`Typical Entry Level Education`]],0),MATCH(LEFT($D205,5),Job_Training[[#Headers],[Solar]:[Wind]],0)),0)</f>
        <v>0</v>
      </c>
      <c r="AP205">
        <f t="shared" si="83"/>
        <v>0</v>
      </c>
      <c r="AQ205" s="63">
        <f>IF(AP205&gt;0,IFERROR(INDEX(Assumptions!$C$165:$D$165,MATCH(LEFT($D205,5),Job_Training[[#Headers],[Solar]:[Wind]],0)),0),0)</f>
        <v>0</v>
      </c>
      <c r="AR205">
        <f>IF(AP205&gt;0,IFERROR(INDEX(Assumptions!$C$166:$D$166,MATCH(LEFT($D205,5),Job_Training[[#Headers],[Solar]:[Wind]],0)),0),0)</f>
        <v>0</v>
      </c>
    </row>
    <row r="206" spans="1:44" x14ac:dyDescent="0.35">
      <c r="A206" t="str">
        <f>UserInput!$B$2</f>
        <v>Current Projects</v>
      </c>
      <c r="B206">
        <v>2040</v>
      </c>
      <c r="C206" t="s">
        <v>92</v>
      </c>
      <c r="D206" t="s">
        <v>93</v>
      </c>
      <c r="E206" s="66">
        <f>INDEX(UserInput!$C$2:$M$22,MATCH(UserMade_Scenario!B206,UserInput!$A$2:$A$22,0),MATCH(LEFT(IF(RIGHT(C206,2)="H2",UserMade_Scenario!C206,D206),3),UserInput!$C$25:$M$25,0))</f>
        <v>0</v>
      </c>
      <c r="F206" t="s">
        <v>94</v>
      </c>
      <c r="G206" s="14">
        <f t="shared" si="73"/>
        <v>0</v>
      </c>
      <c r="H206" s="63">
        <f t="shared" si="74"/>
        <v>0</v>
      </c>
      <c r="I206" s="63">
        <f t="shared" si="75"/>
        <v>0</v>
      </c>
      <c r="J206" s="63">
        <f t="shared" si="76"/>
        <v>0</v>
      </c>
      <c r="K206" s="30">
        <f>IF(OR(LEFT($D206,5)="Solar",$D206="Wind"),INDEX(Land_Use[AVG],MATCH(LEFT($D206,5),Land_Use[Tech],0)),0)*$E206</f>
        <v>0</v>
      </c>
      <c r="L206" s="30">
        <f>IF(OR(LEFT($D206,5)="Solar",$D206="Wind"),INDEX(Land_Use[MIN],MATCH(LEFT($D206,5),Land_Use[Tech],0)),0)*$E206</f>
        <v>0</v>
      </c>
      <c r="M206" s="30">
        <f>IF(OR(LEFT($D206,5)="Solar",$D206="Wind"),INDEX(Land_Use[MAX],MATCH(LEFT($D206,5),Land_Use[Tech],0)),0)*$E206</f>
        <v>0</v>
      </c>
      <c r="N206" s="15">
        <f t="shared" si="68"/>
        <v>0</v>
      </c>
      <c r="O206" s="11">
        <f t="shared" si="69"/>
        <v>0</v>
      </c>
      <c r="P206" s="11">
        <f t="shared" si="70"/>
        <v>0</v>
      </c>
      <c r="Q206" s="11">
        <f t="shared" si="71"/>
        <v>0</v>
      </c>
      <c r="R206" s="11">
        <f t="shared" si="72"/>
        <v>0</v>
      </c>
      <c r="S206" s="30">
        <f t="shared" si="77"/>
        <v>0</v>
      </c>
      <c r="T206" s="30">
        <f t="shared" si="78"/>
        <v>0</v>
      </c>
      <c r="U206" s="30">
        <f t="shared" si="79"/>
        <v>0</v>
      </c>
      <c r="V206" s="30">
        <f t="shared" si="80"/>
        <v>0</v>
      </c>
      <c r="W206" s="30">
        <f t="shared" si="81"/>
        <v>0</v>
      </c>
      <c r="X206" s="30">
        <f t="shared" si="82"/>
        <v>0</v>
      </c>
      <c r="Z206" s="23" t="s">
        <v>76</v>
      </c>
      <c r="AA206" s="40" t="str">
        <f>IF(C206="Electricity",E206*SUMIFS(Electricity!S:S,Electricity!P:P,UserMade_Scenario!B206,Electricity!M:M,UserMade_Scenario!Z206,Electricity!O:O,UserMade_Scenario!D206),"")</f>
        <v/>
      </c>
      <c r="AB206" s="67">
        <v>1.4243253975000002E-4</v>
      </c>
      <c r="AC206" s="67" t="s">
        <v>95</v>
      </c>
      <c r="AD206" s="39">
        <f>INDEX(Assumptions!E$120:E$141,MATCH(UserMade_Scenario!$B206,Assumptions!$A$120:$A$141,0))</f>
        <v>-10.36</v>
      </c>
      <c r="AE206" s="39">
        <f>INDEX(Assumptions!F$120:F$141,MATCH(UserMade_Scenario!$B206,Assumptions!$A$120:$A$141,0))</f>
        <v>-10.36</v>
      </c>
      <c r="AF206" s="39">
        <f>INDEX(Assumptions!G$120:G$141,MATCH(UserMade_Scenario!$B206,Assumptions!$A$120:$A$141,0))</f>
        <v>-32.86</v>
      </c>
      <c r="AG206" s="68">
        <f>IFERROR(INDEX(WaterUseH2[Average Direct Water Consumption (Gal/ kg h2)],MATCH(LEFT(D206,3),WaterUseH2[Key],0)),0)</f>
        <v>0</v>
      </c>
      <c r="AH206">
        <v>14</v>
      </c>
      <c r="AI206">
        <v>1.4</v>
      </c>
      <c r="AJ206">
        <v>250</v>
      </c>
      <c r="AK206">
        <v>0.31</v>
      </c>
      <c r="AL206" s="63">
        <f>IFERROR(INDEX(Job_Training[[Solar]:[Wind]],MATCH(AL$1,Job_Training[[`Typical Entry Level Education`]:[`Typical Entry Level Education`]],0),MATCH(LEFT($D206,5),Job_Training[[#Headers],[Solar]:[Wind]],0)),0)</f>
        <v>0</v>
      </c>
      <c r="AM206" s="63">
        <f>IFERROR(INDEX(Job_Training[[Solar]:[Wind]],MATCH(AM$1,Job_Training[[`Typical Entry Level Education`]:[`Typical Entry Level Education`]],0),MATCH(LEFT($D206,5),Job_Training[[#Headers],[Solar]:[Wind]],0)),0)</f>
        <v>0</v>
      </c>
      <c r="AN206" s="63">
        <f>IFERROR(INDEX(Job_Training[[Solar]:[Wind]],MATCH(AN$1,Job_Training[[`Typical Entry Level Education`]:[`Typical Entry Level Education`]],0),MATCH(LEFT($D206,5),Job_Training[[#Headers],[Solar]:[Wind]],0)),0)</f>
        <v>0</v>
      </c>
      <c r="AO206" s="63">
        <f>IFERROR(INDEX(Job_Training[[Solar]:[Wind]],MATCH(AO$1,Job_Training[[`Typical Entry Level Education`]:[`Typical Entry Level Education`]],0),MATCH(LEFT($D206,5),Job_Training[[#Headers],[Solar]:[Wind]],0)),0)</f>
        <v>0</v>
      </c>
      <c r="AP206">
        <f t="shared" si="83"/>
        <v>0</v>
      </c>
      <c r="AQ206" s="63">
        <f>IF(AP206&gt;0,IFERROR(INDEX(Assumptions!$C$165:$D$165,MATCH(LEFT($D206,5),Job_Training[[#Headers],[Solar]:[Wind]],0)),0),0)</f>
        <v>0</v>
      </c>
      <c r="AR206">
        <f>IF(AP206&gt;0,IFERROR(INDEX(Assumptions!$C$166:$D$166,MATCH(LEFT($D206,5),Job_Training[[#Headers],[Solar]:[Wind]],0)),0),0)</f>
        <v>0</v>
      </c>
    </row>
    <row r="207" spans="1:44" x14ac:dyDescent="0.35">
      <c r="A207" t="str">
        <f>UserInput!$B$2</f>
        <v>Current Projects</v>
      </c>
      <c r="B207">
        <v>2041</v>
      </c>
      <c r="C207" t="s">
        <v>92</v>
      </c>
      <c r="D207" t="s">
        <v>93</v>
      </c>
      <c r="E207" s="66">
        <f>INDEX(UserInput!$C$2:$M$22,MATCH(UserMade_Scenario!B207,UserInput!$A$2:$A$22,0),MATCH(LEFT(IF(RIGHT(C207,2)="H2",UserMade_Scenario!C207,D207),3),UserInput!$C$25:$M$25,0))</f>
        <v>0</v>
      </c>
      <c r="F207" t="s">
        <v>94</v>
      </c>
      <c r="G207" s="14">
        <f t="shared" si="73"/>
        <v>0</v>
      </c>
      <c r="H207" s="63">
        <f t="shared" si="74"/>
        <v>0</v>
      </c>
      <c r="I207" s="63">
        <f t="shared" si="75"/>
        <v>0</v>
      </c>
      <c r="J207" s="63">
        <f t="shared" si="76"/>
        <v>0</v>
      </c>
      <c r="K207" s="30">
        <f>IF(OR(LEFT($D207,5)="Solar",$D207="Wind"),INDEX(Land_Use[AVG],MATCH(LEFT($D207,5),Land_Use[Tech],0)),0)*$E207</f>
        <v>0</v>
      </c>
      <c r="L207" s="30">
        <f>IF(OR(LEFT($D207,5)="Solar",$D207="Wind"),INDEX(Land_Use[MIN],MATCH(LEFT($D207,5),Land_Use[Tech],0)),0)*$E207</f>
        <v>0</v>
      </c>
      <c r="M207" s="30">
        <f>IF(OR(LEFT($D207,5)="Solar",$D207="Wind"),INDEX(Land_Use[MAX],MATCH(LEFT($D207,5),Land_Use[Tech],0)),0)*$E207</f>
        <v>0</v>
      </c>
      <c r="N207" s="15">
        <f t="shared" si="68"/>
        <v>0</v>
      </c>
      <c r="O207" s="11">
        <f t="shared" si="69"/>
        <v>0</v>
      </c>
      <c r="P207" s="11">
        <f t="shared" si="70"/>
        <v>0</v>
      </c>
      <c r="Q207" s="11">
        <f t="shared" si="71"/>
        <v>0</v>
      </c>
      <c r="R207" s="11">
        <f t="shared" si="72"/>
        <v>0</v>
      </c>
      <c r="S207" s="30">
        <f t="shared" si="77"/>
        <v>0</v>
      </c>
      <c r="T207" s="30">
        <f t="shared" si="78"/>
        <v>0</v>
      </c>
      <c r="U207" s="30">
        <f t="shared" si="79"/>
        <v>0</v>
      </c>
      <c r="V207" s="30">
        <f t="shared" si="80"/>
        <v>0</v>
      </c>
      <c r="W207" s="30">
        <f t="shared" si="81"/>
        <v>0</v>
      </c>
      <c r="X207" s="30">
        <f t="shared" si="82"/>
        <v>0</v>
      </c>
      <c r="Z207" s="23" t="s">
        <v>76</v>
      </c>
      <c r="AA207" s="40" t="str">
        <f>IF(C207="Electricity",E207*SUMIFS(Electricity!S:S,Electricity!P:P,UserMade_Scenario!B207,Electricity!M:M,UserMade_Scenario!Z207,Electricity!O:O,UserMade_Scenario!D207),"")</f>
        <v/>
      </c>
      <c r="AB207" s="67">
        <v>1.4243253975000002E-4</v>
      </c>
      <c r="AC207" s="67" t="s">
        <v>95</v>
      </c>
      <c r="AD207" s="39">
        <f>INDEX(Assumptions!E$120:E$141,MATCH(UserMade_Scenario!$B207,Assumptions!$A$120:$A$141,0))</f>
        <v>-10.36</v>
      </c>
      <c r="AE207" s="39">
        <f>INDEX(Assumptions!F$120:F$141,MATCH(UserMade_Scenario!$B207,Assumptions!$A$120:$A$141,0))</f>
        <v>-10.36</v>
      </c>
      <c r="AF207" s="39">
        <f>INDEX(Assumptions!G$120:G$141,MATCH(UserMade_Scenario!$B207,Assumptions!$A$120:$A$141,0))</f>
        <v>-32.86</v>
      </c>
      <c r="AG207" s="68">
        <f>IFERROR(INDEX(WaterUseH2[Average Direct Water Consumption (Gal/ kg h2)],MATCH(LEFT(D207,3),WaterUseH2[Key],0)),0)</f>
        <v>0</v>
      </c>
      <c r="AH207">
        <v>14</v>
      </c>
      <c r="AI207">
        <v>1.4</v>
      </c>
      <c r="AJ207">
        <v>250</v>
      </c>
      <c r="AK207">
        <v>0.31</v>
      </c>
      <c r="AL207" s="63">
        <f>IFERROR(INDEX(Job_Training[[Solar]:[Wind]],MATCH(AL$1,Job_Training[[`Typical Entry Level Education`]:[`Typical Entry Level Education`]],0),MATCH(LEFT($D207,5),Job_Training[[#Headers],[Solar]:[Wind]],0)),0)</f>
        <v>0</v>
      </c>
      <c r="AM207" s="63">
        <f>IFERROR(INDEX(Job_Training[[Solar]:[Wind]],MATCH(AM$1,Job_Training[[`Typical Entry Level Education`]:[`Typical Entry Level Education`]],0),MATCH(LEFT($D207,5),Job_Training[[#Headers],[Solar]:[Wind]],0)),0)</f>
        <v>0</v>
      </c>
      <c r="AN207" s="63">
        <f>IFERROR(INDEX(Job_Training[[Solar]:[Wind]],MATCH(AN$1,Job_Training[[`Typical Entry Level Education`]:[`Typical Entry Level Education`]],0),MATCH(LEFT($D207,5),Job_Training[[#Headers],[Solar]:[Wind]],0)),0)</f>
        <v>0</v>
      </c>
      <c r="AO207" s="63">
        <f>IFERROR(INDEX(Job_Training[[Solar]:[Wind]],MATCH(AO$1,Job_Training[[`Typical Entry Level Education`]:[`Typical Entry Level Education`]],0),MATCH(LEFT($D207,5),Job_Training[[#Headers],[Solar]:[Wind]],0)),0)</f>
        <v>0</v>
      </c>
      <c r="AP207">
        <f t="shared" si="83"/>
        <v>0</v>
      </c>
      <c r="AQ207" s="63">
        <f>IF(AP207&gt;0,IFERROR(INDEX(Assumptions!$C$165:$D$165,MATCH(LEFT($D207,5),Job_Training[[#Headers],[Solar]:[Wind]],0)),0),0)</f>
        <v>0</v>
      </c>
      <c r="AR207">
        <f>IF(AP207&gt;0,IFERROR(INDEX(Assumptions!$C$166:$D$166,MATCH(LEFT($D207,5),Job_Training[[#Headers],[Solar]:[Wind]],0)),0),0)</f>
        <v>0</v>
      </c>
    </row>
    <row r="208" spans="1:44" x14ac:dyDescent="0.35">
      <c r="A208" t="str">
        <f>UserInput!$B$2</f>
        <v>Current Projects</v>
      </c>
      <c r="B208">
        <v>2042</v>
      </c>
      <c r="C208" t="s">
        <v>92</v>
      </c>
      <c r="D208" t="s">
        <v>93</v>
      </c>
      <c r="E208" s="66">
        <f>INDEX(UserInput!$C$2:$M$22,MATCH(UserMade_Scenario!B208,UserInput!$A$2:$A$22,0),MATCH(LEFT(IF(RIGHT(C208,2)="H2",UserMade_Scenario!C208,D208),3),UserInput!$C$25:$M$25,0))</f>
        <v>0</v>
      </c>
      <c r="F208" t="s">
        <v>94</v>
      </c>
      <c r="G208" s="14">
        <f t="shared" si="73"/>
        <v>0</v>
      </c>
      <c r="H208" s="63">
        <f t="shared" si="74"/>
        <v>0</v>
      </c>
      <c r="I208" s="63">
        <f t="shared" si="75"/>
        <v>0</v>
      </c>
      <c r="J208" s="63">
        <f t="shared" si="76"/>
        <v>0</v>
      </c>
      <c r="K208" s="30">
        <f>IF(OR(LEFT($D208,5)="Solar",$D208="Wind"),INDEX(Land_Use[AVG],MATCH(LEFT($D208,5),Land_Use[Tech],0)),0)*$E208</f>
        <v>0</v>
      </c>
      <c r="L208" s="30">
        <f>IF(OR(LEFT($D208,5)="Solar",$D208="Wind"),INDEX(Land_Use[MIN],MATCH(LEFT($D208,5),Land_Use[Tech],0)),0)*$E208</f>
        <v>0</v>
      </c>
      <c r="M208" s="30">
        <f>IF(OR(LEFT($D208,5)="Solar",$D208="Wind"),INDEX(Land_Use[MAX],MATCH(LEFT($D208,5),Land_Use[Tech],0)),0)*$E208</f>
        <v>0</v>
      </c>
      <c r="N208" s="15">
        <f t="shared" si="68"/>
        <v>0</v>
      </c>
      <c r="O208" s="11">
        <f t="shared" si="69"/>
        <v>0</v>
      </c>
      <c r="P208" s="11">
        <f t="shared" si="70"/>
        <v>0</v>
      </c>
      <c r="Q208" s="11">
        <f t="shared" si="71"/>
        <v>0</v>
      </c>
      <c r="R208" s="11">
        <f t="shared" si="72"/>
        <v>0</v>
      </c>
      <c r="S208" s="30">
        <f t="shared" si="77"/>
        <v>0</v>
      </c>
      <c r="T208" s="30">
        <f t="shared" si="78"/>
        <v>0</v>
      </c>
      <c r="U208" s="30">
        <f t="shared" si="79"/>
        <v>0</v>
      </c>
      <c r="V208" s="30">
        <f t="shared" si="80"/>
        <v>0</v>
      </c>
      <c r="W208" s="30">
        <f t="shared" si="81"/>
        <v>0</v>
      </c>
      <c r="X208" s="30">
        <f t="shared" si="82"/>
        <v>0</v>
      </c>
      <c r="Z208" s="23" t="s">
        <v>76</v>
      </c>
      <c r="AA208" s="40" t="str">
        <f>IF(C208="Electricity",E208*SUMIFS(Electricity!S:S,Electricity!P:P,UserMade_Scenario!B208,Electricity!M:M,UserMade_Scenario!Z208,Electricity!O:O,UserMade_Scenario!D208),"")</f>
        <v/>
      </c>
      <c r="AB208" s="67">
        <v>1.4243253975000002E-4</v>
      </c>
      <c r="AC208" s="67" t="s">
        <v>95</v>
      </c>
      <c r="AD208" s="39">
        <f>INDEX(Assumptions!E$120:E$141,MATCH(UserMade_Scenario!$B208,Assumptions!$A$120:$A$141,0))</f>
        <v>-10.36</v>
      </c>
      <c r="AE208" s="39">
        <f>INDEX(Assumptions!F$120:F$141,MATCH(UserMade_Scenario!$B208,Assumptions!$A$120:$A$141,0))</f>
        <v>-10.36</v>
      </c>
      <c r="AF208" s="39">
        <f>INDEX(Assumptions!G$120:G$141,MATCH(UserMade_Scenario!$B208,Assumptions!$A$120:$A$141,0))</f>
        <v>-32.86</v>
      </c>
      <c r="AG208" s="68">
        <f>IFERROR(INDEX(WaterUseH2[Average Direct Water Consumption (Gal/ kg h2)],MATCH(LEFT(D208,3),WaterUseH2[Key],0)),0)</f>
        <v>0</v>
      </c>
      <c r="AH208">
        <v>14</v>
      </c>
      <c r="AI208">
        <v>1.4</v>
      </c>
      <c r="AJ208">
        <v>250</v>
      </c>
      <c r="AK208">
        <v>0.31</v>
      </c>
      <c r="AL208" s="63">
        <f>IFERROR(INDEX(Job_Training[[Solar]:[Wind]],MATCH(AL$1,Job_Training[[`Typical Entry Level Education`]:[`Typical Entry Level Education`]],0),MATCH(LEFT($D208,5),Job_Training[[#Headers],[Solar]:[Wind]],0)),0)</f>
        <v>0</v>
      </c>
      <c r="AM208" s="63">
        <f>IFERROR(INDEX(Job_Training[[Solar]:[Wind]],MATCH(AM$1,Job_Training[[`Typical Entry Level Education`]:[`Typical Entry Level Education`]],0),MATCH(LEFT($D208,5),Job_Training[[#Headers],[Solar]:[Wind]],0)),0)</f>
        <v>0</v>
      </c>
      <c r="AN208" s="63">
        <f>IFERROR(INDEX(Job_Training[[Solar]:[Wind]],MATCH(AN$1,Job_Training[[`Typical Entry Level Education`]:[`Typical Entry Level Education`]],0),MATCH(LEFT($D208,5),Job_Training[[#Headers],[Solar]:[Wind]],0)),0)</f>
        <v>0</v>
      </c>
      <c r="AO208" s="63">
        <f>IFERROR(INDEX(Job_Training[[Solar]:[Wind]],MATCH(AO$1,Job_Training[[`Typical Entry Level Education`]:[`Typical Entry Level Education`]],0),MATCH(LEFT($D208,5),Job_Training[[#Headers],[Solar]:[Wind]],0)),0)</f>
        <v>0</v>
      </c>
      <c r="AP208">
        <f t="shared" si="83"/>
        <v>0</v>
      </c>
      <c r="AQ208" s="63">
        <f>IF(AP208&gt;0,IFERROR(INDEX(Assumptions!$C$165:$D$165,MATCH(LEFT($D208,5),Job_Training[[#Headers],[Solar]:[Wind]],0)),0),0)</f>
        <v>0</v>
      </c>
      <c r="AR208">
        <f>IF(AP208&gt;0,IFERROR(INDEX(Assumptions!$C$166:$D$166,MATCH(LEFT($D208,5),Job_Training[[#Headers],[Solar]:[Wind]],0)),0),0)</f>
        <v>0</v>
      </c>
    </row>
    <row r="209" spans="1:44" x14ac:dyDescent="0.35">
      <c r="A209" t="str">
        <f>UserInput!$B$2</f>
        <v>Current Projects</v>
      </c>
      <c r="B209">
        <v>2043</v>
      </c>
      <c r="C209" t="s">
        <v>92</v>
      </c>
      <c r="D209" t="s">
        <v>93</v>
      </c>
      <c r="E209" s="66">
        <f>INDEX(UserInput!$C$2:$M$22,MATCH(UserMade_Scenario!B209,UserInput!$A$2:$A$22,0),MATCH(LEFT(IF(RIGHT(C209,2)="H2",UserMade_Scenario!C209,D209),3),UserInput!$C$25:$M$25,0))</f>
        <v>0</v>
      </c>
      <c r="F209" t="s">
        <v>94</v>
      </c>
      <c r="G209" s="14">
        <f t="shared" si="73"/>
        <v>0</v>
      </c>
      <c r="H209" s="63">
        <f t="shared" si="74"/>
        <v>0</v>
      </c>
      <c r="I209" s="63">
        <f t="shared" si="75"/>
        <v>0</v>
      </c>
      <c r="J209" s="63">
        <f t="shared" si="76"/>
        <v>0</v>
      </c>
      <c r="K209" s="30">
        <f>IF(OR(LEFT($D209,5)="Solar",$D209="Wind"),INDEX(Land_Use[AVG],MATCH(LEFT($D209,5),Land_Use[Tech],0)),0)*$E209</f>
        <v>0</v>
      </c>
      <c r="L209" s="30">
        <f>IF(OR(LEFT($D209,5)="Solar",$D209="Wind"),INDEX(Land_Use[MIN],MATCH(LEFT($D209,5),Land_Use[Tech],0)),0)*$E209</f>
        <v>0</v>
      </c>
      <c r="M209" s="30">
        <f>IF(OR(LEFT($D209,5)="Solar",$D209="Wind"),INDEX(Land_Use[MAX],MATCH(LEFT($D209,5),Land_Use[Tech],0)),0)*$E209</f>
        <v>0</v>
      </c>
      <c r="N209" s="15">
        <f t="shared" si="68"/>
        <v>0</v>
      </c>
      <c r="O209" s="11">
        <f t="shared" si="69"/>
        <v>0</v>
      </c>
      <c r="P209" s="11">
        <f t="shared" si="70"/>
        <v>0</v>
      </c>
      <c r="Q209" s="11">
        <f t="shared" si="71"/>
        <v>0</v>
      </c>
      <c r="R209" s="11">
        <f t="shared" si="72"/>
        <v>0</v>
      </c>
      <c r="S209" s="30">
        <f t="shared" si="77"/>
        <v>0</v>
      </c>
      <c r="T209" s="30">
        <f t="shared" si="78"/>
        <v>0</v>
      </c>
      <c r="U209" s="30">
        <f t="shared" si="79"/>
        <v>0</v>
      </c>
      <c r="V209" s="30">
        <f t="shared" si="80"/>
        <v>0</v>
      </c>
      <c r="W209" s="30">
        <f t="shared" si="81"/>
        <v>0</v>
      </c>
      <c r="X209" s="30">
        <f t="shared" si="82"/>
        <v>0</v>
      </c>
      <c r="Z209" s="23" t="s">
        <v>76</v>
      </c>
      <c r="AA209" s="40" t="str">
        <f>IF(C209="Electricity",E209*SUMIFS(Electricity!S:S,Electricity!P:P,UserMade_Scenario!B209,Electricity!M:M,UserMade_Scenario!Z209,Electricity!O:O,UserMade_Scenario!D209),"")</f>
        <v/>
      </c>
      <c r="AB209" s="67">
        <v>1.4243253975000002E-4</v>
      </c>
      <c r="AC209" s="67" t="s">
        <v>95</v>
      </c>
      <c r="AD209" s="39">
        <f>INDEX(Assumptions!E$120:E$141,MATCH(UserMade_Scenario!$B209,Assumptions!$A$120:$A$141,0))</f>
        <v>-10.36</v>
      </c>
      <c r="AE209" s="39">
        <f>INDEX(Assumptions!F$120:F$141,MATCH(UserMade_Scenario!$B209,Assumptions!$A$120:$A$141,0))</f>
        <v>-10.36</v>
      </c>
      <c r="AF209" s="39">
        <f>INDEX(Assumptions!G$120:G$141,MATCH(UserMade_Scenario!$B209,Assumptions!$A$120:$A$141,0))</f>
        <v>-32.86</v>
      </c>
      <c r="AG209" s="68">
        <f>IFERROR(INDEX(WaterUseH2[Average Direct Water Consumption (Gal/ kg h2)],MATCH(LEFT(D209,3),WaterUseH2[Key],0)),0)</f>
        <v>0</v>
      </c>
      <c r="AH209">
        <v>14</v>
      </c>
      <c r="AI209">
        <v>1.4</v>
      </c>
      <c r="AJ209">
        <v>250</v>
      </c>
      <c r="AK209">
        <v>0.31</v>
      </c>
      <c r="AL209" s="63">
        <f>IFERROR(INDEX(Job_Training[[Solar]:[Wind]],MATCH(AL$1,Job_Training[[`Typical Entry Level Education`]:[`Typical Entry Level Education`]],0),MATCH(LEFT($D209,5),Job_Training[[#Headers],[Solar]:[Wind]],0)),0)</f>
        <v>0</v>
      </c>
      <c r="AM209" s="63">
        <f>IFERROR(INDEX(Job_Training[[Solar]:[Wind]],MATCH(AM$1,Job_Training[[`Typical Entry Level Education`]:[`Typical Entry Level Education`]],0),MATCH(LEFT($D209,5),Job_Training[[#Headers],[Solar]:[Wind]],0)),0)</f>
        <v>0</v>
      </c>
      <c r="AN209" s="63">
        <f>IFERROR(INDEX(Job_Training[[Solar]:[Wind]],MATCH(AN$1,Job_Training[[`Typical Entry Level Education`]:[`Typical Entry Level Education`]],0),MATCH(LEFT($D209,5),Job_Training[[#Headers],[Solar]:[Wind]],0)),0)</f>
        <v>0</v>
      </c>
      <c r="AO209" s="63">
        <f>IFERROR(INDEX(Job_Training[[Solar]:[Wind]],MATCH(AO$1,Job_Training[[`Typical Entry Level Education`]:[`Typical Entry Level Education`]],0),MATCH(LEFT($D209,5),Job_Training[[#Headers],[Solar]:[Wind]],0)),0)</f>
        <v>0</v>
      </c>
      <c r="AP209">
        <f t="shared" si="83"/>
        <v>0</v>
      </c>
      <c r="AQ209" s="63">
        <f>IF(AP209&gt;0,IFERROR(INDEX(Assumptions!$C$165:$D$165,MATCH(LEFT($D209,5),Job_Training[[#Headers],[Solar]:[Wind]],0)),0),0)</f>
        <v>0</v>
      </c>
      <c r="AR209">
        <f>IF(AP209&gt;0,IFERROR(INDEX(Assumptions!$C$166:$D$166,MATCH(LEFT($D209,5),Job_Training[[#Headers],[Solar]:[Wind]],0)),0),0)</f>
        <v>0</v>
      </c>
    </row>
    <row r="210" spans="1:44" x14ac:dyDescent="0.35">
      <c r="A210" t="str">
        <f>UserInput!$B$2</f>
        <v>Current Projects</v>
      </c>
      <c r="B210">
        <v>2044</v>
      </c>
      <c r="C210" t="s">
        <v>92</v>
      </c>
      <c r="D210" t="s">
        <v>93</v>
      </c>
      <c r="E210" s="66">
        <f>INDEX(UserInput!$C$2:$M$22,MATCH(UserMade_Scenario!B210,UserInput!$A$2:$A$22,0),MATCH(LEFT(IF(RIGHT(C210,2)="H2",UserMade_Scenario!C210,D210),3),UserInput!$C$25:$M$25,0))</f>
        <v>0</v>
      </c>
      <c r="F210" t="s">
        <v>94</v>
      </c>
      <c r="G210" s="14">
        <f t="shared" si="73"/>
        <v>0</v>
      </c>
      <c r="H210" s="63">
        <f t="shared" si="74"/>
        <v>0</v>
      </c>
      <c r="I210" s="63">
        <f t="shared" si="75"/>
        <v>0</v>
      </c>
      <c r="J210" s="63">
        <f t="shared" si="76"/>
        <v>0</v>
      </c>
      <c r="K210" s="30">
        <f>IF(OR(LEFT($D210,5)="Solar",$D210="Wind"),INDEX(Land_Use[AVG],MATCH(LEFT($D210,5),Land_Use[Tech],0)),0)*$E210</f>
        <v>0</v>
      </c>
      <c r="L210" s="30">
        <f>IF(OR(LEFT($D210,5)="Solar",$D210="Wind"),INDEX(Land_Use[MIN],MATCH(LEFT($D210,5),Land_Use[Tech],0)),0)*$E210</f>
        <v>0</v>
      </c>
      <c r="M210" s="30">
        <f>IF(OR(LEFT($D210,5)="Solar",$D210="Wind"),INDEX(Land_Use[MAX],MATCH(LEFT($D210,5),Land_Use[Tech],0)),0)*$E210</f>
        <v>0</v>
      </c>
      <c r="N210" s="15">
        <f t="shared" si="68"/>
        <v>0</v>
      </c>
      <c r="O210" s="11">
        <f t="shared" si="69"/>
        <v>0</v>
      </c>
      <c r="P210" s="11">
        <f t="shared" si="70"/>
        <v>0</v>
      </c>
      <c r="Q210" s="11">
        <f t="shared" si="71"/>
        <v>0</v>
      </c>
      <c r="R210" s="11">
        <f t="shared" si="72"/>
        <v>0</v>
      </c>
      <c r="S210" s="30">
        <f t="shared" si="77"/>
        <v>0</v>
      </c>
      <c r="T210" s="30">
        <f t="shared" si="78"/>
        <v>0</v>
      </c>
      <c r="U210" s="30">
        <f t="shared" si="79"/>
        <v>0</v>
      </c>
      <c r="V210" s="30">
        <f t="shared" si="80"/>
        <v>0</v>
      </c>
      <c r="W210" s="30">
        <f t="shared" si="81"/>
        <v>0</v>
      </c>
      <c r="X210" s="30">
        <f t="shared" si="82"/>
        <v>0</v>
      </c>
      <c r="Z210" s="23" t="s">
        <v>76</v>
      </c>
      <c r="AA210" s="40" t="str">
        <f>IF(C210="Electricity",E210*SUMIFS(Electricity!S:S,Electricity!P:P,UserMade_Scenario!B210,Electricity!M:M,UserMade_Scenario!Z210,Electricity!O:O,UserMade_Scenario!D210),"")</f>
        <v/>
      </c>
      <c r="AB210" s="67">
        <v>1.4243253975000002E-4</v>
      </c>
      <c r="AC210" s="67" t="s">
        <v>95</v>
      </c>
      <c r="AD210" s="39">
        <f>INDEX(Assumptions!E$120:E$141,MATCH(UserMade_Scenario!$B210,Assumptions!$A$120:$A$141,0))</f>
        <v>-10.36</v>
      </c>
      <c r="AE210" s="39">
        <f>INDEX(Assumptions!F$120:F$141,MATCH(UserMade_Scenario!$B210,Assumptions!$A$120:$A$141,0))</f>
        <v>-10.36</v>
      </c>
      <c r="AF210" s="39">
        <f>INDEX(Assumptions!G$120:G$141,MATCH(UserMade_Scenario!$B210,Assumptions!$A$120:$A$141,0))</f>
        <v>-32.86</v>
      </c>
      <c r="AG210" s="68">
        <f>IFERROR(INDEX(WaterUseH2[Average Direct Water Consumption (Gal/ kg h2)],MATCH(LEFT(D210,3),WaterUseH2[Key],0)),0)</f>
        <v>0</v>
      </c>
      <c r="AH210">
        <v>14</v>
      </c>
      <c r="AI210">
        <v>1.4</v>
      </c>
      <c r="AJ210">
        <v>250</v>
      </c>
      <c r="AK210">
        <v>0.31</v>
      </c>
      <c r="AL210" s="63">
        <f>IFERROR(INDEX(Job_Training[[Solar]:[Wind]],MATCH(AL$1,Job_Training[[`Typical Entry Level Education`]:[`Typical Entry Level Education`]],0),MATCH(LEFT($D210,5),Job_Training[[#Headers],[Solar]:[Wind]],0)),0)</f>
        <v>0</v>
      </c>
      <c r="AM210" s="63">
        <f>IFERROR(INDEX(Job_Training[[Solar]:[Wind]],MATCH(AM$1,Job_Training[[`Typical Entry Level Education`]:[`Typical Entry Level Education`]],0),MATCH(LEFT($D210,5),Job_Training[[#Headers],[Solar]:[Wind]],0)),0)</f>
        <v>0</v>
      </c>
      <c r="AN210" s="63">
        <f>IFERROR(INDEX(Job_Training[[Solar]:[Wind]],MATCH(AN$1,Job_Training[[`Typical Entry Level Education`]:[`Typical Entry Level Education`]],0),MATCH(LEFT($D210,5),Job_Training[[#Headers],[Solar]:[Wind]],0)),0)</f>
        <v>0</v>
      </c>
      <c r="AO210" s="63">
        <f>IFERROR(INDEX(Job_Training[[Solar]:[Wind]],MATCH(AO$1,Job_Training[[`Typical Entry Level Education`]:[`Typical Entry Level Education`]],0),MATCH(LEFT($D210,5),Job_Training[[#Headers],[Solar]:[Wind]],0)),0)</f>
        <v>0</v>
      </c>
      <c r="AP210">
        <f t="shared" si="83"/>
        <v>0</v>
      </c>
      <c r="AQ210" s="63">
        <f>IF(AP210&gt;0,IFERROR(INDEX(Assumptions!$C$165:$D$165,MATCH(LEFT($D210,5),Job_Training[[#Headers],[Solar]:[Wind]],0)),0),0)</f>
        <v>0</v>
      </c>
      <c r="AR210">
        <f>IF(AP210&gt;0,IFERROR(INDEX(Assumptions!$C$166:$D$166,MATCH(LEFT($D210,5),Job_Training[[#Headers],[Solar]:[Wind]],0)),0),0)</f>
        <v>0</v>
      </c>
    </row>
    <row r="211" spans="1:44" x14ac:dyDescent="0.35">
      <c r="A211" t="str">
        <f>UserInput!$B$2</f>
        <v>Current Projects</v>
      </c>
      <c r="B211">
        <v>2045</v>
      </c>
      <c r="C211" t="s">
        <v>92</v>
      </c>
      <c r="D211" t="s">
        <v>93</v>
      </c>
      <c r="E211" s="66">
        <f>INDEX(UserInput!$C$2:$M$22,MATCH(UserMade_Scenario!B211,UserInput!$A$2:$A$22,0),MATCH(LEFT(IF(RIGHT(C211,2)="H2",UserMade_Scenario!C211,D211),3),UserInput!$C$25:$M$25,0))</f>
        <v>0</v>
      </c>
      <c r="F211" t="s">
        <v>94</v>
      </c>
      <c r="G211" s="14">
        <f t="shared" si="73"/>
        <v>0</v>
      </c>
      <c r="H211" s="63">
        <f t="shared" si="74"/>
        <v>0</v>
      </c>
      <c r="I211" s="63">
        <f t="shared" si="75"/>
        <v>0</v>
      </c>
      <c r="J211" s="63">
        <f t="shared" si="76"/>
        <v>0</v>
      </c>
      <c r="K211" s="30">
        <f>IF(OR(LEFT($D211,5)="Solar",$D211="Wind"),INDEX(Land_Use[AVG],MATCH(LEFT($D211,5),Land_Use[Tech],0)),0)*$E211</f>
        <v>0</v>
      </c>
      <c r="L211" s="30">
        <f>IF(OR(LEFT($D211,5)="Solar",$D211="Wind"),INDEX(Land_Use[MIN],MATCH(LEFT($D211,5),Land_Use[Tech],0)),0)*$E211</f>
        <v>0</v>
      </c>
      <c r="M211" s="30">
        <f>IF(OR(LEFT($D211,5)="Solar",$D211="Wind"),INDEX(Land_Use[MAX],MATCH(LEFT($D211,5),Land_Use[Tech],0)),0)*$E211</f>
        <v>0</v>
      </c>
      <c r="N211" s="15">
        <f t="shared" si="68"/>
        <v>0</v>
      </c>
      <c r="O211" s="11">
        <f t="shared" si="69"/>
        <v>0</v>
      </c>
      <c r="P211" s="11">
        <f t="shared" si="70"/>
        <v>0</v>
      </c>
      <c r="Q211" s="11">
        <f t="shared" si="71"/>
        <v>0</v>
      </c>
      <c r="R211" s="11">
        <f t="shared" si="72"/>
        <v>0</v>
      </c>
      <c r="S211" s="30">
        <f t="shared" si="77"/>
        <v>0</v>
      </c>
      <c r="T211" s="30">
        <f t="shared" si="78"/>
        <v>0</v>
      </c>
      <c r="U211" s="30">
        <f t="shared" si="79"/>
        <v>0</v>
      </c>
      <c r="V211" s="30">
        <f t="shared" si="80"/>
        <v>0</v>
      </c>
      <c r="W211" s="30">
        <f t="shared" si="81"/>
        <v>0</v>
      </c>
      <c r="X211" s="30">
        <f t="shared" si="82"/>
        <v>0</v>
      </c>
      <c r="Z211" s="23" t="s">
        <v>76</v>
      </c>
      <c r="AA211" s="40" t="str">
        <f>IF(C211="Electricity",E211*SUMIFS(Electricity!S:S,Electricity!P:P,UserMade_Scenario!B211,Electricity!M:M,UserMade_Scenario!Z211,Electricity!O:O,UserMade_Scenario!D211),"")</f>
        <v/>
      </c>
      <c r="AB211" s="67">
        <v>1.4243253975000002E-4</v>
      </c>
      <c r="AC211" s="67" t="s">
        <v>95</v>
      </c>
      <c r="AD211" s="39">
        <f>INDEX(Assumptions!E$120:E$141,MATCH(UserMade_Scenario!$B211,Assumptions!$A$120:$A$141,0))</f>
        <v>-10.36</v>
      </c>
      <c r="AE211" s="39">
        <f>INDEX(Assumptions!F$120:F$141,MATCH(UserMade_Scenario!$B211,Assumptions!$A$120:$A$141,0))</f>
        <v>-10.36</v>
      </c>
      <c r="AF211" s="39">
        <f>INDEX(Assumptions!G$120:G$141,MATCH(UserMade_Scenario!$B211,Assumptions!$A$120:$A$141,0))</f>
        <v>-32.86</v>
      </c>
      <c r="AG211" s="68">
        <f>IFERROR(INDEX(WaterUseH2[Average Direct Water Consumption (Gal/ kg h2)],MATCH(LEFT(D211,3),WaterUseH2[Key],0)),0)</f>
        <v>0</v>
      </c>
      <c r="AH211">
        <v>14</v>
      </c>
      <c r="AI211">
        <v>1.4</v>
      </c>
      <c r="AJ211">
        <v>250</v>
      </c>
      <c r="AK211">
        <v>0.31</v>
      </c>
      <c r="AL211" s="63">
        <f>IFERROR(INDEX(Job_Training[[Solar]:[Wind]],MATCH(AL$1,Job_Training[[`Typical Entry Level Education`]:[`Typical Entry Level Education`]],0),MATCH(LEFT($D211,5),Job_Training[[#Headers],[Solar]:[Wind]],0)),0)</f>
        <v>0</v>
      </c>
      <c r="AM211" s="63">
        <f>IFERROR(INDEX(Job_Training[[Solar]:[Wind]],MATCH(AM$1,Job_Training[[`Typical Entry Level Education`]:[`Typical Entry Level Education`]],0),MATCH(LEFT($D211,5),Job_Training[[#Headers],[Solar]:[Wind]],0)),0)</f>
        <v>0</v>
      </c>
      <c r="AN211" s="63">
        <f>IFERROR(INDEX(Job_Training[[Solar]:[Wind]],MATCH(AN$1,Job_Training[[`Typical Entry Level Education`]:[`Typical Entry Level Education`]],0),MATCH(LEFT($D211,5),Job_Training[[#Headers],[Solar]:[Wind]],0)),0)</f>
        <v>0</v>
      </c>
      <c r="AO211" s="63">
        <f>IFERROR(INDEX(Job_Training[[Solar]:[Wind]],MATCH(AO$1,Job_Training[[`Typical Entry Level Education`]:[`Typical Entry Level Education`]],0),MATCH(LEFT($D211,5),Job_Training[[#Headers],[Solar]:[Wind]],0)),0)</f>
        <v>0</v>
      </c>
      <c r="AP211">
        <f t="shared" si="83"/>
        <v>0</v>
      </c>
      <c r="AQ211" s="63">
        <f>IF(AP211&gt;0,IFERROR(INDEX(Assumptions!$C$165:$D$165,MATCH(LEFT($D211,5),Job_Training[[#Headers],[Solar]:[Wind]],0)),0),0)</f>
        <v>0</v>
      </c>
      <c r="AR211">
        <f>IF(AP211&gt;0,IFERROR(INDEX(Assumptions!$C$166:$D$166,MATCH(LEFT($D211,5),Job_Training[[#Headers],[Solar]:[Wind]],0)),0),0)</f>
        <v>0</v>
      </c>
    </row>
    <row r="212" spans="1:44" x14ac:dyDescent="0.35">
      <c r="A212" t="str">
        <f>UserInput!$B$2</f>
        <v>Current Projects</v>
      </c>
      <c r="B212">
        <v>2025</v>
      </c>
      <c r="C212" t="s">
        <v>92</v>
      </c>
      <c r="D212" t="s">
        <v>96</v>
      </c>
      <c r="E212" s="66">
        <f>INDEX(UserInput!$C$2:$M$22,MATCH(UserMade_Scenario!B212,UserInput!$A$2:$A$22,0),MATCH(LEFT(IF(RIGHT(C212,2)="H2",UserMade_Scenario!C212,D212),3),UserInput!$C$25:$M$25,0))</f>
        <v>0</v>
      </c>
      <c r="F212" t="s">
        <v>94</v>
      </c>
      <c r="G212" s="14">
        <f t="shared" si="73"/>
        <v>0</v>
      </c>
      <c r="H212" s="63">
        <f t="shared" si="74"/>
        <v>0</v>
      </c>
      <c r="I212" s="63">
        <f t="shared" si="75"/>
        <v>0</v>
      </c>
      <c r="J212" s="63">
        <f t="shared" si="76"/>
        <v>0</v>
      </c>
      <c r="K212" s="30">
        <f>IF(OR(LEFT($D212,5)="Solar",$D212="Wind"),INDEX(Land_Use[AVG],MATCH(LEFT($D212,5),Land_Use[Tech],0)),0)*$E212</f>
        <v>0</v>
      </c>
      <c r="L212" s="30">
        <f>IF(OR(LEFT($D212,5)="Solar",$D212="Wind"),INDEX(Land_Use[MIN],MATCH(LEFT($D212,5),Land_Use[Tech],0)),0)*$E212</f>
        <v>0</v>
      </c>
      <c r="M212" s="30">
        <f>IF(OR(LEFT($D212,5)="Solar",$D212="Wind"),INDEX(Land_Use[MAX],MATCH(LEFT($D212,5),Land_Use[Tech],0)),0)*$E212</f>
        <v>0</v>
      </c>
      <c r="N212" s="15">
        <f t="shared" si="68"/>
        <v>0</v>
      </c>
      <c r="O212" s="11">
        <f t="shared" si="69"/>
        <v>0</v>
      </c>
      <c r="P212" s="11">
        <f t="shared" si="70"/>
        <v>0</v>
      </c>
      <c r="Q212" s="11">
        <f t="shared" si="71"/>
        <v>0</v>
      </c>
      <c r="R212" s="11">
        <f t="shared" si="72"/>
        <v>0</v>
      </c>
      <c r="S212" s="30">
        <f t="shared" si="77"/>
        <v>0</v>
      </c>
      <c r="T212" s="30">
        <f t="shared" si="78"/>
        <v>0</v>
      </c>
      <c r="U212" s="30">
        <f t="shared" si="79"/>
        <v>0</v>
      </c>
      <c r="V212" s="30">
        <f t="shared" si="80"/>
        <v>0</v>
      </c>
      <c r="W212" s="30">
        <f t="shared" si="81"/>
        <v>0</v>
      </c>
      <c r="X212" s="30">
        <f t="shared" si="82"/>
        <v>0</v>
      </c>
      <c r="Z212" s="23" t="s">
        <v>76</v>
      </c>
      <c r="AA212" s="40" t="str">
        <f>IF(C212="Electricity",E212*SUMIFS(Electricity!S:S,Electricity!P:P,UserMade_Scenario!B212,Electricity!M:M,UserMade_Scenario!Z212,Electricity!O:O,UserMade_Scenario!D212),"")</f>
        <v/>
      </c>
      <c r="AB212" s="67">
        <v>1.4243253975000002E-4</v>
      </c>
      <c r="AC212" s="67" t="s">
        <v>95</v>
      </c>
      <c r="AD212" s="39">
        <f>INDEX(Assumptions!E$120:E$141,MATCH(UserMade_Scenario!$B212,Assumptions!$A$120:$A$141,0))</f>
        <v>-16.64</v>
      </c>
      <c r="AE212" s="39">
        <f>INDEX(Assumptions!F$120:F$141,MATCH(UserMade_Scenario!$B212,Assumptions!$A$120:$A$141,0))</f>
        <v>-16.64</v>
      </c>
      <c r="AF212" s="39">
        <f>INDEX(Assumptions!G$120:G$141,MATCH(UserMade_Scenario!$B212,Assumptions!$A$120:$A$141,0))</f>
        <v>-39.14</v>
      </c>
      <c r="AG212" s="68">
        <f>IFERROR(INDEX(WaterUseH2[Average Direct Water Consumption (Gal/ kg h2)],MATCH(LEFT(D212,3),WaterUseH2[Key],0)),0)</f>
        <v>0</v>
      </c>
      <c r="AH212">
        <v>14</v>
      </c>
      <c r="AI212">
        <v>1.4</v>
      </c>
      <c r="AJ212">
        <v>250</v>
      </c>
      <c r="AK212">
        <v>0.31</v>
      </c>
      <c r="AL212" s="63">
        <f>IFERROR(INDEX(Job_Training[[Solar]:[Wind]],MATCH(AL$1,Job_Training[[`Typical Entry Level Education`]:[`Typical Entry Level Education`]],0),MATCH(LEFT($D212,5),Job_Training[[#Headers],[Solar]:[Wind]],0)),0)</f>
        <v>0</v>
      </c>
      <c r="AM212" s="63">
        <f>IFERROR(INDEX(Job_Training[[Solar]:[Wind]],MATCH(AM$1,Job_Training[[`Typical Entry Level Education`]:[`Typical Entry Level Education`]],0),MATCH(LEFT($D212,5),Job_Training[[#Headers],[Solar]:[Wind]],0)),0)</f>
        <v>0</v>
      </c>
      <c r="AN212" s="63">
        <f>IFERROR(INDEX(Job_Training[[Solar]:[Wind]],MATCH(AN$1,Job_Training[[`Typical Entry Level Education`]:[`Typical Entry Level Education`]],0),MATCH(LEFT($D212,5),Job_Training[[#Headers],[Solar]:[Wind]],0)),0)</f>
        <v>0</v>
      </c>
      <c r="AO212" s="63">
        <f>IFERROR(INDEX(Job_Training[[Solar]:[Wind]],MATCH(AO$1,Job_Training[[`Typical Entry Level Education`]:[`Typical Entry Level Education`]],0),MATCH(LEFT($D212,5),Job_Training[[#Headers],[Solar]:[Wind]],0)),0)</f>
        <v>0</v>
      </c>
      <c r="AP212">
        <f t="shared" si="83"/>
        <v>0</v>
      </c>
      <c r="AQ212" s="63">
        <f>IF(AP212&gt;0,IFERROR(INDEX(Assumptions!$C$165:$D$165,MATCH(LEFT($D212,5),Job_Training[[#Headers],[Solar]:[Wind]],0)),0),0)</f>
        <v>0</v>
      </c>
      <c r="AR212">
        <f>IF(AP212&gt;0,IFERROR(INDEX(Assumptions!$C$166:$D$166,MATCH(LEFT($D212,5),Job_Training[[#Headers],[Solar]:[Wind]],0)),0),0)</f>
        <v>0</v>
      </c>
    </row>
    <row r="213" spans="1:44" ht="14.25" customHeight="1" x14ac:dyDescent="0.35">
      <c r="A213" t="str">
        <f>UserInput!$B$2</f>
        <v>Current Projects</v>
      </c>
      <c r="B213">
        <v>2026</v>
      </c>
      <c r="C213" t="s">
        <v>92</v>
      </c>
      <c r="D213" t="s">
        <v>96</v>
      </c>
      <c r="E213" s="66">
        <f>INDEX(UserInput!$C$2:$M$22,MATCH(UserMade_Scenario!B213,UserInput!$A$2:$A$22,0),MATCH(LEFT(IF(RIGHT(C213,2)="H2",UserMade_Scenario!C213,D213),3),UserInput!$C$25:$M$25,0))</f>
        <v>0</v>
      </c>
      <c r="F213" t="s">
        <v>94</v>
      </c>
      <c r="G213" s="14">
        <f t="shared" si="73"/>
        <v>0</v>
      </c>
      <c r="H213" s="63">
        <f t="shared" si="74"/>
        <v>0</v>
      </c>
      <c r="I213" s="63">
        <f t="shared" si="75"/>
        <v>0</v>
      </c>
      <c r="J213" s="63">
        <f t="shared" si="76"/>
        <v>0</v>
      </c>
      <c r="K213" s="30">
        <f>IF(OR(LEFT($D213,5)="Solar",$D213="Wind"),INDEX(Land_Use[AVG],MATCH(LEFT($D213,5),Land_Use[Tech],0)),0)*$E213</f>
        <v>0</v>
      </c>
      <c r="L213" s="30">
        <f>IF(OR(LEFT($D213,5)="Solar",$D213="Wind"),INDEX(Land_Use[MIN],MATCH(LEFT($D213,5),Land_Use[Tech],0)),0)*$E213</f>
        <v>0</v>
      </c>
      <c r="M213" s="30">
        <f>IF(OR(LEFT($D213,5)="Solar",$D213="Wind"),INDEX(Land_Use[MAX],MATCH(LEFT($D213,5),Land_Use[Tech],0)),0)*$E213</f>
        <v>0</v>
      </c>
      <c r="N213" s="15">
        <f t="shared" si="68"/>
        <v>0</v>
      </c>
      <c r="O213" s="11">
        <f t="shared" si="69"/>
        <v>0</v>
      </c>
      <c r="P213" s="11">
        <f t="shared" si="70"/>
        <v>0</v>
      </c>
      <c r="Q213" s="11">
        <f t="shared" si="71"/>
        <v>0</v>
      </c>
      <c r="R213" s="11">
        <f t="shared" si="72"/>
        <v>0</v>
      </c>
      <c r="S213" s="30">
        <f t="shared" si="77"/>
        <v>0</v>
      </c>
      <c r="T213" s="30">
        <f t="shared" si="78"/>
        <v>0</v>
      </c>
      <c r="U213" s="30">
        <f t="shared" si="79"/>
        <v>0</v>
      </c>
      <c r="V213" s="30">
        <f t="shared" si="80"/>
        <v>0</v>
      </c>
      <c r="W213" s="30">
        <f t="shared" si="81"/>
        <v>0</v>
      </c>
      <c r="X213" s="30">
        <f t="shared" si="82"/>
        <v>0</v>
      </c>
      <c r="Z213" s="23" t="s">
        <v>76</v>
      </c>
      <c r="AA213" s="40" t="str">
        <f>IF(C213="Electricity",E213*SUMIFS(Electricity!S:S,Electricity!P:P,UserMade_Scenario!B213,Electricity!M:M,UserMade_Scenario!Z213,Electricity!O:O,UserMade_Scenario!D213),"")</f>
        <v/>
      </c>
      <c r="AB213" s="67">
        <v>1.4243253975000002E-4</v>
      </c>
      <c r="AC213" s="67" t="s">
        <v>95</v>
      </c>
      <c r="AD213" s="39">
        <f>INDEX(Assumptions!B$120:B$141,MATCH(UserMade_Scenario!$B212,Assumptions!$A$120:$A$141,0))</f>
        <v>-36.64</v>
      </c>
      <c r="AE213" s="39">
        <f>INDEX(Assumptions!C$120:C$141,MATCH(UserMade_Scenario!$B212,Assumptions!$A$120:$A$141,0))</f>
        <v>-36.64</v>
      </c>
      <c r="AF213" s="39">
        <f>INDEX(Assumptions!D$120:D$141,MATCH(UserMade_Scenario!$B212,Assumptions!$A$120:$A$141,0))</f>
        <v>-53.84</v>
      </c>
      <c r="AG213" s="68">
        <f>IFERROR(INDEX(WaterUseH2[Average Direct Water Consumption (Gal/ kg h2)],MATCH(LEFT(D213,3),WaterUseH2[Key],0)),0)</f>
        <v>0</v>
      </c>
      <c r="AH213">
        <v>14</v>
      </c>
      <c r="AI213">
        <v>1.4</v>
      </c>
      <c r="AJ213">
        <v>250</v>
      </c>
      <c r="AK213">
        <v>0.31</v>
      </c>
      <c r="AL213" s="63">
        <f>IFERROR(INDEX(Job_Training[[Solar]:[Wind]],MATCH(AL$1,Job_Training[[`Typical Entry Level Education`]:[`Typical Entry Level Education`]],0),MATCH(LEFT($D213,5),Job_Training[[#Headers],[Solar]:[Wind]],0)),0)</f>
        <v>0</v>
      </c>
      <c r="AM213" s="63">
        <f>IFERROR(INDEX(Job_Training[[Solar]:[Wind]],MATCH(AM$1,Job_Training[[`Typical Entry Level Education`]:[`Typical Entry Level Education`]],0),MATCH(LEFT($D213,5),Job_Training[[#Headers],[Solar]:[Wind]],0)),0)</f>
        <v>0</v>
      </c>
      <c r="AN213" s="63">
        <f>IFERROR(INDEX(Job_Training[[Solar]:[Wind]],MATCH(AN$1,Job_Training[[`Typical Entry Level Education`]:[`Typical Entry Level Education`]],0),MATCH(LEFT($D213,5),Job_Training[[#Headers],[Solar]:[Wind]],0)),0)</f>
        <v>0</v>
      </c>
      <c r="AO213" s="63">
        <f>IFERROR(INDEX(Job_Training[[Solar]:[Wind]],MATCH(AO$1,Job_Training[[`Typical Entry Level Education`]:[`Typical Entry Level Education`]],0),MATCH(LEFT($D213,5),Job_Training[[#Headers],[Solar]:[Wind]],0)),0)</f>
        <v>0</v>
      </c>
      <c r="AP213">
        <f t="shared" si="83"/>
        <v>0</v>
      </c>
      <c r="AQ213" s="63">
        <f>IF(AP213&gt;0,IFERROR(INDEX(Assumptions!$C$165:$D$165,MATCH(LEFT($D213,5),Job_Training[[#Headers],[Solar]:[Wind]],0)),0),0)</f>
        <v>0</v>
      </c>
      <c r="AR213">
        <f>IF(AP213&gt;0,IFERROR(INDEX(Assumptions!$C$166:$D$166,MATCH(LEFT($D213,5),Job_Training[[#Headers],[Solar]:[Wind]],0)),0),0)</f>
        <v>0</v>
      </c>
    </row>
    <row r="214" spans="1:44" x14ac:dyDescent="0.35">
      <c r="A214" t="str">
        <f>UserInput!$B$2</f>
        <v>Current Projects</v>
      </c>
      <c r="B214">
        <v>2027</v>
      </c>
      <c r="C214" t="s">
        <v>92</v>
      </c>
      <c r="D214" t="s">
        <v>96</v>
      </c>
      <c r="E214" s="66">
        <f>INDEX(UserInput!$C$2:$M$22,MATCH(UserMade_Scenario!B214,UserInput!$A$2:$A$22,0),MATCH(LEFT(IF(RIGHT(C214,2)="H2",UserMade_Scenario!C214,D214),3),UserInput!$C$25:$M$25,0))</f>
        <v>0</v>
      </c>
      <c r="F214" t="s">
        <v>94</v>
      </c>
      <c r="G214" s="14">
        <f t="shared" si="73"/>
        <v>0</v>
      </c>
      <c r="H214" s="63">
        <f t="shared" si="74"/>
        <v>0</v>
      </c>
      <c r="I214" s="63">
        <f t="shared" si="75"/>
        <v>0</v>
      </c>
      <c r="J214" s="63">
        <f t="shared" si="76"/>
        <v>0</v>
      </c>
      <c r="K214" s="30">
        <f>IF(OR(LEFT($D214,5)="Solar",$D214="Wind"),INDEX(Land_Use[AVG],MATCH(LEFT($D214,5),Land_Use[Tech],0)),0)*$E214</f>
        <v>0</v>
      </c>
      <c r="L214" s="30">
        <f>IF(OR(LEFT($D214,5)="Solar",$D214="Wind"),INDEX(Land_Use[MIN],MATCH(LEFT($D214,5),Land_Use[Tech],0)),0)*$E214</f>
        <v>0</v>
      </c>
      <c r="M214" s="30">
        <f>IF(OR(LEFT($D214,5)="Solar",$D214="Wind"),INDEX(Land_Use[MAX],MATCH(LEFT($D214,5),Land_Use[Tech],0)),0)*$E214</f>
        <v>0</v>
      </c>
      <c r="N214" s="15">
        <f t="shared" si="68"/>
        <v>0</v>
      </c>
      <c r="O214" s="11">
        <f t="shared" si="69"/>
        <v>0</v>
      </c>
      <c r="P214" s="11">
        <f t="shared" si="70"/>
        <v>0</v>
      </c>
      <c r="Q214" s="11">
        <f t="shared" si="71"/>
        <v>0</v>
      </c>
      <c r="R214" s="11">
        <f t="shared" si="72"/>
        <v>0</v>
      </c>
      <c r="S214" s="30">
        <f t="shared" si="77"/>
        <v>0</v>
      </c>
      <c r="T214" s="30">
        <f t="shared" si="78"/>
        <v>0</v>
      </c>
      <c r="U214" s="30">
        <f t="shared" si="79"/>
        <v>0</v>
      </c>
      <c r="V214" s="30">
        <f t="shared" si="80"/>
        <v>0</v>
      </c>
      <c r="W214" s="30">
        <f t="shared" si="81"/>
        <v>0</v>
      </c>
      <c r="X214" s="30">
        <f t="shared" si="82"/>
        <v>0</v>
      </c>
      <c r="Z214" s="23" t="s">
        <v>76</v>
      </c>
      <c r="AA214" s="40" t="str">
        <f>IF(C214="Electricity",E214*SUMIFS(Electricity!S:S,Electricity!P:P,UserMade_Scenario!B214,Electricity!M:M,UserMade_Scenario!Z214,Electricity!O:O,UserMade_Scenario!D214),"")</f>
        <v/>
      </c>
      <c r="AB214" s="67">
        <v>1.4243253975000002E-4</v>
      </c>
      <c r="AC214" s="67" t="s">
        <v>95</v>
      </c>
      <c r="AD214" s="39">
        <f>INDEX(Assumptions!B$120:B$141,MATCH(UserMade_Scenario!$B213,Assumptions!$A$120:$A$141,0))</f>
        <v>-35.379999999999995</v>
      </c>
      <c r="AE214" s="39">
        <f>INDEX(Assumptions!C$120:C$141,MATCH(UserMade_Scenario!$B213,Assumptions!$A$120:$A$141,0))</f>
        <v>-35.379999999999995</v>
      </c>
      <c r="AF214" s="39">
        <f>INDEX(Assumptions!D$120:D$141,MATCH(UserMade_Scenario!$B213,Assumptions!$A$120:$A$141,0))</f>
        <v>-52.58</v>
      </c>
      <c r="AG214" s="68">
        <f>IFERROR(INDEX(WaterUseH2[Average Direct Water Consumption (Gal/ kg h2)],MATCH(LEFT(D214,3),WaterUseH2[Key],0)),0)</f>
        <v>0</v>
      </c>
      <c r="AH214">
        <v>14</v>
      </c>
      <c r="AI214">
        <v>1.4</v>
      </c>
      <c r="AJ214">
        <v>250</v>
      </c>
      <c r="AK214">
        <v>0.31</v>
      </c>
      <c r="AL214" s="63">
        <f>IFERROR(INDEX(Job_Training[[Solar]:[Wind]],MATCH(AL$1,Job_Training[[`Typical Entry Level Education`]:[`Typical Entry Level Education`]],0),MATCH(LEFT($D214,5),Job_Training[[#Headers],[Solar]:[Wind]],0)),0)</f>
        <v>0</v>
      </c>
      <c r="AM214" s="63">
        <f>IFERROR(INDEX(Job_Training[[Solar]:[Wind]],MATCH(AM$1,Job_Training[[`Typical Entry Level Education`]:[`Typical Entry Level Education`]],0),MATCH(LEFT($D214,5),Job_Training[[#Headers],[Solar]:[Wind]],0)),0)</f>
        <v>0</v>
      </c>
      <c r="AN214" s="63">
        <f>IFERROR(INDEX(Job_Training[[Solar]:[Wind]],MATCH(AN$1,Job_Training[[`Typical Entry Level Education`]:[`Typical Entry Level Education`]],0),MATCH(LEFT($D214,5),Job_Training[[#Headers],[Solar]:[Wind]],0)),0)</f>
        <v>0</v>
      </c>
      <c r="AO214" s="63">
        <f>IFERROR(INDEX(Job_Training[[Solar]:[Wind]],MATCH(AO$1,Job_Training[[`Typical Entry Level Education`]:[`Typical Entry Level Education`]],0),MATCH(LEFT($D214,5),Job_Training[[#Headers],[Solar]:[Wind]],0)),0)</f>
        <v>0</v>
      </c>
      <c r="AP214">
        <f t="shared" si="83"/>
        <v>0</v>
      </c>
      <c r="AQ214" s="63">
        <f>IF(AP214&gt;0,IFERROR(INDEX(Assumptions!$C$165:$D$165,MATCH(LEFT($D214,5),Job_Training[[#Headers],[Solar]:[Wind]],0)),0),0)</f>
        <v>0</v>
      </c>
      <c r="AR214">
        <f>IF(AP214&gt;0,IFERROR(INDEX(Assumptions!$C$166:$D$166,MATCH(LEFT($D214,5),Job_Training[[#Headers],[Solar]:[Wind]],0)),0),0)</f>
        <v>0</v>
      </c>
    </row>
    <row r="215" spans="1:44" x14ac:dyDescent="0.35">
      <c r="A215" t="str">
        <f>UserInput!$B$2</f>
        <v>Current Projects</v>
      </c>
      <c r="B215">
        <v>2028</v>
      </c>
      <c r="C215" t="s">
        <v>92</v>
      </c>
      <c r="D215" t="s">
        <v>96</v>
      </c>
      <c r="E215" s="66">
        <f>INDEX(UserInput!$C$2:$M$22,MATCH(UserMade_Scenario!B215,UserInput!$A$2:$A$22,0),MATCH(LEFT(IF(RIGHT(C215,2)="H2",UserMade_Scenario!C215,D215),3),UserInput!$C$25:$M$25,0))</f>
        <v>0</v>
      </c>
      <c r="F215" t="s">
        <v>94</v>
      </c>
      <c r="G215" s="14">
        <f t="shared" si="73"/>
        <v>0</v>
      </c>
      <c r="H215" s="63">
        <f t="shared" si="74"/>
        <v>0</v>
      </c>
      <c r="I215" s="63">
        <f t="shared" si="75"/>
        <v>0</v>
      </c>
      <c r="J215" s="63">
        <f t="shared" si="76"/>
        <v>0</v>
      </c>
      <c r="K215" s="30">
        <f>IF(OR(LEFT($D215,5)="Solar",$D215="Wind"),INDEX(Land_Use[AVG],MATCH(LEFT($D215,5),Land_Use[Tech],0)),0)*$E215</f>
        <v>0</v>
      </c>
      <c r="L215" s="30">
        <f>IF(OR(LEFT($D215,5)="Solar",$D215="Wind"),INDEX(Land_Use[MIN],MATCH(LEFT($D215,5),Land_Use[Tech],0)),0)*$E215</f>
        <v>0</v>
      </c>
      <c r="M215" s="30">
        <f>IF(OR(LEFT($D215,5)="Solar",$D215="Wind"),INDEX(Land_Use[MAX],MATCH(LEFT($D215,5),Land_Use[Tech],0)),0)*$E215</f>
        <v>0</v>
      </c>
      <c r="N215" s="15">
        <f t="shared" si="68"/>
        <v>0</v>
      </c>
      <c r="O215" s="11">
        <f t="shared" si="69"/>
        <v>0</v>
      </c>
      <c r="P215" s="11">
        <f t="shared" si="70"/>
        <v>0</v>
      </c>
      <c r="Q215" s="11">
        <f t="shared" si="71"/>
        <v>0</v>
      </c>
      <c r="R215" s="11">
        <f t="shared" si="72"/>
        <v>0</v>
      </c>
      <c r="S215" s="30">
        <f t="shared" si="77"/>
        <v>0</v>
      </c>
      <c r="T215" s="30">
        <f t="shared" si="78"/>
        <v>0</v>
      </c>
      <c r="U215" s="30">
        <f t="shared" si="79"/>
        <v>0</v>
      </c>
      <c r="V215" s="30">
        <f t="shared" si="80"/>
        <v>0</v>
      </c>
      <c r="W215" s="30">
        <f t="shared" si="81"/>
        <v>0</v>
      </c>
      <c r="X215" s="30">
        <f t="shared" si="82"/>
        <v>0</v>
      </c>
      <c r="Z215" s="23" t="s">
        <v>76</v>
      </c>
      <c r="AA215" s="40" t="str">
        <f>IF(C215="Electricity",E215*SUMIFS(Electricity!S:S,Electricity!P:P,UserMade_Scenario!B215,Electricity!M:M,UserMade_Scenario!Z215,Electricity!O:O,UserMade_Scenario!D215),"")</f>
        <v/>
      </c>
      <c r="AB215" s="67">
        <v>1.4243253975000002E-4</v>
      </c>
      <c r="AC215" s="67" t="s">
        <v>95</v>
      </c>
      <c r="AD215" s="39">
        <f>INDEX(Assumptions!B$120:B$141,MATCH(UserMade_Scenario!$B214,Assumptions!$A$120:$A$141,0))</f>
        <v>-34.129999999999995</v>
      </c>
      <c r="AE215" s="39">
        <f>INDEX(Assumptions!C$120:C$141,MATCH(UserMade_Scenario!$B214,Assumptions!$A$120:$A$141,0))</f>
        <v>-34.129999999999995</v>
      </c>
      <c r="AF215" s="39">
        <f>INDEX(Assumptions!D$120:D$141,MATCH(UserMade_Scenario!$B214,Assumptions!$A$120:$A$141,0))</f>
        <v>-51.33</v>
      </c>
      <c r="AG215" s="68">
        <f>IFERROR(INDEX(WaterUseH2[Average Direct Water Consumption (Gal/ kg h2)],MATCH(LEFT(D215,3),WaterUseH2[Key],0)),0)</f>
        <v>0</v>
      </c>
      <c r="AH215">
        <v>14</v>
      </c>
      <c r="AI215">
        <v>1.4</v>
      </c>
      <c r="AJ215">
        <v>250</v>
      </c>
      <c r="AK215">
        <v>0.31</v>
      </c>
      <c r="AL215" s="63">
        <f>IFERROR(INDEX(Job_Training[[Solar]:[Wind]],MATCH(AL$1,Job_Training[[`Typical Entry Level Education`]:[`Typical Entry Level Education`]],0),MATCH(LEFT($D215,5),Job_Training[[#Headers],[Solar]:[Wind]],0)),0)</f>
        <v>0</v>
      </c>
      <c r="AM215" s="63">
        <f>IFERROR(INDEX(Job_Training[[Solar]:[Wind]],MATCH(AM$1,Job_Training[[`Typical Entry Level Education`]:[`Typical Entry Level Education`]],0),MATCH(LEFT($D215,5),Job_Training[[#Headers],[Solar]:[Wind]],0)),0)</f>
        <v>0</v>
      </c>
      <c r="AN215" s="63">
        <f>IFERROR(INDEX(Job_Training[[Solar]:[Wind]],MATCH(AN$1,Job_Training[[`Typical Entry Level Education`]:[`Typical Entry Level Education`]],0),MATCH(LEFT($D215,5),Job_Training[[#Headers],[Solar]:[Wind]],0)),0)</f>
        <v>0</v>
      </c>
      <c r="AO215" s="63">
        <f>IFERROR(INDEX(Job_Training[[Solar]:[Wind]],MATCH(AO$1,Job_Training[[`Typical Entry Level Education`]:[`Typical Entry Level Education`]],0),MATCH(LEFT($D215,5),Job_Training[[#Headers],[Solar]:[Wind]],0)),0)</f>
        <v>0</v>
      </c>
      <c r="AP215">
        <f t="shared" si="83"/>
        <v>0</v>
      </c>
      <c r="AQ215" s="63">
        <f>IF(AP215&gt;0,IFERROR(INDEX(Assumptions!$C$165:$D$165,MATCH(LEFT($D215,5),Job_Training[[#Headers],[Solar]:[Wind]],0)),0),0)</f>
        <v>0</v>
      </c>
      <c r="AR215">
        <f>IF(AP215&gt;0,IFERROR(INDEX(Assumptions!$C$166:$D$166,MATCH(LEFT($D215,5),Job_Training[[#Headers],[Solar]:[Wind]],0)),0),0)</f>
        <v>0</v>
      </c>
    </row>
    <row r="216" spans="1:44" x14ac:dyDescent="0.35">
      <c r="A216" t="str">
        <f>UserInput!$B$2</f>
        <v>Current Projects</v>
      </c>
      <c r="B216">
        <v>2029</v>
      </c>
      <c r="C216" t="s">
        <v>92</v>
      </c>
      <c r="D216" t="s">
        <v>96</v>
      </c>
      <c r="E216" s="66">
        <f>INDEX(UserInput!$C$2:$M$22,MATCH(UserMade_Scenario!B216,UserInput!$A$2:$A$22,0),MATCH(LEFT(IF(RIGHT(C216,2)="H2",UserMade_Scenario!C216,D216),3),UserInput!$C$25:$M$25,0))</f>
        <v>0</v>
      </c>
      <c r="F216" t="s">
        <v>94</v>
      </c>
      <c r="G216" s="14">
        <f t="shared" si="73"/>
        <v>0</v>
      </c>
      <c r="H216" s="63">
        <f t="shared" si="74"/>
        <v>0</v>
      </c>
      <c r="I216" s="63">
        <f t="shared" si="75"/>
        <v>0</v>
      </c>
      <c r="J216" s="63">
        <f t="shared" si="76"/>
        <v>0</v>
      </c>
      <c r="K216" s="30">
        <f>IF(OR(LEFT($D216,5)="Solar",$D216="Wind"),INDEX(Land_Use[AVG],MATCH(LEFT($D216,5),Land_Use[Tech],0)),0)*$E216</f>
        <v>0</v>
      </c>
      <c r="L216" s="30">
        <f>IF(OR(LEFT($D216,5)="Solar",$D216="Wind"),INDEX(Land_Use[MIN],MATCH(LEFT($D216,5),Land_Use[Tech],0)),0)*$E216</f>
        <v>0</v>
      </c>
      <c r="M216" s="30">
        <f>IF(OR(LEFT($D216,5)="Solar",$D216="Wind"),INDEX(Land_Use[MAX],MATCH(LEFT($D216,5),Land_Use[Tech],0)),0)*$E216</f>
        <v>0</v>
      </c>
      <c r="N216" s="15">
        <f t="shared" si="68"/>
        <v>0</v>
      </c>
      <c r="O216" s="11">
        <f t="shared" si="69"/>
        <v>0</v>
      </c>
      <c r="P216" s="11">
        <f t="shared" si="70"/>
        <v>0</v>
      </c>
      <c r="Q216" s="11">
        <f t="shared" si="71"/>
        <v>0</v>
      </c>
      <c r="R216" s="11">
        <f t="shared" si="72"/>
        <v>0</v>
      </c>
      <c r="S216" s="30">
        <f t="shared" si="77"/>
        <v>0</v>
      </c>
      <c r="T216" s="30">
        <f t="shared" si="78"/>
        <v>0</v>
      </c>
      <c r="U216" s="30">
        <f t="shared" si="79"/>
        <v>0</v>
      </c>
      <c r="V216" s="30">
        <f t="shared" si="80"/>
        <v>0</v>
      </c>
      <c r="W216" s="30">
        <f t="shared" si="81"/>
        <v>0</v>
      </c>
      <c r="X216" s="30">
        <f t="shared" si="82"/>
        <v>0</v>
      </c>
      <c r="Z216" s="23" t="s">
        <v>76</v>
      </c>
      <c r="AA216" s="40" t="str">
        <f>IF(C216="Electricity",E216*SUMIFS(Electricity!S:S,Electricity!P:P,UserMade_Scenario!B216,Electricity!M:M,UserMade_Scenario!Z216,Electricity!O:O,UserMade_Scenario!D216),"")</f>
        <v/>
      </c>
      <c r="AB216" s="67">
        <v>1.4243253975000002E-4</v>
      </c>
      <c r="AC216" s="67" t="s">
        <v>95</v>
      </c>
      <c r="AD216" s="39">
        <f>INDEX(Assumptions!B$120:B$141,MATCH(UserMade_Scenario!$B215,Assumptions!$A$120:$A$141,0))</f>
        <v>-32.870000000000005</v>
      </c>
      <c r="AE216" s="39">
        <f>INDEX(Assumptions!C$120:C$141,MATCH(UserMade_Scenario!$B215,Assumptions!$A$120:$A$141,0))</f>
        <v>-32.870000000000005</v>
      </c>
      <c r="AF216" s="39">
        <f>INDEX(Assumptions!D$120:D$141,MATCH(UserMade_Scenario!$B215,Assumptions!$A$120:$A$141,0))</f>
        <v>-50.070000000000007</v>
      </c>
      <c r="AG216" s="68">
        <f>IFERROR(INDEX(WaterUseH2[Average Direct Water Consumption (Gal/ kg h2)],MATCH(LEFT(D216,3),WaterUseH2[Key],0)),0)</f>
        <v>0</v>
      </c>
      <c r="AH216">
        <v>14</v>
      </c>
      <c r="AI216">
        <v>1.4</v>
      </c>
      <c r="AJ216">
        <v>250</v>
      </c>
      <c r="AK216">
        <v>0.31</v>
      </c>
      <c r="AL216" s="63">
        <f>IFERROR(INDEX(Job_Training[[Solar]:[Wind]],MATCH(AL$1,Job_Training[[`Typical Entry Level Education`]:[`Typical Entry Level Education`]],0),MATCH(LEFT($D216,5),Job_Training[[#Headers],[Solar]:[Wind]],0)),0)</f>
        <v>0</v>
      </c>
      <c r="AM216" s="63">
        <f>IFERROR(INDEX(Job_Training[[Solar]:[Wind]],MATCH(AM$1,Job_Training[[`Typical Entry Level Education`]:[`Typical Entry Level Education`]],0),MATCH(LEFT($D216,5),Job_Training[[#Headers],[Solar]:[Wind]],0)),0)</f>
        <v>0</v>
      </c>
      <c r="AN216" s="63">
        <f>IFERROR(INDEX(Job_Training[[Solar]:[Wind]],MATCH(AN$1,Job_Training[[`Typical Entry Level Education`]:[`Typical Entry Level Education`]],0),MATCH(LEFT($D216,5),Job_Training[[#Headers],[Solar]:[Wind]],0)),0)</f>
        <v>0</v>
      </c>
      <c r="AO216" s="63">
        <f>IFERROR(INDEX(Job_Training[[Solar]:[Wind]],MATCH(AO$1,Job_Training[[`Typical Entry Level Education`]:[`Typical Entry Level Education`]],0),MATCH(LEFT($D216,5),Job_Training[[#Headers],[Solar]:[Wind]],0)),0)</f>
        <v>0</v>
      </c>
      <c r="AP216">
        <f t="shared" si="83"/>
        <v>0</v>
      </c>
      <c r="AQ216" s="63">
        <f>IF(AP216&gt;0,IFERROR(INDEX(Assumptions!$C$165:$D$165,MATCH(LEFT($D216,5),Job_Training[[#Headers],[Solar]:[Wind]],0)),0),0)</f>
        <v>0</v>
      </c>
      <c r="AR216">
        <f>IF(AP216&gt;0,IFERROR(INDEX(Assumptions!$C$166:$D$166,MATCH(LEFT($D216,5),Job_Training[[#Headers],[Solar]:[Wind]],0)),0),0)</f>
        <v>0</v>
      </c>
    </row>
    <row r="217" spans="1:44" x14ac:dyDescent="0.35">
      <c r="A217" t="str">
        <f>UserInput!$B$2</f>
        <v>Current Projects</v>
      </c>
      <c r="B217">
        <v>2030</v>
      </c>
      <c r="C217" t="s">
        <v>92</v>
      </c>
      <c r="D217" t="s">
        <v>96</v>
      </c>
      <c r="E217" s="66">
        <f>INDEX(UserInput!$C$2:$M$22,MATCH(UserMade_Scenario!B217,UserInput!$A$2:$A$22,0),MATCH(LEFT(IF(RIGHT(C217,2)="H2",UserMade_Scenario!C217,D217),3),UserInput!$C$25:$M$25,0))</f>
        <v>0</v>
      </c>
      <c r="F217" t="s">
        <v>94</v>
      </c>
      <c r="G217" s="14">
        <f t="shared" si="73"/>
        <v>0</v>
      </c>
      <c r="H217" s="63">
        <f t="shared" si="74"/>
        <v>0</v>
      </c>
      <c r="I217" s="63">
        <f t="shared" si="75"/>
        <v>0</v>
      </c>
      <c r="J217" s="63">
        <f t="shared" si="76"/>
        <v>0</v>
      </c>
      <c r="K217" s="30">
        <f>IF(OR(LEFT($D217,5)="Solar",$D217="Wind"),INDEX(Land_Use[AVG],MATCH(LEFT($D217,5),Land_Use[Tech],0)),0)*$E217</f>
        <v>0</v>
      </c>
      <c r="L217" s="30">
        <f>IF(OR(LEFT($D217,5)="Solar",$D217="Wind"),INDEX(Land_Use[MIN],MATCH(LEFT($D217,5),Land_Use[Tech],0)),0)*$E217</f>
        <v>0</v>
      </c>
      <c r="M217" s="30">
        <f>IF(OR(LEFT($D217,5)="Solar",$D217="Wind"),INDEX(Land_Use[MAX],MATCH(LEFT($D217,5),Land_Use[Tech],0)),0)*$E217</f>
        <v>0</v>
      </c>
      <c r="N217" s="15">
        <f t="shared" si="68"/>
        <v>0</v>
      </c>
      <c r="O217" s="11">
        <f t="shared" si="69"/>
        <v>0</v>
      </c>
      <c r="P217" s="11">
        <f t="shared" si="70"/>
        <v>0</v>
      </c>
      <c r="Q217" s="11">
        <f t="shared" si="71"/>
        <v>0</v>
      </c>
      <c r="R217" s="11">
        <f t="shared" si="72"/>
        <v>0</v>
      </c>
      <c r="S217" s="30">
        <f t="shared" si="77"/>
        <v>0</v>
      </c>
      <c r="T217" s="30">
        <f t="shared" si="78"/>
        <v>0</v>
      </c>
      <c r="U217" s="30">
        <f t="shared" si="79"/>
        <v>0</v>
      </c>
      <c r="V217" s="30">
        <f t="shared" si="80"/>
        <v>0</v>
      </c>
      <c r="W217" s="30">
        <f t="shared" si="81"/>
        <v>0</v>
      </c>
      <c r="X217" s="30">
        <f t="shared" si="82"/>
        <v>0</v>
      </c>
      <c r="Z217" s="23" t="s">
        <v>76</v>
      </c>
      <c r="AA217" s="40" t="str">
        <f>IF(C217="Electricity",E217*SUMIFS(Electricity!S:S,Electricity!P:P,UserMade_Scenario!B217,Electricity!M:M,UserMade_Scenario!Z217,Electricity!O:O,UserMade_Scenario!D217),"")</f>
        <v/>
      </c>
      <c r="AB217" s="67">
        <v>1.4243253975000002E-4</v>
      </c>
      <c r="AC217" s="67" t="s">
        <v>95</v>
      </c>
      <c r="AD217" s="39">
        <f>INDEX(Assumptions!B$120:B$141,MATCH(UserMade_Scenario!$B216,Assumptions!$A$120:$A$141,0))</f>
        <v>-31.620000000000005</v>
      </c>
      <c r="AE217" s="39">
        <f>INDEX(Assumptions!C$120:C$141,MATCH(UserMade_Scenario!$B216,Assumptions!$A$120:$A$141,0))</f>
        <v>-31.620000000000005</v>
      </c>
      <c r="AF217" s="39">
        <f>INDEX(Assumptions!D$120:D$141,MATCH(UserMade_Scenario!$B216,Assumptions!$A$120:$A$141,0))</f>
        <v>-48.820000000000007</v>
      </c>
      <c r="AG217" s="68">
        <f>IFERROR(INDEX(WaterUseH2[Average Direct Water Consumption (Gal/ kg h2)],MATCH(LEFT(D217,3),WaterUseH2[Key],0)),0)</f>
        <v>0</v>
      </c>
      <c r="AH217">
        <v>14</v>
      </c>
      <c r="AI217">
        <v>1.4</v>
      </c>
      <c r="AJ217">
        <v>250</v>
      </c>
      <c r="AK217">
        <v>0.31</v>
      </c>
      <c r="AL217" s="63">
        <f>IFERROR(INDEX(Job_Training[[Solar]:[Wind]],MATCH(AL$1,Job_Training[[`Typical Entry Level Education`]:[`Typical Entry Level Education`]],0),MATCH(LEFT($D217,5),Job_Training[[#Headers],[Solar]:[Wind]],0)),0)</f>
        <v>0</v>
      </c>
      <c r="AM217" s="63">
        <f>IFERROR(INDEX(Job_Training[[Solar]:[Wind]],MATCH(AM$1,Job_Training[[`Typical Entry Level Education`]:[`Typical Entry Level Education`]],0),MATCH(LEFT($D217,5),Job_Training[[#Headers],[Solar]:[Wind]],0)),0)</f>
        <v>0</v>
      </c>
      <c r="AN217" s="63">
        <f>IFERROR(INDEX(Job_Training[[Solar]:[Wind]],MATCH(AN$1,Job_Training[[`Typical Entry Level Education`]:[`Typical Entry Level Education`]],0),MATCH(LEFT($D217,5),Job_Training[[#Headers],[Solar]:[Wind]],0)),0)</f>
        <v>0</v>
      </c>
      <c r="AO217" s="63">
        <f>IFERROR(INDEX(Job_Training[[Solar]:[Wind]],MATCH(AO$1,Job_Training[[`Typical Entry Level Education`]:[`Typical Entry Level Education`]],0),MATCH(LEFT($D217,5),Job_Training[[#Headers],[Solar]:[Wind]],0)),0)</f>
        <v>0</v>
      </c>
      <c r="AP217">
        <f t="shared" si="83"/>
        <v>0</v>
      </c>
      <c r="AQ217" s="63">
        <f>IF(AP217&gt;0,IFERROR(INDEX(Assumptions!$C$165:$D$165,MATCH(LEFT($D217,5),Job_Training[[#Headers],[Solar]:[Wind]],0)),0),0)</f>
        <v>0</v>
      </c>
      <c r="AR217">
        <f>IF(AP217&gt;0,IFERROR(INDEX(Assumptions!$C$166:$D$166,MATCH(LEFT($D217,5),Job_Training[[#Headers],[Solar]:[Wind]],0)),0),0)</f>
        <v>0</v>
      </c>
    </row>
    <row r="218" spans="1:44" x14ac:dyDescent="0.35">
      <c r="A218" t="str">
        <f>UserInput!$B$2</f>
        <v>Current Projects</v>
      </c>
      <c r="B218">
        <v>2031</v>
      </c>
      <c r="C218" t="s">
        <v>92</v>
      </c>
      <c r="D218" t="s">
        <v>96</v>
      </c>
      <c r="E218" s="66">
        <f>INDEX(UserInput!$C$2:$M$22,MATCH(UserMade_Scenario!B218,UserInput!$A$2:$A$22,0),MATCH(LEFT(IF(RIGHT(C218,2)="H2",UserMade_Scenario!C218,D218),3),UserInput!$C$25:$M$25,0))</f>
        <v>0</v>
      </c>
      <c r="F218" t="s">
        <v>94</v>
      </c>
      <c r="G218" s="14">
        <f t="shared" si="73"/>
        <v>0</v>
      </c>
      <c r="H218" s="63">
        <f t="shared" si="74"/>
        <v>0</v>
      </c>
      <c r="I218" s="63">
        <f t="shared" si="75"/>
        <v>0</v>
      </c>
      <c r="J218" s="63">
        <f t="shared" si="76"/>
        <v>0</v>
      </c>
      <c r="K218" s="30">
        <f>IF(OR(LEFT($D218,5)="Solar",$D218="Wind"),INDEX(Land_Use[AVG],MATCH(LEFT($D218,5),Land_Use[Tech],0)),0)*$E218</f>
        <v>0</v>
      </c>
      <c r="L218" s="30">
        <f>IF(OR(LEFT($D218,5)="Solar",$D218="Wind"),INDEX(Land_Use[MIN],MATCH(LEFT($D218,5),Land_Use[Tech],0)),0)*$E218</f>
        <v>0</v>
      </c>
      <c r="M218" s="30">
        <f>IF(OR(LEFT($D218,5)="Solar",$D218="Wind"),INDEX(Land_Use[MAX],MATCH(LEFT($D218,5),Land_Use[Tech],0)),0)*$E218</f>
        <v>0</v>
      </c>
      <c r="N218" s="15">
        <f t="shared" si="68"/>
        <v>0</v>
      </c>
      <c r="O218" s="11">
        <f t="shared" si="69"/>
        <v>0</v>
      </c>
      <c r="P218" s="11">
        <f t="shared" si="70"/>
        <v>0</v>
      </c>
      <c r="Q218" s="11">
        <f t="shared" si="71"/>
        <v>0</v>
      </c>
      <c r="R218" s="11">
        <f t="shared" si="72"/>
        <v>0</v>
      </c>
      <c r="S218" s="30">
        <f t="shared" si="77"/>
        <v>0</v>
      </c>
      <c r="T218" s="30">
        <f t="shared" si="78"/>
        <v>0</v>
      </c>
      <c r="U218" s="30">
        <f t="shared" si="79"/>
        <v>0</v>
      </c>
      <c r="V218" s="30">
        <f t="shared" si="80"/>
        <v>0</v>
      </c>
      <c r="W218" s="30">
        <f t="shared" si="81"/>
        <v>0</v>
      </c>
      <c r="X218" s="30">
        <f t="shared" si="82"/>
        <v>0</v>
      </c>
      <c r="Z218" s="23" t="s">
        <v>76</v>
      </c>
      <c r="AA218" s="40" t="str">
        <f>IF(C218="Electricity",E218*SUMIFS(Electricity!S:S,Electricity!P:P,UserMade_Scenario!B218,Electricity!M:M,UserMade_Scenario!Z218,Electricity!O:O,UserMade_Scenario!D218),"")</f>
        <v/>
      </c>
      <c r="AB218" s="67">
        <v>1.4243253975000002E-4</v>
      </c>
      <c r="AC218" s="67" t="s">
        <v>95</v>
      </c>
      <c r="AD218" s="39">
        <f>INDEX(Assumptions!B$120:B$141,MATCH(UserMade_Scenario!$B217,Assumptions!$A$120:$A$141,0))</f>
        <v>-30.36</v>
      </c>
      <c r="AE218" s="39">
        <f>INDEX(Assumptions!C$120:C$141,MATCH(UserMade_Scenario!$B217,Assumptions!$A$120:$A$141,0))</f>
        <v>-30.36</v>
      </c>
      <c r="AF218" s="39">
        <f>INDEX(Assumptions!D$120:D$141,MATCH(UserMade_Scenario!$B217,Assumptions!$A$120:$A$141,0))</f>
        <v>-47.56</v>
      </c>
      <c r="AG218" s="68">
        <f>IFERROR(INDEX(WaterUseH2[Average Direct Water Consumption (Gal/ kg h2)],MATCH(LEFT(D218,3),WaterUseH2[Key],0)),0)</f>
        <v>0</v>
      </c>
      <c r="AH218">
        <v>14</v>
      </c>
      <c r="AI218">
        <v>1.4</v>
      </c>
      <c r="AJ218">
        <v>250</v>
      </c>
      <c r="AK218">
        <v>0.31</v>
      </c>
      <c r="AL218" s="63">
        <f>IFERROR(INDEX(Job_Training[[Solar]:[Wind]],MATCH(AL$1,Job_Training[[`Typical Entry Level Education`]:[`Typical Entry Level Education`]],0),MATCH(LEFT($D218,5),Job_Training[[#Headers],[Solar]:[Wind]],0)),0)</f>
        <v>0</v>
      </c>
      <c r="AM218" s="63">
        <f>IFERROR(INDEX(Job_Training[[Solar]:[Wind]],MATCH(AM$1,Job_Training[[`Typical Entry Level Education`]:[`Typical Entry Level Education`]],0),MATCH(LEFT($D218,5),Job_Training[[#Headers],[Solar]:[Wind]],0)),0)</f>
        <v>0</v>
      </c>
      <c r="AN218" s="63">
        <f>IFERROR(INDEX(Job_Training[[Solar]:[Wind]],MATCH(AN$1,Job_Training[[`Typical Entry Level Education`]:[`Typical Entry Level Education`]],0),MATCH(LEFT($D218,5),Job_Training[[#Headers],[Solar]:[Wind]],0)),0)</f>
        <v>0</v>
      </c>
      <c r="AO218" s="63">
        <f>IFERROR(INDEX(Job_Training[[Solar]:[Wind]],MATCH(AO$1,Job_Training[[`Typical Entry Level Education`]:[`Typical Entry Level Education`]],0),MATCH(LEFT($D218,5),Job_Training[[#Headers],[Solar]:[Wind]],0)),0)</f>
        <v>0</v>
      </c>
      <c r="AP218">
        <f t="shared" si="83"/>
        <v>0</v>
      </c>
      <c r="AQ218" s="63">
        <f>IF(AP218&gt;0,IFERROR(INDEX(Assumptions!$C$165:$D$165,MATCH(LEFT($D218,5),Job_Training[[#Headers],[Solar]:[Wind]],0)),0),0)</f>
        <v>0</v>
      </c>
      <c r="AR218">
        <f>IF(AP218&gt;0,IFERROR(INDEX(Assumptions!$C$166:$D$166,MATCH(LEFT($D218,5),Job_Training[[#Headers],[Solar]:[Wind]],0)),0),0)</f>
        <v>0</v>
      </c>
    </row>
    <row r="219" spans="1:44" x14ac:dyDescent="0.35">
      <c r="A219" t="str">
        <f>UserInput!$B$2</f>
        <v>Current Projects</v>
      </c>
      <c r="B219">
        <v>2032</v>
      </c>
      <c r="C219" t="s">
        <v>92</v>
      </c>
      <c r="D219" t="s">
        <v>96</v>
      </c>
      <c r="E219" s="66">
        <f>INDEX(UserInput!$C$2:$M$22,MATCH(UserMade_Scenario!B219,UserInput!$A$2:$A$22,0),MATCH(LEFT(IF(RIGHT(C219,2)="H2",UserMade_Scenario!C219,D219),3),UserInput!$C$25:$M$25,0))</f>
        <v>0</v>
      </c>
      <c r="F219" t="s">
        <v>94</v>
      </c>
      <c r="G219" s="14">
        <f t="shared" si="73"/>
        <v>0</v>
      </c>
      <c r="H219" s="63">
        <f t="shared" si="74"/>
        <v>0</v>
      </c>
      <c r="I219" s="63">
        <f t="shared" si="75"/>
        <v>0</v>
      </c>
      <c r="J219" s="63">
        <f t="shared" si="76"/>
        <v>0</v>
      </c>
      <c r="K219" s="30">
        <f>IF(OR(LEFT($D219,5)="Solar",$D219="Wind"),INDEX(Land_Use[AVG],MATCH(LEFT($D219,5),Land_Use[Tech],0)),0)*$E219</f>
        <v>0</v>
      </c>
      <c r="L219" s="30">
        <f>IF(OR(LEFT($D219,5)="Solar",$D219="Wind"),INDEX(Land_Use[MIN],MATCH(LEFT($D219,5),Land_Use[Tech],0)),0)*$E219</f>
        <v>0</v>
      </c>
      <c r="M219" s="30">
        <f>IF(OR(LEFT($D219,5)="Solar",$D219="Wind"),INDEX(Land_Use[MAX],MATCH(LEFT($D219,5),Land_Use[Tech],0)),0)*$E219</f>
        <v>0</v>
      </c>
      <c r="N219" s="15">
        <f t="shared" si="68"/>
        <v>0</v>
      </c>
      <c r="O219" s="11">
        <f t="shared" si="69"/>
        <v>0</v>
      </c>
      <c r="P219" s="11">
        <f t="shared" si="70"/>
        <v>0</v>
      </c>
      <c r="Q219" s="11">
        <f t="shared" si="71"/>
        <v>0</v>
      </c>
      <c r="R219" s="11">
        <f t="shared" si="72"/>
        <v>0</v>
      </c>
      <c r="S219" s="30">
        <f t="shared" si="77"/>
        <v>0</v>
      </c>
      <c r="T219" s="30">
        <f t="shared" si="78"/>
        <v>0</v>
      </c>
      <c r="U219" s="30">
        <f t="shared" si="79"/>
        <v>0</v>
      </c>
      <c r="V219" s="30">
        <f t="shared" si="80"/>
        <v>0</v>
      </c>
      <c r="W219" s="30">
        <f t="shared" si="81"/>
        <v>0</v>
      </c>
      <c r="X219" s="30">
        <f t="shared" si="82"/>
        <v>0</v>
      </c>
      <c r="Z219" s="23" t="s">
        <v>76</v>
      </c>
      <c r="AA219" s="40" t="str">
        <f>IF(C219="Electricity",E219*SUMIFS(Electricity!S:S,Electricity!P:P,UserMade_Scenario!B219,Electricity!M:M,UserMade_Scenario!Z219,Electricity!O:O,UserMade_Scenario!D219),"")</f>
        <v/>
      </c>
      <c r="AB219" s="67">
        <v>1.4243253975000002E-4</v>
      </c>
      <c r="AC219" s="67" t="s">
        <v>95</v>
      </c>
      <c r="AD219" s="39">
        <f>INDEX(Assumptions!B$120:B$141,MATCH(UserMade_Scenario!$B218,Assumptions!$A$120:$A$141,0))</f>
        <v>-30.36</v>
      </c>
      <c r="AE219" s="39">
        <f>INDEX(Assumptions!C$120:C$141,MATCH(UserMade_Scenario!$B218,Assumptions!$A$120:$A$141,0))</f>
        <v>-30.36</v>
      </c>
      <c r="AF219" s="39">
        <f>INDEX(Assumptions!D$120:D$141,MATCH(UserMade_Scenario!$B218,Assumptions!$A$120:$A$141,0))</f>
        <v>-47.56</v>
      </c>
      <c r="AG219" s="68">
        <f>IFERROR(INDEX(WaterUseH2[Average Direct Water Consumption (Gal/ kg h2)],MATCH(LEFT(D219,3),WaterUseH2[Key],0)),0)</f>
        <v>0</v>
      </c>
      <c r="AH219">
        <v>14</v>
      </c>
      <c r="AI219">
        <v>1.4</v>
      </c>
      <c r="AJ219">
        <v>250</v>
      </c>
      <c r="AK219">
        <v>0.31</v>
      </c>
      <c r="AL219" s="63">
        <f>IFERROR(INDEX(Job_Training[[Solar]:[Wind]],MATCH(AL$1,Job_Training[[`Typical Entry Level Education`]:[`Typical Entry Level Education`]],0),MATCH(LEFT($D219,5),Job_Training[[#Headers],[Solar]:[Wind]],0)),0)</f>
        <v>0</v>
      </c>
      <c r="AM219" s="63">
        <f>IFERROR(INDEX(Job_Training[[Solar]:[Wind]],MATCH(AM$1,Job_Training[[`Typical Entry Level Education`]:[`Typical Entry Level Education`]],0),MATCH(LEFT($D219,5),Job_Training[[#Headers],[Solar]:[Wind]],0)),0)</f>
        <v>0</v>
      </c>
      <c r="AN219" s="63">
        <f>IFERROR(INDEX(Job_Training[[Solar]:[Wind]],MATCH(AN$1,Job_Training[[`Typical Entry Level Education`]:[`Typical Entry Level Education`]],0),MATCH(LEFT($D219,5),Job_Training[[#Headers],[Solar]:[Wind]],0)),0)</f>
        <v>0</v>
      </c>
      <c r="AO219" s="63">
        <f>IFERROR(INDEX(Job_Training[[Solar]:[Wind]],MATCH(AO$1,Job_Training[[`Typical Entry Level Education`]:[`Typical Entry Level Education`]],0),MATCH(LEFT($D219,5),Job_Training[[#Headers],[Solar]:[Wind]],0)),0)</f>
        <v>0</v>
      </c>
      <c r="AP219">
        <f t="shared" si="83"/>
        <v>0</v>
      </c>
      <c r="AQ219" s="63">
        <f>IF(AP219&gt;0,IFERROR(INDEX(Assumptions!$C$165:$D$165,MATCH(LEFT($D219,5),Job_Training[[#Headers],[Solar]:[Wind]],0)),0),0)</f>
        <v>0</v>
      </c>
      <c r="AR219">
        <f>IF(AP219&gt;0,IFERROR(INDEX(Assumptions!$C$166:$D$166,MATCH(LEFT($D219,5),Job_Training[[#Headers],[Solar]:[Wind]],0)),0),0)</f>
        <v>0</v>
      </c>
    </row>
    <row r="220" spans="1:44" x14ac:dyDescent="0.35">
      <c r="A220" t="str">
        <f>UserInput!$B$2</f>
        <v>Current Projects</v>
      </c>
      <c r="B220">
        <v>2033</v>
      </c>
      <c r="C220" t="s">
        <v>92</v>
      </c>
      <c r="D220" t="s">
        <v>96</v>
      </c>
      <c r="E220" s="66">
        <f>INDEX(UserInput!$C$2:$M$22,MATCH(UserMade_Scenario!B220,UserInput!$A$2:$A$22,0),MATCH(LEFT(IF(RIGHT(C220,2)="H2",UserMade_Scenario!C220,D220),3),UserInput!$C$25:$M$25,0))</f>
        <v>0</v>
      </c>
      <c r="F220" t="s">
        <v>94</v>
      </c>
      <c r="G220" s="14">
        <f t="shared" si="73"/>
        <v>0</v>
      </c>
      <c r="H220" s="63">
        <f t="shared" si="74"/>
        <v>0</v>
      </c>
      <c r="I220" s="63">
        <f t="shared" si="75"/>
        <v>0</v>
      </c>
      <c r="J220" s="63">
        <f t="shared" si="76"/>
        <v>0</v>
      </c>
      <c r="K220" s="30">
        <f>IF(OR(LEFT($D220,5)="Solar",$D220="Wind"),INDEX(Land_Use[AVG],MATCH(LEFT($D220,5),Land_Use[Tech],0)),0)*$E220</f>
        <v>0</v>
      </c>
      <c r="L220" s="30">
        <f>IF(OR(LEFT($D220,5)="Solar",$D220="Wind"),INDEX(Land_Use[MIN],MATCH(LEFT($D220,5),Land_Use[Tech],0)),0)*$E220</f>
        <v>0</v>
      </c>
      <c r="M220" s="30">
        <f>IF(OR(LEFT($D220,5)="Solar",$D220="Wind"),INDEX(Land_Use[MAX],MATCH(LEFT($D220,5),Land_Use[Tech],0)),0)*$E220</f>
        <v>0</v>
      </c>
      <c r="N220" s="15">
        <f t="shared" si="68"/>
        <v>0</v>
      </c>
      <c r="O220" s="11">
        <f t="shared" si="69"/>
        <v>0</v>
      </c>
      <c r="P220" s="11">
        <f t="shared" si="70"/>
        <v>0</v>
      </c>
      <c r="Q220" s="11">
        <f t="shared" si="71"/>
        <v>0</v>
      </c>
      <c r="R220" s="11">
        <f t="shared" si="72"/>
        <v>0</v>
      </c>
      <c r="S220" s="30">
        <f t="shared" si="77"/>
        <v>0</v>
      </c>
      <c r="T220" s="30">
        <f t="shared" si="78"/>
        <v>0</v>
      </c>
      <c r="U220" s="30">
        <f t="shared" si="79"/>
        <v>0</v>
      </c>
      <c r="V220" s="30">
        <f t="shared" si="80"/>
        <v>0</v>
      </c>
      <c r="W220" s="30">
        <f t="shared" si="81"/>
        <v>0</v>
      </c>
      <c r="X220" s="30">
        <f t="shared" si="82"/>
        <v>0</v>
      </c>
      <c r="Z220" s="23" t="s">
        <v>76</v>
      </c>
      <c r="AA220" s="40" t="str">
        <f>IF(C220="Electricity",E220*SUMIFS(Electricity!S:S,Electricity!P:P,UserMade_Scenario!B220,Electricity!M:M,UserMade_Scenario!Z220,Electricity!O:O,UserMade_Scenario!D220),"")</f>
        <v/>
      </c>
      <c r="AB220" s="67">
        <v>1.4243253975000002E-4</v>
      </c>
      <c r="AC220" s="67" t="s">
        <v>95</v>
      </c>
      <c r="AD220" s="39">
        <f>INDEX(Assumptions!B$120:B$141,MATCH(UserMade_Scenario!$B219,Assumptions!$A$120:$A$141,0))</f>
        <v>-30.36</v>
      </c>
      <c r="AE220" s="39">
        <f>INDEX(Assumptions!C$120:C$141,MATCH(UserMade_Scenario!$B219,Assumptions!$A$120:$A$141,0))</f>
        <v>-30.36</v>
      </c>
      <c r="AF220" s="39">
        <f>INDEX(Assumptions!D$120:D$141,MATCH(UserMade_Scenario!$B219,Assumptions!$A$120:$A$141,0))</f>
        <v>-47.56</v>
      </c>
      <c r="AG220" s="68">
        <f>IFERROR(INDEX(WaterUseH2[Average Direct Water Consumption (Gal/ kg h2)],MATCH(LEFT(D220,3),WaterUseH2[Key],0)),0)</f>
        <v>0</v>
      </c>
      <c r="AH220">
        <v>14</v>
      </c>
      <c r="AI220">
        <v>1.4</v>
      </c>
      <c r="AJ220">
        <v>250</v>
      </c>
      <c r="AK220">
        <v>0.31</v>
      </c>
      <c r="AL220" s="63">
        <f>IFERROR(INDEX(Job_Training[[Solar]:[Wind]],MATCH(AL$1,Job_Training[[`Typical Entry Level Education`]:[`Typical Entry Level Education`]],0),MATCH(LEFT($D220,5),Job_Training[[#Headers],[Solar]:[Wind]],0)),0)</f>
        <v>0</v>
      </c>
      <c r="AM220" s="63">
        <f>IFERROR(INDEX(Job_Training[[Solar]:[Wind]],MATCH(AM$1,Job_Training[[`Typical Entry Level Education`]:[`Typical Entry Level Education`]],0),MATCH(LEFT($D220,5),Job_Training[[#Headers],[Solar]:[Wind]],0)),0)</f>
        <v>0</v>
      </c>
      <c r="AN220" s="63">
        <f>IFERROR(INDEX(Job_Training[[Solar]:[Wind]],MATCH(AN$1,Job_Training[[`Typical Entry Level Education`]:[`Typical Entry Level Education`]],0),MATCH(LEFT($D220,5),Job_Training[[#Headers],[Solar]:[Wind]],0)),0)</f>
        <v>0</v>
      </c>
      <c r="AO220" s="63">
        <f>IFERROR(INDEX(Job_Training[[Solar]:[Wind]],MATCH(AO$1,Job_Training[[`Typical Entry Level Education`]:[`Typical Entry Level Education`]],0),MATCH(LEFT($D220,5),Job_Training[[#Headers],[Solar]:[Wind]],0)),0)</f>
        <v>0</v>
      </c>
      <c r="AP220">
        <f t="shared" si="83"/>
        <v>0</v>
      </c>
      <c r="AQ220" s="63">
        <f>IF(AP220&gt;0,IFERROR(INDEX(Assumptions!$C$165:$D$165,MATCH(LEFT($D220,5),Job_Training[[#Headers],[Solar]:[Wind]],0)),0),0)</f>
        <v>0</v>
      </c>
      <c r="AR220">
        <f>IF(AP220&gt;0,IFERROR(INDEX(Assumptions!$C$166:$D$166,MATCH(LEFT($D220,5),Job_Training[[#Headers],[Solar]:[Wind]],0)),0),0)</f>
        <v>0</v>
      </c>
    </row>
    <row r="221" spans="1:44" x14ac:dyDescent="0.35">
      <c r="A221" t="str">
        <f>UserInput!$B$2</f>
        <v>Current Projects</v>
      </c>
      <c r="B221">
        <v>2034</v>
      </c>
      <c r="C221" t="s">
        <v>92</v>
      </c>
      <c r="D221" t="s">
        <v>96</v>
      </c>
      <c r="E221" s="66">
        <f>INDEX(UserInput!$C$2:$M$22,MATCH(UserMade_Scenario!B221,UserInput!$A$2:$A$22,0),MATCH(LEFT(IF(RIGHT(C221,2)="H2",UserMade_Scenario!C221,D221),3),UserInput!$C$25:$M$25,0))</f>
        <v>0</v>
      </c>
      <c r="F221" t="s">
        <v>94</v>
      </c>
      <c r="G221" s="14">
        <f t="shared" si="73"/>
        <v>0</v>
      </c>
      <c r="H221" s="63">
        <f t="shared" si="74"/>
        <v>0</v>
      </c>
      <c r="I221" s="63">
        <f t="shared" si="75"/>
        <v>0</v>
      </c>
      <c r="J221" s="63">
        <f t="shared" si="76"/>
        <v>0</v>
      </c>
      <c r="K221" s="30">
        <f>IF(OR(LEFT($D221,5)="Solar",$D221="Wind"),INDEX(Land_Use[AVG],MATCH(LEFT($D221,5),Land_Use[Tech],0)),0)*$E221</f>
        <v>0</v>
      </c>
      <c r="L221" s="30">
        <f>IF(OR(LEFT($D221,5)="Solar",$D221="Wind"),INDEX(Land_Use[MIN],MATCH(LEFT($D221,5),Land_Use[Tech],0)),0)*$E221</f>
        <v>0</v>
      </c>
      <c r="M221" s="30">
        <f>IF(OR(LEFT($D221,5)="Solar",$D221="Wind"),INDEX(Land_Use[MAX],MATCH(LEFT($D221,5),Land_Use[Tech],0)),0)*$E221</f>
        <v>0</v>
      </c>
      <c r="N221" s="15">
        <f t="shared" si="68"/>
        <v>0</v>
      </c>
      <c r="O221" s="11">
        <f t="shared" si="69"/>
        <v>0</v>
      </c>
      <c r="P221" s="11">
        <f t="shared" si="70"/>
        <v>0</v>
      </c>
      <c r="Q221" s="11">
        <f t="shared" si="71"/>
        <v>0</v>
      </c>
      <c r="R221" s="11">
        <f t="shared" si="72"/>
        <v>0</v>
      </c>
      <c r="S221" s="30">
        <f t="shared" si="77"/>
        <v>0</v>
      </c>
      <c r="T221" s="30">
        <f t="shared" si="78"/>
        <v>0</v>
      </c>
      <c r="U221" s="30">
        <f t="shared" si="79"/>
        <v>0</v>
      </c>
      <c r="V221" s="30">
        <f t="shared" si="80"/>
        <v>0</v>
      </c>
      <c r="W221" s="30">
        <f t="shared" si="81"/>
        <v>0</v>
      </c>
      <c r="X221" s="30">
        <f t="shared" si="82"/>
        <v>0</v>
      </c>
      <c r="Z221" s="23" t="s">
        <v>76</v>
      </c>
      <c r="AA221" s="40" t="str">
        <f>IF(C221="Electricity",E221*SUMIFS(Electricity!S:S,Electricity!P:P,UserMade_Scenario!B221,Electricity!M:M,UserMade_Scenario!Z221,Electricity!O:O,UserMade_Scenario!D221),"")</f>
        <v/>
      </c>
      <c r="AB221" s="67">
        <v>1.4243253975000002E-4</v>
      </c>
      <c r="AC221" s="67" t="s">
        <v>95</v>
      </c>
      <c r="AD221" s="39">
        <f>INDEX(Assumptions!B$120:B$141,MATCH(UserMade_Scenario!$B220,Assumptions!$A$120:$A$141,0))</f>
        <v>-30.36</v>
      </c>
      <c r="AE221" s="39">
        <f>INDEX(Assumptions!C$120:C$141,MATCH(UserMade_Scenario!$B220,Assumptions!$A$120:$A$141,0))</f>
        <v>-30.36</v>
      </c>
      <c r="AF221" s="39">
        <f>INDEX(Assumptions!D$120:D$141,MATCH(UserMade_Scenario!$B220,Assumptions!$A$120:$A$141,0))</f>
        <v>-47.56</v>
      </c>
      <c r="AG221" s="68">
        <f>IFERROR(INDEX(WaterUseH2[Average Direct Water Consumption (Gal/ kg h2)],MATCH(LEFT(D221,3),WaterUseH2[Key],0)),0)</f>
        <v>0</v>
      </c>
      <c r="AH221">
        <v>14</v>
      </c>
      <c r="AI221">
        <v>1.4</v>
      </c>
      <c r="AJ221">
        <v>250</v>
      </c>
      <c r="AK221">
        <v>0.31</v>
      </c>
      <c r="AL221" s="63">
        <f>IFERROR(INDEX(Job_Training[[Solar]:[Wind]],MATCH(AL$1,Job_Training[[`Typical Entry Level Education`]:[`Typical Entry Level Education`]],0),MATCH(LEFT($D221,5),Job_Training[[#Headers],[Solar]:[Wind]],0)),0)</f>
        <v>0</v>
      </c>
      <c r="AM221" s="63">
        <f>IFERROR(INDEX(Job_Training[[Solar]:[Wind]],MATCH(AM$1,Job_Training[[`Typical Entry Level Education`]:[`Typical Entry Level Education`]],0),MATCH(LEFT($D221,5),Job_Training[[#Headers],[Solar]:[Wind]],0)),0)</f>
        <v>0</v>
      </c>
      <c r="AN221" s="63">
        <f>IFERROR(INDEX(Job_Training[[Solar]:[Wind]],MATCH(AN$1,Job_Training[[`Typical Entry Level Education`]:[`Typical Entry Level Education`]],0),MATCH(LEFT($D221,5),Job_Training[[#Headers],[Solar]:[Wind]],0)),0)</f>
        <v>0</v>
      </c>
      <c r="AO221" s="63">
        <f>IFERROR(INDEX(Job_Training[[Solar]:[Wind]],MATCH(AO$1,Job_Training[[`Typical Entry Level Education`]:[`Typical Entry Level Education`]],0),MATCH(LEFT($D221,5),Job_Training[[#Headers],[Solar]:[Wind]],0)),0)</f>
        <v>0</v>
      </c>
      <c r="AP221">
        <f t="shared" si="83"/>
        <v>0</v>
      </c>
      <c r="AQ221" s="63">
        <f>IF(AP221&gt;0,IFERROR(INDEX(Assumptions!$C$165:$D$165,MATCH(LEFT($D221,5),Job_Training[[#Headers],[Solar]:[Wind]],0)),0),0)</f>
        <v>0</v>
      </c>
      <c r="AR221">
        <f>IF(AP221&gt;0,IFERROR(INDEX(Assumptions!$C$166:$D$166,MATCH(LEFT($D221,5),Job_Training[[#Headers],[Solar]:[Wind]],0)),0),0)</f>
        <v>0</v>
      </c>
    </row>
    <row r="222" spans="1:44" x14ac:dyDescent="0.35">
      <c r="A222" t="str">
        <f>UserInput!$B$2</f>
        <v>Current Projects</v>
      </c>
      <c r="B222">
        <v>2035</v>
      </c>
      <c r="C222" t="s">
        <v>92</v>
      </c>
      <c r="D222" t="s">
        <v>96</v>
      </c>
      <c r="E222" s="66">
        <f>INDEX(UserInput!$C$2:$M$22,MATCH(UserMade_Scenario!B222,UserInput!$A$2:$A$22,0),MATCH(LEFT(IF(RIGHT(C222,2)="H2",UserMade_Scenario!C222,D222),3),UserInput!$C$25:$M$25,0))</f>
        <v>0</v>
      </c>
      <c r="F222" t="s">
        <v>94</v>
      </c>
      <c r="G222" s="14">
        <f t="shared" si="73"/>
        <v>0</v>
      </c>
      <c r="H222" s="63">
        <f t="shared" si="74"/>
        <v>0</v>
      </c>
      <c r="I222" s="63">
        <f t="shared" si="75"/>
        <v>0</v>
      </c>
      <c r="J222" s="63">
        <f t="shared" si="76"/>
        <v>0</v>
      </c>
      <c r="K222" s="30">
        <f>IF(OR(LEFT($D222,5)="Solar",$D222="Wind"),INDEX(Land_Use[AVG],MATCH(LEFT($D222,5),Land_Use[Tech],0)),0)*$E222</f>
        <v>0</v>
      </c>
      <c r="L222" s="30">
        <f>IF(OR(LEFT($D222,5)="Solar",$D222="Wind"),INDEX(Land_Use[MIN],MATCH(LEFT($D222,5),Land_Use[Tech],0)),0)*$E222</f>
        <v>0</v>
      </c>
      <c r="M222" s="30">
        <f>IF(OR(LEFT($D222,5)="Solar",$D222="Wind"),INDEX(Land_Use[MAX],MATCH(LEFT($D222,5),Land_Use[Tech],0)),0)*$E222</f>
        <v>0</v>
      </c>
      <c r="N222" s="15">
        <f t="shared" si="68"/>
        <v>0</v>
      </c>
      <c r="O222" s="11">
        <f t="shared" si="69"/>
        <v>0</v>
      </c>
      <c r="P222" s="11">
        <f t="shared" si="70"/>
        <v>0</v>
      </c>
      <c r="Q222" s="11">
        <f t="shared" si="71"/>
        <v>0</v>
      </c>
      <c r="R222" s="11">
        <f t="shared" si="72"/>
        <v>0</v>
      </c>
      <c r="S222" s="30">
        <f t="shared" si="77"/>
        <v>0</v>
      </c>
      <c r="T222" s="30">
        <f t="shared" si="78"/>
        <v>0</v>
      </c>
      <c r="U222" s="30">
        <f t="shared" si="79"/>
        <v>0</v>
      </c>
      <c r="V222" s="30">
        <f t="shared" si="80"/>
        <v>0</v>
      </c>
      <c r="W222" s="30">
        <f t="shared" si="81"/>
        <v>0</v>
      </c>
      <c r="X222" s="30">
        <f t="shared" si="82"/>
        <v>0</v>
      </c>
      <c r="Z222" s="23" t="s">
        <v>76</v>
      </c>
      <c r="AA222" s="40" t="str">
        <f>IF(C222="Electricity",E222*SUMIFS(Electricity!S:S,Electricity!P:P,UserMade_Scenario!B222,Electricity!M:M,UserMade_Scenario!Z222,Electricity!O:O,UserMade_Scenario!D222),"")</f>
        <v/>
      </c>
      <c r="AB222" s="67">
        <v>1.4243253975000002E-4</v>
      </c>
      <c r="AC222" s="67" t="s">
        <v>95</v>
      </c>
      <c r="AD222" s="39">
        <f>INDEX(Assumptions!B$120:B$141,MATCH(UserMade_Scenario!$B221,Assumptions!$A$120:$A$141,0))</f>
        <v>-30.36</v>
      </c>
      <c r="AE222" s="39">
        <f>INDEX(Assumptions!C$120:C$141,MATCH(UserMade_Scenario!$B221,Assumptions!$A$120:$A$141,0))</f>
        <v>-30.36</v>
      </c>
      <c r="AF222" s="39">
        <f>INDEX(Assumptions!D$120:D$141,MATCH(UserMade_Scenario!$B221,Assumptions!$A$120:$A$141,0))</f>
        <v>-47.56</v>
      </c>
      <c r="AG222" s="68">
        <f>IFERROR(INDEX(WaterUseH2[Average Direct Water Consumption (Gal/ kg h2)],MATCH(LEFT(D222,3),WaterUseH2[Key],0)),0)</f>
        <v>0</v>
      </c>
      <c r="AH222">
        <v>14</v>
      </c>
      <c r="AI222">
        <v>1.4</v>
      </c>
      <c r="AJ222">
        <v>250</v>
      </c>
      <c r="AK222">
        <v>0.31</v>
      </c>
      <c r="AL222" s="63">
        <f>IFERROR(INDEX(Job_Training[[Solar]:[Wind]],MATCH(AL$1,Job_Training[[`Typical Entry Level Education`]:[`Typical Entry Level Education`]],0),MATCH(LEFT($D222,5),Job_Training[[#Headers],[Solar]:[Wind]],0)),0)</f>
        <v>0</v>
      </c>
      <c r="AM222" s="63">
        <f>IFERROR(INDEX(Job_Training[[Solar]:[Wind]],MATCH(AM$1,Job_Training[[`Typical Entry Level Education`]:[`Typical Entry Level Education`]],0),MATCH(LEFT($D222,5),Job_Training[[#Headers],[Solar]:[Wind]],0)),0)</f>
        <v>0</v>
      </c>
      <c r="AN222" s="63">
        <f>IFERROR(INDEX(Job_Training[[Solar]:[Wind]],MATCH(AN$1,Job_Training[[`Typical Entry Level Education`]:[`Typical Entry Level Education`]],0),MATCH(LEFT($D222,5),Job_Training[[#Headers],[Solar]:[Wind]],0)),0)</f>
        <v>0</v>
      </c>
      <c r="AO222" s="63">
        <f>IFERROR(INDEX(Job_Training[[Solar]:[Wind]],MATCH(AO$1,Job_Training[[`Typical Entry Level Education`]:[`Typical Entry Level Education`]],0),MATCH(LEFT($D222,5),Job_Training[[#Headers],[Solar]:[Wind]],0)),0)</f>
        <v>0</v>
      </c>
      <c r="AP222">
        <f t="shared" si="83"/>
        <v>0</v>
      </c>
      <c r="AQ222" s="63">
        <f>IF(AP222&gt;0,IFERROR(INDEX(Assumptions!$C$165:$D$165,MATCH(LEFT($D222,5),Job_Training[[#Headers],[Solar]:[Wind]],0)),0),0)</f>
        <v>0</v>
      </c>
      <c r="AR222">
        <f>IF(AP222&gt;0,IFERROR(INDEX(Assumptions!$C$166:$D$166,MATCH(LEFT($D222,5),Job_Training[[#Headers],[Solar]:[Wind]],0)),0),0)</f>
        <v>0</v>
      </c>
    </row>
    <row r="223" spans="1:44" x14ac:dyDescent="0.35">
      <c r="A223" t="str">
        <f>UserInput!$B$2</f>
        <v>Current Projects</v>
      </c>
      <c r="B223">
        <v>2036</v>
      </c>
      <c r="C223" t="s">
        <v>92</v>
      </c>
      <c r="D223" t="s">
        <v>96</v>
      </c>
      <c r="E223" s="66">
        <f>INDEX(UserInput!$C$2:$M$22,MATCH(UserMade_Scenario!B223,UserInput!$A$2:$A$22,0),MATCH(LEFT(IF(RIGHT(C223,2)="H2",UserMade_Scenario!C223,D223),3),UserInput!$C$25:$M$25,0))</f>
        <v>0</v>
      </c>
      <c r="F223" t="s">
        <v>94</v>
      </c>
      <c r="G223" s="14">
        <f t="shared" si="73"/>
        <v>0</v>
      </c>
      <c r="H223" s="63">
        <f t="shared" si="74"/>
        <v>0</v>
      </c>
      <c r="I223" s="63">
        <f t="shared" si="75"/>
        <v>0</v>
      </c>
      <c r="J223" s="63">
        <f t="shared" si="76"/>
        <v>0</v>
      </c>
      <c r="K223" s="30">
        <f>IF(OR(LEFT($D223,5)="Solar",$D223="Wind"),INDEX(Land_Use[AVG],MATCH(LEFT($D223,5),Land_Use[Tech],0)),0)*$E223</f>
        <v>0</v>
      </c>
      <c r="L223" s="30">
        <f>IF(OR(LEFT($D223,5)="Solar",$D223="Wind"),INDEX(Land_Use[MIN],MATCH(LEFT($D223,5),Land_Use[Tech],0)),0)*$E223</f>
        <v>0</v>
      </c>
      <c r="M223" s="30">
        <f>IF(OR(LEFT($D223,5)="Solar",$D223="Wind"),INDEX(Land_Use[MAX],MATCH(LEFT($D223,5),Land_Use[Tech],0)),0)*$E223</f>
        <v>0</v>
      </c>
      <c r="N223" s="15">
        <f t="shared" si="68"/>
        <v>0</v>
      </c>
      <c r="O223" s="11">
        <f t="shared" si="69"/>
        <v>0</v>
      </c>
      <c r="P223" s="11">
        <f t="shared" si="70"/>
        <v>0</v>
      </c>
      <c r="Q223" s="11">
        <f t="shared" si="71"/>
        <v>0</v>
      </c>
      <c r="R223" s="11">
        <f t="shared" si="72"/>
        <v>0</v>
      </c>
      <c r="S223" s="30">
        <f t="shared" si="77"/>
        <v>0</v>
      </c>
      <c r="T223" s="30">
        <f t="shared" si="78"/>
        <v>0</v>
      </c>
      <c r="U223" s="30">
        <f t="shared" si="79"/>
        <v>0</v>
      </c>
      <c r="V223" s="30">
        <f t="shared" si="80"/>
        <v>0</v>
      </c>
      <c r="W223" s="30">
        <f t="shared" si="81"/>
        <v>0</v>
      </c>
      <c r="X223" s="30">
        <f t="shared" si="82"/>
        <v>0</v>
      </c>
      <c r="Z223" s="23" t="s">
        <v>76</v>
      </c>
      <c r="AA223" s="40" t="str">
        <f>IF(C223="Electricity",E223*SUMIFS(Electricity!S:S,Electricity!P:P,UserMade_Scenario!B223,Electricity!M:M,UserMade_Scenario!Z223,Electricity!O:O,UserMade_Scenario!D223),"")</f>
        <v/>
      </c>
      <c r="AB223" s="67">
        <v>1.4243253975000002E-4</v>
      </c>
      <c r="AC223" s="67" t="s">
        <v>95</v>
      </c>
      <c r="AD223" s="39">
        <f>INDEX(Assumptions!B$120:B$141,MATCH(UserMade_Scenario!$B222,Assumptions!$A$120:$A$141,0))</f>
        <v>-30.36</v>
      </c>
      <c r="AE223" s="39">
        <f>INDEX(Assumptions!C$120:C$141,MATCH(UserMade_Scenario!$B222,Assumptions!$A$120:$A$141,0))</f>
        <v>-30.36</v>
      </c>
      <c r="AF223" s="39">
        <f>INDEX(Assumptions!D$120:D$141,MATCH(UserMade_Scenario!$B222,Assumptions!$A$120:$A$141,0))</f>
        <v>-47.56</v>
      </c>
      <c r="AG223" s="68">
        <f>IFERROR(INDEX(WaterUseH2[Average Direct Water Consumption (Gal/ kg h2)],MATCH(LEFT(D223,3),WaterUseH2[Key],0)),0)</f>
        <v>0</v>
      </c>
      <c r="AH223">
        <v>14</v>
      </c>
      <c r="AI223">
        <v>1.4</v>
      </c>
      <c r="AJ223">
        <v>250</v>
      </c>
      <c r="AK223">
        <v>0.31</v>
      </c>
      <c r="AL223" s="63">
        <f>IFERROR(INDEX(Job_Training[[Solar]:[Wind]],MATCH(AL$1,Job_Training[[`Typical Entry Level Education`]:[`Typical Entry Level Education`]],0),MATCH(LEFT($D223,5),Job_Training[[#Headers],[Solar]:[Wind]],0)),0)</f>
        <v>0</v>
      </c>
      <c r="AM223" s="63">
        <f>IFERROR(INDEX(Job_Training[[Solar]:[Wind]],MATCH(AM$1,Job_Training[[`Typical Entry Level Education`]:[`Typical Entry Level Education`]],0),MATCH(LEFT($D223,5),Job_Training[[#Headers],[Solar]:[Wind]],0)),0)</f>
        <v>0</v>
      </c>
      <c r="AN223" s="63">
        <f>IFERROR(INDEX(Job_Training[[Solar]:[Wind]],MATCH(AN$1,Job_Training[[`Typical Entry Level Education`]:[`Typical Entry Level Education`]],0),MATCH(LEFT($D223,5),Job_Training[[#Headers],[Solar]:[Wind]],0)),0)</f>
        <v>0</v>
      </c>
      <c r="AO223" s="63">
        <f>IFERROR(INDEX(Job_Training[[Solar]:[Wind]],MATCH(AO$1,Job_Training[[`Typical Entry Level Education`]:[`Typical Entry Level Education`]],0),MATCH(LEFT($D223,5),Job_Training[[#Headers],[Solar]:[Wind]],0)),0)</f>
        <v>0</v>
      </c>
      <c r="AP223">
        <f t="shared" si="83"/>
        <v>0</v>
      </c>
      <c r="AQ223" s="63">
        <f>IF(AP223&gt;0,IFERROR(INDEX(Assumptions!$C$165:$D$165,MATCH(LEFT($D223,5),Job_Training[[#Headers],[Solar]:[Wind]],0)),0),0)</f>
        <v>0</v>
      </c>
      <c r="AR223">
        <f>IF(AP223&gt;0,IFERROR(INDEX(Assumptions!$C$166:$D$166,MATCH(LEFT($D223,5),Job_Training[[#Headers],[Solar]:[Wind]],0)),0),0)</f>
        <v>0</v>
      </c>
    </row>
    <row r="224" spans="1:44" x14ac:dyDescent="0.35">
      <c r="A224" t="str">
        <f>UserInput!$B$2</f>
        <v>Current Projects</v>
      </c>
      <c r="B224">
        <v>2037</v>
      </c>
      <c r="C224" t="s">
        <v>92</v>
      </c>
      <c r="D224" t="s">
        <v>96</v>
      </c>
      <c r="E224" s="66">
        <f>INDEX(UserInput!$C$2:$M$22,MATCH(UserMade_Scenario!B224,UserInput!$A$2:$A$22,0),MATCH(LEFT(IF(RIGHT(C224,2)="H2",UserMade_Scenario!C224,D224),3),UserInput!$C$25:$M$25,0))</f>
        <v>0</v>
      </c>
      <c r="F224" t="s">
        <v>94</v>
      </c>
      <c r="G224" s="14">
        <f t="shared" si="73"/>
        <v>0</v>
      </c>
      <c r="H224" s="63">
        <f t="shared" si="74"/>
        <v>0</v>
      </c>
      <c r="I224" s="63">
        <f t="shared" si="75"/>
        <v>0</v>
      </c>
      <c r="J224" s="63">
        <f t="shared" si="76"/>
        <v>0</v>
      </c>
      <c r="K224" s="30">
        <f>IF(OR(LEFT($D224,5)="Solar",$D224="Wind"),INDEX(Land_Use[AVG],MATCH(LEFT($D224,5),Land_Use[Tech],0)),0)*$E224</f>
        <v>0</v>
      </c>
      <c r="L224" s="30">
        <f>IF(OR(LEFT($D224,5)="Solar",$D224="Wind"),INDEX(Land_Use[MIN],MATCH(LEFT($D224,5),Land_Use[Tech],0)),0)*$E224</f>
        <v>0</v>
      </c>
      <c r="M224" s="30">
        <f>IF(OR(LEFT($D224,5)="Solar",$D224="Wind"),INDEX(Land_Use[MAX],MATCH(LEFT($D224,5),Land_Use[Tech],0)),0)*$E224</f>
        <v>0</v>
      </c>
      <c r="N224" s="15">
        <f t="shared" si="68"/>
        <v>0</v>
      </c>
      <c r="O224" s="11">
        <f t="shared" si="69"/>
        <v>0</v>
      </c>
      <c r="P224" s="11">
        <f t="shared" si="70"/>
        <v>0</v>
      </c>
      <c r="Q224" s="11">
        <f t="shared" si="71"/>
        <v>0</v>
      </c>
      <c r="R224" s="11">
        <f t="shared" si="72"/>
        <v>0</v>
      </c>
      <c r="S224" s="30">
        <f t="shared" si="77"/>
        <v>0</v>
      </c>
      <c r="T224" s="30">
        <f t="shared" si="78"/>
        <v>0</v>
      </c>
      <c r="U224" s="30">
        <f t="shared" si="79"/>
        <v>0</v>
      </c>
      <c r="V224" s="30">
        <f t="shared" si="80"/>
        <v>0</v>
      </c>
      <c r="W224" s="30">
        <f t="shared" si="81"/>
        <v>0</v>
      </c>
      <c r="X224" s="30">
        <f t="shared" si="82"/>
        <v>0</v>
      </c>
      <c r="Z224" s="23" t="s">
        <v>76</v>
      </c>
      <c r="AA224" s="40" t="str">
        <f>IF(C224="Electricity",E224*SUMIFS(Electricity!S:S,Electricity!P:P,UserMade_Scenario!B224,Electricity!M:M,UserMade_Scenario!Z224,Electricity!O:O,UserMade_Scenario!D224),"")</f>
        <v/>
      </c>
      <c r="AB224" s="67">
        <v>1.4243253975000002E-4</v>
      </c>
      <c r="AC224" s="67" t="s">
        <v>95</v>
      </c>
      <c r="AD224" s="39">
        <f>INDEX(Assumptions!B$120:B$141,MATCH(UserMade_Scenario!$B223,Assumptions!$A$120:$A$141,0))</f>
        <v>-30.36</v>
      </c>
      <c r="AE224" s="39">
        <f>INDEX(Assumptions!C$120:C$141,MATCH(UserMade_Scenario!$B223,Assumptions!$A$120:$A$141,0))</f>
        <v>-30.36</v>
      </c>
      <c r="AF224" s="39">
        <f>INDEX(Assumptions!D$120:D$141,MATCH(UserMade_Scenario!$B223,Assumptions!$A$120:$A$141,0))</f>
        <v>-47.56</v>
      </c>
      <c r="AG224" s="68">
        <f>IFERROR(INDEX(WaterUseH2[Average Direct Water Consumption (Gal/ kg h2)],MATCH(LEFT(D224,3),WaterUseH2[Key],0)),0)</f>
        <v>0</v>
      </c>
      <c r="AH224">
        <v>14</v>
      </c>
      <c r="AI224">
        <v>1.4</v>
      </c>
      <c r="AJ224">
        <v>250</v>
      </c>
      <c r="AK224">
        <v>0.31</v>
      </c>
      <c r="AL224" s="63">
        <f>IFERROR(INDEX(Job_Training[[Solar]:[Wind]],MATCH(AL$1,Job_Training[[`Typical Entry Level Education`]:[`Typical Entry Level Education`]],0),MATCH(LEFT($D224,5),Job_Training[[#Headers],[Solar]:[Wind]],0)),0)</f>
        <v>0</v>
      </c>
      <c r="AM224" s="63">
        <f>IFERROR(INDEX(Job_Training[[Solar]:[Wind]],MATCH(AM$1,Job_Training[[`Typical Entry Level Education`]:[`Typical Entry Level Education`]],0),MATCH(LEFT($D224,5),Job_Training[[#Headers],[Solar]:[Wind]],0)),0)</f>
        <v>0</v>
      </c>
      <c r="AN224" s="63">
        <f>IFERROR(INDEX(Job_Training[[Solar]:[Wind]],MATCH(AN$1,Job_Training[[`Typical Entry Level Education`]:[`Typical Entry Level Education`]],0),MATCH(LEFT($D224,5),Job_Training[[#Headers],[Solar]:[Wind]],0)),0)</f>
        <v>0</v>
      </c>
      <c r="AO224" s="63">
        <f>IFERROR(INDEX(Job_Training[[Solar]:[Wind]],MATCH(AO$1,Job_Training[[`Typical Entry Level Education`]:[`Typical Entry Level Education`]],0),MATCH(LEFT($D224,5),Job_Training[[#Headers],[Solar]:[Wind]],0)),0)</f>
        <v>0</v>
      </c>
      <c r="AP224">
        <f t="shared" si="83"/>
        <v>0</v>
      </c>
      <c r="AQ224" s="63">
        <f>IF(AP224&gt;0,IFERROR(INDEX(Assumptions!$C$165:$D$165,MATCH(LEFT($D224,5),Job_Training[[#Headers],[Solar]:[Wind]],0)),0),0)</f>
        <v>0</v>
      </c>
      <c r="AR224">
        <f>IF(AP224&gt;0,IFERROR(INDEX(Assumptions!$C$166:$D$166,MATCH(LEFT($D224,5),Job_Training[[#Headers],[Solar]:[Wind]],0)),0),0)</f>
        <v>0</v>
      </c>
    </row>
    <row r="225" spans="1:44" x14ac:dyDescent="0.35">
      <c r="A225" t="str">
        <f>UserInput!$B$2</f>
        <v>Current Projects</v>
      </c>
      <c r="B225">
        <v>2038</v>
      </c>
      <c r="C225" t="s">
        <v>92</v>
      </c>
      <c r="D225" t="s">
        <v>96</v>
      </c>
      <c r="E225" s="66">
        <f>INDEX(UserInput!$C$2:$M$22,MATCH(UserMade_Scenario!B225,UserInput!$A$2:$A$22,0),MATCH(LEFT(IF(RIGHT(C225,2)="H2",UserMade_Scenario!C225,D225),3),UserInput!$C$25:$M$25,0))</f>
        <v>0</v>
      </c>
      <c r="F225" t="s">
        <v>94</v>
      </c>
      <c r="G225" s="14">
        <f t="shared" si="73"/>
        <v>0</v>
      </c>
      <c r="H225" s="63">
        <f t="shared" si="74"/>
        <v>0</v>
      </c>
      <c r="I225" s="63">
        <f t="shared" si="75"/>
        <v>0</v>
      </c>
      <c r="J225" s="63">
        <f t="shared" si="76"/>
        <v>0</v>
      </c>
      <c r="K225" s="30">
        <f>IF(OR(LEFT($D225,5)="Solar",$D225="Wind"),INDEX(Land_Use[AVG],MATCH(LEFT($D225,5),Land_Use[Tech],0)),0)*$E225</f>
        <v>0</v>
      </c>
      <c r="L225" s="30">
        <f>IF(OR(LEFT($D225,5)="Solar",$D225="Wind"),INDEX(Land_Use[MIN],MATCH(LEFT($D225,5),Land_Use[Tech],0)),0)*$E225</f>
        <v>0</v>
      </c>
      <c r="M225" s="30">
        <f>IF(OR(LEFT($D225,5)="Solar",$D225="Wind"),INDEX(Land_Use[MAX],MATCH(LEFT($D225,5),Land_Use[Tech],0)),0)*$E225</f>
        <v>0</v>
      </c>
      <c r="N225" s="15">
        <f t="shared" ref="N225:N288" si="84">E225*AG225*1000/1000000</f>
        <v>0</v>
      </c>
      <c r="O225" s="11">
        <f t="shared" ref="O225:O288" si="85">$K225*AH$2</f>
        <v>0</v>
      </c>
      <c r="P225" s="11">
        <f t="shared" ref="P225:P288" si="86">$K225*AI$2</f>
        <v>0</v>
      </c>
      <c r="Q225" s="11">
        <f t="shared" ref="Q225:Q288" si="87">$K225*AJ$2</f>
        <v>0</v>
      </c>
      <c r="R225" s="11">
        <f t="shared" ref="R225:R288" si="88">$K225*AK$2</f>
        <v>0</v>
      </c>
      <c r="S225" s="30">
        <f t="shared" si="77"/>
        <v>0</v>
      </c>
      <c r="T225" s="30">
        <f t="shared" si="78"/>
        <v>0</v>
      </c>
      <c r="U225" s="30">
        <f t="shared" si="79"/>
        <v>0</v>
      </c>
      <c r="V225" s="30">
        <f t="shared" si="80"/>
        <v>0</v>
      </c>
      <c r="W225" s="30">
        <f t="shared" si="81"/>
        <v>0</v>
      </c>
      <c r="X225" s="30">
        <f t="shared" si="82"/>
        <v>0</v>
      </c>
      <c r="Z225" s="23" t="s">
        <v>76</v>
      </c>
      <c r="AA225" s="40" t="str">
        <f>IF(C225="Electricity",E225*SUMIFS(Electricity!S:S,Electricity!P:P,UserMade_Scenario!B225,Electricity!M:M,UserMade_Scenario!Z225,Electricity!O:O,UserMade_Scenario!D225),"")</f>
        <v/>
      </c>
      <c r="AB225" s="67">
        <v>1.4243253975000002E-4</v>
      </c>
      <c r="AC225" s="67" t="s">
        <v>95</v>
      </c>
      <c r="AD225" s="39">
        <f>INDEX(Assumptions!B$120:B$141,MATCH(UserMade_Scenario!$B224,Assumptions!$A$120:$A$141,0))</f>
        <v>-30.36</v>
      </c>
      <c r="AE225" s="39">
        <f>INDEX(Assumptions!C$120:C$141,MATCH(UserMade_Scenario!$B224,Assumptions!$A$120:$A$141,0))</f>
        <v>-30.36</v>
      </c>
      <c r="AF225" s="39">
        <f>INDEX(Assumptions!D$120:D$141,MATCH(UserMade_Scenario!$B224,Assumptions!$A$120:$A$141,0))</f>
        <v>-47.56</v>
      </c>
      <c r="AG225" s="68">
        <f>IFERROR(INDEX(WaterUseH2[Average Direct Water Consumption (Gal/ kg h2)],MATCH(LEFT(D225,3),WaterUseH2[Key],0)),0)</f>
        <v>0</v>
      </c>
      <c r="AH225">
        <v>14</v>
      </c>
      <c r="AI225">
        <v>1.4</v>
      </c>
      <c r="AJ225">
        <v>250</v>
      </c>
      <c r="AK225">
        <v>0.31</v>
      </c>
      <c r="AL225" s="63">
        <f>IFERROR(INDEX(Job_Training[[Solar]:[Wind]],MATCH(AL$1,Job_Training[[`Typical Entry Level Education`]:[`Typical Entry Level Education`]],0),MATCH(LEFT($D225,5),Job_Training[[#Headers],[Solar]:[Wind]],0)),0)</f>
        <v>0</v>
      </c>
      <c r="AM225" s="63">
        <f>IFERROR(INDEX(Job_Training[[Solar]:[Wind]],MATCH(AM$1,Job_Training[[`Typical Entry Level Education`]:[`Typical Entry Level Education`]],0),MATCH(LEFT($D225,5),Job_Training[[#Headers],[Solar]:[Wind]],0)),0)</f>
        <v>0</v>
      </c>
      <c r="AN225" s="63">
        <f>IFERROR(INDEX(Job_Training[[Solar]:[Wind]],MATCH(AN$1,Job_Training[[`Typical Entry Level Education`]:[`Typical Entry Level Education`]],0),MATCH(LEFT($D225,5),Job_Training[[#Headers],[Solar]:[Wind]],0)),0)</f>
        <v>0</v>
      </c>
      <c r="AO225" s="63">
        <f>IFERROR(INDEX(Job_Training[[Solar]:[Wind]],MATCH(AO$1,Job_Training[[`Typical Entry Level Education`]:[`Typical Entry Level Education`]],0),MATCH(LEFT($D225,5),Job_Training[[#Headers],[Solar]:[Wind]],0)),0)</f>
        <v>0</v>
      </c>
      <c r="AP225">
        <f t="shared" si="83"/>
        <v>0</v>
      </c>
      <c r="AQ225" s="63">
        <f>IF(AP225&gt;0,IFERROR(INDEX(Assumptions!$C$165:$D$165,MATCH(LEFT($D225,5),Job_Training[[#Headers],[Solar]:[Wind]],0)),0),0)</f>
        <v>0</v>
      </c>
      <c r="AR225">
        <f>IF(AP225&gt;0,IFERROR(INDEX(Assumptions!$C$166:$D$166,MATCH(LEFT($D225,5),Job_Training[[#Headers],[Solar]:[Wind]],0)),0),0)</f>
        <v>0</v>
      </c>
    </row>
    <row r="226" spans="1:44" x14ac:dyDescent="0.35">
      <c r="A226" t="str">
        <f>UserInput!$B$2</f>
        <v>Current Projects</v>
      </c>
      <c r="B226">
        <v>2039</v>
      </c>
      <c r="C226" t="s">
        <v>92</v>
      </c>
      <c r="D226" t="s">
        <v>96</v>
      </c>
      <c r="E226" s="66">
        <f>INDEX(UserInput!$C$2:$M$22,MATCH(UserMade_Scenario!B226,UserInput!$A$2:$A$22,0),MATCH(LEFT(IF(RIGHT(C226,2)="H2",UserMade_Scenario!C226,D226),3),UserInput!$C$25:$M$25,0))</f>
        <v>0</v>
      </c>
      <c r="F226" t="s">
        <v>94</v>
      </c>
      <c r="G226" s="14">
        <f t="shared" si="73"/>
        <v>0</v>
      </c>
      <c r="H226" s="63">
        <f t="shared" si="74"/>
        <v>0</v>
      </c>
      <c r="I226" s="63">
        <f t="shared" si="75"/>
        <v>0</v>
      </c>
      <c r="J226" s="63">
        <f t="shared" si="76"/>
        <v>0</v>
      </c>
      <c r="K226" s="30">
        <f>IF(OR(LEFT($D226,5)="Solar",$D226="Wind"),INDEX(Land_Use[AVG],MATCH(LEFT($D226,5),Land_Use[Tech],0)),0)*$E226</f>
        <v>0</v>
      </c>
      <c r="L226" s="30">
        <f>IF(OR(LEFT($D226,5)="Solar",$D226="Wind"),INDEX(Land_Use[MIN],MATCH(LEFT($D226,5),Land_Use[Tech],0)),0)*$E226</f>
        <v>0</v>
      </c>
      <c r="M226" s="30">
        <f>IF(OR(LEFT($D226,5)="Solar",$D226="Wind"),INDEX(Land_Use[MAX],MATCH(LEFT($D226,5),Land_Use[Tech],0)),0)*$E226</f>
        <v>0</v>
      </c>
      <c r="N226" s="15">
        <f t="shared" si="84"/>
        <v>0</v>
      </c>
      <c r="O226" s="11">
        <f t="shared" si="85"/>
        <v>0</v>
      </c>
      <c r="P226" s="11">
        <f t="shared" si="86"/>
        <v>0</v>
      </c>
      <c r="Q226" s="11">
        <f t="shared" si="87"/>
        <v>0</v>
      </c>
      <c r="R226" s="11">
        <f t="shared" si="88"/>
        <v>0</v>
      </c>
      <c r="S226" s="30">
        <f t="shared" si="77"/>
        <v>0</v>
      </c>
      <c r="T226" s="30">
        <f t="shared" si="78"/>
        <v>0</v>
      </c>
      <c r="U226" s="30">
        <f t="shared" si="79"/>
        <v>0</v>
      </c>
      <c r="V226" s="30">
        <f t="shared" si="80"/>
        <v>0</v>
      </c>
      <c r="W226" s="30">
        <f t="shared" si="81"/>
        <v>0</v>
      </c>
      <c r="X226" s="30">
        <f t="shared" si="82"/>
        <v>0</v>
      </c>
      <c r="Z226" s="23" t="s">
        <v>76</v>
      </c>
      <c r="AA226" s="40" t="str">
        <f>IF(C226="Electricity",E226*SUMIFS(Electricity!S:S,Electricity!P:P,UserMade_Scenario!B226,Electricity!M:M,UserMade_Scenario!Z226,Electricity!O:O,UserMade_Scenario!D226),"")</f>
        <v/>
      </c>
      <c r="AB226" s="67">
        <v>1.4243253975000002E-4</v>
      </c>
      <c r="AC226" s="67" t="s">
        <v>95</v>
      </c>
      <c r="AD226" s="39">
        <f>INDEX(Assumptions!B$120:B$141,MATCH(UserMade_Scenario!$B225,Assumptions!$A$120:$A$141,0))</f>
        <v>-30.36</v>
      </c>
      <c r="AE226" s="39">
        <f>INDEX(Assumptions!C$120:C$141,MATCH(UserMade_Scenario!$B225,Assumptions!$A$120:$A$141,0))</f>
        <v>-30.36</v>
      </c>
      <c r="AF226" s="39">
        <f>INDEX(Assumptions!D$120:D$141,MATCH(UserMade_Scenario!$B225,Assumptions!$A$120:$A$141,0))</f>
        <v>-47.56</v>
      </c>
      <c r="AG226" s="68">
        <f>IFERROR(INDEX(WaterUseH2[Average Direct Water Consumption (Gal/ kg h2)],MATCH(LEFT(D226,3),WaterUseH2[Key],0)),0)</f>
        <v>0</v>
      </c>
      <c r="AH226">
        <v>14</v>
      </c>
      <c r="AI226">
        <v>1.4</v>
      </c>
      <c r="AJ226">
        <v>250</v>
      </c>
      <c r="AK226">
        <v>0.31</v>
      </c>
      <c r="AL226" s="63">
        <f>IFERROR(INDEX(Job_Training[[Solar]:[Wind]],MATCH(AL$1,Job_Training[[`Typical Entry Level Education`]:[`Typical Entry Level Education`]],0),MATCH(LEFT($D226,5),Job_Training[[#Headers],[Solar]:[Wind]],0)),0)</f>
        <v>0</v>
      </c>
      <c r="AM226" s="63">
        <f>IFERROR(INDEX(Job_Training[[Solar]:[Wind]],MATCH(AM$1,Job_Training[[`Typical Entry Level Education`]:[`Typical Entry Level Education`]],0),MATCH(LEFT($D226,5),Job_Training[[#Headers],[Solar]:[Wind]],0)),0)</f>
        <v>0</v>
      </c>
      <c r="AN226" s="63">
        <f>IFERROR(INDEX(Job_Training[[Solar]:[Wind]],MATCH(AN$1,Job_Training[[`Typical Entry Level Education`]:[`Typical Entry Level Education`]],0),MATCH(LEFT($D226,5),Job_Training[[#Headers],[Solar]:[Wind]],0)),0)</f>
        <v>0</v>
      </c>
      <c r="AO226" s="63">
        <f>IFERROR(INDEX(Job_Training[[Solar]:[Wind]],MATCH(AO$1,Job_Training[[`Typical Entry Level Education`]:[`Typical Entry Level Education`]],0),MATCH(LEFT($D226,5),Job_Training[[#Headers],[Solar]:[Wind]],0)),0)</f>
        <v>0</v>
      </c>
      <c r="AP226">
        <f t="shared" si="83"/>
        <v>0</v>
      </c>
      <c r="AQ226" s="63">
        <f>IF(AP226&gt;0,IFERROR(INDEX(Assumptions!$C$165:$D$165,MATCH(LEFT($D226,5),Job_Training[[#Headers],[Solar]:[Wind]],0)),0),0)</f>
        <v>0</v>
      </c>
      <c r="AR226">
        <f>IF(AP226&gt;0,IFERROR(INDEX(Assumptions!$C$166:$D$166,MATCH(LEFT($D226,5),Job_Training[[#Headers],[Solar]:[Wind]],0)),0),0)</f>
        <v>0</v>
      </c>
    </row>
    <row r="227" spans="1:44" x14ac:dyDescent="0.35">
      <c r="A227" t="str">
        <f>UserInput!$B$2</f>
        <v>Current Projects</v>
      </c>
      <c r="B227">
        <v>2040</v>
      </c>
      <c r="C227" t="s">
        <v>92</v>
      </c>
      <c r="D227" t="s">
        <v>96</v>
      </c>
      <c r="E227" s="66">
        <f>INDEX(UserInput!$C$2:$M$22,MATCH(UserMade_Scenario!B227,UserInput!$A$2:$A$22,0),MATCH(LEFT(IF(RIGHT(C227,2)="H2",UserMade_Scenario!C227,D227),3),UserInput!$C$25:$M$25,0))</f>
        <v>0</v>
      </c>
      <c r="F227" t="s">
        <v>94</v>
      </c>
      <c r="G227" s="14">
        <f t="shared" ref="G227:G232" si="89">E227*AB227</f>
        <v>0</v>
      </c>
      <c r="H227" s="63">
        <f t="shared" si="74"/>
        <v>0</v>
      </c>
      <c r="I227" s="63">
        <f t="shared" si="75"/>
        <v>0</v>
      </c>
      <c r="J227" s="63">
        <f t="shared" si="76"/>
        <v>0</v>
      </c>
      <c r="K227" s="30">
        <f>IF(OR(LEFT($D227,5)="Solar",$D227="Wind"),INDEX(Land_Use[AVG],MATCH(LEFT($D227,5),Land_Use[Tech],0)),0)*$E227</f>
        <v>0</v>
      </c>
      <c r="L227" s="30">
        <f>IF(OR(LEFT($D227,5)="Solar",$D227="Wind"),INDEX(Land_Use[MIN],MATCH(LEFT($D227,5),Land_Use[Tech],0)),0)*$E227</f>
        <v>0</v>
      </c>
      <c r="M227" s="30">
        <f>IF(OR(LEFT($D227,5)="Solar",$D227="Wind"),INDEX(Land_Use[MAX],MATCH(LEFT($D227,5),Land_Use[Tech],0)),0)*$E227</f>
        <v>0</v>
      </c>
      <c r="N227" s="15">
        <f t="shared" si="84"/>
        <v>0</v>
      </c>
      <c r="O227" s="11">
        <f t="shared" si="85"/>
        <v>0</v>
      </c>
      <c r="P227" s="11">
        <f t="shared" si="86"/>
        <v>0</v>
      </c>
      <c r="Q227" s="11">
        <f t="shared" si="87"/>
        <v>0</v>
      </c>
      <c r="R227" s="11">
        <f t="shared" si="88"/>
        <v>0</v>
      </c>
      <c r="S227" s="30">
        <f t="shared" si="77"/>
        <v>0</v>
      </c>
      <c r="T227" s="30">
        <f t="shared" si="78"/>
        <v>0</v>
      </c>
      <c r="U227" s="30">
        <f t="shared" si="79"/>
        <v>0</v>
      </c>
      <c r="V227" s="30">
        <f t="shared" si="80"/>
        <v>0</v>
      </c>
      <c r="W227" s="30">
        <f t="shared" si="81"/>
        <v>0</v>
      </c>
      <c r="X227" s="30">
        <f t="shared" si="82"/>
        <v>0</v>
      </c>
      <c r="Z227" s="23" t="s">
        <v>76</v>
      </c>
      <c r="AA227" s="40" t="str">
        <f>IF(C227="Electricity",E227*SUMIFS(Electricity!S:S,Electricity!P:P,UserMade_Scenario!B227,Electricity!M:M,UserMade_Scenario!Z227,Electricity!O:O,UserMade_Scenario!D227),"")</f>
        <v/>
      </c>
      <c r="AB227" s="67">
        <v>1.4243253975000002E-4</v>
      </c>
      <c r="AC227" s="67" t="s">
        <v>95</v>
      </c>
      <c r="AD227" s="39">
        <f>INDEX(Assumptions!B$120:B$141,MATCH(UserMade_Scenario!$B226,Assumptions!$A$120:$A$141,0))</f>
        <v>-30.36</v>
      </c>
      <c r="AE227" s="39">
        <f>INDEX(Assumptions!C$120:C$141,MATCH(UserMade_Scenario!$B226,Assumptions!$A$120:$A$141,0))</f>
        <v>-30.36</v>
      </c>
      <c r="AF227" s="39">
        <f>INDEX(Assumptions!D$120:D$141,MATCH(UserMade_Scenario!$B226,Assumptions!$A$120:$A$141,0))</f>
        <v>-47.56</v>
      </c>
      <c r="AG227" s="68">
        <f>IFERROR(INDEX(WaterUseH2[Average Direct Water Consumption (Gal/ kg h2)],MATCH(LEFT(D227,3),WaterUseH2[Key],0)),0)</f>
        <v>0</v>
      </c>
      <c r="AH227">
        <v>14</v>
      </c>
      <c r="AI227">
        <v>1.4</v>
      </c>
      <c r="AJ227">
        <v>250</v>
      </c>
      <c r="AK227">
        <v>0.31</v>
      </c>
      <c r="AL227" s="63">
        <f>IFERROR(INDEX(Job_Training[[Solar]:[Wind]],MATCH(AL$1,Job_Training[[`Typical Entry Level Education`]:[`Typical Entry Level Education`]],0),MATCH(LEFT($D227,5),Job_Training[[#Headers],[Solar]:[Wind]],0)),0)</f>
        <v>0</v>
      </c>
      <c r="AM227" s="63">
        <f>IFERROR(INDEX(Job_Training[[Solar]:[Wind]],MATCH(AM$1,Job_Training[[`Typical Entry Level Education`]:[`Typical Entry Level Education`]],0),MATCH(LEFT($D227,5),Job_Training[[#Headers],[Solar]:[Wind]],0)),0)</f>
        <v>0</v>
      </c>
      <c r="AN227" s="63">
        <f>IFERROR(INDEX(Job_Training[[Solar]:[Wind]],MATCH(AN$1,Job_Training[[`Typical Entry Level Education`]:[`Typical Entry Level Education`]],0),MATCH(LEFT($D227,5),Job_Training[[#Headers],[Solar]:[Wind]],0)),0)</f>
        <v>0</v>
      </c>
      <c r="AO227" s="63">
        <f>IFERROR(INDEX(Job_Training[[Solar]:[Wind]],MATCH(AO$1,Job_Training[[`Typical Entry Level Education`]:[`Typical Entry Level Education`]],0),MATCH(LEFT($D227,5),Job_Training[[#Headers],[Solar]:[Wind]],0)),0)</f>
        <v>0</v>
      </c>
      <c r="AP227">
        <f t="shared" si="83"/>
        <v>0</v>
      </c>
      <c r="AQ227" s="63">
        <f>IF(AP227&gt;0,IFERROR(INDEX(Assumptions!$C$165:$D$165,MATCH(LEFT($D227,5),Job_Training[[#Headers],[Solar]:[Wind]],0)),0),0)</f>
        <v>0</v>
      </c>
      <c r="AR227">
        <f>IF(AP227&gt;0,IFERROR(INDEX(Assumptions!$C$166:$D$166,MATCH(LEFT($D227,5),Job_Training[[#Headers],[Solar]:[Wind]],0)),0),0)</f>
        <v>0</v>
      </c>
    </row>
    <row r="228" spans="1:44" x14ac:dyDescent="0.35">
      <c r="A228" t="str">
        <f>UserInput!$B$2</f>
        <v>Current Projects</v>
      </c>
      <c r="B228">
        <v>2041</v>
      </c>
      <c r="C228" t="s">
        <v>92</v>
      </c>
      <c r="D228" t="s">
        <v>96</v>
      </c>
      <c r="E228" s="66">
        <f>INDEX(UserInput!$C$2:$M$22,MATCH(UserMade_Scenario!B228,UserInput!$A$2:$A$22,0),MATCH(LEFT(IF(RIGHT(C228,2)="H2",UserMade_Scenario!C228,D228),3),UserInput!$C$25:$M$25,0))</f>
        <v>0</v>
      </c>
      <c r="F228" t="s">
        <v>94</v>
      </c>
      <c r="G228" s="14">
        <f t="shared" si="89"/>
        <v>0</v>
      </c>
      <c r="H228" s="63">
        <f t="shared" si="74"/>
        <v>0</v>
      </c>
      <c r="I228" s="63">
        <f t="shared" si="75"/>
        <v>0</v>
      </c>
      <c r="J228" s="63">
        <f t="shared" si="76"/>
        <v>0</v>
      </c>
      <c r="K228" s="30">
        <f>IF(OR(LEFT($D228,5)="Solar",$D228="Wind"),INDEX(Land_Use[AVG],MATCH(LEFT($D228,5),Land_Use[Tech],0)),0)*$E228</f>
        <v>0</v>
      </c>
      <c r="L228" s="30">
        <f>IF(OR(LEFT($D228,5)="Solar",$D228="Wind"),INDEX(Land_Use[MIN],MATCH(LEFT($D228,5),Land_Use[Tech],0)),0)*$E228</f>
        <v>0</v>
      </c>
      <c r="M228" s="30">
        <f>IF(OR(LEFT($D228,5)="Solar",$D228="Wind"),INDEX(Land_Use[MAX],MATCH(LEFT($D228,5),Land_Use[Tech],0)),0)*$E228</f>
        <v>0</v>
      </c>
      <c r="N228" s="15">
        <f t="shared" si="84"/>
        <v>0</v>
      </c>
      <c r="O228" s="11">
        <f t="shared" si="85"/>
        <v>0</v>
      </c>
      <c r="P228" s="11">
        <f t="shared" si="86"/>
        <v>0</v>
      </c>
      <c r="Q228" s="11">
        <f t="shared" si="87"/>
        <v>0</v>
      </c>
      <c r="R228" s="11">
        <f t="shared" si="88"/>
        <v>0</v>
      </c>
      <c r="S228" s="30">
        <f t="shared" si="77"/>
        <v>0</v>
      </c>
      <c r="T228" s="30">
        <f t="shared" si="78"/>
        <v>0</v>
      </c>
      <c r="U228" s="30">
        <f t="shared" si="79"/>
        <v>0</v>
      </c>
      <c r="V228" s="30">
        <f t="shared" si="80"/>
        <v>0</v>
      </c>
      <c r="W228" s="30">
        <f t="shared" si="81"/>
        <v>0</v>
      </c>
      <c r="X228" s="30">
        <f t="shared" si="82"/>
        <v>0</v>
      </c>
      <c r="Z228" s="23" t="s">
        <v>76</v>
      </c>
      <c r="AA228" s="40" t="str">
        <f>IF(C228="Electricity",E228*SUMIFS(Electricity!S:S,Electricity!P:P,UserMade_Scenario!B228,Electricity!M:M,UserMade_Scenario!Z228,Electricity!O:O,UserMade_Scenario!D228),"")</f>
        <v/>
      </c>
      <c r="AB228" s="67">
        <v>1.4243253975000002E-4</v>
      </c>
      <c r="AC228" s="67" t="s">
        <v>95</v>
      </c>
      <c r="AD228" s="39">
        <f>INDEX(Assumptions!B$120:B$141,MATCH(UserMade_Scenario!$B227,Assumptions!$A$120:$A$141,0))</f>
        <v>-30.36</v>
      </c>
      <c r="AE228" s="39">
        <f>INDEX(Assumptions!C$120:C$141,MATCH(UserMade_Scenario!$B227,Assumptions!$A$120:$A$141,0))</f>
        <v>-30.36</v>
      </c>
      <c r="AF228" s="39">
        <f>INDEX(Assumptions!D$120:D$141,MATCH(UserMade_Scenario!$B227,Assumptions!$A$120:$A$141,0))</f>
        <v>-47.56</v>
      </c>
      <c r="AG228" s="68">
        <f>IFERROR(INDEX(WaterUseH2[Average Direct Water Consumption (Gal/ kg h2)],MATCH(LEFT(D228,3),WaterUseH2[Key],0)),0)</f>
        <v>0</v>
      </c>
      <c r="AH228">
        <v>14</v>
      </c>
      <c r="AI228">
        <v>1.4</v>
      </c>
      <c r="AJ228">
        <v>250</v>
      </c>
      <c r="AK228">
        <v>0.31</v>
      </c>
      <c r="AL228" s="63">
        <f>IFERROR(INDEX(Job_Training[[Solar]:[Wind]],MATCH(AL$1,Job_Training[[`Typical Entry Level Education`]:[`Typical Entry Level Education`]],0),MATCH(LEFT($D228,5),Job_Training[[#Headers],[Solar]:[Wind]],0)),0)</f>
        <v>0</v>
      </c>
      <c r="AM228" s="63">
        <f>IFERROR(INDEX(Job_Training[[Solar]:[Wind]],MATCH(AM$1,Job_Training[[`Typical Entry Level Education`]:[`Typical Entry Level Education`]],0),MATCH(LEFT($D228,5),Job_Training[[#Headers],[Solar]:[Wind]],0)),0)</f>
        <v>0</v>
      </c>
      <c r="AN228" s="63">
        <f>IFERROR(INDEX(Job_Training[[Solar]:[Wind]],MATCH(AN$1,Job_Training[[`Typical Entry Level Education`]:[`Typical Entry Level Education`]],0),MATCH(LEFT($D228,5),Job_Training[[#Headers],[Solar]:[Wind]],0)),0)</f>
        <v>0</v>
      </c>
      <c r="AO228" s="63">
        <f>IFERROR(INDEX(Job_Training[[Solar]:[Wind]],MATCH(AO$1,Job_Training[[`Typical Entry Level Education`]:[`Typical Entry Level Education`]],0),MATCH(LEFT($D228,5),Job_Training[[#Headers],[Solar]:[Wind]],0)),0)</f>
        <v>0</v>
      </c>
      <c r="AP228">
        <f t="shared" si="83"/>
        <v>0</v>
      </c>
      <c r="AQ228" s="63">
        <f>IF(AP228&gt;0,IFERROR(INDEX(Assumptions!$C$165:$D$165,MATCH(LEFT($D228,5),Job_Training[[#Headers],[Solar]:[Wind]],0)),0),0)</f>
        <v>0</v>
      </c>
      <c r="AR228">
        <f>IF(AP228&gt;0,IFERROR(INDEX(Assumptions!$C$166:$D$166,MATCH(LEFT($D228,5),Job_Training[[#Headers],[Solar]:[Wind]],0)),0),0)</f>
        <v>0</v>
      </c>
    </row>
    <row r="229" spans="1:44" x14ac:dyDescent="0.35">
      <c r="A229" t="str">
        <f>UserInput!$B$2</f>
        <v>Current Projects</v>
      </c>
      <c r="B229">
        <v>2042</v>
      </c>
      <c r="C229" t="s">
        <v>92</v>
      </c>
      <c r="D229" t="s">
        <v>96</v>
      </c>
      <c r="E229" s="66">
        <f>INDEX(UserInput!$C$2:$M$22,MATCH(UserMade_Scenario!B229,UserInput!$A$2:$A$22,0),MATCH(LEFT(IF(RIGHT(C229,2)="H2",UserMade_Scenario!C229,D229),3),UserInput!$C$25:$M$25,0))</f>
        <v>0</v>
      </c>
      <c r="F229" t="s">
        <v>94</v>
      </c>
      <c r="G229" s="14">
        <f t="shared" si="89"/>
        <v>0</v>
      </c>
      <c r="H229" s="63">
        <f t="shared" si="74"/>
        <v>0</v>
      </c>
      <c r="I229" s="63">
        <f t="shared" si="75"/>
        <v>0</v>
      </c>
      <c r="J229" s="63">
        <f t="shared" si="76"/>
        <v>0</v>
      </c>
      <c r="K229" s="30">
        <f>IF(OR(LEFT($D229,5)="Solar",$D229="Wind"),INDEX(Land_Use[AVG],MATCH(LEFT($D229,5),Land_Use[Tech],0)),0)*$E229</f>
        <v>0</v>
      </c>
      <c r="L229" s="30">
        <f>IF(OR(LEFT($D229,5)="Solar",$D229="Wind"),INDEX(Land_Use[MIN],MATCH(LEFT($D229,5),Land_Use[Tech],0)),0)*$E229</f>
        <v>0</v>
      </c>
      <c r="M229" s="30">
        <f>IF(OR(LEFT($D229,5)="Solar",$D229="Wind"),INDEX(Land_Use[MAX],MATCH(LEFT($D229,5),Land_Use[Tech],0)),0)*$E229</f>
        <v>0</v>
      </c>
      <c r="N229" s="15">
        <f t="shared" si="84"/>
        <v>0</v>
      </c>
      <c r="O229" s="11">
        <f t="shared" si="85"/>
        <v>0</v>
      </c>
      <c r="P229" s="11">
        <f t="shared" si="86"/>
        <v>0</v>
      </c>
      <c r="Q229" s="11">
        <f t="shared" si="87"/>
        <v>0</v>
      </c>
      <c r="R229" s="11">
        <f t="shared" si="88"/>
        <v>0</v>
      </c>
      <c r="S229" s="30">
        <f t="shared" si="77"/>
        <v>0</v>
      </c>
      <c r="T229" s="30">
        <f t="shared" si="78"/>
        <v>0</v>
      </c>
      <c r="U229" s="30">
        <f t="shared" si="79"/>
        <v>0</v>
      </c>
      <c r="V229" s="30">
        <f t="shared" si="80"/>
        <v>0</v>
      </c>
      <c r="W229" s="30">
        <f t="shared" si="81"/>
        <v>0</v>
      </c>
      <c r="X229" s="30">
        <f t="shared" si="82"/>
        <v>0</v>
      </c>
      <c r="Z229" s="23" t="s">
        <v>76</v>
      </c>
      <c r="AA229" s="40" t="str">
        <f>IF(C229="Electricity",E229*SUMIFS(Electricity!S:S,Electricity!P:P,UserMade_Scenario!B229,Electricity!M:M,UserMade_Scenario!Z229,Electricity!O:O,UserMade_Scenario!D229),"")</f>
        <v/>
      </c>
      <c r="AB229" s="67">
        <v>1.4243253975000002E-4</v>
      </c>
      <c r="AC229" s="67" t="s">
        <v>95</v>
      </c>
      <c r="AD229" s="39">
        <f>INDEX(Assumptions!B$120:B$141,MATCH(UserMade_Scenario!$B228,Assumptions!$A$120:$A$141,0))</f>
        <v>-30.36</v>
      </c>
      <c r="AE229" s="39">
        <f>INDEX(Assumptions!C$120:C$141,MATCH(UserMade_Scenario!$B228,Assumptions!$A$120:$A$141,0))</f>
        <v>-30.36</v>
      </c>
      <c r="AF229" s="39">
        <f>INDEX(Assumptions!D$120:D$141,MATCH(UserMade_Scenario!$B228,Assumptions!$A$120:$A$141,0))</f>
        <v>-47.56</v>
      </c>
      <c r="AG229" s="68">
        <f>IFERROR(INDEX(WaterUseH2[Average Direct Water Consumption (Gal/ kg h2)],MATCH(LEFT(D229,3),WaterUseH2[Key],0)),0)</f>
        <v>0</v>
      </c>
      <c r="AH229">
        <v>14</v>
      </c>
      <c r="AI229">
        <v>1.4</v>
      </c>
      <c r="AJ229">
        <v>250</v>
      </c>
      <c r="AK229">
        <v>0.31</v>
      </c>
      <c r="AL229" s="63">
        <f>IFERROR(INDEX(Job_Training[[Solar]:[Wind]],MATCH(AL$1,Job_Training[[`Typical Entry Level Education`]:[`Typical Entry Level Education`]],0),MATCH(LEFT($D229,5),Job_Training[[#Headers],[Solar]:[Wind]],0)),0)</f>
        <v>0</v>
      </c>
      <c r="AM229" s="63">
        <f>IFERROR(INDEX(Job_Training[[Solar]:[Wind]],MATCH(AM$1,Job_Training[[`Typical Entry Level Education`]:[`Typical Entry Level Education`]],0),MATCH(LEFT($D229,5),Job_Training[[#Headers],[Solar]:[Wind]],0)),0)</f>
        <v>0</v>
      </c>
      <c r="AN229" s="63">
        <f>IFERROR(INDEX(Job_Training[[Solar]:[Wind]],MATCH(AN$1,Job_Training[[`Typical Entry Level Education`]:[`Typical Entry Level Education`]],0),MATCH(LEFT($D229,5),Job_Training[[#Headers],[Solar]:[Wind]],0)),0)</f>
        <v>0</v>
      </c>
      <c r="AO229" s="63">
        <f>IFERROR(INDEX(Job_Training[[Solar]:[Wind]],MATCH(AO$1,Job_Training[[`Typical Entry Level Education`]:[`Typical Entry Level Education`]],0),MATCH(LEFT($D229,5),Job_Training[[#Headers],[Solar]:[Wind]],0)),0)</f>
        <v>0</v>
      </c>
      <c r="AP229">
        <f t="shared" si="83"/>
        <v>0</v>
      </c>
      <c r="AQ229" s="63">
        <f>IF(AP229&gt;0,IFERROR(INDEX(Assumptions!$C$165:$D$165,MATCH(LEFT($D229,5),Job_Training[[#Headers],[Solar]:[Wind]],0)),0),0)</f>
        <v>0</v>
      </c>
      <c r="AR229">
        <f>IF(AP229&gt;0,IFERROR(INDEX(Assumptions!$C$166:$D$166,MATCH(LEFT($D229,5),Job_Training[[#Headers],[Solar]:[Wind]],0)),0),0)</f>
        <v>0</v>
      </c>
    </row>
    <row r="230" spans="1:44" x14ac:dyDescent="0.35">
      <c r="A230" t="str">
        <f>UserInput!$B$2</f>
        <v>Current Projects</v>
      </c>
      <c r="B230">
        <v>2043</v>
      </c>
      <c r="C230" t="s">
        <v>92</v>
      </c>
      <c r="D230" t="s">
        <v>96</v>
      </c>
      <c r="E230" s="66">
        <f>INDEX(UserInput!$C$2:$M$22,MATCH(UserMade_Scenario!B230,UserInput!$A$2:$A$22,0),MATCH(LEFT(IF(RIGHT(C230,2)="H2",UserMade_Scenario!C230,D230),3),UserInput!$C$25:$M$25,0))</f>
        <v>0</v>
      </c>
      <c r="F230" t="s">
        <v>94</v>
      </c>
      <c r="G230" s="14">
        <f t="shared" si="89"/>
        <v>0</v>
      </c>
      <c r="H230" s="63">
        <f t="shared" si="74"/>
        <v>0</v>
      </c>
      <c r="I230" s="63">
        <f t="shared" si="75"/>
        <v>0</v>
      </c>
      <c r="J230" s="63">
        <f t="shared" si="76"/>
        <v>0</v>
      </c>
      <c r="K230" s="30">
        <f>IF(OR(LEFT($D230,5)="Solar",$D230="Wind"),INDEX(Land_Use[AVG],MATCH(LEFT($D230,5),Land_Use[Tech],0)),0)*$E230</f>
        <v>0</v>
      </c>
      <c r="L230" s="30">
        <f>IF(OR(LEFT($D230,5)="Solar",$D230="Wind"),INDEX(Land_Use[MIN],MATCH(LEFT($D230,5),Land_Use[Tech],0)),0)*$E230</f>
        <v>0</v>
      </c>
      <c r="M230" s="30">
        <f>IF(OR(LEFT($D230,5)="Solar",$D230="Wind"),INDEX(Land_Use[MAX],MATCH(LEFT($D230,5),Land_Use[Tech],0)),0)*$E230</f>
        <v>0</v>
      </c>
      <c r="N230" s="15">
        <f t="shared" si="84"/>
        <v>0</v>
      </c>
      <c r="O230" s="11">
        <f t="shared" si="85"/>
        <v>0</v>
      </c>
      <c r="P230" s="11">
        <f t="shared" si="86"/>
        <v>0</v>
      </c>
      <c r="Q230" s="11">
        <f t="shared" si="87"/>
        <v>0</v>
      </c>
      <c r="R230" s="11">
        <f t="shared" si="88"/>
        <v>0</v>
      </c>
      <c r="S230" s="30">
        <f t="shared" si="77"/>
        <v>0</v>
      </c>
      <c r="T230" s="30">
        <f t="shared" si="78"/>
        <v>0</v>
      </c>
      <c r="U230" s="30">
        <f t="shared" si="79"/>
        <v>0</v>
      </c>
      <c r="V230" s="30">
        <f t="shared" si="80"/>
        <v>0</v>
      </c>
      <c r="W230" s="30">
        <f t="shared" si="81"/>
        <v>0</v>
      </c>
      <c r="X230" s="30">
        <f t="shared" si="82"/>
        <v>0</v>
      </c>
      <c r="Z230" s="23" t="s">
        <v>76</v>
      </c>
      <c r="AA230" s="40" t="str">
        <f>IF(C230="Electricity",E230*SUMIFS(Electricity!S:S,Electricity!P:P,UserMade_Scenario!B230,Electricity!M:M,UserMade_Scenario!Z230,Electricity!O:O,UserMade_Scenario!D230),"")</f>
        <v/>
      </c>
      <c r="AB230" s="67">
        <v>1.4243253975000002E-4</v>
      </c>
      <c r="AC230" s="67" t="s">
        <v>95</v>
      </c>
      <c r="AD230" s="39">
        <f>INDEX(Assumptions!B$120:B$141,MATCH(UserMade_Scenario!$B229,Assumptions!$A$120:$A$141,0))</f>
        <v>-30.36</v>
      </c>
      <c r="AE230" s="39">
        <f>INDEX(Assumptions!C$120:C$141,MATCH(UserMade_Scenario!$B229,Assumptions!$A$120:$A$141,0))</f>
        <v>-30.36</v>
      </c>
      <c r="AF230" s="39">
        <f>INDEX(Assumptions!D$120:D$141,MATCH(UserMade_Scenario!$B229,Assumptions!$A$120:$A$141,0))</f>
        <v>-47.56</v>
      </c>
      <c r="AG230" s="68">
        <f>IFERROR(INDEX(WaterUseH2[Average Direct Water Consumption (Gal/ kg h2)],MATCH(LEFT(D230,3),WaterUseH2[Key],0)),0)</f>
        <v>0</v>
      </c>
      <c r="AH230">
        <v>14</v>
      </c>
      <c r="AI230">
        <v>1.4</v>
      </c>
      <c r="AJ230">
        <v>250</v>
      </c>
      <c r="AK230">
        <v>0.31</v>
      </c>
      <c r="AL230" s="63">
        <f>IFERROR(INDEX(Job_Training[[Solar]:[Wind]],MATCH(AL$1,Job_Training[[`Typical Entry Level Education`]:[`Typical Entry Level Education`]],0),MATCH(LEFT($D230,5),Job_Training[[#Headers],[Solar]:[Wind]],0)),0)</f>
        <v>0</v>
      </c>
      <c r="AM230" s="63">
        <f>IFERROR(INDEX(Job_Training[[Solar]:[Wind]],MATCH(AM$1,Job_Training[[`Typical Entry Level Education`]:[`Typical Entry Level Education`]],0),MATCH(LEFT($D230,5),Job_Training[[#Headers],[Solar]:[Wind]],0)),0)</f>
        <v>0</v>
      </c>
      <c r="AN230" s="63">
        <f>IFERROR(INDEX(Job_Training[[Solar]:[Wind]],MATCH(AN$1,Job_Training[[`Typical Entry Level Education`]:[`Typical Entry Level Education`]],0),MATCH(LEFT($D230,5),Job_Training[[#Headers],[Solar]:[Wind]],0)),0)</f>
        <v>0</v>
      </c>
      <c r="AO230" s="63">
        <f>IFERROR(INDEX(Job_Training[[Solar]:[Wind]],MATCH(AO$1,Job_Training[[`Typical Entry Level Education`]:[`Typical Entry Level Education`]],0),MATCH(LEFT($D230,5),Job_Training[[#Headers],[Solar]:[Wind]],0)),0)</f>
        <v>0</v>
      </c>
      <c r="AP230">
        <f t="shared" si="83"/>
        <v>0</v>
      </c>
      <c r="AQ230" s="63">
        <f>IF(AP230&gt;0,IFERROR(INDEX(Assumptions!$C$165:$D$165,MATCH(LEFT($D230,5),Job_Training[[#Headers],[Solar]:[Wind]],0)),0),0)</f>
        <v>0</v>
      </c>
      <c r="AR230">
        <f>IF(AP230&gt;0,IFERROR(INDEX(Assumptions!$C$166:$D$166,MATCH(LEFT($D230,5),Job_Training[[#Headers],[Solar]:[Wind]],0)),0),0)</f>
        <v>0</v>
      </c>
    </row>
    <row r="231" spans="1:44" x14ac:dyDescent="0.35">
      <c r="A231" t="str">
        <f>UserInput!$B$2</f>
        <v>Current Projects</v>
      </c>
      <c r="B231">
        <v>2044</v>
      </c>
      <c r="C231" t="s">
        <v>92</v>
      </c>
      <c r="D231" t="s">
        <v>96</v>
      </c>
      <c r="E231" s="66">
        <f>INDEX(UserInput!$C$2:$M$22,MATCH(UserMade_Scenario!B231,UserInput!$A$2:$A$22,0),MATCH(LEFT(IF(RIGHT(C231,2)="H2",UserMade_Scenario!C231,D231),3),UserInput!$C$25:$M$25,0))</f>
        <v>0</v>
      </c>
      <c r="F231" t="s">
        <v>94</v>
      </c>
      <c r="G231" s="14">
        <f t="shared" si="89"/>
        <v>0</v>
      </c>
      <c r="H231" s="63">
        <f t="shared" si="74"/>
        <v>0</v>
      </c>
      <c r="I231" s="63">
        <f t="shared" si="75"/>
        <v>0</v>
      </c>
      <c r="J231" s="63">
        <f t="shared" si="76"/>
        <v>0</v>
      </c>
      <c r="K231" s="30">
        <f>IF(OR(LEFT($D231,5)="Solar",$D231="Wind"),INDEX(Land_Use[AVG],MATCH(LEFT($D231,5),Land_Use[Tech],0)),0)*$E231</f>
        <v>0</v>
      </c>
      <c r="L231" s="30">
        <f>IF(OR(LEFT($D231,5)="Solar",$D231="Wind"),INDEX(Land_Use[MIN],MATCH(LEFT($D231,5),Land_Use[Tech],0)),0)*$E231</f>
        <v>0</v>
      </c>
      <c r="M231" s="30">
        <f>IF(OR(LEFT($D231,5)="Solar",$D231="Wind"),INDEX(Land_Use[MAX],MATCH(LEFT($D231,5),Land_Use[Tech],0)),0)*$E231</f>
        <v>0</v>
      </c>
      <c r="N231" s="15">
        <f t="shared" si="84"/>
        <v>0</v>
      </c>
      <c r="O231" s="11">
        <f t="shared" si="85"/>
        <v>0</v>
      </c>
      <c r="P231" s="11">
        <f t="shared" si="86"/>
        <v>0</v>
      </c>
      <c r="Q231" s="11">
        <f t="shared" si="87"/>
        <v>0</v>
      </c>
      <c r="R231" s="11">
        <f t="shared" si="88"/>
        <v>0</v>
      </c>
      <c r="S231" s="30">
        <f t="shared" si="77"/>
        <v>0</v>
      </c>
      <c r="T231" s="30">
        <f t="shared" si="78"/>
        <v>0</v>
      </c>
      <c r="U231" s="30">
        <f t="shared" si="79"/>
        <v>0</v>
      </c>
      <c r="V231" s="30">
        <f t="shared" si="80"/>
        <v>0</v>
      </c>
      <c r="W231" s="30">
        <f t="shared" si="81"/>
        <v>0</v>
      </c>
      <c r="X231" s="30">
        <f t="shared" si="82"/>
        <v>0</v>
      </c>
      <c r="Z231" s="23" t="s">
        <v>76</v>
      </c>
      <c r="AA231" s="40" t="str">
        <f>IF(C231="Electricity",E231*SUMIFS(Electricity!S:S,Electricity!P:P,UserMade_Scenario!B231,Electricity!M:M,UserMade_Scenario!Z231,Electricity!O:O,UserMade_Scenario!D231),"")</f>
        <v/>
      </c>
      <c r="AB231" s="67">
        <v>1.4243253975000002E-4</v>
      </c>
      <c r="AC231" s="67" t="s">
        <v>95</v>
      </c>
      <c r="AD231" s="39">
        <f>INDEX(Assumptions!B$120:B$141,MATCH(UserMade_Scenario!$B230,Assumptions!$A$120:$A$141,0))</f>
        <v>-30.36</v>
      </c>
      <c r="AE231" s="39">
        <f>INDEX(Assumptions!C$120:C$141,MATCH(UserMade_Scenario!$B230,Assumptions!$A$120:$A$141,0))</f>
        <v>-30.36</v>
      </c>
      <c r="AF231" s="39">
        <f>INDEX(Assumptions!D$120:D$141,MATCH(UserMade_Scenario!$B230,Assumptions!$A$120:$A$141,0))</f>
        <v>-47.56</v>
      </c>
      <c r="AG231" s="68">
        <f>IFERROR(INDEX(WaterUseH2[Average Direct Water Consumption (Gal/ kg h2)],MATCH(LEFT(D231,3),WaterUseH2[Key],0)),0)</f>
        <v>0</v>
      </c>
      <c r="AH231">
        <v>14</v>
      </c>
      <c r="AI231">
        <v>1.4</v>
      </c>
      <c r="AJ231">
        <v>250</v>
      </c>
      <c r="AK231">
        <v>0.31</v>
      </c>
      <c r="AL231" s="63">
        <f>IFERROR(INDEX(Job_Training[[Solar]:[Wind]],MATCH(AL$1,Job_Training[[`Typical Entry Level Education`]:[`Typical Entry Level Education`]],0),MATCH(LEFT($D231,5),Job_Training[[#Headers],[Solar]:[Wind]],0)),0)</f>
        <v>0</v>
      </c>
      <c r="AM231" s="63">
        <f>IFERROR(INDEX(Job_Training[[Solar]:[Wind]],MATCH(AM$1,Job_Training[[`Typical Entry Level Education`]:[`Typical Entry Level Education`]],0),MATCH(LEFT($D231,5),Job_Training[[#Headers],[Solar]:[Wind]],0)),0)</f>
        <v>0</v>
      </c>
      <c r="AN231" s="63">
        <f>IFERROR(INDEX(Job_Training[[Solar]:[Wind]],MATCH(AN$1,Job_Training[[`Typical Entry Level Education`]:[`Typical Entry Level Education`]],0),MATCH(LEFT($D231,5),Job_Training[[#Headers],[Solar]:[Wind]],0)),0)</f>
        <v>0</v>
      </c>
      <c r="AO231" s="63">
        <f>IFERROR(INDEX(Job_Training[[Solar]:[Wind]],MATCH(AO$1,Job_Training[[`Typical Entry Level Education`]:[`Typical Entry Level Education`]],0),MATCH(LEFT($D231,5),Job_Training[[#Headers],[Solar]:[Wind]],0)),0)</f>
        <v>0</v>
      </c>
      <c r="AP231">
        <f t="shared" si="83"/>
        <v>0</v>
      </c>
      <c r="AQ231" s="63">
        <f>IF(AP231&gt;0,IFERROR(INDEX(Assumptions!$C$165:$D$165,MATCH(LEFT($D231,5),Job_Training[[#Headers],[Solar]:[Wind]],0)),0),0)</f>
        <v>0</v>
      </c>
      <c r="AR231">
        <f>IF(AP231&gt;0,IFERROR(INDEX(Assumptions!$C$166:$D$166,MATCH(LEFT($D231,5),Job_Training[[#Headers],[Solar]:[Wind]],0)),0),0)</f>
        <v>0</v>
      </c>
    </row>
    <row r="232" spans="1:44" x14ac:dyDescent="0.35">
      <c r="A232" t="str">
        <f>UserInput!$B$2</f>
        <v>Current Projects</v>
      </c>
      <c r="B232">
        <v>2045</v>
      </c>
      <c r="C232" t="s">
        <v>92</v>
      </c>
      <c r="D232" t="s">
        <v>96</v>
      </c>
      <c r="E232" s="66">
        <f>INDEX(UserInput!$C$2:$M$22,MATCH(UserMade_Scenario!B232,UserInput!$A$2:$A$22,0),MATCH(LEFT(IF(RIGHT(C232,2)="H2",UserMade_Scenario!C232,D232),3),UserInput!$C$25:$M$25,0))</f>
        <v>0</v>
      </c>
      <c r="F232" t="s">
        <v>94</v>
      </c>
      <c r="G232" s="14">
        <f t="shared" si="89"/>
        <v>0</v>
      </c>
      <c r="H232" s="63">
        <f t="shared" si="74"/>
        <v>0</v>
      </c>
      <c r="I232" s="63">
        <f t="shared" si="75"/>
        <v>0</v>
      </c>
      <c r="J232" s="63">
        <f t="shared" si="76"/>
        <v>0</v>
      </c>
      <c r="K232" s="30">
        <f>IF(OR(LEFT($D232,5)="Solar",$D232="Wind"),INDEX(Land_Use[AVG],MATCH(LEFT($D232,5),Land_Use[Tech],0)),0)*$E232</f>
        <v>0</v>
      </c>
      <c r="L232" s="30">
        <f>IF(OR(LEFT($D232,5)="Solar",$D232="Wind"),INDEX(Land_Use[MIN],MATCH(LEFT($D232,5),Land_Use[Tech],0)),0)*$E232</f>
        <v>0</v>
      </c>
      <c r="M232" s="30">
        <f>IF(OR(LEFT($D232,5)="Solar",$D232="Wind"),INDEX(Land_Use[MAX],MATCH(LEFT($D232,5),Land_Use[Tech],0)),0)*$E232</f>
        <v>0</v>
      </c>
      <c r="N232" s="15">
        <f t="shared" si="84"/>
        <v>0</v>
      </c>
      <c r="O232" s="11">
        <f t="shared" si="85"/>
        <v>0</v>
      </c>
      <c r="P232" s="11">
        <f t="shared" si="86"/>
        <v>0</v>
      </c>
      <c r="Q232" s="11">
        <f t="shared" si="87"/>
        <v>0</v>
      </c>
      <c r="R232" s="11">
        <f t="shared" si="88"/>
        <v>0</v>
      </c>
      <c r="S232" s="30">
        <f t="shared" si="77"/>
        <v>0</v>
      </c>
      <c r="T232" s="30">
        <f t="shared" si="78"/>
        <v>0</v>
      </c>
      <c r="U232" s="30">
        <f t="shared" si="79"/>
        <v>0</v>
      </c>
      <c r="V232" s="30">
        <f t="shared" si="80"/>
        <v>0</v>
      </c>
      <c r="W232" s="30">
        <f t="shared" si="81"/>
        <v>0</v>
      </c>
      <c r="X232" s="30">
        <f t="shared" si="82"/>
        <v>0</v>
      </c>
      <c r="Z232" s="23" t="s">
        <v>76</v>
      </c>
      <c r="AA232" s="40" t="str">
        <f>IF(C232="Electricity",E232*SUMIFS(Electricity!S:S,Electricity!P:P,UserMade_Scenario!B232,Electricity!M:M,UserMade_Scenario!Z232,Electricity!O:O,UserMade_Scenario!D232),"")</f>
        <v/>
      </c>
      <c r="AB232" s="67">
        <v>1.4243253975000002E-4</v>
      </c>
      <c r="AC232" s="67" t="s">
        <v>95</v>
      </c>
      <c r="AD232" s="39">
        <f>INDEX(Assumptions!B$120:B$141,MATCH(UserMade_Scenario!$B231,Assumptions!$A$120:$A$141,0))</f>
        <v>-30.36</v>
      </c>
      <c r="AE232" s="39">
        <f>INDEX(Assumptions!C$120:C$141,MATCH(UserMade_Scenario!$B231,Assumptions!$A$120:$A$141,0))</f>
        <v>-30.36</v>
      </c>
      <c r="AF232" s="39">
        <f>INDEX(Assumptions!D$120:D$141,MATCH(UserMade_Scenario!$B231,Assumptions!$A$120:$A$141,0))</f>
        <v>-47.56</v>
      </c>
      <c r="AG232" s="68">
        <f>IFERROR(INDEX(WaterUseH2[Average Direct Water Consumption (Gal/ kg h2)],MATCH(LEFT(D232,3),WaterUseH2[Key],0)),0)</f>
        <v>0</v>
      </c>
      <c r="AH232">
        <v>14</v>
      </c>
      <c r="AI232">
        <v>1.4</v>
      </c>
      <c r="AJ232">
        <v>250</v>
      </c>
      <c r="AK232">
        <v>0.31</v>
      </c>
      <c r="AL232" s="63">
        <f>IFERROR(INDEX(Job_Training[[Solar]:[Wind]],MATCH(AL$1,Job_Training[[`Typical Entry Level Education`]:[`Typical Entry Level Education`]],0),MATCH(LEFT($D232,5),Job_Training[[#Headers],[Solar]:[Wind]],0)),0)</f>
        <v>0</v>
      </c>
      <c r="AM232" s="63">
        <f>IFERROR(INDEX(Job_Training[[Solar]:[Wind]],MATCH(AM$1,Job_Training[[`Typical Entry Level Education`]:[`Typical Entry Level Education`]],0),MATCH(LEFT($D232,5),Job_Training[[#Headers],[Solar]:[Wind]],0)),0)</f>
        <v>0</v>
      </c>
      <c r="AN232" s="63">
        <f>IFERROR(INDEX(Job_Training[[Solar]:[Wind]],MATCH(AN$1,Job_Training[[`Typical Entry Level Education`]:[`Typical Entry Level Education`]],0),MATCH(LEFT($D232,5),Job_Training[[#Headers],[Solar]:[Wind]],0)),0)</f>
        <v>0</v>
      </c>
      <c r="AO232" s="63">
        <f>IFERROR(INDEX(Job_Training[[Solar]:[Wind]],MATCH(AO$1,Job_Training[[`Typical Entry Level Education`]:[`Typical Entry Level Education`]],0),MATCH(LEFT($D232,5),Job_Training[[#Headers],[Solar]:[Wind]],0)),0)</f>
        <v>0</v>
      </c>
      <c r="AP232">
        <f t="shared" si="83"/>
        <v>0</v>
      </c>
      <c r="AQ232" s="63">
        <f>IF(AP232&gt;0,IFERROR(INDEX(Assumptions!$C$165:$D$165,MATCH(LEFT($D232,5),Job_Training[[#Headers],[Solar]:[Wind]],0)),0),0)</f>
        <v>0</v>
      </c>
      <c r="AR232">
        <f>IF(AP232&gt;0,IFERROR(INDEX(Assumptions!$C$166:$D$166,MATCH(LEFT($D232,5),Job_Training[[#Headers],[Solar]:[Wind]],0)),0),0)</f>
        <v>0</v>
      </c>
    </row>
    <row r="233" spans="1:44" x14ac:dyDescent="0.35">
      <c r="A233" t="str">
        <f>UserInput!$B$2</f>
        <v>Current Projects</v>
      </c>
      <c r="B233" s="23">
        <v>2025</v>
      </c>
      <c r="C233" s="23" t="s">
        <v>78</v>
      </c>
      <c r="D233" s="23" t="s">
        <v>97</v>
      </c>
      <c r="E233" s="40">
        <f>SUMIFS($E$2:$E$232,$B$2:$B$232,B233,$C$2:$C$232,C233)*1000*Assumptions!$C$8/1000/8760/0.3</f>
        <v>0</v>
      </c>
      <c r="F233" s="23" t="s">
        <v>81</v>
      </c>
      <c r="H233" s="63"/>
      <c r="I233" s="63"/>
      <c r="J233" s="63"/>
      <c r="K233" s="30">
        <f>IF(OR(LEFT($D233,5)="Solar",$D233="Wind"),INDEX(Land_Use[AVG],MATCH(LEFT($D233,5),Land_Use[Tech],0)),0)*$E233</f>
        <v>0</v>
      </c>
      <c r="L233" s="30">
        <f>IF(OR(LEFT($D233,5)="Solar",$D233="Wind"),INDEX(Land_Use[MIN],MATCH(LEFT($D233,5),Land_Use[Tech],0)),0)*$E233</f>
        <v>0</v>
      </c>
      <c r="M233" s="30">
        <f>IF(OR(LEFT($D233,5)="Solar",$D233="Wind"),INDEX(Land_Use[MAX],MATCH(LEFT($D233,5),Land_Use[Tech],0)),0)*$E233</f>
        <v>0</v>
      </c>
      <c r="N233" s="13">
        <f t="shared" si="84"/>
        <v>0</v>
      </c>
      <c r="O233" s="13">
        <f t="shared" si="85"/>
        <v>0</v>
      </c>
      <c r="P233" s="13">
        <f t="shared" si="86"/>
        <v>0</v>
      </c>
      <c r="Q233" s="13">
        <f t="shared" si="87"/>
        <v>0</v>
      </c>
      <c r="R233" s="13">
        <f t="shared" si="88"/>
        <v>0</v>
      </c>
      <c r="S233" s="30">
        <f t="shared" si="77"/>
        <v>0</v>
      </c>
      <c r="T233" s="30">
        <f t="shared" si="78"/>
        <v>0</v>
      </c>
      <c r="U233" s="30">
        <f t="shared" si="79"/>
        <v>0</v>
      </c>
      <c r="V233" s="30">
        <f t="shared" si="80"/>
        <v>0</v>
      </c>
      <c r="W233" s="30">
        <f t="shared" si="81"/>
        <v>0</v>
      </c>
      <c r="X233" s="30">
        <f t="shared" si="82"/>
        <v>0</v>
      </c>
      <c r="Z233" s="23" t="s">
        <v>76</v>
      </c>
      <c r="AA233" s="40"/>
      <c r="AB233" s="67"/>
      <c r="AC233" s="67"/>
      <c r="AD233" s="39"/>
      <c r="AE233" s="39"/>
      <c r="AF233" s="39"/>
      <c r="AG233" s="68"/>
      <c r="AH233">
        <v>14</v>
      </c>
      <c r="AI233">
        <v>1.4</v>
      </c>
      <c r="AJ233">
        <v>250</v>
      </c>
      <c r="AK233">
        <v>0.31</v>
      </c>
      <c r="AL233" s="63">
        <f>IFERROR(INDEX(Job_Training[[Solar]:[Wind]],MATCH(AL$1,Job_Training[[`Typical Entry Level Education`]:[`Typical Entry Level Education`]],0),MATCH(LEFT($D233,5),Job_Training[[#Headers],[Solar]:[Wind]],0)),0)</f>
        <v>3.4599999999999999E-2</v>
      </c>
      <c r="AM233" s="63">
        <f>IFERROR(INDEX(Job_Training[[Solar]:[Wind]],MATCH(AM$1,Job_Training[[`Typical Entry Level Education`]:[`Typical Entry Level Education`]],0),MATCH(LEFT($D233,5),Job_Training[[#Headers],[Solar]:[Wind]],0)),0)</f>
        <v>2.8199999999999999E-2</v>
      </c>
      <c r="AN233" s="63">
        <f>IFERROR(INDEX(Job_Training[[Solar]:[Wind]],MATCH(AN$1,Job_Training[[`Typical Entry Level Education`]:[`Typical Entry Level Education`]],0),MATCH(LEFT($D233,5),Job_Training[[#Headers],[Solar]:[Wind]],0)),0)</f>
        <v>3.3399999999999999E-2</v>
      </c>
      <c r="AO233" s="63">
        <f>IFERROR(INDEX(Job_Training[[Solar]:[Wind]],MATCH(AO$1,Job_Training[[`Typical Entry Level Education`]:[`Typical Entry Level Education`]],0),MATCH(LEFT($D233,5),Job_Training[[#Headers],[Solar]:[Wind]],0)),0)</f>
        <v>5.62E-3</v>
      </c>
      <c r="AP233">
        <f t="shared" si="83"/>
        <v>0</v>
      </c>
      <c r="AQ233" s="63">
        <f>IF(AP233&gt;0,IFERROR(INDEX(Assumptions!$C$165:$D$165,MATCH(LEFT($D233,5),Job_Training[[#Headers],[Solar]:[Wind]],0)),0),0)</f>
        <v>0</v>
      </c>
      <c r="AR233">
        <f>IF(AP233&gt;0,IFERROR(INDEX(Assumptions!$C$166:$D$166,MATCH(LEFT($D233,5),Job_Training[[#Headers],[Solar]:[Wind]],0)),0),0)</f>
        <v>0</v>
      </c>
    </row>
    <row r="234" spans="1:44" x14ac:dyDescent="0.35">
      <c r="A234" t="str">
        <f>UserInput!$B$2</f>
        <v>Current Projects</v>
      </c>
      <c r="B234" s="23">
        <v>2026</v>
      </c>
      <c r="C234" s="23" t="s">
        <v>78</v>
      </c>
      <c r="D234" s="23" t="s">
        <v>97</v>
      </c>
      <c r="E234" s="40">
        <f>SUMIFS($E$2:$E$232,$B$2:$B$232,B234,$C$2:$C$232,C234)*1000*Assumptions!$C$8/1000/8760/0.3</f>
        <v>0</v>
      </c>
      <c r="F234" s="23" t="s">
        <v>81</v>
      </c>
      <c r="H234" s="63"/>
      <c r="I234" s="63"/>
      <c r="J234" s="63"/>
      <c r="K234" s="30">
        <f>IF(OR(LEFT($D234,5)="Solar",$D234="Wind"),INDEX(Land_Use[AVG],MATCH(LEFT($D234,5),Land_Use[Tech],0)),0)*$E234</f>
        <v>0</v>
      </c>
      <c r="L234" s="30">
        <f>IF(OR(LEFT($D234,5)="Solar",$D234="Wind"),INDEX(Land_Use[MIN],MATCH(LEFT($D234,5),Land_Use[Tech],0)),0)*$E234</f>
        <v>0</v>
      </c>
      <c r="M234" s="30">
        <f>IF(OR(LEFT($D234,5)="Solar",$D234="Wind"),INDEX(Land_Use[MAX],MATCH(LEFT($D234,5),Land_Use[Tech],0)),0)*$E234</f>
        <v>0</v>
      </c>
      <c r="N234" s="13">
        <f t="shared" si="84"/>
        <v>0</v>
      </c>
      <c r="O234" s="13">
        <f t="shared" si="85"/>
        <v>0</v>
      </c>
      <c r="P234" s="13">
        <f t="shared" si="86"/>
        <v>0</v>
      </c>
      <c r="Q234" s="13">
        <f t="shared" si="87"/>
        <v>0</v>
      </c>
      <c r="R234" s="13">
        <f t="shared" si="88"/>
        <v>0</v>
      </c>
      <c r="S234" s="30">
        <f t="shared" si="77"/>
        <v>0</v>
      </c>
      <c r="T234" s="30">
        <f t="shared" si="78"/>
        <v>0</v>
      </c>
      <c r="U234" s="30">
        <f t="shared" si="79"/>
        <v>0</v>
      </c>
      <c r="V234" s="30">
        <f t="shared" si="80"/>
        <v>0</v>
      </c>
      <c r="W234" s="30">
        <f t="shared" si="81"/>
        <v>0</v>
      </c>
      <c r="X234" s="30">
        <f t="shared" si="82"/>
        <v>0</v>
      </c>
      <c r="Z234" s="23" t="s">
        <v>76</v>
      </c>
      <c r="AA234" s="40"/>
      <c r="AB234" s="67"/>
      <c r="AC234" s="67"/>
      <c r="AD234" s="39"/>
      <c r="AE234" s="39"/>
      <c r="AF234" s="39"/>
      <c r="AG234" s="68"/>
      <c r="AH234">
        <v>14</v>
      </c>
      <c r="AI234">
        <v>1.4</v>
      </c>
      <c r="AJ234">
        <v>250</v>
      </c>
      <c r="AK234">
        <v>0.31</v>
      </c>
      <c r="AL234" s="63">
        <f>IFERROR(INDEX(Job_Training[[Solar]:[Wind]],MATCH(AL$1,Job_Training[[`Typical Entry Level Education`]:[`Typical Entry Level Education`]],0),MATCH(LEFT($D234,5),Job_Training[[#Headers],[Solar]:[Wind]],0)),0)</f>
        <v>3.4599999999999999E-2</v>
      </c>
      <c r="AM234" s="63">
        <f>IFERROR(INDEX(Job_Training[[Solar]:[Wind]],MATCH(AM$1,Job_Training[[`Typical Entry Level Education`]:[`Typical Entry Level Education`]],0),MATCH(LEFT($D234,5),Job_Training[[#Headers],[Solar]:[Wind]],0)),0)</f>
        <v>2.8199999999999999E-2</v>
      </c>
      <c r="AN234" s="63">
        <f>IFERROR(INDEX(Job_Training[[Solar]:[Wind]],MATCH(AN$1,Job_Training[[`Typical Entry Level Education`]:[`Typical Entry Level Education`]],0),MATCH(LEFT($D234,5),Job_Training[[#Headers],[Solar]:[Wind]],0)),0)</f>
        <v>3.3399999999999999E-2</v>
      </c>
      <c r="AO234" s="63">
        <f>IFERROR(INDEX(Job_Training[[Solar]:[Wind]],MATCH(AO$1,Job_Training[[`Typical Entry Level Education`]:[`Typical Entry Level Education`]],0),MATCH(LEFT($D234,5),Job_Training[[#Headers],[Solar]:[Wind]],0)),0)</f>
        <v>5.62E-3</v>
      </c>
      <c r="AP234">
        <f t="shared" si="83"/>
        <v>0</v>
      </c>
      <c r="AQ234" s="63">
        <f>IF(AP234&gt;0,IFERROR(INDEX(Assumptions!$C$165:$D$165,MATCH(LEFT($D234,5),Job_Training[[#Headers],[Solar]:[Wind]],0)),0),0)</f>
        <v>0</v>
      </c>
      <c r="AR234">
        <f>IF(AP234&gt;0,IFERROR(INDEX(Assumptions!$C$166:$D$166,MATCH(LEFT($D234,5),Job_Training[[#Headers],[Solar]:[Wind]],0)),0),0)</f>
        <v>0</v>
      </c>
    </row>
    <row r="235" spans="1:44" x14ac:dyDescent="0.35">
      <c r="A235" t="str">
        <f>UserInput!$B$2</f>
        <v>Current Projects</v>
      </c>
      <c r="B235" s="23">
        <v>2027</v>
      </c>
      <c r="C235" s="23" t="s">
        <v>78</v>
      </c>
      <c r="D235" s="23" t="s">
        <v>97</v>
      </c>
      <c r="E235" s="40">
        <f>SUMIFS($E$2:$E$232,$B$2:$B$232,B235,$C$2:$C$232,C235)*1000*Assumptions!$C$8/1000/8760/0.3</f>
        <v>0</v>
      </c>
      <c r="F235" s="23" t="s">
        <v>81</v>
      </c>
      <c r="H235" s="63"/>
      <c r="I235" s="63"/>
      <c r="J235" s="63"/>
      <c r="K235" s="30">
        <f>IF(OR(LEFT($D235,5)="Solar",$D235="Wind"),INDEX(Land_Use[AVG],MATCH(LEFT($D235,5),Land_Use[Tech],0)),0)*$E235</f>
        <v>0</v>
      </c>
      <c r="L235" s="30">
        <f>IF(OR(LEFT($D235,5)="Solar",$D235="Wind"),INDEX(Land_Use[MIN],MATCH(LEFT($D235,5),Land_Use[Tech],0)),0)*$E235</f>
        <v>0</v>
      </c>
      <c r="M235" s="30">
        <f>IF(OR(LEFT($D235,5)="Solar",$D235="Wind"),INDEX(Land_Use[MAX],MATCH(LEFT($D235,5),Land_Use[Tech],0)),0)*$E235</f>
        <v>0</v>
      </c>
      <c r="N235" s="13">
        <f t="shared" si="84"/>
        <v>0</v>
      </c>
      <c r="O235" s="13">
        <f t="shared" si="85"/>
        <v>0</v>
      </c>
      <c r="P235" s="13">
        <f t="shared" si="86"/>
        <v>0</v>
      </c>
      <c r="Q235" s="13">
        <f t="shared" si="87"/>
        <v>0</v>
      </c>
      <c r="R235" s="13">
        <f t="shared" si="88"/>
        <v>0</v>
      </c>
      <c r="S235" s="30">
        <f t="shared" si="77"/>
        <v>0</v>
      </c>
      <c r="T235" s="30">
        <f t="shared" si="78"/>
        <v>0</v>
      </c>
      <c r="U235" s="30">
        <f t="shared" si="79"/>
        <v>0</v>
      </c>
      <c r="V235" s="30">
        <f t="shared" si="80"/>
        <v>0</v>
      </c>
      <c r="W235" s="30">
        <f t="shared" si="81"/>
        <v>0</v>
      </c>
      <c r="X235" s="30">
        <f t="shared" si="82"/>
        <v>0</v>
      </c>
      <c r="Z235" s="23" t="s">
        <v>76</v>
      </c>
      <c r="AA235" s="40"/>
      <c r="AB235" s="67"/>
      <c r="AC235" s="67"/>
      <c r="AD235" s="39"/>
      <c r="AE235" s="39"/>
      <c r="AF235" s="39"/>
      <c r="AG235" s="68"/>
      <c r="AH235">
        <v>14</v>
      </c>
      <c r="AI235">
        <v>1.4</v>
      </c>
      <c r="AJ235">
        <v>250</v>
      </c>
      <c r="AK235">
        <v>0.31</v>
      </c>
      <c r="AL235" s="63">
        <f>IFERROR(INDEX(Job_Training[[Solar]:[Wind]],MATCH(AL$1,Job_Training[[`Typical Entry Level Education`]:[`Typical Entry Level Education`]],0),MATCH(LEFT($D235,5),Job_Training[[#Headers],[Solar]:[Wind]],0)),0)</f>
        <v>3.4599999999999999E-2</v>
      </c>
      <c r="AM235" s="63">
        <f>IFERROR(INDEX(Job_Training[[Solar]:[Wind]],MATCH(AM$1,Job_Training[[`Typical Entry Level Education`]:[`Typical Entry Level Education`]],0),MATCH(LEFT($D235,5),Job_Training[[#Headers],[Solar]:[Wind]],0)),0)</f>
        <v>2.8199999999999999E-2</v>
      </c>
      <c r="AN235" s="63">
        <f>IFERROR(INDEX(Job_Training[[Solar]:[Wind]],MATCH(AN$1,Job_Training[[`Typical Entry Level Education`]:[`Typical Entry Level Education`]],0),MATCH(LEFT($D235,5),Job_Training[[#Headers],[Solar]:[Wind]],0)),0)</f>
        <v>3.3399999999999999E-2</v>
      </c>
      <c r="AO235" s="63">
        <f>IFERROR(INDEX(Job_Training[[Solar]:[Wind]],MATCH(AO$1,Job_Training[[`Typical Entry Level Education`]:[`Typical Entry Level Education`]],0),MATCH(LEFT($D235,5),Job_Training[[#Headers],[Solar]:[Wind]],0)),0)</f>
        <v>5.62E-3</v>
      </c>
      <c r="AP235">
        <f t="shared" si="83"/>
        <v>0</v>
      </c>
      <c r="AQ235" s="63">
        <f>IF(AP235&gt;0,IFERROR(INDEX(Assumptions!$C$165:$D$165,MATCH(LEFT($D235,5),Job_Training[[#Headers],[Solar]:[Wind]],0)),0),0)</f>
        <v>0</v>
      </c>
      <c r="AR235">
        <f>IF(AP235&gt;0,IFERROR(INDEX(Assumptions!$C$166:$D$166,MATCH(LEFT($D235,5),Job_Training[[#Headers],[Solar]:[Wind]],0)),0),0)</f>
        <v>0</v>
      </c>
    </row>
    <row r="236" spans="1:44" x14ac:dyDescent="0.35">
      <c r="A236" t="str">
        <f>UserInput!$B$2</f>
        <v>Current Projects</v>
      </c>
      <c r="B236" s="23">
        <v>2028</v>
      </c>
      <c r="C236" s="23" t="s">
        <v>78</v>
      </c>
      <c r="D236" s="23" t="s">
        <v>97</v>
      </c>
      <c r="E236" s="40">
        <f>SUMIFS($E$2:$E$232,$B$2:$B$232,B236,$C$2:$C$232,C236)*1000*Assumptions!$C$8/1000/8760/0.3</f>
        <v>0</v>
      </c>
      <c r="F236" s="23" t="s">
        <v>81</v>
      </c>
      <c r="H236" s="63"/>
      <c r="I236" s="63"/>
      <c r="J236" s="63"/>
      <c r="K236" s="30">
        <f>IF(OR(LEFT($D236,5)="Solar",$D236="Wind"),INDEX(Land_Use[AVG],MATCH(LEFT($D236,5),Land_Use[Tech],0)),0)*$E236</f>
        <v>0</v>
      </c>
      <c r="L236" s="30">
        <f>IF(OR(LEFT($D236,5)="Solar",$D236="Wind"),INDEX(Land_Use[MIN],MATCH(LEFT($D236,5),Land_Use[Tech],0)),0)*$E236</f>
        <v>0</v>
      </c>
      <c r="M236" s="30">
        <f>IF(OR(LEFT($D236,5)="Solar",$D236="Wind"),INDEX(Land_Use[MAX],MATCH(LEFT($D236,5),Land_Use[Tech],0)),0)*$E236</f>
        <v>0</v>
      </c>
      <c r="N236" s="13">
        <f t="shared" si="84"/>
        <v>0</v>
      </c>
      <c r="O236" s="13">
        <f t="shared" si="85"/>
        <v>0</v>
      </c>
      <c r="P236" s="13">
        <f t="shared" si="86"/>
        <v>0</v>
      </c>
      <c r="Q236" s="13">
        <f t="shared" si="87"/>
        <v>0</v>
      </c>
      <c r="R236" s="13">
        <f t="shared" si="88"/>
        <v>0</v>
      </c>
      <c r="S236" s="30">
        <f t="shared" si="77"/>
        <v>0</v>
      </c>
      <c r="T236" s="30">
        <f t="shared" si="78"/>
        <v>0</v>
      </c>
      <c r="U236" s="30">
        <f t="shared" si="79"/>
        <v>0</v>
      </c>
      <c r="V236" s="30">
        <f t="shared" si="80"/>
        <v>0</v>
      </c>
      <c r="W236" s="30">
        <f t="shared" si="81"/>
        <v>0</v>
      </c>
      <c r="X236" s="30">
        <f t="shared" si="82"/>
        <v>0</v>
      </c>
      <c r="Z236" s="23" t="s">
        <v>76</v>
      </c>
      <c r="AA236" s="40"/>
      <c r="AB236" s="67"/>
      <c r="AC236" s="67"/>
      <c r="AD236" s="39"/>
      <c r="AE236" s="39"/>
      <c r="AF236" s="39"/>
      <c r="AG236" s="68"/>
      <c r="AH236">
        <v>14</v>
      </c>
      <c r="AI236">
        <v>1.4</v>
      </c>
      <c r="AJ236">
        <v>250</v>
      </c>
      <c r="AK236">
        <v>0.31</v>
      </c>
      <c r="AL236" s="63">
        <f>IFERROR(INDEX(Job_Training[[Solar]:[Wind]],MATCH(AL$1,Job_Training[[`Typical Entry Level Education`]:[`Typical Entry Level Education`]],0),MATCH(LEFT($D236,5),Job_Training[[#Headers],[Solar]:[Wind]],0)),0)</f>
        <v>3.4599999999999999E-2</v>
      </c>
      <c r="AM236" s="63">
        <f>IFERROR(INDEX(Job_Training[[Solar]:[Wind]],MATCH(AM$1,Job_Training[[`Typical Entry Level Education`]:[`Typical Entry Level Education`]],0),MATCH(LEFT($D236,5),Job_Training[[#Headers],[Solar]:[Wind]],0)),0)</f>
        <v>2.8199999999999999E-2</v>
      </c>
      <c r="AN236" s="63">
        <f>IFERROR(INDEX(Job_Training[[Solar]:[Wind]],MATCH(AN$1,Job_Training[[`Typical Entry Level Education`]:[`Typical Entry Level Education`]],0),MATCH(LEFT($D236,5),Job_Training[[#Headers],[Solar]:[Wind]],0)),0)</f>
        <v>3.3399999999999999E-2</v>
      </c>
      <c r="AO236" s="63">
        <f>IFERROR(INDEX(Job_Training[[Solar]:[Wind]],MATCH(AO$1,Job_Training[[`Typical Entry Level Education`]:[`Typical Entry Level Education`]],0),MATCH(LEFT($D236,5),Job_Training[[#Headers],[Solar]:[Wind]],0)),0)</f>
        <v>5.62E-3</v>
      </c>
      <c r="AP236">
        <f t="shared" si="83"/>
        <v>0</v>
      </c>
      <c r="AQ236" s="63">
        <f>IF(AP236&gt;0,IFERROR(INDEX(Assumptions!$C$165:$D$165,MATCH(LEFT($D236,5),Job_Training[[#Headers],[Solar]:[Wind]],0)),0),0)</f>
        <v>0</v>
      </c>
      <c r="AR236">
        <f>IF(AP236&gt;0,IFERROR(INDEX(Assumptions!$C$166:$D$166,MATCH(LEFT($D236,5),Job_Training[[#Headers],[Solar]:[Wind]],0)),0),0)</f>
        <v>0</v>
      </c>
    </row>
    <row r="237" spans="1:44" x14ac:dyDescent="0.35">
      <c r="A237" t="str">
        <f>UserInput!$B$2</f>
        <v>Current Projects</v>
      </c>
      <c r="B237" s="23">
        <v>2029</v>
      </c>
      <c r="C237" s="23" t="s">
        <v>78</v>
      </c>
      <c r="D237" s="23" t="s">
        <v>97</v>
      </c>
      <c r="E237" s="40">
        <f>SUMIFS($E$2:$E$232,$B$2:$B$232,B237,$C$2:$C$232,C237)*1000*Assumptions!$C$8/1000/8760/0.3</f>
        <v>0</v>
      </c>
      <c r="F237" s="23" t="s">
        <v>81</v>
      </c>
      <c r="H237" s="63"/>
      <c r="I237" s="63"/>
      <c r="J237" s="63"/>
      <c r="K237" s="30">
        <f>IF(OR(LEFT($D237,5)="Solar",$D237="Wind"),INDEX(Land_Use[AVG],MATCH(LEFT($D237,5),Land_Use[Tech],0)),0)*$E237</f>
        <v>0</v>
      </c>
      <c r="L237" s="30">
        <f>IF(OR(LEFT($D237,5)="Solar",$D237="Wind"),INDEX(Land_Use[MIN],MATCH(LEFT($D237,5),Land_Use[Tech],0)),0)*$E237</f>
        <v>0</v>
      </c>
      <c r="M237" s="30">
        <f>IF(OR(LEFT($D237,5)="Solar",$D237="Wind"),INDEX(Land_Use[MAX],MATCH(LEFT($D237,5),Land_Use[Tech],0)),0)*$E237</f>
        <v>0</v>
      </c>
      <c r="N237" s="13">
        <f t="shared" si="84"/>
        <v>0</v>
      </c>
      <c r="O237" s="13">
        <f t="shared" si="85"/>
        <v>0</v>
      </c>
      <c r="P237" s="13">
        <f t="shared" si="86"/>
        <v>0</v>
      </c>
      <c r="Q237" s="13">
        <f t="shared" si="87"/>
        <v>0</v>
      </c>
      <c r="R237" s="13">
        <f t="shared" si="88"/>
        <v>0</v>
      </c>
      <c r="S237" s="30">
        <f t="shared" si="77"/>
        <v>0</v>
      </c>
      <c r="T237" s="30">
        <f t="shared" si="78"/>
        <v>0</v>
      </c>
      <c r="U237" s="30">
        <f t="shared" si="79"/>
        <v>0</v>
      </c>
      <c r="V237" s="30">
        <f t="shared" si="80"/>
        <v>0</v>
      </c>
      <c r="W237" s="30">
        <f t="shared" si="81"/>
        <v>0</v>
      </c>
      <c r="X237" s="30">
        <f t="shared" si="82"/>
        <v>0</v>
      </c>
      <c r="Z237" s="23" t="s">
        <v>76</v>
      </c>
      <c r="AA237" s="40"/>
      <c r="AB237" s="67"/>
      <c r="AC237" s="67"/>
      <c r="AD237" s="39"/>
      <c r="AE237" s="39"/>
      <c r="AF237" s="39"/>
      <c r="AG237" s="68"/>
      <c r="AH237">
        <v>14</v>
      </c>
      <c r="AI237">
        <v>1.4</v>
      </c>
      <c r="AJ237">
        <v>250</v>
      </c>
      <c r="AK237">
        <v>0.31</v>
      </c>
      <c r="AL237" s="63">
        <f>IFERROR(INDEX(Job_Training[[Solar]:[Wind]],MATCH(AL$1,Job_Training[[`Typical Entry Level Education`]:[`Typical Entry Level Education`]],0),MATCH(LEFT($D237,5),Job_Training[[#Headers],[Solar]:[Wind]],0)),0)</f>
        <v>3.4599999999999999E-2</v>
      </c>
      <c r="AM237" s="63">
        <f>IFERROR(INDEX(Job_Training[[Solar]:[Wind]],MATCH(AM$1,Job_Training[[`Typical Entry Level Education`]:[`Typical Entry Level Education`]],0),MATCH(LEFT($D237,5),Job_Training[[#Headers],[Solar]:[Wind]],0)),0)</f>
        <v>2.8199999999999999E-2</v>
      </c>
      <c r="AN237" s="63">
        <f>IFERROR(INDEX(Job_Training[[Solar]:[Wind]],MATCH(AN$1,Job_Training[[`Typical Entry Level Education`]:[`Typical Entry Level Education`]],0),MATCH(LEFT($D237,5),Job_Training[[#Headers],[Solar]:[Wind]],0)),0)</f>
        <v>3.3399999999999999E-2</v>
      </c>
      <c r="AO237" s="63">
        <f>IFERROR(INDEX(Job_Training[[Solar]:[Wind]],MATCH(AO$1,Job_Training[[`Typical Entry Level Education`]:[`Typical Entry Level Education`]],0),MATCH(LEFT($D237,5),Job_Training[[#Headers],[Solar]:[Wind]],0)),0)</f>
        <v>5.62E-3</v>
      </c>
      <c r="AP237">
        <f t="shared" si="83"/>
        <v>0</v>
      </c>
      <c r="AQ237" s="63">
        <f>IF(AP237&gt;0,IFERROR(INDEX(Assumptions!$C$165:$D$165,MATCH(LEFT($D237,5),Job_Training[[#Headers],[Solar]:[Wind]],0)),0),0)</f>
        <v>0</v>
      </c>
      <c r="AR237">
        <f>IF(AP237&gt;0,IFERROR(INDEX(Assumptions!$C$166:$D$166,MATCH(LEFT($D237,5),Job_Training[[#Headers],[Solar]:[Wind]],0)),0),0)</f>
        <v>0</v>
      </c>
    </row>
    <row r="238" spans="1:44" x14ac:dyDescent="0.35">
      <c r="A238" t="str">
        <f>UserInput!$B$2</f>
        <v>Current Projects</v>
      </c>
      <c r="B238" s="23">
        <v>2030</v>
      </c>
      <c r="C238" s="23" t="s">
        <v>78</v>
      </c>
      <c r="D238" s="23" t="s">
        <v>97</v>
      </c>
      <c r="E238" s="40">
        <f>SUMIFS($E$2:$E$232,$B$2:$B$232,B238,$C$2:$C$232,C238)*1000*Assumptions!$C$8/1000/8760/0.3</f>
        <v>1873.9726027397262</v>
      </c>
      <c r="F238" s="23" t="s">
        <v>81</v>
      </c>
      <c r="H238" s="63"/>
      <c r="I238" s="63"/>
      <c r="J238" s="63"/>
      <c r="K238" s="30">
        <f>IF(OR(LEFT($D238,5)="Solar",$D238="Wind"),INDEX(Land_Use[AVG],MATCH(LEFT($D238,5),Land_Use[Tech],0)),0)*$E238</f>
        <v>6558.9041095890416</v>
      </c>
      <c r="L238" s="30">
        <f>IF(OR(LEFT($D238,5)="Solar",$D238="Wind"),INDEX(Land_Use[MIN],MATCH(LEFT($D238,5),Land_Use[Tech],0)),0)*$E238</f>
        <v>5247.1232876712329</v>
      </c>
      <c r="M238" s="30">
        <f>IF(OR(LEFT($D238,5)="Solar",$D238="Wind"),INDEX(Land_Use[MAX],MATCH(LEFT($D238,5),Land_Use[Tech],0)),0)*$E238</f>
        <v>7870.6849315068503</v>
      </c>
      <c r="N238" s="13">
        <f t="shared" si="84"/>
        <v>0</v>
      </c>
      <c r="O238" s="13">
        <f t="shared" si="85"/>
        <v>91824.65753424658</v>
      </c>
      <c r="P238" s="13">
        <f t="shared" si="86"/>
        <v>9182.465753424658</v>
      </c>
      <c r="Q238" s="13">
        <f t="shared" si="87"/>
        <v>1639726.0273972603</v>
      </c>
      <c r="R238" s="13">
        <f t="shared" si="88"/>
        <v>2033.2602739726028</v>
      </c>
      <c r="S238" s="30">
        <f t="shared" si="77"/>
        <v>64.839452054794521</v>
      </c>
      <c r="T238" s="30">
        <f t="shared" si="78"/>
        <v>52.846027397260279</v>
      </c>
      <c r="U238" s="30">
        <f t="shared" si="79"/>
        <v>62.59068493150685</v>
      </c>
      <c r="V238" s="30">
        <f t="shared" si="80"/>
        <v>10.53172602739726</v>
      </c>
      <c r="W238" s="30">
        <f t="shared" si="81"/>
        <v>190.80789041095892</v>
      </c>
      <c r="X238" s="30">
        <f t="shared" si="82"/>
        <v>11448.473424657534</v>
      </c>
      <c r="Z238" s="23" t="s">
        <v>76</v>
      </c>
      <c r="AA238" s="40"/>
      <c r="AB238" s="67"/>
      <c r="AC238" s="67"/>
      <c r="AD238" s="39"/>
      <c r="AE238" s="39"/>
      <c r="AF238" s="39"/>
      <c r="AG238" s="68"/>
      <c r="AH238">
        <v>14</v>
      </c>
      <c r="AI238">
        <v>1.4</v>
      </c>
      <c r="AJ238">
        <v>250</v>
      </c>
      <c r="AK238">
        <v>0.31</v>
      </c>
      <c r="AL238" s="63">
        <f>IFERROR(INDEX(Job_Training[[Solar]:[Wind]],MATCH(AL$1,Job_Training[[`Typical Entry Level Education`]:[`Typical Entry Level Education`]],0),MATCH(LEFT($D238,5),Job_Training[[#Headers],[Solar]:[Wind]],0)),0)</f>
        <v>3.4599999999999999E-2</v>
      </c>
      <c r="AM238" s="63">
        <f>IFERROR(INDEX(Job_Training[[Solar]:[Wind]],MATCH(AM$1,Job_Training[[`Typical Entry Level Education`]:[`Typical Entry Level Education`]],0),MATCH(LEFT($D238,5),Job_Training[[#Headers],[Solar]:[Wind]],0)),0)</f>
        <v>2.8199999999999999E-2</v>
      </c>
      <c r="AN238" s="63">
        <f>IFERROR(INDEX(Job_Training[[Solar]:[Wind]],MATCH(AN$1,Job_Training[[`Typical Entry Level Education`]:[`Typical Entry Level Education`]],0),MATCH(LEFT($D238,5),Job_Training[[#Headers],[Solar]:[Wind]],0)),0)</f>
        <v>3.3399999999999999E-2</v>
      </c>
      <c r="AO238" s="63">
        <f>IFERROR(INDEX(Job_Training[[Solar]:[Wind]],MATCH(AO$1,Job_Training[[`Typical Entry Level Education`]:[`Typical Entry Level Education`]],0),MATCH(LEFT($D238,5),Job_Training[[#Headers],[Solar]:[Wind]],0)),0)</f>
        <v>5.62E-3</v>
      </c>
      <c r="AP238">
        <f t="shared" si="83"/>
        <v>1873.9726027397262</v>
      </c>
      <c r="AQ238" s="63">
        <f>IF(AP238&gt;0,IFERROR(INDEX(Assumptions!$C$165:$D$165,MATCH(LEFT($D238,5),Job_Training[[#Headers],[Solar]:[Wind]],0)),0),0)</f>
        <v>0.10181999999999999</v>
      </c>
      <c r="AR238">
        <f>IF(AP238&gt;0,IFERROR(INDEX(Assumptions!$C$166:$D$166,MATCH(LEFT($D238,5),Job_Training[[#Headers],[Solar]:[Wind]],0)),0),0)</f>
        <v>6.1091999999999995</v>
      </c>
    </row>
    <row r="239" spans="1:44" x14ac:dyDescent="0.35">
      <c r="A239" t="str">
        <f>UserInput!$B$2</f>
        <v>Current Projects</v>
      </c>
      <c r="B239" s="23">
        <v>2031</v>
      </c>
      <c r="C239" s="23" t="s">
        <v>78</v>
      </c>
      <c r="D239" s="23" t="s">
        <v>97</v>
      </c>
      <c r="E239" s="40">
        <f>SUMIFS($E$2:$E$232,$B$2:$B$232,B239,$C$2:$C$232,C239)*1000*Assumptions!$C$8/1000/8760/0.3</f>
        <v>1873.9726027397262</v>
      </c>
      <c r="F239" s="23" t="s">
        <v>81</v>
      </c>
      <c r="H239" s="63"/>
      <c r="I239" s="63"/>
      <c r="J239" s="63"/>
      <c r="K239" s="30">
        <f>IF(OR(LEFT($D239,5)="Solar",$D239="Wind"),INDEX(Land_Use[AVG],MATCH(LEFT($D239,5),Land_Use[Tech],0)),0)*$E239</f>
        <v>6558.9041095890416</v>
      </c>
      <c r="L239" s="30">
        <f>IF(OR(LEFT($D239,5)="Solar",$D239="Wind"),INDEX(Land_Use[MIN],MATCH(LEFT($D239,5),Land_Use[Tech],0)),0)*$E239</f>
        <v>5247.1232876712329</v>
      </c>
      <c r="M239" s="30">
        <f>IF(OR(LEFT($D239,5)="Solar",$D239="Wind"),INDEX(Land_Use[MAX],MATCH(LEFT($D239,5),Land_Use[Tech],0)),0)*$E239</f>
        <v>7870.6849315068503</v>
      </c>
      <c r="N239" s="13">
        <f t="shared" si="84"/>
        <v>0</v>
      </c>
      <c r="O239" s="13">
        <f t="shared" si="85"/>
        <v>91824.65753424658</v>
      </c>
      <c r="P239" s="13">
        <f t="shared" si="86"/>
        <v>9182.465753424658</v>
      </c>
      <c r="Q239" s="13">
        <f t="shared" si="87"/>
        <v>1639726.0273972603</v>
      </c>
      <c r="R239" s="13">
        <f t="shared" si="88"/>
        <v>2033.2602739726028</v>
      </c>
      <c r="S239" s="30">
        <f t="shared" si="77"/>
        <v>0</v>
      </c>
      <c r="T239" s="30">
        <f t="shared" si="78"/>
        <v>0</v>
      </c>
      <c r="U239" s="30">
        <f t="shared" si="79"/>
        <v>0</v>
      </c>
      <c r="V239" s="30">
        <f t="shared" si="80"/>
        <v>0</v>
      </c>
      <c r="W239" s="30">
        <f t="shared" si="81"/>
        <v>0</v>
      </c>
      <c r="X239" s="30">
        <f t="shared" si="82"/>
        <v>0</v>
      </c>
      <c r="Z239" s="23" t="s">
        <v>76</v>
      </c>
      <c r="AA239" s="40"/>
      <c r="AB239" s="67"/>
      <c r="AC239" s="67"/>
      <c r="AD239" s="39"/>
      <c r="AE239" s="39"/>
      <c r="AF239" s="39"/>
      <c r="AG239" s="68"/>
      <c r="AH239">
        <v>14</v>
      </c>
      <c r="AI239">
        <v>1.4</v>
      </c>
      <c r="AJ239">
        <v>250</v>
      </c>
      <c r="AK239">
        <v>0.31</v>
      </c>
      <c r="AL239" s="63">
        <f>IFERROR(INDEX(Job_Training[[Solar]:[Wind]],MATCH(AL$1,Job_Training[[`Typical Entry Level Education`]:[`Typical Entry Level Education`]],0),MATCH(LEFT($D239,5),Job_Training[[#Headers],[Solar]:[Wind]],0)),0)</f>
        <v>3.4599999999999999E-2</v>
      </c>
      <c r="AM239" s="63">
        <f>IFERROR(INDEX(Job_Training[[Solar]:[Wind]],MATCH(AM$1,Job_Training[[`Typical Entry Level Education`]:[`Typical Entry Level Education`]],0),MATCH(LEFT($D239,5),Job_Training[[#Headers],[Solar]:[Wind]],0)),0)</f>
        <v>2.8199999999999999E-2</v>
      </c>
      <c r="AN239" s="63">
        <f>IFERROR(INDEX(Job_Training[[Solar]:[Wind]],MATCH(AN$1,Job_Training[[`Typical Entry Level Education`]:[`Typical Entry Level Education`]],0),MATCH(LEFT($D239,5),Job_Training[[#Headers],[Solar]:[Wind]],0)),0)</f>
        <v>3.3399999999999999E-2</v>
      </c>
      <c r="AO239" s="63">
        <f>IFERROR(INDEX(Job_Training[[Solar]:[Wind]],MATCH(AO$1,Job_Training[[`Typical Entry Level Education`]:[`Typical Entry Level Education`]],0),MATCH(LEFT($D239,5),Job_Training[[#Headers],[Solar]:[Wind]],0)),0)</f>
        <v>5.62E-3</v>
      </c>
      <c r="AP239">
        <f t="shared" si="83"/>
        <v>0</v>
      </c>
      <c r="AQ239" s="63">
        <f>IF(AP239&gt;0,IFERROR(INDEX(Assumptions!$C$165:$D$165,MATCH(LEFT($D239,5),Job_Training[[#Headers],[Solar]:[Wind]],0)),0),0)</f>
        <v>0</v>
      </c>
      <c r="AR239">
        <f>IF(AP239&gt;0,IFERROR(INDEX(Assumptions!$C$166:$D$166,MATCH(LEFT($D239,5),Job_Training[[#Headers],[Solar]:[Wind]],0)),0),0)</f>
        <v>0</v>
      </c>
    </row>
    <row r="240" spans="1:44" x14ac:dyDescent="0.35">
      <c r="A240" t="str">
        <f>UserInput!$B$2</f>
        <v>Current Projects</v>
      </c>
      <c r="B240" s="23">
        <v>2032</v>
      </c>
      <c r="C240" s="23" t="s">
        <v>78</v>
      </c>
      <c r="D240" s="23" t="s">
        <v>97</v>
      </c>
      <c r="E240" s="40">
        <f>SUMIFS($E$2:$E$232,$B$2:$B$232,B240,$C$2:$C$232,C240)*1000*Assumptions!$C$8/1000/8760/0.3</f>
        <v>1873.9726027397262</v>
      </c>
      <c r="F240" s="23" t="s">
        <v>81</v>
      </c>
      <c r="H240" s="63"/>
      <c r="I240" s="63"/>
      <c r="J240" s="63"/>
      <c r="K240" s="30">
        <f>IF(OR(LEFT($D240,5)="Solar",$D240="Wind"),INDEX(Land_Use[AVG],MATCH(LEFT($D240,5),Land_Use[Tech],0)),0)*$E240</f>
        <v>6558.9041095890416</v>
      </c>
      <c r="L240" s="30">
        <f>IF(OR(LEFT($D240,5)="Solar",$D240="Wind"),INDEX(Land_Use[MIN],MATCH(LEFT($D240,5),Land_Use[Tech],0)),0)*$E240</f>
        <v>5247.1232876712329</v>
      </c>
      <c r="M240" s="30">
        <f>IF(OR(LEFT($D240,5)="Solar",$D240="Wind"),INDEX(Land_Use[MAX],MATCH(LEFT($D240,5),Land_Use[Tech],0)),0)*$E240</f>
        <v>7870.6849315068503</v>
      </c>
      <c r="N240" s="13">
        <f t="shared" si="84"/>
        <v>0</v>
      </c>
      <c r="O240" s="13">
        <f t="shared" si="85"/>
        <v>91824.65753424658</v>
      </c>
      <c r="P240" s="13">
        <f t="shared" si="86"/>
        <v>9182.465753424658</v>
      </c>
      <c r="Q240" s="13">
        <f t="shared" si="87"/>
        <v>1639726.0273972603</v>
      </c>
      <c r="R240" s="13">
        <f t="shared" si="88"/>
        <v>2033.2602739726028</v>
      </c>
      <c r="S240" s="30">
        <f t="shared" si="77"/>
        <v>0</v>
      </c>
      <c r="T240" s="30">
        <f t="shared" si="78"/>
        <v>0</v>
      </c>
      <c r="U240" s="30">
        <f t="shared" si="79"/>
        <v>0</v>
      </c>
      <c r="V240" s="30">
        <f t="shared" si="80"/>
        <v>0</v>
      </c>
      <c r="W240" s="30">
        <f t="shared" si="81"/>
        <v>0</v>
      </c>
      <c r="X240" s="30">
        <f t="shared" si="82"/>
        <v>0</v>
      </c>
      <c r="Z240" s="23" t="s">
        <v>76</v>
      </c>
      <c r="AA240" s="40"/>
      <c r="AB240" s="67"/>
      <c r="AC240" s="67"/>
      <c r="AD240" s="39"/>
      <c r="AE240" s="39"/>
      <c r="AF240" s="39"/>
      <c r="AG240" s="68"/>
      <c r="AH240">
        <v>14</v>
      </c>
      <c r="AI240">
        <v>1.4</v>
      </c>
      <c r="AJ240">
        <v>250</v>
      </c>
      <c r="AK240">
        <v>0.31</v>
      </c>
      <c r="AL240" s="63">
        <f>IFERROR(INDEX(Job_Training[[Solar]:[Wind]],MATCH(AL$1,Job_Training[[`Typical Entry Level Education`]:[`Typical Entry Level Education`]],0),MATCH(LEFT($D240,5),Job_Training[[#Headers],[Solar]:[Wind]],0)),0)</f>
        <v>3.4599999999999999E-2</v>
      </c>
      <c r="AM240" s="63">
        <f>IFERROR(INDEX(Job_Training[[Solar]:[Wind]],MATCH(AM$1,Job_Training[[`Typical Entry Level Education`]:[`Typical Entry Level Education`]],0),MATCH(LEFT($D240,5),Job_Training[[#Headers],[Solar]:[Wind]],0)),0)</f>
        <v>2.8199999999999999E-2</v>
      </c>
      <c r="AN240" s="63">
        <f>IFERROR(INDEX(Job_Training[[Solar]:[Wind]],MATCH(AN$1,Job_Training[[`Typical Entry Level Education`]:[`Typical Entry Level Education`]],0),MATCH(LEFT($D240,5),Job_Training[[#Headers],[Solar]:[Wind]],0)),0)</f>
        <v>3.3399999999999999E-2</v>
      </c>
      <c r="AO240" s="63">
        <f>IFERROR(INDEX(Job_Training[[Solar]:[Wind]],MATCH(AO$1,Job_Training[[`Typical Entry Level Education`]:[`Typical Entry Level Education`]],0),MATCH(LEFT($D240,5),Job_Training[[#Headers],[Solar]:[Wind]],0)),0)</f>
        <v>5.62E-3</v>
      </c>
      <c r="AP240">
        <f t="shared" si="83"/>
        <v>0</v>
      </c>
      <c r="AQ240" s="63">
        <f>IF(AP240&gt;0,IFERROR(INDEX(Assumptions!$C$165:$D$165,MATCH(LEFT($D240,5),Job_Training[[#Headers],[Solar]:[Wind]],0)),0),0)</f>
        <v>0</v>
      </c>
      <c r="AR240">
        <f>IF(AP240&gt;0,IFERROR(INDEX(Assumptions!$C$166:$D$166,MATCH(LEFT($D240,5),Job_Training[[#Headers],[Solar]:[Wind]],0)),0),0)</f>
        <v>0</v>
      </c>
    </row>
    <row r="241" spans="1:44" x14ac:dyDescent="0.35">
      <c r="A241" t="str">
        <f>UserInput!$B$2</f>
        <v>Current Projects</v>
      </c>
      <c r="B241" s="23">
        <v>2033</v>
      </c>
      <c r="C241" s="23" t="s">
        <v>78</v>
      </c>
      <c r="D241" s="23" t="s">
        <v>97</v>
      </c>
      <c r="E241" s="40">
        <f>SUMIFS($E$2:$E$232,$B$2:$B$232,B241,$C$2:$C$232,C241)*1000*Assumptions!$C$8/1000/8760/0.3</f>
        <v>1873.9726027397262</v>
      </c>
      <c r="F241" s="23" t="s">
        <v>81</v>
      </c>
      <c r="H241" s="63"/>
      <c r="I241" s="63"/>
      <c r="J241" s="63"/>
      <c r="K241" s="30">
        <f>IF(OR(LEFT($D241,5)="Solar",$D241="Wind"),INDEX(Land_Use[AVG],MATCH(LEFT($D241,5),Land_Use[Tech],0)),0)*$E241</f>
        <v>6558.9041095890416</v>
      </c>
      <c r="L241" s="30">
        <f>IF(OR(LEFT($D241,5)="Solar",$D241="Wind"),INDEX(Land_Use[MIN],MATCH(LEFT($D241,5),Land_Use[Tech],0)),0)*$E241</f>
        <v>5247.1232876712329</v>
      </c>
      <c r="M241" s="30">
        <f>IF(OR(LEFT($D241,5)="Solar",$D241="Wind"),INDEX(Land_Use[MAX],MATCH(LEFT($D241,5),Land_Use[Tech],0)),0)*$E241</f>
        <v>7870.6849315068503</v>
      </c>
      <c r="N241" s="13">
        <f t="shared" si="84"/>
        <v>0</v>
      </c>
      <c r="O241" s="13">
        <f t="shared" si="85"/>
        <v>91824.65753424658</v>
      </c>
      <c r="P241" s="13">
        <f t="shared" si="86"/>
        <v>9182.465753424658</v>
      </c>
      <c r="Q241" s="13">
        <f t="shared" si="87"/>
        <v>1639726.0273972603</v>
      </c>
      <c r="R241" s="13">
        <f t="shared" si="88"/>
        <v>2033.2602739726028</v>
      </c>
      <c r="S241" s="30">
        <f t="shared" si="77"/>
        <v>0</v>
      </c>
      <c r="T241" s="30">
        <f t="shared" si="78"/>
        <v>0</v>
      </c>
      <c r="U241" s="30">
        <f t="shared" si="79"/>
        <v>0</v>
      </c>
      <c r="V241" s="30">
        <f t="shared" si="80"/>
        <v>0</v>
      </c>
      <c r="W241" s="30">
        <f t="shared" si="81"/>
        <v>0</v>
      </c>
      <c r="X241" s="30">
        <f t="shared" si="82"/>
        <v>0</v>
      </c>
      <c r="Z241" s="23" t="s">
        <v>76</v>
      </c>
      <c r="AA241" s="40"/>
      <c r="AB241" s="67"/>
      <c r="AC241" s="67"/>
      <c r="AD241" s="39"/>
      <c r="AE241" s="39"/>
      <c r="AF241" s="39"/>
      <c r="AG241" s="68"/>
      <c r="AH241">
        <v>14</v>
      </c>
      <c r="AI241">
        <v>1.4</v>
      </c>
      <c r="AJ241">
        <v>250</v>
      </c>
      <c r="AK241">
        <v>0.31</v>
      </c>
      <c r="AL241" s="63">
        <f>IFERROR(INDEX(Job_Training[[Solar]:[Wind]],MATCH(AL$1,Job_Training[[`Typical Entry Level Education`]:[`Typical Entry Level Education`]],0),MATCH(LEFT($D241,5),Job_Training[[#Headers],[Solar]:[Wind]],0)),0)</f>
        <v>3.4599999999999999E-2</v>
      </c>
      <c r="AM241" s="63">
        <f>IFERROR(INDEX(Job_Training[[Solar]:[Wind]],MATCH(AM$1,Job_Training[[`Typical Entry Level Education`]:[`Typical Entry Level Education`]],0),MATCH(LEFT($D241,5),Job_Training[[#Headers],[Solar]:[Wind]],0)),0)</f>
        <v>2.8199999999999999E-2</v>
      </c>
      <c r="AN241" s="63">
        <f>IFERROR(INDEX(Job_Training[[Solar]:[Wind]],MATCH(AN$1,Job_Training[[`Typical Entry Level Education`]:[`Typical Entry Level Education`]],0),MATCH(LEFT($D241,5),Job_Training[[#Headers],[Solar]:[Wind]],0)),0)</f>
        <v>3.3399999999999999E-2</v>
      </c>
      <c r="AO241" s="63">
        <f>IFERROR(INDEX(Job_Training[[Solar]:[Wind]],MATCH(AO$1,Job_Training[[`Typical Entry Level Education`]:[`Typical Entry Level Education`]],0),MATCH(LEFT($D241,5),Job_Training[[#Headers],[Solar]:[Wind]],0)),0)</f>
        <v>5.62E-3</v>
      </c>
      <c r="AP241">
        <f t="shared" si="83"/>
        <v>0</v>
      </c>
      <c r="AQ241" s="63">
        <f>IF(AP241&gt;0,IFERROR(INDEX(Assumptions!$C$165:$D$165,MATCH(LEFT($D241,5),Job_Training[[#Headers],[Solar]:[Wind]],0)),0),0)</f>
        <v>0</v>
      </c>
      <c r="AR241">
        <f>IF(AP241&gt;0,IFERROR(INDEX(Assumptions!$C$166:$D$166,MATCH(LEFT($D241,5),Job_Training[[#Headers],[Solar]:[Wind]],0)),0),0)</f>
        <v>0</v>
      </c>
    </row>
    <row r="242" spans="1:44" x14ac:dyDescent="0.35">
      <c r="A242" t="str">
        <f>UserInput!$B$2</f>
        <v>Current Projects</v>
      </c>
      <c r="B242" s="23">
        <v>2034</v>
      </c>
      <c r="C242" s="23" t="s">
        <v>78</v>
      </c>
      <c r="D242" s="23" t="s">
        <v>97</v>
      </c>
      <c r="E242" s="40">
        <f>SUMIFS($E$2:$E$232,$B$2:$B$232,B242,$C$2:$C$232,C242)*1000*Assumptions!$C$8/1000/8760/0.3</f>
        <v>1873.9726027397262</v>
      </c>
      <c r="F242" s="23" t="s">
        <v>81</v>
      </c>
      <c r="H242" s="63"/>
      <c r="I242" s="63"/>
      <c r="J242" s="63"/>
      <c r="K242" s="30">
        <f>IF(OR(LEFT($D242,5)="Solar",$D242="Wind"),INDEX(Land_Use[AVG],MATCH(LEFT($D242,5),Land_Use[Tech],0)),0)*$E242</f>
        <v>6558.9041095890416</v>
      </c>
      <c r="L242" s="30">
        <f>IF(OR(LEFT($D242,5)="Solar",$D242="Wind"),INDEX(Land_Use[MIN],MATCH(LEFT($D242,5),Land_Use[Tech],0)),0)*$E242</f>
        <v>5247.1232876712329</v>
      </c>
      <c r="M242" s="30">
        <f>IF(OR(LEFT($D242,5)="Solar",$D242="Wind"),INDEX(Land_Use[MAX],MATCH(LEFT($D242,5),Land_Use[Tech],0)),0)*$E242</f>
        <v>7870.6849315068503</v>
      </c>
      <c r="N242" s="13">
        <f t="shared" si="84"/>
        <v>0</v>
      </c>
      <c r="O242" s="13">
        <f t="shared" si="85"/>
        <v>91824.65753424658</v>
      </c>
      <c r="P242" s="13">
        <f t="shared" si="86"/>
        <v>9182.465753424658</v>
      </c>
      <c r="Q242" s="13">
        <f t="shared" si="87"/>
        <v>1639726.0273972603</v>
      </c>
      <c r="R242" s="13">
        <f t="shared" si="88"/>
        <v>2033.2602739726028</v>
      </c>
      <c r="S242" s="30">
        <f t="shared" si="77"/>
        <v>0</v>
      </c>
      <c r="T242" s="30">
        <f t="shared" si="78"/>
        <v>0</v>
      </c>
      <c r="U242" s="30">
        <f t="shared" si="79"/>
        <v>0</v>
      </c>
      <c r="V242" s="30">
        <f t="shared" si="80"/>
        <v>0</v>
      </c>
      <c r="W242" s="30">
        <f t="shared" si="81"/>
        <v>0</v>
      </c>
      <c r="X242" s="30">
        <f t="shared" si="82"/>
        <v>0</v>
      </c>
      <c r="Z242" s="23" t="s">
        <v>76</v>
      </c>
      <c r="AA242" s="40"/>
      <c r="AB242" s="67"/>
      <c r="AC242" s="67"/>
      <c r="AD242" s="39"/>
      <c r="AE242" s="39"/>
      <c r="AF242" s="39"/>
      <c r="AG242" s="68"/>
      <c r="AH242">
        <v>14</v>
      </c>
      <c r="AI242">
        <v>1.4</v>
      </c>
      <c r="AJ242">
        <v>250</v>
      </c>
      <c r="AK242">
        <v>0.31</v>
      </c>
      <c r="AL242" s="63">
        <f>IFERROR(INDEX(Job_Training[[Solar]:[Wind]],MATCH(AL$1,Job_Training[[`Typical Entry Level Education`]:[`Typical Entry Level Education`]],0),MATCH(LEFT($D242,5),Job_Training[[#Headers],[Solar]:[Wind]],0)),0)</f>
        <v>3.4599999999999999E-2</v>
      </c>
      <c r="AM242" s="63">
        <f>IFERROR(INDEX(Job_Training[[Solar]:[Wind]],MATCH(AM$1,Job_Training[[`Typical Entry Level Education`]:[`Typical Entry Level Education`]],0),MATCH(LEFT($D242,5),Job_Training[[#Headers],[Solar]:[Wind]],0)),0)</f>
        <v>2.8199999999999999E-2</v>
      </c>
      <c r="AN242" s="63">
        <f>IFERROR(INDEX(Job_Training[[Solar]:[Wind]],MATCH(AN$1,Job_Training[[`Typical Entry Level Education`]:[`Typical Entry Level Education`]],0),MATCH(LEFT($D242,5),Job_Training[[#Headers],[Solar]:[Wind]],0)),0)</f>
        <v>3.3399999999999999E-2</v>
      </c>
      <c r="AO242" s="63">
        <f>IFERROR(INDEX(Job_Training[[Solar]:[Wind]],MATCH(AO$1,Job_Training[[`Typical Entry Level Education`]:[`Typical Entry Level Education`]],0),MATCH(LEFT($D242,5),Job_Training[[#Headers],[Solar]:[Wind]],0)),0)</f>
        <v>5.62E-3</v>
      </c>
      <c r="AP242">
        <f t="shared" si="83"/>
        <v>0</v>
      </c>
      <c r="AQ242" s="63">
        <f>IF(AP242&gt;0,IFERROR(INDEX(Assumptions!$C$165:$D$165,MATCH(LEFT($D242,5),Job_Training[[#Headers],[Solar]:[Wind]],0)),0),0)</f>
        <v>0</v>
      </c>
      <c r="AR242">
        <f>IF(AP242&gt;0,IFERROR(INDEX(Assumptions!$C$166:$D$166,MATCH(LEFT($D242,5),Job_Training[[#Headers],[Solar]:[Wind]],0)),0),0)</f>
        <v>0</v>
      </c>
    </row>
    <row r="243" spans="1:44" x14ac:dyDescent="0.35">
      <c r="A243" t="str">
        <f>UserInput!$B$2</f>
        <v>Current Projects</v>
      </c>
      <c r="B243" s="23">
        <v>2035</v>
      </c>
      <c r="C243" s="23" t="s">
        <v>78</v>
      </c>
      <c r="D243" s="23" t="s">
        <v>97</v>
      </c>
      <c r="E243" s="40">
        <f>SUMIFS($E$2:$E$232,$B$2:$B$232,B243,$C$2:$C$232,C243)*1000*Assumptions!$C$8/1000/8760/0.3</f>
        <v>1873.9726027397262</v>
      </c>
      <c r="F243" s="23" t="s">
        <v>81</v>
      </c>
      <c r="H243" s="63"/>
      <c r="I243" s="63"/>
      <c r="J243" s="63"/>
      <c r="K243" s="30">
        <f>IF(OR(LEFT($D243,5)="Solar",$D243="Wind"),INDEX(Land_Use[AVG],MATCH(LEFT($D243,5),Land_Use[Tech],0)),0)*$E243</f>
        <v>6558.9041095890416</v>
      </c>
      <c r="L243" s="30">
        <f>IF(OR(LEFT($D243,5)="Solar",$D243="Wind"),INDEX(Land_Use[MIN],MATCH(LEFT($D243,5),Land_Use[Tech],0)),0)*$E243</f>
        <v>5247.1232876712329</v>
      </c>
      <c r="M243" s="30">
        <f>IF(OR(LEFT($D243,5)="Solar",$D243="Wind"),INDEX(Land_Use[MAX],MATCH(LEFT($D243,5),Land_Use[Tech],0)),0)*$E243</f>
        <v>7870.6849315068503</v>
      </c>
      <c r="N243" s="13">
        <f t="shared" si="84"/>
        <v>0</v>
      </c>
      <c r="O243" s="13">
        <f t="shared" si="85"/>
        <v>91824.65753424658</v>
      </c>
      <c r="P243" s="13">
        <f t="shared" si="86"/>
        <v>9182.465753424658</v>
      </c>
      <c r="Q243" s="13">
        <f t="shared" si="87"/>
        <v>1639726.0273972603</v>
      </c>
      <c r="R243" s="13">
        <f t="shared" si="88"/>
        <v>2033.2602739726028</v>
      </c>
      <c r="S243" s="30">
        <f t="shared" si="77"/>
        <v>0</v>
      </c>
      <c r="T243" s="30">
        <f t="shared" si="78"/>
        <v>0</v>
      </c>
      <c r="U243" s="30">
        <f t="shared" si="79"/>
        <v>0</v>
      </c>
      <c r="V243" s="30">
        <f t="shared" si="80"/>
        <v>0</v>
      </c>
      <c r="W243" s="30">
        <f t="shared" si="81"/>
        <v>0</v>
      </c>
      <c r="X243" s="30">
        <f t="shared" si="82"/>
        <v>0</v>
      </c>
      <c r="Z243" s="23" t="s">
        <v>76</v>
      </c>
      <c r="AA243" s="40"/>
      <c r="AB243" s="67"/>
      <c r="AC243" s="67"/>
      <c r="AD243" s="39"/>
      <c r="AE243" s="39"/>
      <c r="AF243" s="39"/>
      <c r="AG243" s="68"/>
      <c r="AH243">
        <v>14</v>
      </c>
      <c r="AI243">
        <v>1.4</v>
      </c>
      <c r="AJ243">
        <v>250</v>
      </c>
      <c r="AK243">
        <v>0.31</v>
      </c>
      <c r="AL243" s="63">
        <f>IFERROR(INDEX(Job_Training[[Solar]:[Wind]],MATCH(AL$1,Job_Training[[`Typical Entry Level Education`]:[`Typical Entry Level Education`]],0),MATCH(LEFT($D243,5),Job_Training[[#Headers],[Solar]:[Wind]],0)),0)</f>
        <v>3.4599999999999999E-2</v>
      </c>
      <c r="AM243" s="63">
        <f>IFERROR(INDEX(Job_Training[[Solar]:[Wind]],MATCH(AM$1,Job_Training[[`Typical Entry Level Education`]:[`Typical Entry Level Education`]],0),MATCH(LEFT($D243,5),Job_Training[[#Headers],[Solar]:[Wind]],0)),0)</f>
        <v>2.8199999999999999E-2</v>
      </c>
      <c r="AN243" s="63">
        <f>IFERROR(INDEX(Job_Training[[Solar]:[Wind]],MATCH(AN$1,Job_Training[[`Typical Entry Level Education`]:[`Typical Entry Level Education`]],0),MATCH(LEFT($D243,5),Job_Training[[#Headers],[Solar]:[Wind]],0)),0)</f>
        <v>3.3399999999999999E-2</v>
      </c>
      <c r="AO243" s="63">
        <f>IFERROR(INDEX(Job_Training[[Solar]:[Wind]],MATCH(AO$1,Job_Training[[`Typical Entry Level Education`]:[`Typical Entry Level Education`]],0),MATCH(LEFT($D243,5),Job_Training[[#Headers],[Solar]:[Wind]],0)),0)</f>
        <v>5.62E-3</v>
      </c>
      <c r="AP243">
        <f t="shared" si="83"/>
        <v>0</v>
      </c>
      <c r="AQ243" s="63">
        <f>IF(AP243&gt;0,IFERROR(INDEX(Assumptions!$C$165:$D$165,MATCH(LEFT($D243,5),Job_Training[[#Headers],[Solar]:[Wind]],0)),0),0)</f>
        <v>0</v>
      </c>
      <c r="AR243">
        <f>IF(AP243&gt;0,IFERROR(INDEX(Assumptions!$C$166:$D$166,MATCH(LEFT($D243,5),Job_Training[[#Headers],[Solar]:[Wind]],0)),0),0)</f>
        <v>0</v>
      </c>
    </row>
    <row r="244" spans="1:44" x14ac:dyDescent="0.35">
      <c r="A244" t="str">
        <f>UserInput!$B$2</f>
        <v>Current Projects</v>
      </c>
      <c r="B244" s="23">
        <v>2036</v>
      </c>
      <c r="C244" s="23" t="s">
        <v>78</v>
      </c>
      <c r="D244" s="23" t="s">
        <v>97</v>
      </c>
      <c r="E244" s="40">
        <f>SUMIFS($E$2:$E$232,$B$2:$B$232,B244,$C$2:$C$232,C244)*1000*Assumptions!$C$8/1000/8760/0.3</f>
        <v>1873.9726027397262</v>
      </c>
      <c r="F244" s="23" t="s">
        <v>81</v>
      </c>
      <c r="H244" s="63"/>
      <c r="I244" s="63"/>
      <c r="J244" s="63"/>
      <c r="K244" s="30">
        <f>IF(OR(LEFT($D244,5)="Solar",$D244="Wind"),INDEX(Land_Use[AVG],MATCH(LEFT($D244,5),Land_Use[Tech],0)),0)*$E244</f>
        <v>6558.9041095890416</v>
      </c>
      <c r="L244" s="30">
        <f>IF(OR(LEFT($D244,5)="Solar",$D244="Wind"),INDEX(Land_Use[MIN],MATCH(LEFT($D244,5),Land_Use[Tech],0)),0)*$E244</f>
        <v>5247.1232876712329</v>
      </c>
      <c r="M244" s="30">
        <f>IF(OR(LEFT($D244,5)="Solar",$D244="Wind"),INDEX(Land_Use[MAX],MATCH(LEFT($D244,5),Land_Use[Tech],0)),0)*$E244</f>
        <v>7870.6849315068503</v>
      </c>
      <c r="N244" s="13">
        <f t="shared" si="84"/>
        <v>0</v>
      </c>
      <c r="O244" s="13">
        <f t="shared" si="85"/>
        <v>91824.65753424658</v>
      </c>
      <c r="P244" s="13">
        <f t="shared" si="86"/>
        <v>9182.465753424658</v>
      </c>
      <c r="Q244" s="13">
        <f t="shared" si="87"/>
        <v>1639726.0273972603</v>
      </c>
      <c r="R244" s="13">
        <f t="shared" si="88"/>
        <v>2033.2602739726028</v>
      </c>
      <c r="S244" s="30">
        <f t="shared" si="77"/>
        <v>0</v>
      </c>
      <c r="T244" s="30">
        <f t="shared" si="78"/>
        <v>0</v>
      </c>
      <c r="U244" s="30">
        <f t="shared" si="79"/>
        <v>0</v>
      </c>
      <c r="V244" s="30">
        <f t="shared" si="80"/>
        <v>0</v>
      </c>
      <c r="W244" s="30">
        <f t="shared" si="81"/>
        <v>0</v>
      </c>
      <c r="X244" s="30">
        <f t="shared" si="82"/>
        <v>0</v>
      </c>
      <c r="Z244" s="23" t="s">
        <v>76</v>
      </c>
      <c r="AA244" s="40"/>
      <c r="AB244" s="67"/>
      <c r="AC244" s="67"/>
      <c r="AD244" s="39"/>
      <c r="AE244" s="39"/>
      <c r="AF244" s="39"/>
      <c r="AG244" s="68"/>
      <c r="AH244">
        <v>14</v>
      </c>
      <c r="AI244">
        <v>1.4</v>
      </c>
      <c r="AJ244">
        <v>250</v>
      </c>
      <c r="AK244">
        <v>0.31</v>
      </c>
      <c r="AL244" s="63">
        <f>IFERROR(INDEX(Job_Training[[Solar]:[Wind]],MATCH(AL$1,Job_Training[[`Typical Entry Level Education`]:[`Typical Entry Level Education`]],0),MATCH(LEFT($D244,5),Job_Training[[#Headers],[Solar]:[Wind]],0)),0)</f>
        <v>3.4599999999999999E-2</v>
      </c>
      <c r="AM244" s="63">
        <f>IFERROR(INDEX(Job_Training[[Solar]:[Wind]],MATCH(AM$1,Job_Training[[`Typical Entry Level Education`]:[`Typical Entry Level Education`]],0),MATCH(LEFT($D244,5),Job_Training[[#Headers],[Solar]:[Wind]],0)),0)</f>
        <v>2.8199999999999999E-2</v>
      </c>
      <c r="AN244" s="63">
        <f>IFERROR(INDEX(Job_Training[[Solar]:[Wind]],MATCH(AN$1,Job_Training[[`Typical Entry Level Education`]:[`Typical Entry Level Education`]],0),MATCH(LEFT($D244,5),Job_Training[[#Headers],[Solar]:[Wind]],0)),0)</f>
        <v>3.3399999999999999E-2</v>
      </c>
      <c r="AO244" s="63">
        <f>IFERROR(INDEX(Job_Training[[Solar]:[Wind]],MATCH(AO$1,Job_Training[[`Typical Entry Level Education`]:[`Typical Entry Level Education`]],0),MATCH(LEFT($D244,5),Job_Training[[#Headers],[Solar]:[Wind]],0)),0)</f>
        <v>5.62E-3</v>
      </c>
      <c r="AP244">
        <f t="shared" si="83"/>
        <v>0</v>
      </c>
      <c r="AQ244" s="63">
        <f>IF(AP244&gt;0,IFERROR(INDEX(Assumptions!$C$165:$D$165,MATCH(LEFT($D244,5),Job_Training[[#Headers],[Solar]:[Wind]],0)),0),0)</f>
        <v>0</v>
      </c>
      <c r="AR244">
        <f>IF(AP244&gt;0,IFERROR(INDEX(Assumptions!$C$166:$D$166,MATCH(LEFT($D244,5),Job_Training[[#Headers],[Solar]:[Wind]],0)),0),0)</f>
        <v>0</v>
      </c>
    </row>
    <row r="245" spans="1:44" x14ac:dyDescent="0.35">
      <c r="A245" t="str">
        <f>UserInput!$B$2</f>
        <v>Current Projects</v>
      </c>
      <c r="B245" s="23">
        <v>2037</v>
      </c>
      <c r="C245" s="23" t="s">
        <v>78</v>
      </c>
      <c r="D245" s="23" t="s">
        <v>97</v>
      </c>
      <c r="E245" s="40">
        <f>SUMIFS($E$2:$E$232,$B$2:$B$232,B245,$C$2:$C$232,C245)*1000*Assumptions!$C$8/1000/8760/0.3</f>
        <v>1873.9726027397262</v>
      </c>
      <c r="F245" s="23" t="s">
        <v>81</v>
      </c>
      <c r="H245" s="63"/>
      <c r="I245" s="63"/>
      <c r="J245" s="63"/>
      <c r="K245" s="30">
        <f>IF(OR(LEFT($D245,5)="Solar",$D245="Wind"),INDEX(Land_Use[AVG],MATCH(LEFT($D245,5),Land_Use[Tech],0)),0)*$E245</f>
        <v>6558.9041095890416</v>
      </c>
      <c r="L245" s="30">
        <f>IF(OR(LEFT($D245,5)="Solar",$D245="Wind"),INDEX(Land_Use[MIN],MATCH(LEFT($D245,5),Land_Use[Tech],0)),0)*$E245</f>
        <v>5247.1232876712329</v>
      </c>
      <c r="M245" s="30">
        <f>IF(OR(LEFT($D245,5)="Solar",$D245="Wind"),INDEX(Land_Use[MAX],MATCH(LEFT($D245,5),Land_Use[Tech],0)),0)*$E245</f>
        <v>7870.6849315068503</v>
      </c>
      <c r="N245" s="13">
        <f t="shared" si="84"/>
        <v>0</v>
      </c>
      <c r="O245" s="13">
        <f t="shared" si="85"/>
        <v>91824.65753424658</v>
      </c>
      <c r="P245" s="13">
        <f t="shared" si="86"/>
        <v>9182.465753424658</v>
      </c>
      <c r="Q245" s="13">
        <f t="shared" si="87"/>
        <v>1639726.0273972603</v>
      </c>
      <c r="R245" s="13">
        <f t="shared" si="88"/>
        <v>2033.2602739726028</v>
      </c>
      <c r="S245" s="30">
        <f t="shared" si="77"/>
        <v>0</v>
      </c>
      <c r="T245" s="30">
        <f t="shared" si="78"/>
        <v>0</v>
      </c>
      <c r="U245" s="30">
        <f t="shared" si="79"/>
        <v>0</v>
      </c>
      <c r="V245" s="30">
        <f t="shared" si="80"/>
        <v>0</v>
      </c>
      <c r="W245" s="30">
        <f t="shared" si="81"/>
        <v>0</v>
      </c>
      <c r="X245" s="30">
        <f t="shared" si="82"/>
        <v>0</v>
      </c>
      <c r="Z245" s="23" t="s">
        <v>76</v>
      </c>
      <c r="AA245" s="40"/>
      <c r="AB245" s="67"/>
      <c r="AC245" s="67"/>
      <c r="AD245" s="39"/>
      <c r="AE245" s="39"/>
      <c r="AF245" s="39"/>
      <c r="AG245" s="68"/>
      <c r="AH245">
        <v>14</v>
      </c>
      <c r="AI245">
        <v>1.4</v>
      </c>
      <c r="AJ245">
        <v>250</v>
      </c>
      <c r="AK245">
        <v>0.31</v>
      </c>
      <c r="AL245" s="63">
        <f>IFERROR(INDEX(Job_Training[[Solar]:[Wind]],MATCH(AL$1,Job_Training[[`Typical Entry Level Education`]:[`Typical Entry Level Education`]],0),MATCH(LEFT($D245,5),Job_Training[[#Headers],[Solar]:[Wind]],0)),0)</f>
        <v>3.4599999999999999E-2</v>
      </c>
      <c r="AM245" s="63">
        <f>IFERROR(INDEX(Job_Training[[Solar]:[Wind]],MATCH(AM$1,Job_Training[[`Typical Entry Level Education`]:[`Typical Entry Level Education`]],0),MATCH(LEFT($D245,5),Job_Training[[#Headers],[Solar]:[Wind]],0)),0)</f>
        <v>2.8199999999999999E-2</v>
      </c>
      <c r="AN245" s="63">
        <f>IFERROR(INDEX(Job_Training[[Solar]:[Wind]],MATCH(AN$1,Job_Training[[`Typical Entry Level Education`]:[`Typical Entry Level Education`]],0),MATCH(LEFT($D245,5),Job_Training[[#Headers],[Solar]:[Wind]],0)),0)</f>
        <v>3.3399999999999999E-2</v>
      </c>
      <c r="AO245" s="63">
        <f>IFERROR(INDEX(Job_Training[[Solar]:[Wind]],MATCH(AO$1,Job_Training[[`Typical Entry Level Education`]:[`Typical Entry Level Education`]],0),MATCH(LEFT($D245,5),Job_Training[[#Headers],[Solar]:[Wind]],0)),0)</f>
        <v>5.62E-3</v>
      </c>
      <c r="AP245">
        <f t="shared" si="83"/>
        <v>0</v>
      </c>
      <c r="AQ245" s="63">
        <f>IF(AP245&gt;0,IFERROR(INDEX(Assumptions!$C$165:$D$165,MATCH(LEFT($D245,5),Job_Training[[#Headers],[Solar]:[Wind]],0)),0),0)</f>
        <v>0</v>
      </c>
      <c r="AR245">
        <f>IF(AP245&gt;0,IFERROR(INDEX(Assumptions!$C$166:$D$166,MATCH(LEFT($D245,5),Job_Training[[#Headers],[Solar]:[Wind]],0)),0),0)</f>
        <v>0</v>
      </c>
    </row>
    <row r="246" spans="1:44" x14ac:dyDescent="0.35">
      <c r="A246" t="str">
        <f>UserInput!$B$2</f>
        <v>Current Projects</v>
      </c>
      <c r="B246" s="23">
        <v>2038</v>
      </c>
      <c r="C246" s="23" t="s">
        <v>78</v>
      </c>
      <c r="D246" s="23" t="s">
        <v>97</v>
      </c>
      <c r="E246" s="40">
        <f>SUMIFS($E$2:$E$232,$B$2:$B$232,B246,$C$2:$C$232,C246)*1000*Assumptions!$C$8/1000/8760/0.3</f>
        <v>1873.9726027397262</v>
      </c>
      <c r="F246" s="23" t="s">
        <v>81</v>
      </c>
      <c r="H246" s="63"/>
      <c r="I246" s="63"/>
      <c r="J246" s="63"/>
      <c r="K246" s="30">
        <f>IF(OR(LEFT($D246,5)="Solar",$D246="Wind"),INDEX(Land_Use[AVG],MATCH(LEFT($D246,5),Land_Use[Tech],0)),0)*$E246</f>
        <v>6558.9041095890416</v>
      </c>
      <c r="L246" s="30">
        <f>IF(OR(LEFT($D246,5)="Solar",$D246="Wind"),INDEX(Land_Use[MIN],MATCH(LEFT($D246,5),Land_Use[Tech],0)),0)*$E246</f>
        <v>5247.1232876712329</v>
      </c>
      <c r="M246" s="30">
        <f>IF(OR(LEFT($D246,5)="Solar",$D246="Wind"),INDEX(Land_Use[MAX],MATCH(LEFT($D246,5),Land_Use[Tech],0)),0)*$E246</f>
        <v>7870.6849315068503</v>
      </c>
      <c r="N246" s="13">
        <f t="shared" si="84"/>
        <v>0</v>
      </c>
      <c r="O246" s="13">
        <f t="shared" si="85"/>
        <v>91824.65753424658</v>
      </c>
      <c r="P246" s="13">
        <f t="shared" si="86"/>
        <v>9182.465753424658</v>
      </c>
      <c r="Q246" s="13">
        <f t="shared" si="87"/>
        <v>1639726.0273972603</v>
      </c>
      <c r="R246" s="13">
        <f t="shared" si="88"/>
        <v>2033.2602739726028</v>
      </c>
      <c r="S246" s="30">
        <f t="shared" si="77"/>
        <v>0</v>
      </c>
      <c r="T246" s="30">
        <f t="shared" si="78"/>
        <v>0</v>
      </c>
      <c r="U246" s="30">
        <f t="shared" si="79"/>
        <v>0</v>
      </c>
      <c r="V246" s="30">
        <f t="shared" si="80"/>
        <v>0</v>
      </c>
      <c r="W246" s="30">
        <f t="shared" si="81"/>
        <v>0</v>
      </c>
      <c r="X246" s="30">
        <f t="shared" si="82"/>
        <v>0</v>
      </c>
      <c r="Z246" s="23" t="s">
        <v>76</v>
      </c>
      <c r="AA246" s="40"/>
      <c r="AB246" s="67"/>
      <c r="AC246" s="67"/>
      <c r="AD246" s="39"/>
      <c r="AE246" s="39"/>
      <c r="AF246" s="39"/>
      <c r="AG246" s="68"/>
      <c r="AH246">
        <v>14</v>
      </c>
      <c r="AI246">
        <v>1.4</v>
      </c>
      <c r="AJ246">
        <v>250</v>
      </c>
      <c r="AK246">
        <v>0.31</v>
      </c>
      <c r="AL246" s="63">
        <f>IFERROR(INDEX(Job_Training[[Solar]:[Wind]],MATCH(AL$1,Job_Training[[`Typical Entry Level Education`]:[`Typical Entry Level Education`]],0),MATCH(LEFT($D246,5),Job_Training[[#Headers],[Solar]:[Wind]],0)),0)</f>
        <v>3.4599999999999999E-2</v>
      </c>
      <c r="AM246" s="63">
        <f>IFERROR(INDEX(Job_Training[[Solar]:[Wind]],MATCH(AM$1,Job_Training[[`Typical Entry Level Education`]:[`Typical Entry Level Education`]],0),MATCH(LEFT($D246,5),Job_Training[[#Headers],[Solar]:[Wind]],0)),0)</f>
        <v>2.8199999999999999E-2</v>
      </c>
      <c r="AN246" s="63">
        <f>IFERROR(INDEX(Job_Training[[Solar]:[Wind]],MATCH(AN$1,Job_Training[[`Typical Entry Level Education`]:[`Typical Entry Level Education`]],0),MATCH(LEFT($D246,5),Job_Training[[#Headers],[Solar]:[Wind]],0)),0)</f>
        <v>3.3399999999999999E-2</v>
      </c>
      <c r="AO246" s="63">
        <f>IFERROR(INDEX(Job_Training[[Solar]:[Wind]],MATCH(AO$1,Job_Training[[`Typical Entry Level Education`]:[`Typical Entry Level Education`]],0),MATCH(LEFT($D246,5),Job_Training[[#Headers],[Solar]:[Wind]],0)),0)</f>
        <v>5.62E-3</v>
      </c>
      <c r="AP246">
        <f t="shared" si="83"/>
        <v>0</v>
      </c>
      <c r="AQ246" s="63">
        <f>IF(AP246&gt;0,IFERROR(INDEX(Assumptions!$C$165:$D$165,MATCH(LEFT($D246,5),Job_Training[[#Headers],[Solar]:[Wind]],0)),0),0)</f>
        <v>0</v>
      </c>
      <c r="AR246">
        <f>IF(AP246&gt;0,IFERROR(INDEX(Assumptions!$C$166:$D$166,MATCH(LEFT($D246,5),Job_Training[[#Headers],[Solar]:[Wind]],0)),0),0)</f>
        <v>0</v>
      </c>
    </row>
    <row r="247" spans="1:44" x14ac:dyDescent="0.35">
      <c r="A247" t="str">
        <f>UserInput!$B$2</f>
        <v>Current Projects</v>
      </c>
      <c r="B247" s="23">
        <v>2039</v>
      </c>
      <c r="C247" s="23" t="s">
        <v>78</v>
      </c>
      <c r="D247" s="23" t="s">
        <v>97</v>
      </c>
      <c r="E247" s="40">
        <f>SUMIFS($E$2:$E$232,$B$2:$B$232,B247,$C$2:$C$232,C247)*1000*Assumptions!$C$8/1000/8760/0.3</f>
        <v>1873.9726027397262</v>
      </c>
      <c r="F247" s="23" t="s">
        <v>81</v>
      </c>
      <c r="H247" s="63"/>
      <c r="I247" s="63"/>
      <c r="J247" s="63"/>
      <c r="K247" s="30">
        <f>IF(OR(LEFT($D247,5)="Solar",$D247="Wind"),INDEX(Land_Use[AVG],MATCH(LEFT($D247,5),Land_Use[Tech],0)),0)*$E247</f>
        <v>6558.9041095890416</v>
      </c>
      <c r="L247" s="30">
        <f>IF(OR(LEFT($D247,5)="Solar",$D247="Wind"),INDEX(Land_Use[MIN],MATCH(LEFT($D247,5),Land_Use[Tech],0)),0)*$E247</f>
        <v>5247.1232876712329</v>
      </c>
      <c r="M247" s="30">
        <f>IF(OR(LEFT($D247,5)="Solar",$D247="Wind"),INDEX(Land_Use[MAX],MATCH(LEFT($D247,5),Land_Use[Tech],0)),0)*$E247</f>
        <v>7870.6849315068503</v>
      </c>
      <c r="N247" s="13">
        <f t="shared" si="84"/>
        <v>0</v>
      </c>
      <c r="O247" s="13">
        <f t="shared" si="85"/>
        <v>91824.65753424658</v>
      </c>
      <c r="P247" s="13">
        <f t="shared" si="86"/>
        <v>9182.465753424658</v>
      </c>
      <c r="Q247" s="13">
        <f t="shared" si="87"/>
        <v>1639726.0273972603</v>
      </c>
      <c r="R247" s="13">
        <f t="shared" si="88"/>
        <v>2033.2602739726028</v>
      </c>
      <c r="S247" s="30">
        <f t="shared" si="77"/>
        <v>0</v>
      </c>
      <c r="T247" s="30">
        <f t="shared" si="78"/>
        <v>0</v>
      </c>
      <c r="U247" s="30">
        <f t="shared" si="79"/>
        <v>0</v>
      </c>
      <c r="V247" s="30">
        <f t="shared" si="80"/>
        <v>0</v>
      </c>
      <c r="W247" s="30">
        <f t="shared" si="81"/>
        <v>0</v>
      </c>
      <c r="X247" s="30">
        <f t="shared" si="82"/>
        <v>0</v>
      </c>
      <c r="Z247" s="23" t="s">
        <v>76</v>
      </c>
      <c r="AA247" s="40"/>
      <c r="AB247" s="67"/>
      <c r="AC247" s="67"/>
      <c r="AD247" s="39"/>
      <c r="AE247" s="39"/>
      <c r="AF247" s="39"/>
      <c r="AG247" s="68"/>
      <c r="AH247">
        <v>14</v>
      </c>
      <c r="AI247">
        <v>1.4</v>
      </c>
      <c r="AJ247">
        <v>250</v>
      </c>
      <c r="AK247">
        <v>0.31</v>
      </c>
      <c r="AL247" s="63">
        <f>IFERROR(INDEX(Job_Training[[Solar]:[Wind]],MATCH(AL$1,Job_Training[[`Typical Entry Level Education`]:[`Typical Entry Level Education`]],0),MATCH(LEFT($D247,5),Job_Training[[#Headers],[Solar]:[Wind]],0)),0)</f>
        <v>3.4599999999999999E-2</v>
      </c>
      <c r="AM247" s="63">
        <f>IFERROR(INDEX(Job_Training[[Solar]:[Wind]],MATCH(AM$1,Job_Training[[`Typical Entry Level Education`]:[`Typical Entry Level Education`]],0),MATCH(LEFT($D247,5),Job_Training[[#Headers],[Solar]:[Wind]],0)),0)</f>
        <v>2.8199999999999999E-2</v>
      </c>
      <c r="AN247" s="63">
        <f>IFERROR(INDEX(Job_Training[[Solar]:[Wind]],MATCH(AN$1,Job_Training[[`Typical Entry Level Education`]:[`Typical Entry Level Education`]],0),MATCH(LEFT($D247,5),Job_Training[[#Headers],[Solar]:[Wind]],0)),0)</f>
        <v>3.3399999999999999E-2</v>
      </c>
      <c r="AO247" s="63">
        <f>IFERROR(INDEX(Job_Training[[Solar]:[Wind]],MATCH(AO$1,Job_Training[[`Typical Entry Level Education`]:[`Typical Entry Level Education`]],0),MATCH(LEFT($D247,5),Job_Training[[#Headers],[Solar]:[Wind]],0)),0)</f>
        <v>5.62E-3</v>
      </c>
      <c r="AP247">
        <f t="shared" si="83"/>
        <v>0</v>
      </c>
      <c r="AQ247" s="63">
        <f>IF(AP247&gt;0,IFERROR(INDEX(Assumptions!$C$165:$D$165,MATCH(LEFT($D247,5),Job_Training[[#Headers],[Solar]:[Wind]],0)),0),0)</f>
        <v>0</v>
      </c>
      <c r="AR247">
        <f>IF(AP247&gt;0,IFERROR(INDEX(Assumptions!$C$166:$D$166,MATCH(LEFT($D247,5),Job_Training[[#Headers],[Solar]:[Wind]],0)),0),0)</f>
        <v>0</v>
      </c>
    </row>
    <row r="248" spans="1:44" x14ac:dyDescent="0.35">
      <c r="A248" t="str">
        <f>UserInput!$B$2</f>
        <v>Current Projects</v>
      </c>
      <c r="B248" s="23">
        <v>2040</v>
      </c>
      <c r="C248" s="23" t="s">
        <v>78</v>
      </c>
      <c r="D248" s="23" t="s">
        <v>97</v>
      </c>
      <c r="E248" s="40">
        <f>SUMIFS($E$2:$E$232,$B$2:$B$232,B248,$C$2:$C$232,C248)*1000*Assumptions!$C$8/1000/8760/0.3</f>
        <v>1873.9726027397262</v>
      </c>
      <c r="F248" s="23" t="s">
        <v>81</v>
      </c>
      <c r="H248" s="63"/>
      <c r="I248" s="63"/>
      <c r="J248" s="63"/>
      <c r="K248" s="30">
        <f>IF(OR(LEFT($D248,5)="Solar",$D248="Wind"),INDEX(Land_Use[AVG],MATCH(LEFT($D248,5),Land_Use[Tech],0)),0)*$E248</f>
        <v>6558.9041095890416</v>
      </c>
      <c r="L248" s="30">
        <f>IF(OR(LEFT($D248,5)="Solar",$D248="Wind"),INDEX(Land_Use[MIN],MATCH(LEFT($D248,5),Land_Use[Tech],0)),0)*$E248</f>
        <v>5247.1232876712329</v>
      </c>
      <c r="M248" s="30">
        <f>IF(OR(LEFT($D248,5)="Solar",$D248="Wind"),INDEX(Land_Use[MAX],MATCH(LEFT($D248,5),Land_Use[Tech],0)),0)*$E248</f>
        <v>7870.6849315068503</v>
      </c>
      <c r="N248" s="13">
        <f t="shared" si="84"/>
        <v>0</v>
      </c>
      <c r="O248" s="13">
        <f t="shared" si="85"/>
        <v>91824.65753424658</v>
      </c>
      <c r="P248" s="13">
        <f t="shared" si="86"/>
        <v>9182.465753424658</v>
      </c>
      <c r="Q248" s="13">
        <f t="shared" si="87"/>
        <v>1639726.0273972603</v>
      </c>
      <c r="R248" s="13">
        <f t="shared" si="88"/>
        <v>2033.2602739726028</v>
      </c>
      <c r="S248" s="30">
        <f t="shared" si="77"/>
        <v>0</v>
      </c>
      <c r="T248" s="30">
        <f t="shared" si="78"/>
        <v>0</v>
      </c>
      <c r="U248" s="30">
        <f t="shared" si="79"/>
        <v>0</v>
      </c>
      <c r="V248" s="30">
        <f t="shared" si="80"/>
        <v>0</v>
      </c>
      <c r="W248" s="30">
        <f t="shared" si="81"/>
        <v>0</v>
      </c>
      <c r="X248" s="30">
        <f t="shared" si="82"/>
        <v>0</v>
      </c>
      <c r="Z248" s="23" t="s">
        <v>76</v>
      </c>
      <c r="AA248" s="40"/>
      <c r="AB248" s="67"/>
      <c r="AC248" s="67"/>
      <c r="AD248" s="39"/>
      <c r="AE248" s="39"/>
      <c r="AF248" s="39"/>
      <c r="AG248" s="68"/>
      <c r="AH248">
        <v>14</v>
      </c>
      <c r="AI248">
        <v>1.4</v>
      </c>
      <c r="AJ248">
        <v>250</v>
      </c>
      <c r="AK248">
        <v>0.31</v>
      </c>
      <c r="AL248" s="63">
        <f>IFERROR(INDEX(Job_Training[[Solar]:[Wind]],MATCH(AL$1,Job_Training[[`Typical Entry Level Education`]:[`Typical Entry Level Education`]],0),MATCH(LEFT($D248,5),Job_Training[[#Headers],[Solar]:[Wind]],0)),0)</f>
        <v>3.4599999999999999E-2</v>
      </c>
      <c r="AM248" s="63">
        <f>IFERROR(INDEX(Job_Training[[Solar]:[Wind]],MATCH(AM$1,Job_Training[[`Typical Entry Level Education`]:[`Typical Entry Level Education`]],0),MATCH(LEFT($D248,5),Job_Training[[#Headers],[Solar]:[Wind]],0)),0)</f>
        <v>2.8199999999999999E-2</v>
      </c>
      <c r="AN248" s="63">
        <f>IFERROR(INDEX(Job_Training[[Solar]:[Wind]],MATCH(AN$1,Job_Training[[`Typical Entry Level Education`]:[`Typical Entry Level Education`]],0),MATCH(LEFT($D248,5),Job_Training[[#Headers],[Solar]:[Wind]],0)),0)</f>
        <v>3.3399999999999999E-2</v>
      </c>
      <c r="AO248" s="63">
        <f>IFERROR(INDEX(Job_Training[[Solar]:[Wind]],MATCH(AO$1,Job_Training[[`Typical Entry Level Education`]:[`Typical Entry Level Education`]],0),MATCH(LEFT($D248,5),Job_Training[[#Headers],[Solar]:[Wind]],0)),0)</f>
        <v>5.62E-3</v>
      </c>
      <c r="AP248">
        <f t="shared" si="83"/>
        <v>0</v>
      </c>
      <c r="AQ248" s="63">
        <f>IF(AP248&gt;0,IFERROR(INDEX(Assumptions!$C$165:$D$165,MATCH(LEFT($D248,5),Job_Training[[#Headers],[Solar]:[Wind]],0)),0),0)</f>
        <v>0</v>
      </c>
      <c r="AR248">
        <f>IF(AP248&gt;0,IFERROR(INDEX(Assumptions!$C$166:$D$166,MATCH(LEFT($D248,5),Job_Training[[#Headers],[Solar]:[Wind]],0)),0),0)</f>
        <v>0</v>
      </c>
    </row>
    <row r="249" spans="1:44" x14ac:dyDescent="0.35">
      <c r="A249" t="str">
        <f>UserInput!$B$2</f>
        <v>Current Projects</v>
      </c>
      <c r="B249" s="23">
        <v>2041</v>
      </c>
      <c r="C249" s="23" t="s">
        <v>78</v>
      </c>
      <c r="D249" s="23" t="s">
        <v>97</v>
      </c>
      <c r="E249" s="40">
        <f>SUMIFS($E$2:$E$232,$B$2:$B$232,B249,$C$2:$C$232,C249)*1000*Assumptions!$C$8/1000/8760/0.3</f>
        <v>1873.9726027397262</v>
      </c>
      <c r="F249" s="23" t="s">
        <v>81</v>
      </c>
      <c r="H249" s="63"/>
      <c r="I249" s="63"/>
      <c r="J249" s="63"/>
      <c r="K249" s="30">
        <f>IF(OR(LEFT($D249,5)="Solar",$D249="Wind"),INDEX(Land_Use[AVG],MATCH(LEFT($D249,5),Land_Use[Tech],0)),0)*$E249</f>
        <v>6558.9041095890416</v>
      </c>
      <c r="L249" s="30">
        <f>IF(OR(LEFT($D249,5)="Solar",$D249="Wind"),INDEX(Land_Use[MIN],MATCH(LEFT($D249,5),Land_Use[Tech],0)),0)*$E249</f>
        <v>5247.1232876712329</v>
      </c>
      <c r="M249" s="30">
        <f>IF(OR(LEFT($D249,5)="Solar",$D249="Wind"),INDEX(Land_Use[MAX],MATCH(LEFT($D249,5),Land_Use[Tech],0)),0)*$E249</f>
        <v>7870.6849315068503</v>
      </c>
      <c r="N249" s="13">
        <f t="shared" si="84"/>
        <v>0</v>
      </c>
      <c r="O249" s="13">
        <f t="shared" si="85"/>
        <v>91824.65753424658</v>
      </c>
      <c r="P249" s="13">
        <f t="shared" si="86"/>
        <v>9182.465753424658</v>
      </c>
      <c r="Q249" s="13">
        <f t="shared" si="87"/>
        <v>1639726.0273972603</v>
      </c>
      <c r="R249" s="13">
        <f t="shared" si="88"/>
        <v>2033.2602739726028</v>
      </c>
      <c r="S249" s="30">
        <f t="shared" si="77"/>
        <v>0</v>
      </c>
      <c r="T249" s="30">
        <f t="shared" si="78"/>
        <v>0</v>
      </c>
      <c r="U249" s="30">
        <f t="shared" si="79"/>
        <v>0</v>
      </c>
      <c r="V249" s="30">
        <f t="shared" si="80"/>
        <v>0</v>
      </c>
      <c r="W249" s="30">
        <f t="shared" si="81"/>
        <v>0</v>
      </c>
      <c r="X249" s="30">
        <f t="shared" si="82"/>
        <v>0</v>
      </c>
      <c r="Z249" s="23" t="s">
        <v>76</v>
      </c>
      <c r="AA249" s="40"/>
      <c r="AB249" s="67"/>
      <c r="AC249" s="67"/>
      <c r="AD249" s="39"/>
      <c r="AE249" s="39"/>
      <c r="AF249" s="39"/>
      <c r="AG249" s="68"/>
      <c r="AH249">
        <v>14</v>
      </c>
      <c r="AI249">
        <v>1.4</v>
      </c>
      <c r="AJ249">
        <v>250</v>
      </c>
      <c r="AK249">
        <v>0.31</v>
      </c>
      <c r="AL249" s="63">
        <f>IFERROR(INDEX(Job_Training[[Solar]:[Wind]],MATCH(AL$1,Job_Training[[`Typical Entry Level Education`]:[`Typical Entry Level Education`]],0),MATCH(LEFT($D249,5),Job_Training[[#Headers],[Solar]:[Wind]],0)),0)</f>
        <v>3.4599999999999999E-2</v>
      </c>
      <c r="AM249" s="63">
        <f>IFERROR(INDEX(Job_Training[[Solar]:[Wind]],MATCH(AM$1,Job_Training[[`Typical Entry Level Education`]:[`Typical Entry Level Education`]],0),MATCH(LEFT($D249,5),Job_Training[[#Headers],[Solar]:[Wind]],0)),0)</f>
        <v>2.8199999999999999E-2</v>
      </c>
      <c r="AN249" s="63">
        <f>IFERROR(INDEX(Job_Training[[Solar]:[Wind]],MATCH(AN$1,Job_Training[[`Typical Entry Level Education`]:[`Typical Entry Level Education`]],0),MATCH(LEFT($D249,5),Job_Training[[#Headers],[Solar]:[Wind]],0)),0)</f>
        <v>3.3399999999999999E-2</v>
      </c>
      <c r="AO249" s="63">
        <f>IFERROR(INDEX(Job_Training[[Solar]:[Wind]],MATCH(AO$1,Job_Training[[`Typical Entry Level Education`]:[`Typical Entry Level Education`]],0),MATCH(LEFT($D249,5),Job_Training[[#Headers],[Solar]:[Wind]],0)),0)</f>
        <v>5.62E-3</v>
      </c>
      <c r="AP249">
        <f t="shared" si="83"/>
        <v>0</v>
      </c>
      <c r="AQ249" s="63">
        <f>IF(AP249&gt;0,IFERROR(INDEX(Assumptions!$C$165:$D$165,MATCH(LEFT($D249,5),Job_Training[[#Headers],[Solar]:[Wind]],0)),0),0)</f>
        <v>0</v>
      </c>
      <c r="AR249">
        <f>IF(AP249&gt;0,IFERROR(INDEX(Assumptions!$C$166:$D$166,MATCH(LEFT($D249,5),Job_Training[[#Headers],[Solar]:[Wind]],0)),0),0)</f>
        <v>0</v>
      </c>
    </row>
    <row r="250" spans="1:44" x14ac:dyDescent="0.35">
      <c r="A250" t="str">
        <f>UserInput!$B$2</f>
        <v>Current Projects</v>
      </c>
      <c r="B250" s="23">
        <v>2042</v>
      </c>
      <c r="C250" s="23" t="s">
        <v>78</v>
      </c>
      <c r="D250" s="23" t="s">
        <v>97</v>
      </c>
      <c r="E250" s="40">
        <f>SUMIFS($E$2:$E$232,$B$2:$B$232,B250,$C$2:$C$232,C250)*1000*Assumptions!$C$8/1000/8760/0.3</f>
        <v>1873.9726027397262</v>
      </c>
      <c r="F250" s="23" t="s">
        <v>81</v>
      </c>
      <c r="H250" s="63"/>
      <c r="I250" s="63"/>
      <c r="J250" s="63"/>
      <c r="K250" s="30">
        <f>IF(OR(LEFT($D250,5)="Solar",$D250="Wind"),INDEX(Land_Use[AVG],MATCH(LEFT($D250,5),Land_Use[Tech],0)),0)*$E250</f>
        <v>6558.9041095890416</v>
      </c>
      <c r="L250" s="30">
        <f>IF(OR(LEFT($D250,5)="Solar",$D250="Wind"),INDEX(Land_Use[MIN],MATCH(LEFT($D250,5),Land_Use[Tech],0)),0)*$E250</f>
        <v>5247.1232876712329</v>
      </c>
      <c r="M250" s="30">
        <f>IF(OR(LEFT($D250,5)="Solar",$D250="Wind"),INDEX(Land_Use[MAX],MATCH(LEFT($D250,5),Land_Use[Tech],0)),0)*$E250</f>
        <v>7870.6849315068503</v>
      </c>
      <c r="N250" s="13">
        <f t="shared" si="84"/>
        <v>0</v>
      </c>
      <c r="O250" s="13">
        <f t="shared" si="85"/>
        <v>91824.65753424658</v>
      </c>
      <c r="P250" s="13">
        <f t="shared" si="86"/>
        <v>9182.465753424658</v>
      </c>
      <c r="Q250" s="13">
        <f t="shared" si="87"/>
        <v>1639726.0273972603</v>
      </c>
      <c r="R250" s="13">
        <f t="shared" si="88"/>
        <v>2033.2602739726028</v>
      </c>
      <c r="S250" s="30">
        <f t="shared" si="77"/>
        <v>0</v>
      </c>
      <c r="T250" s="30">
        <f t="shared" si="78"/>
        <v>0</v>
      </c>
      <c r="U250" s="30">
        <f t="shared" si="79"/>
        <v>0</v>
      </c>
      <c r="V250" s="30">
        <f t="shared" si="80"/>
        <v>0</v>
      </c>
      <c r="W250" s="30">
        <f t="shared" si="81"/>
        <v>0</v>
      </c>
      <c r="X250" s="30">
        <f t="shared" si="82"/>
        <v>0</v>
      </c>
      <c r="Z250" s="23" t="s">
        <v>76</v>
      </c>
      <c r="AA250" s="40"/>
      <c r="AB250" s="67"/>
      <c r="AC250" s="67"/>
      <c r="AD250" s="39"/>
      <c r="AE250" s="39"/>
      <c r="AF250" s="39"/>
      <c r="AG250" s="68"/>
      <c r="AH250">
        <v>14</v>
      </c>
      <c r="AI250">
        <v>1.4</v>
      </c>
      <c r="AJ250">
        <v>250</v>
      </c>
      <c r="AK250">
        <v>0.31</v>
      </c>
      <c r="AL250" s="63">
        <f>IFERROR(INDEX(Job_Training[[Solar]:[Wind]],MATCH(AL$1,Job_Training[[`Typical Entry Level Education`]:[`Typical Entry Level Education`]],0),MATCH(LEFT($D250,5),Job_Training[[#Headers],[Solar]:[Wind]],0)),0)</f>
        <v>3.4599999999999999E-2</v>
      </c>
      <c r="AM250" s="63">
        <f>IFERROR(INDEX(Job_Training[[Solar]:[Wind]],MATCH(AM$1,Job_Training[[`Typical Entry Level Education`]:[`Typical Entry Level Education`]],0),MATCH(LEFT($D250,5),Job_Training[[#Headers],[Solar]:[Wind]],0)),0)</f>
        <v>2.8199999999999999E-2</v>
      </c>
      <c r="AN250" s="63">
        <f>IFERROR(INDEX(Job_Training[[Solar]:[Wind]],MATCH(AN$1,Job_Training[[`Typical Entry Level Education`]:[`Typical Entry Level Education`]],0),MATCH(LEFT($D250,5),Job_Training[[#Headers],[Solar]:[Wind]],0)),0)</f>
        <v>3.3399999999999999E-2</v>
      </c>
      <c r="AO250" s="63">
        <f>IFERROR(INDEX(Job_Training[[Solar]:[Wind]],MATCH(AO$1,Job_Training[[`Typical Entry Level Education`]:[`Typical Entry Level Education`]],0),MATCH(LEFT($D250,5),Job_Training[[#Headers],[Solar]:[Wind]],0)),0)</f>
        <v>5.62E-3</v>
      </c>
      <c r="AP250">
        <f t="shared" si="83"/>
        <v>0</v>
      </c>
      <c r="AQ250" s="63">
        <f>IF(AP250&gt;0,IFERROR(INDEX(Assumptions!$C$165:$D$165,MATCH(LEFT($D250,5),Job_Training[[#Headers],[Solar]:[Wind]],0)),0),0)</f>
        <v>0</v>
      </c>
      <c r="AR250">
        <f>IF(AP250&gt;0,IFERROR(INDEX(Assumptions!$C$166:$D$166,MATCH(LEFT($D250,5),Job_Training[[#Headers],[Solar]:[Wind]],0)),0),0)</f>
        <v>0</v>
      </c>
    </row>
    <row r="251" spans="1:44" x14ac:dyDescent="0.35">
      <c r="A251" t="str">
        <f>UserInput!$B$2</f>
        <v>Current Projects</v>
      </c>
      <c r="B251" s="23">
        <v>2043</v>
      </c>
      <c r="C251" s="23" t="s">
        <v>78</v>
      </c>
      <c r="D251" s="23" t="s">
        <v>97</v>
      </c>
      <c r="E251" s="40">
        <f>SUMIFS($E$2:$E$232,$B$2:$B$232,B251,$C$2:$C$232,C251)*1000*Assumptions!$C$8/1000/8760/0.3</f>
        <v>1873.9726027397262</v>
      </c>
      <c r="F251" s="23" t="s">
        <v>81</v>
      </c>
      <c r="H251" s="63"/>
      <c r="I251" s="63"/>
      <c r="J251" s="63"/>
      <c r="K251" s="30">
        <f>IF(OR(LEFT($D251,5)="Solar",$D251="Wind"),INDEX(Land_Use[AVG],MATCH(LEFT($D251,5),Land_Use[Tech],0)),0)*$E251</f>
        <v>6558.9041095890416</v>
      </c>
      <c r="L251" s="30">
        <f>IF(OR(LEFT($D251,5)="Solar",$D251="Wind"),INDEX(Land_Use[MIN],MATCH(LEFT($D251,5),Land_Use[Tech],0)),0)*$E251</f>
        <v>5247.1232876712329</v>
      </c>
      <c r="M251" s="30">
        <f>IF(OR(LEFT($D251,5)="Solar",$D251="Wind"),INDEX(Land_Use[MAX],MATCH(LEFT($D251,5),Land_Use[Tech],0)),0)*$E251</f>
        <v>7870.6849315068503</v>
      </c>
      <c r="N251" s="13">
        <f t="shared" si="84"/>
        <v>0</v>
      </c>
      <c r="O251" s="13">
        <f t="shared" si="85"/>
        <v>91824.65753424658</v>
      </c>
      <c r="P251" s="13">
        <f t="shared" si="86"/>
        <v>9182.465753424658</v>
      </c>
      <c r="Q251" s="13">
        <f t="shared" si="87"/>
        <v>1639726.0273972603</v>
      </c>
      <c r="R251" s="13">
        <f t="shared" si="88"/>
        <v>2033.2602739726028</v>
      </c>
      <c r="S251" s="30">
        <f t="shared" si="77"/>
        <v>0</v>
      </c>
      <c r="T251" s="30">
        <f t="shared" si="78"/>
        <v>0</v>
      </c>
      <c r="U251" s="30">
        <f t="shared" si="79"/>
        <v>0</v>
      </c>
      <c r="V251" s="30">
        <f t="shared" si="80"/>
        <v>0</v>
      </c>
      <c r="W251" s="30">
        <f t="shared" si="81"/>
        <v>0</v>
      </c>
      <c r="X251" s="30">
        <f t="shared" si="82"/>
        <v>0</v>
      </c>
      <c r="Z251" s="23" t="s">
        <v>76</v>
      </c>
      <c r="AA251" s="40"/>
      <c r="AB251" s="67"/>
      <c r="AC251" s="67"/>
      <c r="AD251" s="39"/>
      <c r="AE251" s="39"/>
      <c r="AF251" s="39"/>
      <c r="AG251" s="68"/>
      <c r="AH251">
        <v>14</v>
      </c>
      <c r="AI251">
        <v>1.4</v>
      </c>
      <c r="AJ251">
        <v>250</v>
      </c>
      <c r="AK251">
        <v>0.31</v>
      </c>
      <c r="AL251" s="63">
        <f>IFERROR(INDEX(Job_Training[[Solar]:[Wind]],MATCH(AL$1,Job_Training[[`Typical Entry Level Education`]:[`Typical Entry Level Education`]],0),MATCH(LEFT($D251,5),Job_Training[[#Headers],[Solar]:[Wind]],0)),0)</f>
        <v>3.4599999999999999E-2</v>
      </c>
      <c r="AM251" s="63">
        <f>IFERROR(INDEX(Job_Training[[Solar]:[Wind]],MATCH(AM$1,Job_Training[[`Typical Entry Level Education`]:[`Typical Entry Level Education`]],0),MATCH(LEFT($D251,5),Job_Training[[#Headers],[Solar]:[Wind]],0)),0)</f>
        <v>2.8199999999999999E-2</v>
      </c>
      <c r="AN251" s="63">
        <f>IFERROR(INDEX(Job_Training[[Solar]:[Wind]],MATCH(AN$1,Job_Training[[`Typical Entry Level Education`]:[`Typical Entry Level Education`]],0),MATCH(LEFT($D251,5),Job_Training[[#Headers],[Solar]:[Wind]],0)),0)</f>
        <v>3.3399999999999999E-2</v>
      </c>
      <c r="AO251" s="63">
        <f>IFERROR(INDEX(Job_Training[[Solar]:[Wind]],MATCH(AO$1,Job_Training[[`Typical Entry Level Education`]:[`Typical Entry Level Education`]],0),MATCH(LEFT($D251,5),Job_Training[[#Headers],[Solar]:[Wind]],0)),0)</f>
        <v>5.62E-3</v>
      </c>
      <c r="AP251">
        <f t="shared" si="83"/>
        <v>0</v>
      </c>
      <c r="AQ251" s="63">
        <f>IF(AP251&gt;0,IFERROR(INDEX(Assumptions!$C$165:$D$165,MATCH(LEFT($D251,5),Job_Training[[#Headers],[Solar]:[Wind]],0)),0),0)</f>
        <v>0</v>
      </c>
      <c r="AR251">
        <f>IF(AP251&gt;0,IFERROR(INDEX(Assumptions!$C$166:$D$166,MATCH(LEFT($D251,5),Job_Training[[#Headers],[Solar]:[Wind]],0)),0),0)</f>
        <v>0</v>
      </c>
    </row>
    <row r="252" spans="1:44" x14ac:dyDescent="0.35">
      <c r="A252" t="str">
        <f>UserInput!$B$2</f>
        <v>Current Projects</v>
      </c>
      <c r="B252" s="23">
        <v>2044</v>
      </c>
      <c r="C252" s="23" t="s">
        <v>78</v>
      </c>
      <c r="D252" s="23" t="s">
        <v>97</v>
      </c>
      <c r="E252" s="40">
        <f>SUMIFS($E$2:$E$232,$B$2:$B$232,B252,$C$2:$C$232,C252)*1000*Assumptions!$C$8/1000/8760/0.3</f>
        <v>1873.9726027397262</v>
      </c>
      <c r="F252" s="23" t="s">
        <v>81</v>
      </c>
      <c r="H252" s="63"/>
      <c r="I252" s="63"/>
      <c r="J252" s="63"/>
      <c r="K252" s="30">
        <f>IF(OR(LEFT($D252,5)="Solar",$D252="Wind"),INDEX(Land_Use[AVG],MATCH(LEFT($D252,5),Land_Use[Tech],0)),0)*$E252</f>
        <v>6558.9041095890416</v>
      </c>
      <c r="L252" s="30">
        <f>IF(OR(LEFT($D252,5)="Solar",$D252="Wind"),INDEX(Land_Use[MIN],MATCH(LEFT($D252,5),Land_Use[Tech],0)),0)*$E252</f>
        <v>5247.1232876712329</v>
      </c>
      <c r="M252" s="30">
        <f>IF(OR(LEFT($D252,5)="Solar",$D252="Wind"),INDEX(Land_Use[MAX],MATCH(LEFT($D252,5),Land_Use[Tech],0)),0)*$E252</f>
        <v>7870.6849315068503</v>
      </c>
      <c r="N252" s="13">
        <f t="shared" si="84"/>
        <v>0</v>
      </c>
      <c r="O252" s="13">
        <f t="shared" si="85"/>
        <v>91824.65753424658</v>
      </c>
      <c r="P252" s="13">
        <f t="shared" si="86"/>
        <v>9182.465753424658</v>
      </c>
      <c r="Q252" s="13">
        <f t="shared" si="87"/>
        <v>1639726.0273972603</v>
      </c>
      <c r="R252" s="13">
        <f t="shared" si="88"/>
        <v>2033.2602739726028</v>
      </c>
      <c r="S252" s="30">
        <f t="shared" si="77"/>
        <v>0</v>
      </c>
      <c r="T252" s="30">
        <f t="shared" si="78"/>
        <v>0</v>
      </c>
      <c r="U252" s="30">
        <f t="shared" si="79"/>
        <v>0</v>
      </c>
      <c r="V252" s="30">
        <f t="shared" si="80"/>
        <v>0</v>
      </c>
      <c r="W252" s="30">
        <f t="shared" si="81"/>
        <v>0</v>
      </c>
      <c r="X252" s="30">
        <f t="shared" si="82"/>
        <v>0</v>
      </c>
      <c r="Z252" s="23" t="s">
        <v>76</v>
      </c>
      <c r="AA252" s="40"/>
      <c r="AB252" s="67"/>
      <c r="AC252" s="67"/>
      <c r="AD252" s="39"/>
      <c r="AE252" s="39"/>
      <c r="AF252" s="39"/>
      <c r="AG252" s="68"/>
      <c r="AH252">
        <v>14</v>
      </c>
      <c r="AI252">
        <v>1.4</v>
      </c>
      <c r="AJ252">
        <v>250</v>
      </c>
      <c r="AK252">
        <v>0.31</v>
      </c>
      <c r="AL252" s="63">
        <f>IFERROR(INDEX(Job_Training[[Solar]:[Wind]],MATCH(AL$1,Job_Training[[`Typical Entry Level Education`]:[`Typical Entry Level Education`]],0),MATCH(LEFT($D252,5),Job_Training[[#Headers],[Solar]:[Wind]],0)),0)</f>
        <v>3.4599999999999999E-2</v>
      </c>
      <c r="AM252" s="63">
        <f>IFERROR(INDEX(Job_Training[[Solar]:[Wind]],MATCH(AM$1,Job_Training[[`Typical Entry Level Education`]:[`Typical Entry Level Education`]],0),MATCH(LEFT($D252,5),Job_Training[[#Headers],[Solar]:[Wind]],0)),0)</f>
        <v>2.8199999999999999E-2</v>
      </c>
      <c r="AN252" s="63">
        <f>IFERROR(INDEX(Job_Training[[Solar]:[Wind]],MATCH(AN$1,Job_Training[[`Typical Entry Level Education`]:[`Typical Entry Level Education`]],0),MATCH(LEFT($D252,5),Job_Training[[#Headers],[Solar]:[Wind]],0)),0)</f>
        <v>3.3399999999999999E-2</v>
      </c>
      <c r="AO252" s="63">
        <f>IFERROR(INDEX(Job_Training[[Solar]:[Wind]],MATCH(AO$1,Job_Training[[`Typical Entry Level Education`]:[`Typical Entry Level Education`]],0),MATCH(LEFT($D252,5),Job_Training[[#Headers],[Solar]:[Wind]],0)),0)</f>
        <v>5.62E-3</v>
      </c>
      <c r="AP252">
        <f t="shared" si="83"/>
        <v>0</v>
      </c>
      <c r="AQ252" s="63">
        <f>IF(AP252&gt;0,IFERROR(INDEX(Assumptions!$C$165:$D$165,MATCH(LEFT($D252,5),Job_Training[[#Headers],[Solar]:[Wind]],0)),0),0)</f>
        <v>0</v>
      </c>
      <c r="AR252">
        <f>IF(AP252&gt;0,IFERROR(INDEX(Assumptions!$C$166:$D$166,MATCH(LEFT($D252,5),Job_Training[[#Headers],[Solar]:[Wind]],0)),0),0)</f>
        <v>0</v>
      </c>
    </row>
    <row r="253" spans="1:44" x14ac:dyDescent="0.35">
      <c r="A253" t="str">
        <f>UserInput!$B$2</f>
        <v>Current Projects</v>
      </c>
      <c r="B253" s="23">
        <v>2045</v>
      </c>
      <c r="C253" s="23" t="s">
        <v>78</v>
      </c>
      <c r="D253" s="23" t="s">
        <v>97</v>
      </c>
      <c r="E253" s="40">
        <f>SUMIFS($E$2:$E$232,$B$2:$B$232,B253,$C$2:$C$232,C253)*1000*Assumptions!$C$8/1000/8760/0.3</f>
        <v>1873.9726027397262</v>
      </c>
      <c r="F253" s="23" t="s">
        <v>81</v>
      </c>
      <c r="H253" s="63"/>
      <c r="I253" s="63"/>
      <c r="J253" s="63"/>
      <c r="K253" s="30">
        <f>IF(OR(LEFT($D253,5)="Solar",$D253="Wind"),INDEX(Land_Use[AVG],MATCH(LEFT($D253,5),Land_Use[Tech],0)),0)*$E253</f>
        <v>6558.9041095890416</v>
      </c>
      <c r="L253" s="30">
        <f>IF(OR(LEFT($D253,5)="Solar",$D253="Wind"),INDEX(Land_Use[MIN],MATCH(LEFT($D253,5),Land_Use[Tech],0)),0)*$E253</f>
        <v>5247.1232876712329</v>
      </c>
      <c r="M253" s="30">
        <f>IF(OR(LEFT($D253,5)="Solar",$D253="Wind"),INDEX(Land_Use[MAX],MATCH(LEFT($D253,5),Land_Use[Tech],0)),0)*$E253</f>
        <v>7870.6849315068503</v>
      </c>
      <c r="N253" s="13">
        <f t="shared" si="84"/>
        <v>0</v>
      </c>
      <c r="O253" s="13">
        <f t="shared" si="85"/>
        <v>91824.65753424658</v>
      </c>
      <c r="P253" s="13">
        <f t="shared" si="86"/>
        <v>9182.465753424658</v>
      </c>
      <c r="Q253" s="13">
        <f t="shared" si="87"/>
        <v>1639726.0273972603</v>
      </c>
      <c r="R253" s="13">
        <f t="shared" si="88"/>
        <v>2033.2602739726028</v>
      </c>
      <c r="S253" s="30">
        <f t="shared" si="77"/>
        <v>0</v>
      </c>
      <c r="T253" s="30">
        <f t="shared" si="78"/>
        <v>0</v>
      </c>
      <c r="U253" s="30">
        <f t="shared" si="79"/>
        <v>0</v>
      </c>
      <c r="V253" s="30">
        <f t="shared" si="80"/>
        <v>0</v>
      </c>
      <c r="W253" s="30">
        <f t="shared" si="81"/>
        <v>0</v>
      </c>
      <c r="X253" s="30">
        <f t="shared" si="82"/>
        <v>0</v>
      </c>
      <c r="Z253" s="23" t="s">
        <v>76</v>
      </c>
      <c r="AA253" s="40"/>
      <c r="AB253" s="67"/>
      <c r="AC253" s="67"/>
      <c r="AD253" s="39"/>
      <c r="AE253" s="39"/>
      <c r="AF253" s="39"/>
      <c r="AG253" s="68"/>
      <c r="AH253">
        <v>14</v>
      </c>
      <c r="AI253">
        <v>1.4</v>
      </c>
      <c r="AJ253">
        <v>250</v>
      </c>
      <c r="AK253">
        <v>0.31</v>
      </c>
      <c r="AL253" s="63">
        <f>IFERROR(INDEX(Job_Training[[Solar]:[Wind]],MATCH(AL$1,Job_Training[[`Typical Entry Level Education`]:[`Typical Entry Level Education`]],0),MATCH(LEFT($D253,5),Job_Training[[#Headers],[Solar]:[Wind]],0)),0)</f>
        <v>3.4599999999999999E-2</v>
      </c>
      <c r="AM253" s="63">
        <f>IFERROR(INDEX(Job_Training[[Solar]:[Wind]],MATCH(AM$1,Job_Training[[`Typical Entry Level Education`]:[`Typical Entry Level Education`]],0),MATCH(LEFT($D253,5),Job_Training[[#Headers],[Solar]:[Wind]],0)),0)</f>
        <v>2.8199999999999999E-2</v>
      </c>
      <c r="AN253" s="63">
        <f>IFERROR(INDEX(Job_Training[[Solar]:[Wind]],MATCH(AN$1,Job_Training[[`Typical Entry Level Education`]:[`Typical Entry Level Education`]],0),MATCH(LEFT($D253,5),Job_Training[[#Headers],[Solar]:[Wind]],0)),0)</f>
        <v>3.3399999999999999E-2</v>
      </c>
      <c r="AO253" s="63">
        <f>IFERROR(INDEX(Job_Training[[Solar]:[Wind]],MATCH(AO$1,Job_Training[[`Typical Entry Level Education`]:[`Typical Entry Level Education`]],0),MATCH(LEFT($D253,5),Job_Training[[#Headers],[Solar]:[Wind]],0)),0)</f>
        <v>5.62E-3</v>
      </c>
      <c r="AP253">
        <f t="shared" si="83"/>
        <v>0</v>
      </c>
      <c r="AQ253" s="63">
        <f>IF(AP253&gt;0,IFERROR(INDEX(Assumptions!$C$165:$D$165,MATCH(LEFT($D253,5),Job_Training[[#Headers],[Solar]:[Wind]],0)),0),0)</f>
        <v>0</v>
      </c>
      <c r="AR253">
        <f>IF(AP253&gt;0,IFERROR(INDEX(Assumptions!$C$166:$D$166,MATCH(LEFT($D253,5),Job_Training[[#Headers],[Solar]:[Wind]],0)),0),0)</f>
        <v>0</v>
      </c>
    </row>
    <row r="254" spans="1:44" hidden="1" x14ac:dyDescent="0.35">
      <c r="A254" t="str">
        <f>UserInput!$B$30</f>
        <v>State Policy Aligned</v>
      </c>
      <c r="B254">
        <v>2025</v>
      </c>
      <c r="C254" s="16" t="s">
        <v>73</v>
      </c>
      <c r="D254" t="s">
        <v>74</v>
      </c>
      <c r="E254" s="66">
        <f>INDEX(UserInput!$C$30:$M$50,MATCH(UserMade_Scenario!B254,UserInput!$A$30:$A$50,0),MATCH(LEFT(IF(RIGHT(C254,2)="H2",UserMade_Scenario!C254,D254),3),UserInput!$C$25:$M$25,0))</f>
        <v>0</v>
      </c>
      <c r="F254" s="14" t="s">
        <v>75</v>
      </c>
      <c r="G254" s="14">
        <f t="shared" ref="G254:G295" si="90">E254*AB254</f>
        <v>0</v>
      </c>
      <c r="H254" s="63">
        <f>IF($C254="Electricity",$AA254/1000000,$G254)*AD254*-1</f>
        <v>0</v>
      </c>
      <c r="I254" s="63">
        <f>IF($C254="Electricity",$AA254/1000000,$G254)*AE254*-1</f>
        <v>0</v>
      </c>
      <c r="J254" s="63">
        <f>IF($C254="Electricity",$AA254/1000000,$G254)*AF254*-1</f>
        <v>0</v>
      </c>
      <c r="K254" s="30">
        <f>IF(OR(LEFT($D254,5)="Solar",$D254="Wind"),INDEX(Land_Use[AVG],MATCH(LEFT($D254,5),Land_Use[Tech],0)),0)*$E254</f>
        <v>0</v>
      </c>
      <c r="L254" s="30">
        <f>IF(OR(LEFT($D254,5)="Solar",$D254="Wind"),INDEX(Land_Use[MIN],MATCH(LEFT($D254,5),Land_Use[Tech],0)),0)*$E254</f>
        <v>0</v>
      </c>
      <c r="M254" s="30">
        <f>IF(OR(LEFT($D254,5)="Solar",$D254="Wind"),INDEX(Land_Use[MAX],MATCH(LEFT($D254,5),Land_Use[Tech],0)),0)*$E254</f>
        <v>0</v>
      </c>
      <c r="N254" s="11">
        <f t="shared" si="84"/>
        <v>0</v>
      </c>
      <c r="O254" s="11">
        <f t="shared" si="85"/>
        <v>0</v>
      </c>
      <c r="P254" s="11">
        <f t="shared" si="86"/>
        <v>0</v>
      </c>
      <c r="Q254" s="11">
        <f t="shared" si="87"/>
        <v>0</v>
      </c>
      <c r="R254" s="11">
        <f t="shared" si="88"/>
        <v>0</v>
      </c>
      <c r="S254" s="30">
        <f t="shared" si="77"/>
        <v>0</v>
      </c>
      <c r="T254" s="30">
        <f t="shared" si="78"/>
        <v>0</v>
      </c>
      <c r="U254" s="30">
        <f t="shared" si="79"/>
        <v>0</v>
      </c>
      <c r="V254" s="30">
        <f t="shared" si="80"/>
        <v>0</v>
      </c>
      <c r="W254" s="30">
        <f t="shared" si="81"/>
        <v>0</v>
      </c>
      <c r="X254" s="30">
        <f t="shared" si="82"/>
        <v>0</v>
      </c>
      <c r="Z254" s="23" t="s">
        <v>76</v>
      </c>
      <c r="AA254" s="40" t="str">
        <f>IF(C254="Electricity",E254*SUMIFS(Electricity!S:S,Electricity!P:P,UserMade_Scenario!B254,Electricity!M:M,UserMade_Scenario!Z254,Electricity!O:O,UserMade_Scenario!D254),"")</f>
        <v/>
      </c>
      <c r="AB254" s="76">
        <f>1000*Assumptions!$B$17/1000000000000</f>
        <v>1.1999999999999999E-7</v>
      </c>
      <c r="AC254" s="67" t="s">
        <v>77</v>
      </c>
      <c r="AD254" s="39">
        <f>SUMIFS(Hydrogen!AK:AK,Hydrogen!$AA:$AA,UserMade_Scenario!$Z254,Hydrogen!$Y:$Y,UserMade_Scenario!$D254,Hydrogen!$AB:$AB,UserMade_Scenario!$B254,Hydrogen!$Z:$Z,UserMade_Scenario!$C254)</f>
        <v>-25.962263497910243</v>
      </c>
      <c r="AE254" s="39">
        <f>SUMIFS(Hydrogen!AL:AL,Hydrogen!$AA:$AA,UserMade_Scenario!$Z254,Hydrogen!$Y:$Y,UserMade_Scenario!$D254,Hydrogen!$AB:$AB,UserMade_Scenario!$B254,Hydrogen!$Z:$Z,UserMade_Scenario!$C254)</f>
        <v>-24.871817180742241</v>
      </c>
      <c r="AF254" s="39">
        <f>SUMIFS(Hydrogen!AM:AM,Hydrogen!$AA:$AA,UserMade_Scenario!$Z254,Hydrogen!$Y:$Y,UserMade_Scenario!$D254,Hydrogen!$AB:$AB,UserMade_Scenario!$B254,Hydrogen!$Z:$Z,UserMade_Scenario!$C254)</f>
        <v>-27.052709815078245</v>
      </c>
      <c r="AG254" s="68">
        <f>IFERROR(INDEX(WaterUseH2[Average Direct Water Consumption (Gal/ kg h2)],MATCH(LEFT(D254,3),WaterUseH2[Key],0)),0)</f>
        <v>2.8</v>
      </c>
      <c r="AH254">
        <v>14</v>
      </c>
      <c r="AI254">
        <v>1.4</v>
      </c>
      <c r="AJ254">
        <v>250</v>
      </c>
      <c r="AK254">
        <v>0.31</v>
      </c>
      <c r="AL254" s="63">
        <f>IFERROR(INDEX(Job_Training[[Solar]:[Wind]],MATCH(AL$1,Job_Training[[`Typical Entry Level Education`]:[`Typical Entry Level Education`]],0),MATCH(LEFT($D254,5),Job_Training[[#Headers],[Solar]:[Wind]],0)),0)</f>
        <v>0</v>
      </c>
      <c r="AM254" s="63">
        <f>IFERROR(INDEX(Job_Training[[Solar]:[Wind]],MATCH(AM$1,Job_Training[[`Typical Entry Level Education`]:[`Typical Entry Level Education`]],0),MATCH(LEFT($D254,5),Job_Training[[#Headers],[Solar]:[Wind]],0)),0)</f>
        <v>0</v>
      </c>
      <c r="AN254" s="63">
        <f>IFERROR(INDEX(Job_Training[[Solar]:[Wind]],MATCH(AN$1,Job_Training[[`Typical Entry Level Education`]:[`Typical Entry Level Education`]],0),MATCH(LEFT($D254,5),Job_Training[[#Headers],[Solar]:[Wind]],0)),0)</f>
        <v>0</v>
      </c>
      <c r="AO254" s="63">
        <f>IFERROR(INDEX(Job_Training[[Solar]:[Wind]],MATCH(AO$1,Job_Training[[`Typical Entry Level Education`]:[`Typical Entry Level Education`]],0),MATCH(LEFT($D254,5),Job_Training[[#Headers],[Solar]:[Wind]],0)),0)</f>
        <v>0</v>
      </c>
      <c r="AP254">
        <f t="shared" si="83"/>
        <v>0</v>
      </c>
      <c r="AQ254" s="63">
        <f>IF(AP254&gt;0,IFERROR(INDEX(Assumptions!$C$165:$D$165,MATCH(LEFT($D254,5),Job_Training[[#Headers],[Solar]:[Wind]],0)),0),0)</f>
        <v>0</v>
      </c>
      <c r="AR254">
        <f>IF(AP254&gt;0,IFERROR(INDEX(Assumptions!$C$166:$D$166,MATCH(LEFT($D254,5),Job_Training[[#Headers],[Solar]:[Wind]],0)),0),0)</f>
        <v>0</v>
      </c>
    </row>
    <row r="255" spans="1:44" hidden="1" x14ac:dyDescent="0.35">
      <c r="A255" t="str">
        <f>UserInput!$B$30</f>
        <v>State Policy Aligned</v>
      </c>
      <c r="B255">
        <v>2026</v>
      </c>
      <c r="C255" s="16" t="s">
        <v>73</v>
      </c>
      <c r="D255" t="s">
        <v>74</v>
      </c>
      <c r="E255" s="66">
        <f>INDEX(UserInput!$C$30:$M$50,MATCH(UserMade_Scenario!B255,UserInput!$A$30:$A$50,0),MATCH(LEFT(IF(RIGHT(C255,2)="H2",UserMade_Scenario!C255,D255),3),UserInput!$C$25:$M$25,0))</f>
        <v>10950</v>
      </c>
      <c r="F255" s="14" t="s">
        <v>75</v>
      </c>
      <c r="G255" s="14">
        <f t="shared" si="90"/>
        <v>1.3139999999999998E-3</v>
      </c>
      <c r="H255" s="63">
        <f t="shared" ref="H255:H318" si="91">IF($C255="Electricity",$AA255/1000000,$G255)*AD255*-1</f>
        <v>3.3642995397322573E-2</v>
      </c>
      <c r="I255" s="63">
        <f t="shared" ref="I255:I318" si="92">IF($C255="Electricity",$AA255/1000000,$G255)*AE255*-1</f>
        <v>3.1738730097632332E-2</v>
      </c>
      <c r="J255" s="63">
        <f t="shared" ref="J255:J318" si="93">IF($C255="Electricity",$AA255/1000000,$G255)*AF255*-1</f>
        <v>3.5547260697012813E-2</v>
      </c>
      <c r="K255" s="30">
        <f>IF(OR(LEFT($D255,5)="Solar",$D255="Wind"),INDEX(Land_Use[AVG],MATCH(LEFT($D255,5),Land_Use[Tech],0)),0)*$E255</f>
        <v>0</v>
      </c>
      <c r="L255" s="30">
        <f>IF(OR(LEFT($D255,5)="Solar",$D255="Wind"),INDEX(Land_Use[MIN],MATCH(LEFT($D255,5),Land_Use[Tech],0)),0)*$E255</f>
        <v>0</v>
      </c>
      <c r="M255" s="30">
        <f>IF(OR(LEFT($D255,5)="Solar",$D255="Wind"),INDEX(Land_Use[MAX],MATCH(LEFT($D255,5),Land_Use[Tech],0)),0)*$E255</f>
        <v>0</v>
      </c>
      <c r="N255" s="15">
        <f t="shared" si="84"/>
        <v>30.659999999999997</v>
      </c>
      <c r="O255" s="11">
        <f t="shared" si="85"/>
        <v>0</v>
      </c>
      <c r="P255" s="11">
        <f t="shared" si="86"/>
        <v>0</v>
      </c>
      <c r="Q255" s="11">
        <f t="shared" si="87"/>
        <v>0</v>
      </c>
      <c r="R255" s="11">
        <f t="shared" si="88"/>
        <v>0</v>
      </c>
      <c r="S255" s="30">
        <f t="shared" si="77"/>
        <v>0</v>
      </c>
      <c r="T255" s="30">
        <f t="shared" si="78"/>
        <v>0</v>
      </c>
      <c r="U255" s="30">
        <f t="shared" si="79"/>
        <v>0</v>
      </c>
      <c r="V255" s="30">
        <f t="shared" si="80"/>
        <v>0</v>
      </c>
      <c r="W255" s="30">
        <f t="shared" si="81"/>
        <v>0</v>
      </c>
      <c r="X255" s="30">
        <f t="shared" si="82"/>
        <v>0</v>
      </c>
      <c r="Z255" s="23" t="s">
        <v>76</v>
      </c>
      <c r="AA255" s="40" t="str">
        <f>IF(C255="Electricity",E255*SUMIFS(Electricity!S:S,Electricity!P:P,UserMade_Scenario!B255,Electricity!M:M,UserMade_Scenario!Z255,Electricity!O:O,UserMade_Scenario!D255),"")</f>
        <v/>
      </c>
      <c r="AB255" s="76">
        <f>1000*Assumptions!$B$17/1000000000000</f>
        <v>1.1999999999999999E-7</v>
      </c>
      <c r="AC255" s="67" t="s">
        <v>77</v>
      </c>
      <c r="AD255" s="39">
        <f>SUMIFS(Hydrogen!AK:AK,Hydrogen!$AA:$AA,UserMade_Scenario!$Z255,Hydrogen!$Y:$Y,UserMade_Scenario!$D255,Hydrogen!$AB:$AB,UserMade_Scenario!$B255,Hydrogen!$Z:$Z,UserMade_Scenario!$C255)</f>
        <v>-25.603497258236359</v>
      </c>
      <c r="AE255" s="39">
        <f>SUMIFS(Hydrogen!AL:AL,Hydrogen!$AA:$AA,UserMade_Scenario!$Z255,Hydrogen!$Y:$Y,UserMade_Scenario!$D255,Hydrogen!$AB:$AB,UserMade_Scenario!$B255,Hydrogen!$Z:$Z,UserMade_Scenario!$C255)</f>
        <v>-24.154284701394474</v>
      </c>
      <c r="AF255" s="39">
        <f>SUMIFS(Hydrogen!AM:AM,Hydrogen!$AA:$AA,UserMade_Scenario!$Z255,Hydrogen!$Y:$Y,UserMade_Scenario!$D255,Hydrogen!$AB:$AB,UserMade_Scenario!$B255,Hydrogen!$Z:$Z,UserMade_Scenario!$C255)</f>
        <v>-27.052709815078245</v>
      </c>
      <c r="AG255" s="68">
        <f>IFERROR(INDEX(WaterUseH2[Average Direct Water Consumption (Gal/ kg h2)],MATCH(LEFT(D255,3),WaterUseH2[Key],0)),0)</f>
        <v>2.8</v>
      </c>
      <c r="AH255">
        <v>14</v>
      </c>
      <c r="AI255">
        <v>1.4</v>
      </c>
      <c r="AJ255">
        <v>250</v>
      </c>
      <c r="AK255">
        <v>0.31</v>
      </c>
      <c r="AL255" s="63">
        <f>IFERROR(INDEX(Job_Training[[Solar]:[Wind]],MATCH(AL$1,Job_Training[[`Typical Entry Level Education`]:[`Typical Entry Level Education`]],0),MATCH(LEFT($D255,5),Job_Training[[#Headers],[Solar]:[Wind]],0)),0)</f>
        <v>0</v>
      </c>
      <c r="AM255" s="63">
        <f>IFERROR(INDEX(Job_Training[[Solar]:[Wind]],MATCH(AM$1,Job_Training[[`Typical Entry Level Education`]:[`Typical Entry Level Education`]],0),MATCH(LEFT($D255,5),Job_Training[[#Headers],[Solar]:[Wind]],0)),0)</f>
        <v>0</v>
      </c>
      <c r="AN255" s="63">
        <f>IFERROR(INDEX(Job_Training[[Solar]:[Wind]],MATCH(AN$1,Job_Training[[`Typical Entry Level Education`]:[`Typical Entry Level Education`]],0),MATCH(LEFT($D255,5),Job_Training[[#Headers],[Solar]:[Wind]],0)),0)</f>
        <v>0</v>
      </c>
      <c r="AO255" s="63">
        <f>IFERROR(INDEX(Job_Training[[Solar]:[Wind]],MATCH(AO$1,Job_Training[[`Typical Entry Level Education`]:[`Typical Entry Level Education`]],0),MATCH(LEFT($D255,5),Job_Training[[#Headers],[Solar]:[Wind]],0)),0)</f>
        <v>0</v>
      </c>
      <c r="AP255">
        <f t="shared" si="83"/>
        <v>0</v>
      </c>
      <c r="AQ255" s="63">
        <f>IF(AP255&gt;0,IFERROR(INDEX(Assumptions!$C$165:$D$165,MATCH(LEFT($D255,5),Job_Training[[#Headers],[Solar]:[Wind]],0)),0),0)</f>
        <v>0</v>
      </c>
      <c r="AR255">
        <f>IF(AP255&gt;0,IFERROR(INDEX(Assumptions!$C$166:$D$166,MATCH(LEFT($D255,5),Job_Training[[#Headers],[Solar]:[Wind]],0)),0),0)</f>
        <v>0</v>
      </c>
    </row>
    <row r="256" spans="1:44" hidden="1" x14ac:dyDescent="0.35">
      <c r="A256" t="str">
        <f>UserInput!$B$30</f>
        <v>State Policy Aligned</v>
      </c>
      <c r="B256">
        <v>2027</v>
      </c>
      <c r="C256" s="16" t="s">
        <v>73</v>
      </c>
      <c r="D256" t="s">
        <v>74</v>
      </c>
      <c r="E256" s="66">
        <f>INDEX(UserInput!$C$30:$M$50,MATCH(UserMade_Scenario!B256,UserInput!$A$30:$A$50,0),MATCH(LEFT(IF(RIGHT(C256,2)="H2",UserMade_Scenario!C256,D256),3),UserInput!$C$25:$M$25,0))</f>
        <v>16373.684210526317</v>
      </c>
      <c r="F256" s="14" t="s">
        <v>75</v>
      </c>
      <c r="G256" s="14">
        <f t="shared" si="90"/>
        <v>1.9648421052631576E-3</v>
      </c>
      <c r="H256" s="63">
        <f t="shared" si="91"/>
        <v>4.9445539892879774E-2</v>
      </c>
      <c r="I256" s="63">
        <f t="shared" si="92"/>
        <v>4.5736776479627914E-2</v>
      </c>
      <c r="J256" s="63">
        <f t="shared" si="93"/>
        <v>5.3154303306131627E-2</v>
      </c>
      <c r="K256" s="30">
        <f>IF(OR(LEFT($D256,5)="Solar",$D256="Wind"),INDEX(Land_Use[AVG],MATCH(LEFT($D256,5),Land_Use[Tech],0)),0)*$E256</f>
        <v>0</v>
      </c>
      <c r="L256" s="30">
        <f>IF(OR(LEFT($D256,5)="Solar",$D256="Wind"),INDEX(Land_Use[MIN],MATCH(LEFT($D256,5),Land_Use[Tech],0)),0)*$E256</f>
        <v>0</v>
      </c>
      <c r="M256" s="30">
        <f>IF(OR(LEFT($D256,5)="Solar",$D256="Wind"),INDEX(Land_Use[MAX],MATCH(LEFT($D256,5),Land_Use[Tech],0)),0)*$E256</f>
        <v>0</v>
      </c>
      <c r="N256" s="15">
        <f t="shared" si="84"/>
        <v>45.846315789473692</v>
      </c>
      <c r="O256" s="11">
        <f t="shared" si="85"/>
        <v>0</v>
      </c>
      <c r="P256" s="11">
        <f t="shared" si="86"/>
        <v>0</v>
      </c>
      <c r="Q256" s="11">
        <f t="shared" si="87"/>
        <v>0</v>
      </c>
      <c r="R256" s="11">
        <f t="shared" si="88"/>
        <v>0</v>
      </c>
      <c r="S256" s="30">
        <f t="shared" si="77"/>
        <v>0</v>
      </c>
      <c r="T256" s="30">
        <f t="shared" si="78"/>
        <v>0</v>
      </c>
      <c r="U256" s="30">
        <f t="shared" si="79"/>
        <v>0</v>
      </c>
      <c r="V256" s="30">
        <f t="shared" si="80"/>
        <v>0</v>
      </c>
      <c r="W256" s="30">
        <f t="shared" si="81"/>
        <v>0</v>
      </c>
      <c r="X256" s="30">
        <f t="shared" si="82"/>
        <v>0</v>
      </c>
      <c r="Z256" s="23" t="s">
        <v>76</v>
      </c>
      <c r="AA256" s="40" t="str">
        <f>IF(C256="Electricity",E256*SUMIFS(Electricity!S:S,Electricity!P:P,UserMade_Scenario!B256,Electricity!M:M,UserMade_Scenario!Z256,Electricity!O:O,UserMade_Scenario!D256),"")</f>
        <v/>
      </c>
      <c r="AB256" s="76">
        <f>1000*Assumptions!$B$17/1000000000000</f>
        <v>1.1999999999999999E-7</v>
      </c>
      <c r="AC256" s="67" t="s">
        <v>77</v>
      </c>
      <c r="AD256" s="39">
        <f>SUMIFS(Hydrogen!AK:AK,Hydrogen!$AA:$AA,UserMade_Scenario!$Z256,Hydrogen!$Y:$Y,UserMade_Scenario!$D256,Hydrogen!$AB:$AB,UserMade_Scenario!$B256,Hydrogen!$Z:$Z,UserMade_Scenario!$C256)</f>
        <v>-25.165146736438331</v>
      </c>
      <c r="AE256" s="39">
        <f>SUMIFS(Hydrogen!AL:AL,Hydrogen!$AA:$AA,UserMade_Scenario!$Z256,Hydrogen!$Y:$Y,UserMade_Scenario!$D256,Hydrogen!$AB:$AB,UserMade_Scenario!$B256,Hydrogen!$Z:$Z,UserMade_Scenario!$C256)</f>
        <v>-23.277583657798417</v>
      </c>
      <c r="AF256" s="39">
        <f>SUMIFS(Hydrogen!AM:AM,Hydrogen!$AA:$AA,UserMade_Scenario!$Z256,Hydrogen!$Y:$Y,UserMade_Scenario!$D256,Hydrogen!$AB:$AB,UserMade_Scenario!$B256,Hydrogen!$Z:$Z,UserMade_Scenario!$C256)</f>
        <v>-27.052709815078245</v>
      </c>
      <c r="AG256" s="68">
        <f>IFERROR(INDEX(WaterUseH2[Average Direct Water Consumption (Gal/ kg h2)],MATCH(LEFT(D256,3),WaterUseH2[Key],0)),0)</f>
        <v>2.8</v>
      </c>
      <c r="AH256">
        <v>14</v>
      </c>
      <c r="AI256">
        <v>1.4</v>
      </c>
      <c r="AJ256">
        <v>250</v>
      </c>
      <c r="AK256">
        <v>0.31</v>
      </c>
      <c r="AL256" s="63">
        <f>IFERROR(INDEX(Job_Training[[Solar]:[Wind]],MATCH(AL$1,Job_Training[[`Typical Entry Level Education`]:[`Typical Entry Level Education`]],0),MATCH(LEFT($D256,5),Job_Training[[#Headers],[Solar]:[Wind]],0)),0)</f>
        <v>0</v>
      </c>
      <c r="AM256" s="63">
        <f>IFERROR(INDEX(Job_Training[[Solar]:[Wind]],MATCH(AM$1,Job_Training[[`Typical Entry Level Education`]:[`Typical Entry Level Education`]],0),MATCH(LEFT($D256,5),Job_Training[[#Headers],[Solar]:[Wind]],0)),0)</f>
        <v>0</v>
      </c>
      <c r="AN256" s="63">
        <f>IFERROR(INDEX(Job_Training[[Solar]:[Wind]],MATCH(AN$1,Job_Training[[`Typical Entry Level Education`]:[`Typical Entry Level Education`]],0),MATCH(LEFT($D256,5),Job_Training[[#Headers],[Solar]:[Wind]],0)),0)</f>
        <v>0</v>
      </c>
      <c r="AO256" s="63">
        <f>IFERROR(INDEX(Job_Training[[Solar]:[Wind]],MATCH(AO$1,Job_Training[[`Typical Entry Level Education`]:[`Typical Entry Level Education`]],0),MATCH(LEFT($D256,5),Job_Training[[#Headers],[Solar]:[Wind]],0)),0)</f>
        <v>0</v>
      </c>
      <c r="AP256">
        <f t="shared" si="83"/>
        <v>0</v>
      </c>
      <c r="AQ256" s="63">
        <f>IF(AP256&gt;0,IFERROR(INDEX(Assumptions!$C$165:$D$165,MATCH(LEFT($D256,5),Job_Training[[#Headers],[Solar]:[Wind]],0)),0),0)</f>
        <v>0</v>
      </c>
      <c r="AR256">
        <f>IF(AP256&gt;0,IFERROR(INDEX(Assumptions!$C$166:$D$166,MATCH(LEFT($D256,5),Job_Training[[#Headers],[Solar]:[Wind]],0)),0),0)</f>
        <v>0</v>
      </c>
    </row>
    <row r="257" spans="1:44" hidden="1" x14ac:dyDescent="0.35">
      <c r="A257" t="str">
        <f>UserInput!$B$30</f>
        <v>State Policy Aligned</v>
      </c>
      <c r="B257">
        <v>2028</v>
      </c>
      <c r="C257" s="16" t="s">
        <v>73</v>
      </c>
      <c r="D257" t="s">
        <v>74</v>
      </c>
      <c r="E257" s="66">
        <f>INDEX(UserInput!$C$30:$M$50,MATCH(UserMade_Scenario!B257,UserInput!$A$30:$A$50,0),MATCH(LEFT(IF(RIGHT(C257,2)="H2",UserMade_Scenario!C257,D257),3),UserInput!$C$25:$M$25,0))</f>
        <v>21797.368421052633</v>
      </c>
      <c r="F257" s="14" t="s">
        <v>75</v>
      </c>
      <c r="G257" s="14">
        <f t="shared" si="90"/>
        <v>2.6156842105263156E-3</v>
      </c>
      <c r="H257" s="63">
        <f t="shared" si="91"/>
        <v>6.4585386164572683E-2</v>
      </c>
      <c r="I257" s="63">
        <f t="shared" si="92"/>
        <v>5.8409426413894905E-2</v>
      </c>
      <c r="J257" s="63">
        <f t="shared" si="93"/>
        <v>7.0761345915250448E-2</v>
      </c>
      <c r="K257" s="30">
        <f>IF(OR(LEFT($D257,5)="Solar",$D257="Wind"),INDEX(Land_Use[AVG],MATCH(LEFT($D257,5),Land_Use[Tech],0)),0)*$E257</f>
        <v>0</v>
      </c>
      <c r="L257" s="30">
        <f>IF(OR(LEFT($D257,5)="Solar",$D257="Wind"),INDEX(Land_Use[MIN],MATCH(LEFT($D257,5),Land_Use[Tech],0)),0)*$E257</f>
        <v>0</v>
      </c>
      <c r="M257" s="30">
        <f>IF(OR(LEFT($D257,5)="Solar",$D257="Wind"),INDEX(Land_Use[MAX],MATCH(LEFT($D257,5),Land_Use[Tech],0)),0)*$E257</f>
        <v>0</v>
      </c>
      <c r="N257" s="15">
        <f t="shared" si="84"/>
        <v>61.032631578947367</v>
      </c>
      <c r="O257" s="11">
        <f t="shared" si="85"/>
        <v>0</v>
      </c>
      <c r="P257" s="11">
        <f t="shared" si="86"/>
        <v>0</v>
      </c>
      <c r="Q257" s="11">
        <f t="shared" si="87"/>
        <v>0</v>
      </c>
      <c r="R257" s="11">
        <f t="shared" si="88"/>
        <v>0</v>
      </c>
      <c r="S257" s="30">
        <f t="shared" si="77"/>
        <v>0</v>
      </c>
      <c r="T257" s="30">
        <f t="shared" si="78"/>
        <v>0</v>
      </c>
      <c r="U257" s="30">
        <f t="shared" si="79"/>
        <v>0</v>
      </c>
      <c r="V257" s="30">
        <f t="shared" si="80"/>
        <v>0</v>
      </c>
      <c r="W257" s="30">
        <f t="shared" si="81"/>
        <v>0</v>
      </c>
      <c r="X257" s="30">
        <f t="shared" si="82"/>
        <v>0</v>
      </c>
      <c r="Z257" s="23" t="s">
        <v>76</v>
      </c>
      <c r="AA257" s="40" t="str">
        <f>IF(C257="Electricity",E257*SUMIFS(Electricity!S:S,Electricity!P:P,UserMade_Scenario!B257,Electricity!M:M,UserMade_Scenario!Z257,Electricity!O:O,UserMade_Scenario!D257),"")</f>
        <v/>
      </c>
      <c r="AB257" s="76">
        <f>1000*Assumptions!$B$17/1000000000000</f>
        <v>1.1999999999999999E-7</v>
      </c>
      <c r="AC257" s="67" t="s">
        <v>77</v>
      </c>
      <c r="AD257" s="39">
        <f>SUMIFS(Hydrogen!AK:AK,Hydrogen!$AA:$AA,UserMade_Scenario!$Z257,Hydrogen!$Y:$Y,UserMade_Scenario!$D257,Hydrogen!$AB:$AB,UserMade_Scenario!$B257,Hydrogen!$Z:$Z,UserMade_Scenario!$C257)</f>
        <v>-24.691583909350094</v>
      </c>
      <c r="AE257" s="39">
        <f>SUMIFS(Hydrogen!AL:AL,Hydrogen!$AA:$AA,UserMade_Scenario!$Z257,Hydrogen!$Y:$Y,UserMade_Scenario!$D257,Hydrogen!$AB:$AB,UserMade_Scenario!$B257,Hydrogen!$Z:$Z,UserMade_Scenario!$C257)</f>
        <v>-22.330458003621942</v>
      </c>
      <c r="AF257" s="39">
        <f>SUMIFS(Hydrogen!AM:AM,Hydrogen!$AA:$AA,UserMade_Scenario!$Z257,Hydrogen!$Y:$Y,UserMade_Scenario!$D257,Hydrogen!$AB:$AB,UserMade_Scenario!$B257,Hydrogen!$Z:$Z,UserMade_Scenario!$C257)</f>
        <v>-27.052709815078245</v>
      </c>
      <c r="AG257" s="68">
        <f>IFERROR(INDEX(WaterUseH2[Average Direct Water Consumption (Gal/ kg h2)],MATCH(LEFT(D257,3),WaterUseH2[Key],0)),0)</f>
        <v>2.8</v>
      </c>
      <c r="AH257">
        <v>14</v>
      </c>
      <c r="AI257">
        <v>1.4</v>
      </c>
      <c r="AJ257">
        <v>250</v>
      </c>
      <c r="AK257">
        <v>0.31</v>
      </c>
      <c r="AL257" s="63">
        <f>IFERROR(INDEX(Job_Training[[Solar]:[Wind]],MATCH(AL$1,Job_Training[[`Typical Entry Level Education`]:[`Typical Entry Level Education`]],0),MATCH(LEFT($D257,5),Job_Training[[#Headers],[Solar]:[Wind]],0)),0)</f>
        <v>0</v>
      </c>
      <c r="AM257" s="63">
        <f>IFERROR(INDEX(Job_Training[[Solar]:[Wind]],MATCH(AM$1,Job_Training[[`Typical Entry Level Education`]:[`Typical Entry Level Education`]],0),MATCH(LEFT($D257,5),Job_Training[[#Headers],[Solar]:[Wind]],0)),0)</f>
        <v>0</v>
      </c>
      <c r="AN257" s="63">
        <f>IFERROR(INDEX(Job_Training[[Solar]:[Wind]],MATCH(AN$1,Job_Training[[`Typical Entry Level Education`]:[`Typical Entry Level Education`]],0),MATCH(LEFT($D257,5),Job_Training[[#Headers],[Solar]:[Wind]],0)),0)</f>
        <v>0</v>
      </c>
      <c r="AO257" s="63">
        <f>IFERROR(INDEX(Job_Training[[Solar]:[Wind]],MATCH(AO$1,Job_Training[[`Typical Entry Level Education`]:[`Typical Entry Level Education`]],0),MATCH(LEFT($D257,5),Job_Training[[#Headers],[Solar]:[Wind]],0)),0)</f>
        <v>0</v>
      </c>
      <c r="AP257">
        <f t="shared" si="83"/>
        <v>0</v>
      </c>
      <c r="AQ257" s="63">
        <f>IF(AP257&gt;0,IFERROR(INDEX(Assumptions!$C$165:$D$165,MATCH(LEFT($D257,5),Job_Training[[#Headers],[Solar]:[Wind]],0)),0),0)</f>
        <v>0</v>
      </c>
      <c r="AR257">
        <f>IF(AP257&gt;0,IFERROR(INDEX(Assumptions!$C$166:$D$166,MATCH(LEFT($D257,5),Job_Training[[#Headers],[Solar]:[Wind]],0)),0),0)</f>
        <v>0</v>
      </c>
    </row>
    <row r="258" spans="1:44" hidden="1" x14ac:dyDescent="0.35">
      <c r="A258" t="str">
        <f>UserInput!$B$30</f>
        <v>State Policy Aligned</v>
      </c>
      <c r="B258">
        <v>2029</v>
      </c>
      <c r="C258" s="16" t="s">
        <v>73</v>
      </c>
      <c r="D258" t="s">
        <v>74</v>
      </c>
      <c r="E258" s="66">
        <f>INDEX(UserInput!$C$30:$M$50,MATCH(UserMade_Scenario!B258,UserInput!$A$30:$A$50,0),MATCH(LEFT(IF(RIGHT(C258,2)="H2",UserMade_Scenario!C258,D258),3),UserInput!$C$25:$M$25,0))</f>
        <v>27221.05263157895</v>
      </c>
      <c r="F258" s="14" t="s">
        <v>75</v>
      </c>
      <c r="G258" s="14">
        <f t="shared" si="90"/>
        <v>3.2665263157894736E-3</v>
      </c>
      <c r="H258" s="63">
        <f t="shared" si="91"/>
        <v>7.8878698001844896E-2</v>
      </c>
      <c r="I258" s="63">
        <f t="shared" si="92"/>
        <v>6.938900747932053E-2</v>
      </c>
      <c r="J258" s="63">
        <f t="shared" si="93"/>
        <v>8.8368388524369276E-2</v>
      </c>
      <c r="K258" s="30">
        <f>IF(OR(LEFT($D258,5)="Solar",$D258="Wind"),INDEX(Land_Use[AVG],MATCH(LEFT($D258,5),Land_Use[Tech],0)),0)*$E258</f>
        <v>0</v>
      </c>
      <c r="L258" s="30">
        <f>IF(OR(LEFT($D258,5)="Solar",$D258="Wind"),INDEX(Land_Use[MIN],MATCH(LEFT($D258,5),Land_Use[Tech],0)),0)*$E258</f>
        <v>0</v>
      </c>
      <c r="M258" s="30">
        <f>IF(OR(LEFT($D258,5)="Solar",$D258="Wind"),INDEX(Land_Use[MAX],MATCH(LEFT($D258,5),Land_Use[Tech],0)),0)*$E258</f>
        <v>0</v>
      </c>
      <c r="N258" s="15">
        <f t="shared" si="84"/>
        <v>76.218947368421041</v>
      </c>
      <c r="O258" s="11">
        <f t="shared" si="85"/>
        <v>0</v>
      </c>
      <c r="P258" s="11">
        <f t="shared" si="86"/>
        <v>0</v>
      </c>
      <c r="Q258" s="11">
        <f t="shared" si="87"/>
        <v>0</v>
      </c>
      <c r="R258" s="11">
        <f t="shared" si="88"/>
        <v>0</v>
      </c>
      <c r="S258" s="30">
        <f t="shared" si="77"/>
        <v>0</v>
      </c>
      <c r="T258" s="30">
        <f t="shared" si="78"/>
        <v>0</v>
      </c>
      <c r="U258" s="30">
        <f t="shared" si="79"/>
        <v>0</v>
      </c>
      <c r="V258" s="30">
        <f t="shared" si="80"/>
        <v>0</v>
      </c>
      <c r="W258" s="30">
        <f t="shared" si="81"/>
        <v>0</v>
      </c>
      <c r="X258" s="30">
        <f t="shared" si="82"/>
        <v>0</v>
      </c>
      <c r="Z258" s="23" t="s">
        <v>76</v>
      </c>
      <c r="AA258" s="40" t="str">
        <f>IF(C258="Electricity",E258*SUMIFS(Electricity!S:S,Electricity!P:P,UserMade_Scenario!B258,Electricity!M:M,UserMade_Scenario!Z258,Electricity!O:O,UserMade_Scenario!D258),"")</f>
        <v/>
      </c>
      <c r="AB258" s="76">
        <f>1000*Assumptions!$B$17/1000000000000</f>
        <v>1.1999999999999999E-7</v>
      </c>
      <c r="AC258" s="67" t="s">
        <v>77</v>
      </c>
      <c r="AD258" s="39">
        <f>SUMIFS(Hydrogen!AK:AK,Hydrogen!$AA:$AA,UserMade_Scenario!$Z258,Hydrogen!$Y:$Y,UserMade_Scenario!$D258,Hydrogen!$AB:$AB,UserMade_Scenario!$B258,Hydrogen!$Z:$Z,UserMade_Scenario!$C258)</f>
        <v>-24.147577694558088</v>
      </c>
      <c r="AE258" s="39">
        <f>SUMIFS(Hydrogen!AL:AL,Hydrogen!$AA:$AA,UserMade_Scenario!$Z258,Hydrogen!$Y:$Y,UserMade_Scenario!$D258,Hydrogen!$AB:$AB,UserMade_Scenario!$B258,Hydrogen!$Z:$Z,UserMade_Scenario!$C258)</f>
        <v>-21.24244557403793</v>
      </c>
      <c r="AF258" s="39">
        <f>SUMIFS(Hydrogen!AM:AM,Hydrogen!$AA:$AA,UserMade_Scenario!$Z258,Hydrogen!$Y:$Y,UserMade_Scenario!$D258,Hydrogen!$AB:$AB,UserMade_Scenario!$B258,Hydrogen!$Z:$Z,UserMade_Scenario!$C258)</f>
        <v>-27.052709815078245</v>
      </c>
      <c r="AG258" s="68">
        <f>IFERROR(INDEX(WaterUseH2[Average Direct Water Consumption (Gal/ kg h2)],MATCH(LEFT(D258,3),WaterUseH2[Key],0)),0)</f>
        <v>2.8</v>
      </c>
      <c r="AH258">
        <v>14</v>
      </c>
      <c r="AI258">
        <v>1.4</v>
      </c>
      <c r="AJ258">
        <v>250</v>
      </c>
      <c r="AK258">
        <v>0.31</v>
      </c>
      <c r="AL258" s="63">
        <f>IFERROR(INDEX(Job_Training[[Solar]:[Wind]],MATCH(AL$1,Job_Training[[`Typical Entry Level Education`]:[`Typical Entry Level Education`]],0),MATCH(LEFT($D258,5),Job_Training[[#Headers],[Solar]:[Wind]],0)),0)</f>
        <v>0</v>
      </c>
      <c r="AM258" s="63">
        <f>IFERROR(INDEX(Job_Training[[Solar]:[Wind]],MATCH(AM$1,Job_Training[[`Typical Entry Level Education`]:[`Typical Entry Level Education`]],0),MATCH(LEFT($D258,5),Job_Training[[#Headers],[Solar]:[Wind]],0)),0)</f>
        <v>0</v>
      </c>
      <c r="AN258" s="63">
        <f>IFERROR(INDEX(Job_Training[[Solar]:[Wind]],MATCH(AN$1,Job_Training[[`Typical Entry Level Education`]:[`Typical Entry Level Education`]],0),MATCH(LEFT($D258,5),Job_Training[[#Headers],[Solar]:[Wind]],0)),0)</f>
        <v>0</v>
      </c>
      <c r="AO258" s="63">
        <f>IFERROR(INDEX(Job_Training[[Solar]:[Wind]],MATCH(AO$1,Job_Training[[`Typical Entry Level Education`]:[`Typical Entry Level Education`]],0),MATCH(LEFT($D258,5),Job_Training[[#Headers],[Solar]:[Wind]],0)),0)</f>
        <v>0</v>
      </c>
      <c r="AP258">
        <f t="shared" si="83"/>
        <v>0</v>
      </c>
      <c r="AQ258" s="63">
        <f>IF(AP258&gt;0,IFERROR(INDEX(Assumptions!$C$165:$D$165,MATCH(LEFT($D258,5),Job_Training[[#Headers],[Solar]:[Wind]],0)),0),0)</f>
        <v>0</v>
      </c>
      <c r="AR258">
        <f>IF(AP258&gt;0,IFERROR(INDEX(Assumptions!$C$166:$D$166,MATCH(LEFT($D258,5),Job_Training[[#Headers],[Solar]:[Wind]],0)),0),0)</f>
        <v>0</v>
      </c>
    </row>
    <row r="259" spans="1:44" hidden="1" x14ac:dyDescent="0.35">
      <c r="A259" t="str">
        <f>UserInput!$B$30</f>
        <v>State Policy Aligned</v>
      </c>
      <c r="B259">
        <v>2030</v>
      </c>
      <c r="C259" s="16" t="s">
        <v>73</v>
      </c>
      <c r="D259" t="s">
        <v>74</v>
      </c>
      <c r="E259" s="66">
        <f>INDEX(UserInput!$C$30:$M$50,MATCH(UserMade_Scenario!B259,UserInput!$A$30:$A$50,0),MATCH(LEFT(IF(RIGHT(C259,2)="H2",UserMade_Scenario!C259,D259),3),UserInput!$C$25:$M$25,0))</f>
        <v>32644.736842105267</v>
      </c>
      <c r="F259" s="14" t="s">
        <v>75</v>
      </c>
      <c r="G259" s="14">
        <f t="shared" si="90"/>
        <v>3.9173684210526321E-3</v>
      </c>
      <c r="H259" s="63">
        <f t="shared" si="91"/>
        <v>9.2165196706340366E-2</v>
      </c>
      <c r="I259" s="63">
        <f t="shared" si="92"/>
        <v>7.8354962279192614E-2</v>
      </c>
      <c r="J259" s="63">
        <f t="shared" si="93"/>
        <v>0.1059754311334881</v>
      </c>
      <c r="K259" s="30">
        <f>IF(OR(LEFT($D259,5)="Solar",$D259="Wind"),INDEX(Land_Use[AVG],MATCH(LEFT($D259,5),Land_Use[Tech],0)),0)*$E259</f>
        <v>0</v>
      </c>
      <c r="L259" s="30">
        <f>IF(OR(LEFT($D259,5)="Solar",$D259="Wind"),INDEX(Land_Use[MIN],MATCH(LEFT($D259,5),Land_Use[Tech],0)),0)*$E259</f>
        <v>0</v>
      </c>
      <c r="M259" s="30">
        <f>IF(OR(LEFT($D259,5)="Solar",$D259="Wind"),INDEX(Land_Use[MAX],MATCH(LEFT($D259,5),Land_Use[Tech],0)),0)*$E259</f>
        <v>0</v>
      </c>
      <c r="N259" s="15">
        <f t="shared" si="84"/>
        <v>91.405263157894751</v>
      </c>
      <c r="O259" s="11">
        <f t="shared" si="85"/>
        <v>0</v>
      </c>
      <c r="P259" s="11">
        <f t="shared" si="86"/>
        <v>0</v>
      </c>
      <c r="Q259" s="11">
        <f t="shared" si="87"/>
        <v>0</v>
      </c>
      <c r="R259" s="11">
        <f t="shared" si="88"/>
        <v>0</v>
      </c>
      <c r="S259" s="30">
        <f t="shared" ref="S259:S322" si="94">MAX($AP259*AL259,0)</f>
        <v>0</v>
      </c>
      <c r="T259" s="30">
        <f t="shared" ref="T259:T322" si="95">MAX($AP259*AM259,0)</f>
        <v>0</v>
      </c>
      <c r="U259" s="30">
        <f t="shared" ref="U259:U322" si="96">MAX($AP259*AN259,0)</f>
        <v>0</v>
      </c>
      <c r="V259" s="30">
        <f t="shared" ref="V259:V322" si="97">MAX($AP259*AO259,0)</f>
        <v>0</v>
      </c>
      <c r="W259" s="30">
        <f t="shared" ref="W259:W322" si="98">$AP259*AQ259</f>
        <v>0</v>
      </c>
      <c r="X259" s="30">
        <f t="shared" ref="X259:X322" si="99">$AP259*AR259</f>
        <v>0</v>
      </c>
      <c r="Z259" s="23" t="s">
        <v>76</v>
      </c>
      <c r="AA259" s="40" t="str">
        <f>IF(C259="Electricity",E259*SUMIFS(Electricity!S:S,Electricity!P:P,UserMade_Scenario!B259,Electricity!M:M,UserMade_Scenario!Z259,Electricity!O:O,UserMade_Scenario!D259),"")</f>
        <v/>
      </c>
      <c r="AB259" s="76">
        <f>1000*Assumptions!$B$17/1000000000000</f>
        <v>1.1999999999999999E-7</v>
      </c>
      <c r="AC259" s="67" t="s">
        <v>77</v>
      </c>
      <c r="AD259" s="39">
        <f>SUMIFS(Hydrogen!AK:AK,Hydrogen!$AA:$AA,UserMade_Scenario!$Z259,Hydrogen!$Y:$Y,UserMade_Scenario!$D259,Hydrogen!$AB:$AB,UserMade_Scenario!$B259,Hydrogen!$Z:$Z,UserMade_Scenario!$C259)</f>
        <v>-23.527324162575127</v>
      </c>
      <c r="AE259" s="39">
        <f>SUMIFS(Hydrogen!AL:AL,Hydrogen!$AA:$AA,UserMade_Scenario!$Z259,Hydrogen!$Y:$Y,UserMade_Scenario!$D259,Hydrogen!$AB:$AB,UserMade_Scenario!$B259,Hydrogen!$Z:$Z,UserMade_Scenario!$C259)</f>
        <v>-20.001938510072009</v>
      </c>
      <c r="AF259" s="39">
        <f>SUMIFS(Hydrogen!AM:AM,Hydrogen!$AA:$AA,UserMade_Scenario!$Z259,Hydrogen!$Y:$Y,UserMade_Scenario!$D259,Hydrogen!$AB:$AB,UserMade_Scenario!$B259,Hydrogen!$Z:$Z,UserMade_Scenario!$C259)</f>
        <v>-27.052709815078245</v>
      </c>
      <c r="AG259" s="68">
        <f>IFERROR(INDEX(WaterUseH2[Average Direct Water Consumption (Gal/ kg h2)],MATCH(LEFT(D259,3),WaterUseH2[Key],0)),0)</f>
        <v>2.8</v>
      </c>
      <c r="AH259">
        <v>14</v>
      </c>
      <c r="AI259">
        <v>1.4</v>
      </c>
      <c r="AJ259">
        <v>250</v>
      </c>
      <c r="AK259">
        <v>0.31</v>
      </c>
      <c r="AL259" s="63">
        <f>IFERROR(INDEX(Job_Training[[Solar]:[Wind]],MATCH(AL$1,Job_Training[[`Typical Entry Level Education`]:[`Typical Entry Level Education`]],0),MATCH(LEFT($D259,5),Job_Training[[#Headers],[Solar]:[Wind]],0)),0)</f>
        <v>0</v>
      </c>
      <c r="AM259" s="63">
        <f>IFERROR(INDEX(Job_Training[[Solar]:[Wind]],MATCH(AM$1,Job_Training[[`Typical Entry Level Education`]:[`Typical Entry Level Education`]],0),MATCH(LEFT($D259,5),Job_Training[[#Headers],[Solar]:[Wind]],0)),0)</f>
        <v>0</v>
      </c>
      <c r="AN259" s="63">
        <f>IFERROR(INDEX(Job_Training[[Solar]:[Wind]],MATCH(AN$1,Job_Training[[`Typical Entry Level Education`]:[`Typical Entry Level Education`]],0),MATCH(LEFT($D259,5),Job_Training[[#Headers],[Solar]:[Wind]],0)),0)</f>
        <v>0</v>
      </c>
      <c r="AO259" s="63">
        <f>IFERROR(INDEX(Job_Training[[Solar]:[Wind]],MATCH(AO$1,Job_Training[[`Typical Entry Level Education`]:[`Typical Entry Level Education`]],0),MATCH(LEFT($D259,5),Job_Training[[#Headers],[Solar]:[Wind]],0)),0)</f>
        <v>0</v>
      </c>
      <c r="AP259">
        <f t="shared" ref="AP259:AP322" si="100">IF(OR($C259="Electricity",$D259="Solar (Off-Grid)"),IF($B259=2025,$E259,$E259-$E258),0)</f>
        <v>0</v>
      </c>
      <c r="AQ259" s="63">
        <f>IF(AP259&gt;0,IFERROR(INDEX(Assumptions!$C$165:$D$165,MATCH(LEFT($D259,5),Job_Training[[#Headers],[Solar]:[Wind]],0)),0),0)</f>
        <v>0</v>
      </c>
      <c r="AR259">
        <f>IF(AP259&gt;0,IFERROR(INDEX(Assumptions!$C$166:$D$166,MATCH(LEFT($D259,5),Job_Training[[#Headers],[Solar]:[Wind]],0)),0),0)</f>
        <v>0</v>
      </c>
    </row>
    <row r="260" spans="1:44" hidden="1" x14ac:dyDescent="0.35">
      <c r="A260" t="str">
        <f>UserInput!$B$30</f>
        <v>State Policy Aligned</v>
      </c>
      <c r="B260">
        <v>2031</v>
      </c>
      <c r="C260" s="16" t="s">
        <v>73</v>
      </c>
      <c r="D260" t="s">
        <v>74</v>
      </c>
      <c r="E260" s="66">
        <f>INDEX(UserInput!$C$30:$M$50,MATCH(UserMade_Scenario!B260,UserInput!$A$30:$A$50,0),MATCH(LEFT(IF(RIGHT(C260,2)="H2",UserMade_Scenario!C260,D260),3),UserInput!$C$25:$M$25,0))</f>
        <v>38068.42105263158</v>
      </c>
      <c r="F260" s="14" t="s">
        <v>75</v>
      </c>
      <c r="G260" s="14">
        <f t="shared" si="90"/>
        <v>4.5682105263157892E-3</v>
      </c>
      <c r="H260" s="63">
        <f t="shared" si="91"/>
        <v>0.1042583834713405</v>
      </c>
      <c r="I260" s="63">
        <f t="shared" si="92"/>
        <v>8.4934293200074118E-2</v>
      </c>
      <c r="J260" s="63">
        <f t="shared" si="93"/>
        <v>0.1235824737426069</v>
      </c>
      <c r="K260" s="30">
        <f>IF(OR(LEFT($D260,5)="Solar",$D260="Wind"),INDEX(Land_Use[AVG],MATCH(LEFT($D260,5),Land_Use[Tech],0)),0)*$E260</f>
        <v>0</v>
      </c>
      <c r="L260" s="30">
        <f>IF(OR(LEFT($D260,5)="Solar",$D260="Wind"),INDEX(Land_Use[MIN],MATCH(LEFT($D260,5),Land_Use[Tech],0)),0)*$E260</f>
        <v>0</v>
      </c>
      <c r="M260" s="30">
        <f>IF(OR(LEFT($D260,5)="Solar",$D260="Wind"),INDEX(Land_Use[MAX],MATCH(LEFT($D260,5),Land_Use[Tech],0)),0)*$E260</f>
        <v>0</v>
      </c>
      <c r="N260" s="15">
        <f t="shared" si="84"/>
        <v>106.59157894736842</v>
      </c>
      <c r="O260" s="11">
        <f t="shared" si="85"/>
        <v>0</v>
      </c>
      <c r="P260" s="11">
        <f t="shared" si="86"/>
        <v>0</v>
      </c>
      <c r="Q260" s="11">
        <f t="shared" si="87"/>
        <v>0</v>
      </c>
      <c r="R260" s="11">
        <f t="shared" si="88"/>
        <v>0</v>
      </c>
      <c r="S260" s="30">
        <f t="shared" si="94"/>
        <v>0</v>
      </c>
      <c r="T260" s="30">
        <f t="shared" si="95"/>
        <v>0</v>
      </c>
      <c r="U260" s="30">
        <f t="shared" si="96"/>
        <v>0</v>
      </c>
      <c r="V260" s="30">
        <f t="shared" si="97"/>
        <v>0</v>
      </c>
      <c r="W260" s="30">
        <f t="shared" si="98"/>
        <v>0</v>
      </c>
      <c r="X260" s="30">
        <f t="shared" si="99"/>
        <v>0</v>
      </c>
      <c r="Z260" s="23" t="s">
        <v>76</v>
      </c>
      <c r="AA260" s="40" t="str">
        <f>IF(C260="Electricity",E260*SUMIFS(Electricity!S:S,Electricity!P:P,UserMade_Scenario!B260,Electricity!M:M,UserMade_Scenario!Z260,Electricity!O:O,UserMade_Scenario!D260),"")</f>
        <v/>
      </c>
      <c r="AB260" s="76">
        <f>1000*Assumptions!$B$17/1000000000000</f>
        <v>1.1999999999999999E-7</v>
      </c>
      <c r="AC260" s="67" t="s">
        <v>77</v>
      </c>
      <c r="AD260" s="39">
        <f>SUMIFS(Hydrogen!AK:AK,Hydrogen!$AA:$AA,UserMade_Scenario!$Z260,Hydrogen!$Y:$Y,UserMade_Scenario!$D260,Hydrogen!$AB:$AB,UserMade_Scenario!$B260,Hydrogen!$Z:$Z,UserMade_Scenario!$C260)</f>
        <v>-22.822587284615302</v>
      </c>
      <c r="AE260" s="39">
        <f>SUMIFS(Hydrogen!AL:AL,Hydrogen!$AA:$AA,UserMade_Scenario!$Z260,Hydrogen!$Y:$Y,UserMade_Scenario!$D260,Hydrogen!$AB:$AB,UserMade_Scenario!$B260,Hydrogen!$Z:$Z,UserMade_Scenario!$C260)</f>
        <v>-18.59246475415236</v>
      </c>
      <c r="AF260" s="39">
        <f>SUMIFS(Hydrogen!AM:AM,Hydrogen!$AA:$AA,UserMade_Scenario!$Z260,Hydrogen!$Y:$Y,UserMade_Scenario!$D260,Hydrogen!$AB:$AB,UserMade_Scenario!$B260,Hydrogen!$Z:$Z,UserMade_Scenario!$C260)</f>
        <v>-27.052709815078245</v>
      </c>
      <c r="AG260" s="68">
        <f>IFERROR(INDEX(WaterUseH2[Average Direct Water Consumption (Gal/ kg h2)],MATCH(LEFT(D260,3),WaterUseH2[Key],0)),0)</f>
        <v>2.8</v>
      </c>
      <c r="AH260">
        <v>14</v>
      </c>
      <c r="AI260">
        <v>1.4</v>
      </c>
      <c r="AJ260">
        <v>250</v>
      </c>
      <c r="AK260">
        <v>0.31</v>
      </c>
      <c r="AL260" s="63">
        <f>IFERROR(INDEX(Job_Training[[Solar]:[Wind]],MATCH(AL$1,Job_Training[[`Typical Entry Level Education`]:[`Typical Entry Level Education`]],0),MATCH(LEFT($D260,5),Job_Training[[#Headers],[Solar]:[Wind]],0)),0)</f>
        <v>0</v>
      </c>
      <c r="AM260" s="63">
        <f>IFERROR(INDEX(Job_Training[[Solar]:[Wind]],MATCH(AM$1,Job_Training[[`Typical Entry Level Education`]:[`Typical Entry Level Education`]],0),MATCH(LEFT($D260,5),Job_Training[[#Headers],[Solar]:[Wind]],0)),0)</f>
        <v>0</v>
      </c>
      <c r="AN260" s="63">
        <f>IFERROR(INDEX(Job_Training[[Solar]:[Wind]],MATCH(AN$1,Job_Training[[`Typical Entry Level Education`]:[`Typical Entry Level Education`]],0),MATCH(LEFT($D260,5),Job_Training[[#Headers],[Solar]:[Wind]],0)),0)</f>
        <v>0</v>
      </c>
      <c r="AO260" s="63">
        <f>IFERROR(INDEX(Job_Training[[Solar]:[Wind]],MATCH(AO$1,Job_Training[[`Typical Entry Level Education`]:[`Typical Entry Level Education`]],0),MATCH(LEFT($D260,5),Job_Training[[#Headers],[Solar]:[Wind]],0)),0)</f>
        <v>0</v>
      </c>
      <c r="AP260">
        <f t="shared" si="100"/>
        <v>0</v>
      </c>
      <c r="AQ260" s="63">
        <f>IF(AP260&gt;0,IFERROR(INDEX(Assumptions!$C$165:$D$165,MATCH(LEFT($D260,5),Job_Training[[#Headers],[Solar]:[Wind]],0)),0),0)</f>
        <v>0</v>
      </c>
      <c r="AR260">
        <f>IF(AP260&gt;0,IFERROR(INDEX(Assumptions!$C$166:$D$166,MATCH(LEFT($D260,5),Job_Training[[#Headers],[Solar]:[Wind]],0)),0),0)</f>
        <v>0</v>
      </c>
    </row>
    <row r="261" spans="1:44" hidden="1" x14ac:dyDescent="0.35">
      <c r="A261" t="str">
        <f>UserInput!$B$30</f>
        <v>State Policy Aligned</v>
      </c>
      <c r="B261">
        <v>2032</v>
      </c>
      <c r="C261" s="16" t="s">
        <v>73</v>
      </c>
      <c r="D261" t="s">
        <v>74</v>
      </c>
      <c r="E261" s="66">
        <f>INDEX(UserInput!$C$30:$M$50,MATCH(UserMade_Scenario!B261,UserInput!$A$30:$A$50,0),MATCH(LEFT(IF(RIGHT(C261,2)="H2",UserMade_Scenario!C261,D261),3),UserInput!$C$25:$M$25,0))</f>
        <v>43492.105263157893</v>
      </c>
      <c r="F261" s="14" t="s">
        <v>75</v>
      </c>
      <c r="G261" s="14">
        <f t="shared" si="90"/>
        <v>5.2190526315789463E-3</v>
      </c>
      <c r="H261" s="63">
        <f t="shared" si="91"/>
        <v>0.11499620259376901</v>
      </c>
      <c r="I261" s="63">
        <f t="shared" si="92"/>
        <v>8.8802888835812319E-2</v>
      </c>
      <c r="J261" s="63">
        <f t="shared" si="93"/>
        <v>0.14118951635172569</v>
      </c>
      <c r="K261" s="30">
        <f>IF(OR(LEFT($D261,5)="Solar",$D261="Wind"),INDEX(Land_Use[AVG],MATCH(LEFT($D261,5),Land_Use[Tech],0)),0)*$E261</f>
        <v>0</v>
      </c>
      <c r="L261" s="30">
        <f>IF(OR(LEFT($D261,5)="Solar",$D261="Wind"),INDEX(Land_Use[MIN],MATCH(LEFT($D261,5),Land_Use[Tech],0)),0)*$E261</f>
        <v>0</v>
      </c>
      <c r="M261" s="30">
        <f>IF(OR(LEFT($D261,5)="Solar",$D261="Wind"),INDEX(Land_Use[MAX],MATCH(LEFT($D261,5),Land_Use[Tech],0)),0)*$E261</f>
        <v>0</v>
      </c>
      <c r="N261" s="15">
        <f t="shared" si="84"/>
        <v>121.7778947368421</v>
      </c>
      <c r="O261" s="11">
        <f t="shared" si="85"/>
        <v>0</v>
      </c>
      <c r="P261" s="11">
        <f t="shared" si="86"/>
        <v>0</v>
      </c>
      <c r="Q261" s="11">
        <f t="shared" si="87"/>
        <v>0</v>
      </c>
      <c r="R261" s="11">
        <f t="shared" si="88"/>
        <v>0</v>
      </c>
      <c r="S261" s="30">
        <f t="shared" si="94"/>
        <v>0</v>
      </c>
      <c r="T261" s="30">
        <f t="shared" si="95"/>
        <v>0</v>
      </c>
      <c r="U261" s="30">
        <f t="shared" si="96"/>
        <v>0</v>
      </c>
      <c r="V261" s="30">
        <f t="shared" si="97"/>
        <v>0</v>
      </c>
      <c r="W261" s="30">
        <f t="shared" si="98"/>
        <v>0</v>
      </c>
      <c r="X261" s="30">
        <f t="shared" si="99"/>
        <v>0</v>
      </c>
      <c r="Z261" s="23" t="s">
        <v>76</v>
      </c>
      <c r="AA261" s="40" t="str">
        <f>IF(C261="Electricity",E261*SUMIFS(Electricity!S:S,Electricity!P:P,UserMade_Scenario!B261,Electricity!M:M,UserMade_Scenario!Z261,Electricity!O:O,UserMade_Scenario!D261),"")</f>
        <v/>
      </c>
      <c r="AB261" s="76">
        <f>1000*Assumptions!$B$17/1000000000000</f>
        <v>1.1999999999999999E-7</v>
      </c>
      <c r="AC261" s="67" t="s">
        <v>77</v>
      </c>
      <c r="AD261" s="39">
        <f>SUMIFS(Hydrogen!AK:AK,Hydrogen!$AA:$AA,UserMade_Scenario!$Z261,Hydrogen!$Y:$Y,UserMade_Scenario!$D261,Hydrogen!$AB:$AB,UserMade_Scenario!$B261,Hydrogen!$Z:$Z,UserMade_Scenario!$C261)</f>
        <v>-22.033922765591775</v>
      </c>
      <c r="AE261" s="39">
        <f>SUMIFS(Hydrogen!AL:AL,Hydrogen!$AA:$AA,UserMade_Scenario!$Z261,Hydrogen!$Y:$Y,UserMade_Scenario!$D261,Hydrogen!$AB:$AB,UserMade_Scenario!$B261,Hydrogen!$Z:$Z,UserMade_Scenario!$C261)</f>
        <v>-17.015135716105306</v>
      </c>
      <c r="AF261" s="39">
        <f>SUMIFS(Hydrogen!AM:AM,Hydrogen!$AA:$AA,UserMade_Scenario!$Z261,Hydrogen!$Y:$Y,UserMade_Scenario!$D261,Hydrogen!$AB:$AB,UserMade_Scenario!$B261,Hydrogen!$Z:$Z,UserMade_Scenario!$C261)</f>
        <v>-27.052709815078245</v>
      </c>
      <c r="AG261" s="68">
        <f>IFERROR(INDEX(WaterUseH2[Average Direct Water Consumption (Gal/ kg h2)],MATCH(LEFT(D261,3),WaterUseH2[Key],0)),0)</f>
        <v>2.8</v>
      </c>
      <c r="AH261">
        <v>14</v>
      </c>
      <c r="AI261">
        <v>1.4</v>
      </c>
      <c r="AJ261">
        <v>250</v>
      </c>
      <c r="AK261">
        <v>0.31</v>
      </c>
      <c r="AL261" s="63">
        <f>IFERROR(INDEX(Job_Training[[Solar]:[Wind]],MATCH(AL$1,Job_Training[[`Typical Entry Level Education`]:[`Typical Entry Level Education`]],0),MATCH(LEFT($D261,5),Job_Training[[#Headers],[Solar]:[Wind]],0)),0)</f>
        <v>0</v>
      </c>
      <c r="AM261" s="63">
        <f>IFERROR(INDEX(Job_Training[[Solar]:[Wind]],MATCH(AM$1,Job_Training[[`Typical Entry Level Education`]:[`Typical Entry Level Education`]],0),MATCH(LEFT($D261,5),Job_Training[[#Headers],[Solar]:[Wind]],0)),0)</f>
        <v>0</v>
      </c>
      <c r="AN261" s="63">
        <f>IFERROR(INDEX(Job_Training[[Solar]:[Wind]],MATCH(AN$1,Job_Training[[`Typical Entry Level Education`]:[`Typical Entry Level Education`]],0),MATCH(LEFT($D261,5),Job_Training[[#Headers],[Solar]:[Wind]],0)),0)</f>
        <v>0</v>
      </c>
      <c r="AO261" s="63">
        <f>IFERROR(INDEX(Job_Training[[Solar]:[Wind]],MATCH(AO$1,Job_Training[[`Typical Entry Level Education`]:[`Typical Entry Level Education`]],0),MATCH(LEFT($D261,5),Job_Training[[#Headers],[Solar]:[Wind]],0)),0)</f>
        <v>0</v>
      </c>
      <c r="AP261">
        <f t="shared" si="100"/>
        <v>0</v>
      </c>
      <c r="AQ261" s="63">
        <f>IF(AP261&gt;0,IFERROR(INDEX(Assumptions!$C$165:$D$165,MATCH(LEFT($D261,5),Job_Training[[#Headers],[Solar]:[Wind]],0)),0),0)</f>
        <v>0</v>
      </c>
      <c r="AR261">
        <f>IF(AP261&gt;0,IFERROR(INDEX(Assumptions!$C$166:$D$166,MATCH(LEFT($D261,5),Job_Training[[#Headers],[Solar]:[Wind]],0)),0),0)</f>
        <v>0</v>
      </c>
    </row>
    <row r="262" spans="1:44" hidden="1" x14ac:dyDescent="0.35">
      <c r="A262" t="str">
        <f>UserInput!$B$30</f>
        <v>State Policy Aligned</v>
      </c>
      <c r="B262">
        <v>2033</v>
      </c>
      <c r="C262" s="16" t="s">
        <v>73</v>
      </c>
      <c r="D262" t="s">
        <v>74</v>
      </c>
      <c r="E262" s="66">
        <f>INDEX(UserInput!$C$30:$M$50,MATCH(UserMade_Scenario!B262,UserInput!$A$30:$A$50,0),MATCH(LEFT(IF(RIGHT(C262,2)="H2",UserMade_Scenario!C262,D262),3),UserInput!$C$25:$M$25,0))</f>
        <v>48915.789473684206</v>
      </c>
      <c r="F262" s="14" t="s">
        <v>75</v>
      </c>
      <c r="G262" s="14">
        <f t="shared" si="90"/>
        <v>5.8698947368421043E-3</v>
      </c>
      <c r="H262" s="63">
        <f t="shared" si="91"/>
        <v>0.12402034383166394</v>
      </c>
      <c r="I262" s="63">
        <f t="shared" si="92"/>
        <v>8.9244128702483341E-2</v>
      </c>
      <c r="J262" s="63">
        <f t="shared" si="93"/>
        <v>0.15879655896084452</v>
      </c>
      <c r="K262" s="30">
        <f>IF(OR(LEFT($D262,5)="Solar",$D262="Wind"),INDEX(Land_Use[AVG],MATCH(LEFT($D262,5),Land_Use[Tech],0)),0)*$E262</f>
        <v>0</v>
      </c>
      <c r="L262" s="30">
        <f>IF(OR(LEFT($D262,5)="Solar",$D262="Wind"),INDEX(Land_Use[MIN],MATCH(LEFT($D262,5),Land_Use[Tech],0)),0)*$E262</f>
        <v>0</v>
      </c>
      <c r="M262" s="30">
        <f>IF(OR(LEFT($D262,5)="Solar",$D262="Wind"),INDEX(Land_Use[MAX],MATCH(LEFT($D262,5),Land_Use[Tech],0)),0)*$E262</f>
        <v>0</v>
      </c>
      <c r="N262" s="15">
        <f t="shared" si="84"/>
        <v>136.96421052631575</v>
      </c>
      <c r="O262" s="11">
        <f t="shared" si="85"/>
        <v>0</v>
      </c>
      <c r="P262" s="11">
        <f t="shared" si="86"/>
        <v>0</v>
      </c>
      <c r="Q262" s="11">
        <f t="shared" si="87"/>
        <v>0</v>
      </c>
      <c r="R262" s="11">
        <f t="shared" si="88"/>
        <v>0</v>
      </c>
      <c r="S262" s="30">
        <f t="shared" si="94"/>
        <v>0</v>
      </c>
      <c r="T262" s="30">
        <f t="shared" si="95"/>
        <v>0</v>
      </c>
      <c r="U262" s="30">
        <f t="shared" si="96"/>
        <v>0</v>
      </c>
      <c r="V262" s="30">
        <f t="shared" si="97"/>
        <v>0</v>
      </c>
      <c r="W262" s="30">
        <f t="shared" si="98"/>
        <v>0</v>
      </c>
      <c r="X262" s="30">
        <f t="shared" si="99"/>
        <v>0</v>
      </c>
      <c r="Z262" s="23" t="s">
        <v>76</v>
      </c>
      <c r="AA262" s="40" t="str">
        <f>IF(C262="Electricity",E262*SUMIFS(Electricity!S:S,Electricity!P:P,UserMade_Scenario!B262,Electricity!M:M,UserMade_Scenario!Z262,Electricity!O:O,UserMade_Scenario!D262),"")</f>
        <v/>
      </c>
      <c r="AB262" s="76">
        <f>1000*Assumptions!$B$17/1000000000000</f>
        <v>1.1999999999999999E-7</v>
      </c>
      <c r="AC262" s="67" t="s">
        <v>77</v>
      </c>
      <c r="AD262" s="39">
        <f>SUMIFS(Hydrogen!AK:AK,Hydrogen!$AA:$AA,UserMade_Scenario!$Z262,Hydrogen!$Y:$Y,UserMade_Scenario!$D262,Hydrogen!$AB:$AB,UserMade_Scenario!$B262,Hydrogen!$Z:$Z,UserMade_Scenario!$C262)</f>
        <v>-21.128205767176091</v>
      </c>
      <c r="AE262" s="39">
        <f>SUMIFS(Hydrogen!AL:AL,Hydrogen!$AA:$AA,UserMade_Scenario!$Z262,Hydrogen!$Y:$Y,UserMade_Scenario!$D262,Hydrogen!$AB:$AB,UserMade_Scenario!$B262,Hydrogen!$Z:$Z,UserMade_Scenario!$C262)</f>
        <v>-15.203701719273937</v>
      </c>
      <c r="AF262" s="39">
        <f>SUMIFS(Hydrogen!AM:AM,Hydrogen!$AA:$AA,UserMade_Scenario!$Z262,Hydrogen!$Y:$Y,UserMade_Scenario!$D262,Hydrogen!$AB:$AB,UserMade_Scenario!$B262,Hydrogen!$Z:$Z,UserMade_Scenario!$C262)</f>
        <v>-27.052709815078245</v>
      </c>
      <c r="AG262" s="68">
        <f>IFERROR(INDEX(WaterUseH2[Average Direct Water Consumption (Gal/ kg h2)],MATCH(LEFT(D262,3),WaterUseH2[Key],0)),0)</f>
        <v>2.8</v>
      </c>
      <c r="AH262">
        <v>14</v>
      </c>
      <c r="AI262">
        <v>1.4</v>
      </c>
      <c r="AJ262">
        <v>250</v>
      </c>
      <c r="AK262">
        <v>0.31</v>
      </c>
      <c r="AL262" s="63">
        <f>IFERROR(INDEX(Job_Training[[Solar]:[Wind]],MATCH(AL$1,Job_Training[[`Typical Entry Level Education`]:[`Typical Entry Level Education`]],0),MATCH(LEFT($D262,5),Job_Training[[#Headers],[Solar]:[Wind]],0)),0)</f>
        <v>0</v>
      </c>
      <c r="AM262" s="63">
        <f>IFERROR(INDEX(Job_Training[[Solar]:[Wind]],MATCH(AM$1,Job_Training[[`Typical Entry Level Education`]:[`Typical Entry Level Education`]],0),MATCH(LEFT($D262,5),Job_Training[[#Headers],[Solar]:[Wind]],0)),0)</f>
        <v>0</v>
      </c>
      <c r="AN262" s="63">
        <f>IFERROR(INDEX(Job_Training[[Solar]:[Wind]],MATCH(AN$1,Job_Training[[`Typical Entry Level Education`]:[`Typical Entry Level Education`]],0),MATCH(LEFT($D262,5),Job_Training[[#Headers],[Solar]:[Wind]],0)),0)</f>
        <v>0</v>
      </c>
      <c r="AO262" s="63">
        <f>IFERROR(INDEX(Job_Training[[Solar]:[Wind]],MATCH(AO$1,Job_Training[[`Typical Entry Level Education`]:[`Typical Entry Level Education`]],0),MATCH(LEFT($D262,5),Job_Training[[#Headers],[Solar]:[Wind]],0)),0)</f>
        <v>0</v>
      </c>
      <c r="AP262">
        <f t="shared" si="100"/>
        <v>0</v>
      </c>
      <c r="AQ262" s="63">
        <f>IF(AP262&gt;0,IFERROR(INDEX(Assumptions!$C$165:$D$165,MATCH(LEFT($D262,5),Job_Training[[#Headers],[Solar]:[Wind]],0)),0),0)</f>
        <v>0</v>
      </c>
      <c r="AR262">
        <f>IF(AP262&gt;0,IFERROR(INDEX(Assumptions!$C$166:$D$166,MATCH(LEFT($D262,5),Job_Training[[#Headers],[Solar]:[Wind]],0)),0),0)</f>
        <v>0</v>
      </c>
    </row>
    <row r="263" spans="1:44" hidden="1" x14ac:dyDescent="0.35">
      <c r="A263" t="str">
        <f>UserInput!$B$30</f>
        <v>State Policy Aligned</v>
      </c>
      <c r="B263">
        <v>2034</v>
      </c>
      <c r="C263" s="16" t="s">
        <v>73</v>
      </c>
      <c r="D263" t="s">
        <v>74</v>
      </c>
      <c r="E263" s="66">
        <f>INDEX(UserInput!$C$30:$M$50,MATCH(UserMade_Scenario!B263,UserInput!$A$30:$A$50,0),MATCH(LEFT(IF(RIGHT(C263,2)="H2",UserMade_Scenario!C263,D263),3),UserInput!$C$25:$M$25,0))</f>
        <v>54339.473684210519</v>
      </c>
      <c r="F263" s="14" t="s">
        <v>75</v>
      </c>
      <c r="G263" s="14">
        <f t="shared" si="90"/>
        <v>6.5207368421052615E-3</v>
      </c>
      <c r="H263" s="63">
        <f t="shared" si="91"/>
        <v>0.1311835847658345</v>
      </c>
      <c r="I263" s="63">
        <f t="shared" si="92"/>
        <v>8.5963567961705664E-2</v>
      </c>
      <c r="J263" s="63">
        <f t="shared" si="93"/>
        <v>0.17640360156996332</v>
      </c>
      <c r="K263" s="30">
        <f>IF(OR(LEFT($D263,5)="Solar",$D263="Wind"),INDEX(Land_Use[AVG],MATCH(LEFT($D263,5),Land_Use[Tech],0)),0)*$E263</f>
        <v>0</v>
      </c>
      <c r="L263" s="30">
        <f>IF(OR(LEFT($D263,5)="Solar",$D263="Wind"),INDEX(Land_Use[MIN],MATCH(LEFT($D263,5),Land_Use[Tech],0)),0)*$E263</f>
        <v>0</v>
      </c>
      <c r="M263" s="30">
        <f>IF(OR(LEFT($D263,5)="Solar",$D263="Wind"),INDEX(Land_Use[MAX],MATCH(LEFT($D263,5),Land_Use[Tech],0)),0)*$E263</f>
        <v>0</v>
      </c>
      <c r="N263" s="15">
        <f t="shared" si="84"/>
        <v>152.15052631578942</v>
      </c>
      <c r="O263" s="11">
        <f t="shared" si="85"/>
        <v>0</v>
      </c>
      <c r="P263" s="11">
        <f t="shared" si="86"/>
        <v>0</v>
      </c>
      <c r="Q263" s="11">
        <f t="shared" si="87"/>
        <v>0</v>
      </c>
      <c r="R263" s="11">
        <f t="shared" si="88"/>
        <v>0</v>
      </c>
      <c r="S263" s="30">
        <f t="shared" si="94"/>
        <v>0</v>
      </c>
      <c r="T263" s="30">
        <f t="shared" si="95"/>
        <v>0</v>
      </c>
      <c r="U263" s="30">
        <f t="shared" si="96"/>
        <v>0</v>
      </c>
      <c r="V263" s="30">
        <f t="shared" si="97"/>
        <v>0</v>
      </c>
      <c r="W263" s="30">
        <f t="shared" si="98"/>
        <v>0</v>
      </c>
      <c r="X263" s="30">
        <f t="shared" si="99"/>
        <v>0</v>
      </c>
      <c r="Z263" s="23" t="s">
        <v>76</v>
      </c>
      <c r="AA263" s="40" t="str">
        <f>IF(C263="Electricity",E263*SUMIFS(Electricity!S:S,Electricity!P:P,UserMade_Scenario!B263,Electricity!M:M,UserMade_Scenario!Z263,Electricity!O:O,UserMade_Scenario!D263),"")</f>
        <v/>
      </c>
      <c r="AB263" s="76">
        <f>1000*Assumptions!$B$17/1000000000000</f>
        <v>1.1999999999999999E-7</v>
      </c>
      <c r="AC263" s="67" t="s">
        <v>77</v>
      </c>
      <c r="AD263" s="39">
        <f>SUMIFS(Hydrogen!AK:AK,Hydrogen!$AA:$AA,UserMade_Scenario!$Z263,Hydrogen!$Y:$Y,UserMade_Scenario!$D263,Hydrogen!$AB:$AB,UserMade_Scenario!$B263,Hydrogen!$Z:$Z,UserMade_Scenario!$C263)</f>
        <v>-20.117908135590554</v>
      </c>
      <c r="AE263" s="39">
        <f>SUMIFS(Hydrogen!AL:AL,Hydrogen!$AA:$AA,UserMade_Scenario!$Z263,Hydrogen!$Y:$Y,UserMade_Scenario!$D263,Hydrogen!$AB:$AB,UserMade_Scenario!$B263,Hydrogen!$Z:$Z,UserMade_Scenario!$C263)</f>
        <v>-13.183106456102863</v>
      </c>
      <c r="AF263" s="39">
        <f>SUMIFS(Hydrogen!AM:AM,Hydrogen!$AA:$AA,UserMade_Scenario!$Z263,Hydrogen!$Y:$Y,UserMade_Scenario!$D263,Hydrogen!$AB:$AB,UserMade_Scenario!$B263,Hydrogen!$Z:$Z,UserMade_Scenario!$C263)</f>
        <v>-27.052709815078245</v>
      </c>
      <c r="AG263" s="68">
        <f>IFERROR(INDEX(WaterUseH2[Average Direct Water Consumption (Gal/ kg h2)],MATCH(LEFT(D263,3),WaterUseH2[Key],0)),0)</f>
        <v>2.8</v>
      </c>
      <c r="AH263">
        <v>14</v>
      </c>
      <c r="AI263">
        <v>1.4</v>
      </c>
      <c r="AJ263">
        <v>250</v>
      </c>
      <c r="AK263">
        <v>0.31</v>
      </c>
      <c r="AL263" s="63">
        <f>IFERROR(INDEX(Job_Training[[Solar]:[Wind]],MATCH(AL$1,Job_Training[[`Typical Entry Level Education`]:[`Typical Entry Level Education`]],0),MATCH(LEFT($D263,5),Job_Training[[#Headers],[Solar]:[Wind]],0)),0)</f>
        <v>0</v>
      </c>
      <c r="AM263" s="63">
        <f>IFERROR(INDEX(Job_Training[[Solar]:[Wind]],MATCH(AM$1,Job_Training[[`Typical Entry Level Education`]:[`Typical Entry Level Education`]],0),MATCH(LEFT($D263,5),Job_Training[[#Headers],[Solar]:[Wind]],0)),0)</f>
        <v>0</v>
      </c>
      <c r="AN263" s="63">
        <f>IFERROR(INDEX(Job_Training[[Solar]:[Wind]],MATCH(AN$1,Job_Training[[`Typical Entry Level Education`]:[`Typical Entry Level Education`]],0),MATCH(LEFT($D263,5),Job_Training[[#Headers],[Solar]:[Wind]],0)),0)</f>
        <v>0</v>
      </c>
      <c r="AO263" s="63">
        <f>IFERROR(INDEX(Job_Training[[Solar]:[Wind]],MATCH(AO$1,Job_Training[[`Typical Entry Level Education`]:[`Typical Entry Level Education`]],0),MATCH(LEFT($D263,5),Job_Training[[#Headers],[Solar]:[Wind]],0)),0)</f>
        <v>0</v>
      </c>
      <c r="AP263">
        <f t="shared" si="100"/>
        <v>0</v>
      </c>
      <c r="AQ263" s="63">
        <f>IF(AP263&gt;0,IFERROR(INDEX(Assumptions!$C$165:$D$165,MATCH(LEFT($D263,5),Job_Training[[#Headers],[Solar]:[Wind]],0)),0),0)</f>
        <v>0</v>
      </c>
      <c r="AR263">
        <f>IF(AP263&gt;0,IFERROR(INDEX(Assumptions!$C$166:$D$166,MATCH(LEFT($D263,5),Job_Training[[#Headers],[Solar]:[Wind]],0)),0),0)</f>
        <v>0</v>
      </c>
    </row>
    <row r="264" spans="1:44" hidden="1" x14ac:dyDescent="0.35">
      <c r="A264" t="str">
        <f>UserInput!$B$30</f>
        <v>State Policy Aligned</v>
      </c>
      <c r="B264">
        <v>2035</v>
      </c>
      <c r="C264" s="16" t="s">
        <v>73</v>
      </c>
      <c r="D264" t="s">
        <v>74</v>
      </c>
      <c r="E264" s="66">
        <f>INDEX(UserInput!$C$30:$M$50,MATCH(UserMade_Scenario!B264,UserInput!$A$30:$A$50,0),MATCH(LEFT(IF(RIGHT(C264,2)="H2",UserMade_Scenario!C264,D264),3),UserInput!$C$25:$M$25,0))</f>
        <v>59763.157894736833</v>
      </c>
      <c r="F264" s="14" t="s">
        <v>75</v>
      </c>
      <c r="G264" s="14">
        <f t="shared" si="90"/>
        <v>7.1715789473684195E-3</v>
      </c>
      <c r="H264" s="63">
        <f t="shared" si="91"/>
        <v>0.13600446756975254</v>
      </c>
      <c r="I264" s="63">
        <f t="shared" si="92"/>
        <v>7.799829096042292E-2</v>
      </c>
      <c r="J264" s="63">
        <f t="shared" si="93"/>
        <v>0.19401064417908215</v>
      </c>
      <c r="K264" s="30">
        <f>IF(OR(LEFT($D264,5)="Solar",$D264="Wind"),INDEX(Land_Use[AVG],MATCH(LEFT($D264,5),Land_Use[Tech],0)),0)*$E264</f>
        <v>0</v>
      </c>
      <c r="L264" s="30">
        <f>IF(OR(LEFT($D264,5)="Solar",$D264="Wind"),INDEX(Land_Use[MIN],MATCH(LEFT($D264,5),Land_Use[Tech],0)),0)*$E264</f>
        <v>0</v>
      </c>
      <c r="M264" s="30">
        <f>IF(OR(LEFT($D264,5)="Solar",$D264="Wind"),INDEX(Land_Use[MAX],MATCH(LEFT($D264,5),Land_Use[Tech],0)),0)*$E264</f>
        <v>0</v>
      </c>
      <c r="N264" s="15">
        <f t="shared" si="84"/>
        <v>167.33684210526312</v>
      </c>
      <c r="O264" s="11">
        <f t="shared" si="85"/>
        <v>0</v>
      </c>
      <c r="P264" s="11">
        <f t="shared" si="86"/>
        <v>0</v>
      </c>
      <c r="Q264" s="11">
        <f t="shared" si="87"/>
        <v>0</v>
      </c>
      <c r="R264" s="11">
        <f t="shared" si="88"/>
        <v>0</v>
      </c>
      <c r="S264" s="30">
        <f t="shared" si="94"/>
        <v>0</v>
      </c>
      <c r="T264" s="30">
        <f t="shared" si="95"/>
        <v>0</v>
      </c>
      <c r="U264" s="30">
        <f t="shared" si="96"/>
        <v>0</v>
      </c>
      <c r="V264" s="30">
        <f t="shared" si="97"/>
        <v>0</v>
      </c>
      <c r="W264" s="30">
        <f t="shared" si="98"/>
        <v>0</v>
      </c>
      <c r="X264" s="30">
        <f t="shared" si="99"/>
        <v>0</v>
      </c>
      <c r="Z264" s="23" t="s">
        <v>76</v>
      </c>
      <c r="AA264" s="40" t="str">
        <f>IF(C264="Electricity",E264*SUMIFS(Electricity!S:S,Electricity!P:P,UserMade_Scenario!B264,Electricity!M:M,UserMade_Scenario!Z264,Electricity!O:O,UserMade_Scenario!D264),"")</f>
        <v/>
      </c>
      <c r="AB264" s="76">
        <f>1000*Assumptions!$B$17/1000000000000</f>
        <v>1.1999999999999999E-7</v>
      </c>
      <c r="AC264" s="67" t="s">
        <v>77</v>
      </c>
      <c r="AD264" s="39">
        <f>SUMIFS(Hydrogen!AK:AK,Hydrogen!$AA:$AA,UserMade_Scenario!$Z264,Hydrogen!$Y:$Y,UserMade_Scenario!$D264,Hydrogen!$AB:$AB,UserMade_Scenario!$B264,Hydrogen!$Z:$Z,UserMade_Scenario!$C264)</f>
        <v>-18.964368734957425</v>
      </c>
      <c r="AE264" s="39">
        <f>SUMIFS(Hydrogen!AL:AL,Hydrogen!$AA:$AA,UserMade_Scenario!$Z264,Hydrogen!$Y:$Y,UserMade_Scenario!$D264,Hydrogen!$AB:$AB,UserMade_Scenario!$B264,Hydrogen!$Z:$Z,UserMade_Scenario!$C264)</f>
        <v>-10.876027654836605</v>
      </c>
      <c r="AF264" s="39">
        <f>SUMIFS(Hydrogen!AM:AM,Hydrogen!$AA:$AA,UserMade_Scenario!$Z264,Hydrogen!$Y:$Y,UserMade_Scenario!$D264,Hydrogen!$AB:$AB,UserMade_Scenario!$B264,Hydrogen!$Z:$Z,UserMade_Scenario!$C264)</f>
        <v>-27.052709815078245</v>
      </c>
      <c r="AG264" s="68">
        <f>IFERROR(INDEX(WaterUseH2[Average Direct Water Consumption (Gal/ kg h2)],MATCH(LEFT(D264,3),WaterUseH2[Key],0)),0)</f>
        <v>2.8</v>
      </c>
      <c r="AH264">
        <v>14</v>
      </c>
      <c r="AI264">
        <v>1.4</v>
      </c>
      <c r="AJ264">
        <v>250</v>
      </c>
      <c r="AK264">
        <v>0.31</v>
      </c>
      <c r="AL264" s="63">
        <f>IFERROR(INDEX(Job_Training[[Solar]:[Wind]],MATCH(AL$1,Job_Training[[`Typical Entry Level Education`]:[`Typical Entry Level Education`]],0),MATCH(LEFT($D264,5),Job_Training[[#Headers],[Solar]:[Wind]],0)),0)</f>
        <v>0</v>
      </c>
      <c r="AM264" s="63">
        <f>IFERROR(INDEX(Job_Training[[Solar]:[Wind]],MATCH(AM$1,Job_Training[[`Typical Entry Level Education`]:[`Typical Entry Level Education`]],0),MATCH(LEFT($D264,5),Job_Training[[#Headers],[Solar]:[Wind]],0)),0)</f>
        <v>0</v>
      </c>
      <c r="AN264" s="63">
        <f>IFERROR(INDEX(Job_Training[[Solar]:[Wind]],MATCH(AN$1,Job_Training[[`Typical Entry Level Education`]:[`Typical Entry Level Education`]],0),MATCH(LEFT($D264,5),Job_Training[[#Headers],[Solar]:[Wind]],0)),0)</f>
        <v>0</v>
      </c>
      <c r="AO264" s="63">
        <f>IFERROR(INDEX(Job_Training[[Solar]:[Wind]],MATCH(AO$1,Job_Training[[`Typical Entry Level Education`]:[`Typical Entry Level Education`]],0),MATCH(LEFT($D264,5),Job_Training[[#Headers],[Solar]:[Wind]],0)),0)</f>
        <v>0</v>
      </c>
      <c r="AP264">
        <f t="shared" si="100"/>
        <v>0</v>
      </c>
      <c r="AQ264" s="63">
        <f>IF(AP264&gt;0,IFERROR(INDEX(Assumptions!$C$165:$D$165,MATCH(LEFT($D264,5),Job_Training[[#Headers],[Solar]:[Wind]],0)),0),0)</f>
        <v>0</v>
      </c>
      <c r="AR264">
        <f>IF(AP264&gt;0,IFERROR(INDEX(Assumptions!$C$166:$D$166,MATCH(LEFT($D264,5),Job_Training[[#Headers],[Solar]:[Wind]],0)),0),0)</f>
        <v>0</v>
      </c>
    </row>
    <row r="265" spans="1:44" hidden="1" x14ac:dyDescent="0.35">
      <c r="A265" t="str">
        <f>UserInput!$B$30</f>
        <v>State Policy Aligned</v>
      </c>
      <c r="B265">
        <v>2036</v>
      </c>
      <c r="C265" s="16" t="s">
        <v>73</v>
      </c>
      <c r="D265" t="s">
        <v>74</v>
      </c>
      <c r="E265" s="66">
        <f>INDEX(UserInput!$C$30:$M$50,MATCH(UserMade_Scenario!B265,UserInput!$A$30:$A$50,0),MATCH(LEFT(IF(RIGHT(C265,2)="H2",UserMade_Scenario!C265,D265),3),UserInput!$C$25:$M$25,0))</f>
        <v>65186.842105263146</v>
      </c>
      <c r="F265" s="14" t="s">
        <v>75</v>
      </c>
      <c r="G265" s="14">
        <f t="shared" si="90"/>
        <v>7.8224210526315775E-3</v>
      </c>
      <c r="H265" s="63">
        <f t="shared" si="91"/>
        <v>0.13866870700992384</v>
      </c>
      <c r="I265" s="63">
        <f t="shared" si="92"/>
        <v>6.5719727231646735E-2</v>
      </c>
      <c r="J265" s="63">
        <f t="shared" si="93"/>
        <v>0.21161768678820098</v>
      </c>
      <c r="K265" s="30">
        <f>IF(OR(LEFT($D265,5)="Solar",$D265="Wind"),INDEX(Land_Use[AVG],MATCH(LEFT($D265,5),Land_Use[Tech],0)),0)*$E265</f>
        <v>0</v>
      </c>
      <c r="L265" s="30">
        <f>IF(OR(LEFT($D265,5)="Solar",$D265="Wind"),INDEX(Land_Use[MIN],MATCH(LEFT($D265,5),Land_Use[Tech],0)),0)*$E265</f>
        <v>0</v>
      </c>
      <c r="M265" s="30">
        <f>IF(OR(LEFT($D265,5)="Solar",$D265="Wind"),INDEX(Land_Use[MAX],MATCH(LEFT($D265,5),Land_Use[Tech],0)),0)*$E265</f>
        <v>0</v>
      </c>
      <c r="N265" s="15">
        <f t="shared" si="84"/>
        <v>182.52315789473678</v>
      </c>
      <c r="O265" s="11">
        <f t="shared" si="85"/>
        <v>0</v>
      </c>
      <c r="P265" s="11">
        <f t="shared" si="86"/>
        <v>0</v>
      </c>
      <c r="Q265" s="11">
        <f t="shared" si="87"/>
        <v>0</v>
      </c>
      <c r="R265" s="11">
        <f t="shared" si="88"/>
        <v>0</v>
      </c>
      <c r="S265" s="30">
        <f t="shared" si="94"/>
        <v>0</v>
      </c>
      <c r="T265" s="30">
        <f t="shared" si="95"/>
        <v>0</v>
      </c>
      <c r="U265" s="30">
        <f t="shared" si="96"/>
        <v>0</v>
      </c>
      <c r="V265" s="30">
        <f t="shared" si="97"/>
        <v>0</v>
      </c>
      <c r="W265" s="30">
        <f t="shared" si="98"/>
        <v>0</v>
      </c>
      <c r="X265" s="30">
        <f t="shared" si="99"/>
        <v>0</v>
      </c>
      <c r="Z265" s="23" t="s">
        <v>76</v>
      </c>
      <c r="AA265" s="40" t="str">
        <f>IF(C265="Electricity",E265*SUMIFS(Electricity!S:S,Electricity!P:P,UserMade_Scenario!B265,Electricity!M:M,UserMade_Scenario!Z265,Electricity!O:O,UserMade_Scenario!D265),"")</f>
        <v/>
      </c>
      <c r="AB265" s="76">
        <f>1000*Assumptions!$B$17/1000000000000</f>
        <v>1.1999999999999999E-7</v>
      </c>
      <c r="AC265" s="67" t="s">
        <v>77</v>
      </c>
      <c r="AD265" s="39">
        <f>SUMIFS(Hydrogen!AK:AK,Hydrogen!$AA:$AA,UserMade_Scenario!$Z265,Hydrogen!$Y:$Y,UserMade_Scenario!$D265,Hydrogen!$AB:$AB,UserMade_Scenario!$B265,Hydrogen!$Z:$Z,UserMade_Scenario!$C265)</f>
        <v>-17.727082967909745</v>
      </c>
      <c r="AE265" s="39">
        <f>SUMIFS(Hydrogen!AL:AL,Hydrogen!$AA:$AA,UserMade_Scenario!$Z265,Hydrogen!$Y:$Y,UserMade_Scenario!$D265,Hydrogen!$AB:$AB,UserMade_Scenario!$B265,Hydrogen!$Z:$Z,UserMade_Scenario!$C265)</f>
        <v>-8.4014561207412441</v>
      </c>
      <c r="AF265" s="39">
        <f>SUMIFS(Hydrogen!AM:AM,Hydrogen!$AA:$AA,UserMade_Scenario!$Z265,Hydrogen!$Y:$Y,UserMade_Scenario!$D265,Hydrogen!$AB:$AB,UserMade_Scenario!$B265,Hydrogen!$Z:$Z,UserMade_Scenario!$C265)</f>
        <v>-27.052709815078245</v>
      </c>
      <c r="AG265" s="68">
        <f>IFERROR(INDEX(WaterUseH2[Average Direct Water Consumption (Gal/ kg h2)],MATCH(LEFT(D265,3),WaterUseH2[Key],0)),0)</f>
        <v>2.8</v>
      </c>
      <c r="AH265">
        <v>14</v>
      </c>
      <c r="AI265">
        <v>1.4</v>
      </c>
      <c r="AJ265">
        <v>250</v>
      </c>
      <c r="AK265">
        <v>0.31</v>
      </c>
      <c r="AL265" s="63">
        <f>IFERROR(INDEX(Job_Training[[Solar]:[Wind]],MATCH(AL$1,Job_Training[[`Typical Entry Level Education`]:[`Typical Entry Level Education`]],0),MATCH(LEFT($D265,5),Job_Training[[#Headers],[Solar]:[Wind]],0)),0)</f>
        <v>0</v>
      </c>
      <c r="AM265" s="63">
        <f>IFERROR(INDEX(Job_Training[[Solar]:[Wind]],MATCH(AM$1,Job_Training[[`Typical Entry Level Education`]:[`Typical Entry Level Education`]],0),MATCH(LEFT($D265,5),Job_Training[[#Headers],[Solar]:[Wind]],0)),0)</f>
        <v>0</v>
      </c>
      <c r="AN265" s="63">
        <f>IFERROR(INDEX(Job_Training[[Solar]:[Wind]],MATCH(AN$1,Job_Training[[`Typical Entry Level Education`]:[`Typical Entry Level Education`]],0),MATCH(LEFT($D265,5),Job_Training[[#Headers],[Solar]:[Wind]],0)),0)</f>
        <v>0</v>
      </c>
      <c r="AO265" s="63">
        <f>IFERROR(INDEX(Job_Training[[Solar]:[Wind]],MATCH(AO$1,Job_Training[[`Typical Entry Level Education`]:[`Typical Entry Level Education`]],0),MATCH(LEFT($D265,5),Job_Training[[#Headers],[Solar]:[Wind]],0)),0)</f>
        <v>0</v>
      </c>
      <c r="AP265">
        <f t="shared" si="100"/>
        <v>0</v>
      </c>
      <c r="AQ265" s="63">
        <f>IF(AP265&gt;0,IFERROR(INDEX(Assumptions!$C$165:$D$165,MATCH(LEFT($D265,5),Job_Training[[#Headers],[Solar]:[Wind]],0)),0),0)</f>
        <v>0</v>
      </c>
      <c r="AR265">
        <f>IF(AP265&gt;0,IFERROR(INDEX(Assumptions!$C$166:$D$166,MATCH(LEFT($D265,5),Job_Training[[#Headers],[Solar]:[Wind]],0)),0),0)</f>
        <v>0</v>
      </c>
    </row>
    <row r="266" spans="1:44" hidden="1" x14ac:dyDescent="0.35">
      <c r="A266" t="str">
        <f>UserInput!$B$30</f>
        <v>State Policy Aligned</v>
      </c>
      <c r="B266">
        <v>2037</v>
      </c>
      <c r="C266" s="16" t="s">
        <v>73</v>
      </c>
      <c r="D266" t="s">
        <v>74</v>
      </c>
      <c r="E266" s="66">
        <f>INDEX(UserInput!$C$30:$M$50,MATCH(UserMade_Scenario!B266,UserInput!$A$30:$A$50,0),MATCH(LEFT(IF(RIGHT(C266,2)="H2",UserMade_Scenario!C266,D266),3),UserInput!$C$25:$M$25,0))</f>
        <v>70610.526315789466</v>
      </c>
      <c r="F266" s="14" t="s">
        <v>75</v>
      </c>
      <c r="G266" s="14">
        <f t="shared" si="90"/>
        <v>8.4732631578947355E-3</v>
      </c>
      <c r="H266" s="63">
        <f t="shared" si="91"/>
        <v>0.13937326345183992</v>
      </c>
      <c r="I266" s="63">
        <f t="shared" si="92"/>
        <v>4.9521797506360071E-2</v>
      </c>
      <c r="J266" s="63">
        <f t="shared" si="93"/>
        <v>0.2292247293973198</v>
      </c>
      <c r="K266" s="30">
        <f>IF(OR(LEFT($D266,5)="Solar",$D266="Wind"),INDEX(Land_Use[AVG],MATCH(LEFT($D266,5),Land_Use[Tech],0)),0)*$E266</f>
        <v>0</v>
      </c>
      <c r="L266" s="30">
        <f>IF(OR(LEFT($D266,5)="Solar",$D266="Wind"),INDEX(Land_Use[MIN],MATCH(LEFT($D266,5),Land_Use[Tech],0)),0)*$E266</f>
        <v>0</v>
      </c>
      <c r="M266" s="30">
        <f>IF(OR(LEFT($D266,5)="Solar",$D266="Wind"),INDEX(Land_Use[MAX],MATCH(LEFT($D266,5),Land_Use[Tech],0)),0)*$E266</f>
        <v>0</v>
      </c>
      <c r="N266" s="15">
        <f t="shared" si="84"/>
        <v>197.70947368421051</v>
      </c>
      <c r="O266" s="11">
        <f t="shared" si="85"/>
        <v>0</v>
      </c>
      <c r="P266" s="11">
        <f t="shared" si="86"/>
        <v>0</v>
      </c>
      <c r="Q266" s="11">
        <f t="shared" si="87"/>
        <v>0</v>
      </c>
      <c r="R266" s="11">
        <f t="shared" si="88"/>
        <v>0</v>
      </c>
      <c r="S266" s="30">
        <f t="shared" si="94"/>
        <v>0</v>
      </c>
      <c r="T266" s="30">
        <f t="shared" si="95"/>
        <v>0</v>
      </c>
      <c r="U266" s="30">
        <f t="shared" si="96"/>
        <v>0</v>
      </c>
      <c r="V266" s="30">
        <f t="shared" si="97"/>
        <v>0</v>
      </c>
      <c r="W266" s="30">
        <f t="shared" si="98"/>
        <v>0</v>
      </c>
      <c r="X266" s="30">
        <f t="shared" si="99"/>
        <v>0</v>
      </c>
      <c r="Z266" s="23" t="s">
        <v>76</v>
      </c>
      <c r="AA266" s="40" t="str">
        <f>IF(C266="Electricity",E266*SUMIFS(Electricity!S:S,Electricity!P:P,UserMade_Scenario!B266,Electricity!M:M,UserMade_Scenario!Z266,Electricity!O:O,UserMade_Scenario!D266),"")</f>
        <v/>
      </c>
      <c r="AB266" s="76">
        <f>1000*Assumptions!$B$17/1000000000000</f>
        <v>1.1999999999999999E-7</v>
      </c>
      <c r="AC266" s="67" t="s">
        <v>77</v>
      </c>
      <c r="AD266" s="39">
        <f>SUMIFS(Hydrogen!AK:AK,Hydrogen!$AA:$AA,UserMade_Scenario!$Z266,Hydrogen!$Y:$Y,UserMade_Scenario!$D266,Hydrogen!$AB:$AB,UserMade_Scenario!$B266,Hydrogen!$Z:$Z,UserMade_Scenario!$C266)</f>
        <v>-16.448593753633467</v>
      </c>
      <c r="AE266" s="39">
        <f>SUMIFS(Hydrogen!AL:AL,Hydrogen!$AA:$AA,UserMade_Scenario!$Z266,Hydrogen!$Y:$Y,UserMade_Scenario!$D266,Hydrogen!$AB:$AB,UserMade_Scenario!$B266,Hydrogen!$Z:$Z,UserMade_Scenario!$C266)</f>
        <v>-5.8444776921886898</v>
      </c>
      <c r="AF266" s="39">
        <f>SUMIFS(Hydrogen!AM:AM,Hydrogen!$AA:$AA,UserMade_Scenario!$Z266,Hydrogen!$Y:$Y,UserMade_Scenario!$D266,Hydrogen!$AB:$AB,UserMade_Scenario!$B266,Hydrogen!$Z:$Z,UserMade_Scenario!$C266)</f>
        <v>-27.052709815078245</v>
      </c>
      <c r="AG266" s="68">
        <f>IFERROR(INDEX(WaterUseH2[Average Direct Water Consumption (Gal/ kg h2)],MATCH(LEFT(D266,3),WaterUseH2[Key],0)),0)</f>
        <v>2.8</v>
      </c>
      <c r="AH266">
        <v>14</v>
      </c>
      <c r="AI266">
        <v>1.4</v>
      </c>
      <c r="AJ266">
        <v>250</v>
      </c>
      <c r="AK266">
        <v>0.31</v>
      </c>
      <c r="AL266" s="63">
        <f>IFERROR(INDEX(Job_Training[[Solar]:[Wind]],MATCH(AL$1,Job_Training[[`Typical Entry Level Education`]:[`Typical Entry Level Education`]],0),MATCH(LEFT($D266,5),Job_Training[[#Headers],[Solar]:[Wind]],0)),0)</f>
        <v>0</v>
      </c>
      <c r="AM266" s="63">
        <f>IFERROR(INDEX(Job_Training[[Solar]:[Wind]],MATCH(AM$1,Job_Training[[`Typical Entry Level Education`]:[`Typical Entry Level Education`]],0),MATCH(LEFT($D266,5),Job_Training[[#Headers],[Solar]:[Wind]],0)),0)</f>
        <v>0</v>
      </c>
      <c r="AN266" s="63">
        <f>IFERROR(INDEX(Job_Training[[Solar]:[Wind]],MATCH(AN$1,Job_Training[[`Typical Entry Level Education`]:[`Typical Entry Level Education`]],0),MATCH(LEFT($D266,5),Job_Training[[#Headers],[Solar]:[Wind]],0)),0)</f>
        <v>0</v>
      </c>
      <c r="AO266" s="63">
        <f>IFERROR(INDEX(Job_Training[[Solar]:[Wind]],MATCH(AO$1,Job_Training[[`Typical Entry Level Education`]:[`Typical Entry Level Education`]],0),MATCH(LEFT($D266,5),Job_Training[[#Headers],[Solar]:[Wind]],0)),0)</f>
        <v>0</v>
      </c>
      <c r="AP266">
        <f t="shared" si="100"/>
        <v>0</v>
      </c>
      <c r="AQ266" s="63">
        <f>IF(AP266&gt;0,IFERROR(INDEX(Assumptions!$C$165:$D$165,MATCH(LEFT($D266,5),Job_Training[[#Headers],[Solar]:[Wind]],0)),0),0)</f>
        <v>0</v>
      </c>
      <c r="AR266">
        <f>IF(AP266&gt;0,IFERROR(INDEX(Assumptions!$C$166:$D$166,MATCH(LEFT($D266,5),Job_Training[[#Headers],[Solar]:[Wind]],0)),0),0)</f>
        <v>0</v>
      </c>
    </row>
    <row r="267" spans="1:44" hidden="1" x14ac:dyDescent="0.35">
      <c r="A267" t="str">
        <f>UserInput!$B$30</f>
        <v>State Policy Aligned</v>
      </c>
      <c r="B267">
        <v>2038</v>
      </c>
      <c r="C267" s="16" t="s">
        <v>73</v>
      </c>
      <c r="D267" t="s">
        <v>74</v>
      </c>
      <c r="E267" s="66">
        <f>INDEX(UserInput!$C$30:$M$50,MATCH(UserMade_Scenario!B267,UserInput!$A$30:$A$50,0),MATCH(LEFT(IF(RIGHT(C267,2)="H2",UserMade_Scenario!C267,D267),3),UserInput!$C$25:$M$25,0))</f>
        <v>76034.210526315786</v>
      </c>
      <c r="F267" s="14" t="s">
        <v>75</v>
      </c>
      <c r="G267" s="14">
        <f t="shared" si="90"/>
        <v>9.1241052631578935E-3</v>
      </c>
      <c r="H267" s="63">
        <f t="shared" si="91"/>
        <v>0.1384788904984314</v>
      </c>
      <c r="I267" s="63">
        <f t="shared" si="92"/>
        <v>3.0126008990424169E-2</v>
      </c>
      <c r="J267" s="63">
        <f t="shared" si="93"/>
        <v>0.2468317720064386</v>
      </c>
      <c r="K267" s="30">
        <f>IF(OR(LEFT($D267,5)="Solar",$D267="Wind"),INDEX(Land_Use[AVG],MATCH(LEFT($D267,5),Land_Use[Tech],0)),0)*$E267</f>
        <v>0</v>
      </c>
      <c r="L267" s="30">
        <f>IF(OR(LEFT($D267,5)="Solar",$D267="Wind"),INDEX(Land_Use[MIN],MATCH(LEFT($D267,5),Land_Use[Tech],0)),0)*$E267</f>
        <v>0</v>
      </c>
      <c r="M267" s="30">
        <f>IF(OR(LEFT($D267,5)="Solar",$D267="Wind"),INDEX(Land_Use[MAX],MATCH(LEFT($D267,5),Land_Use[Tech],0)),0)*$E267</f>
        <v>0</v>
      </c>
      <c r="N267" s="15">
        <f t="shared" si="84"/>
        <v>212.8957894736842</v>
      </c>
      <c r="O267" s="11">
        <f t="shared" si="85"/>
        <v>0</v>
      </c>
      <c r="P267" s="11">
        <f t="shared" si="86"/>
        <v>0</v>
      </c>
      <c r="Q267" s="11">
        <f t="shared" si="87"/>
        <v>0</v>
      </c>
      <c r="R267" s="11">
        <f t="shared" si="88"/>
        <v>0</v>
      </c>
      <c r="S267" s="30">
        <f t="shared" si="94"/>
        <v>0</v>
      </c>
      <c r="T267" s="30">
        <f t="shared" si="95"/>
        <v>0</v>
      </c>
      <c r="U267" s="30">
        <f t="shared" si="96"/>
        <v>0</v>
      </c>
      <c r="V267" s="30">
        <f t="shared" si="97"/>
        <v>0</v>
      </c>
      <c r="W267" s="30">
        <f t="shared" si="98"/>
        <v>0</v>
      </c>
      <c r="X267" s="30">
        <f t="shared" si="99"/>
        <v>0</v>
      </c>
      <c r="Z267" s="23" t="s">
        <v>76</v>
      </c>
      <c r="AA267" s="40" t="str">
        <f>IF(C267="Electricity",E267*SUMIFS(Electricity!S:S,Electricity!P:P,UserMade_Scenario!B267,Electricity!M:M,UserMade_Scenario!Z267,Electricity!O:O,UserMade_Scenario!D267),"")</f>
        <v/>
      </c>
      <c r="AB267" s="76">
        <f>1000*Assumptions!$B$17/1000000000000</f>
        <v>1.1999999999999999E-7</v>
      </c>
      <c r="AC267" s="67" t="s">
        <v>77</v>
      </c>
      <c r="AD267" s="39">
        <f>SUMIFS(Hydrogen!AK:AK,Hydrogen!$AA:$AA,UserMade_Scenario!$Z267,Hydrogen!$Y:$Y,UserMade_Scenario!$D267,Hydrogen!$AB:$AB,UserMade_Scenario!$B267,Hydrogen!$Z:$Z,UserMade_Scenario!$C267)</f>
        <v>-15.177257002677678</v>
      </c>
      <c r="AE267" s="39">
        <f>SUMIFS(Hydrogen!AL:AL,Hydrogen!$AA:$AA,UserMade_Scenario!$Z267,Hydrogen!$Y:$Y,UserMade_Scenario!$D267,Hydrogen!$AB:$AB,UserMade_Scenario!$B267,Hydrogen!$Z:$Z,UserMade_Scenario!$C267)</f>
        <v>-3.3018041902771103</v>
      </c>
      <c r="AF267" s="39">
        <f>SUMIFS(Hydrogen!AM:AM,Hydrogen!$AA:$AA,UserMade_Scenario!$Z267,Hydrogen!$Y:$Y,UserMade_Scenario!$D267,Hydrogen!$AB:$AB,UserMade_Scenario!$B267,Hydrogen!$Z:$Z,UserMade_Scenario!$C267)</f>
        <v>-27.052709815078245</v>
      </c>
      <c r="AG267" s="68">
        <f>IFERROR(INDEX(WaterUseH2[Average Direct Water Consumption (Gal/ kg h2)],MATCH(LEFT(D267,3),WaterUseH2[Key],0)),0)</f>
        <v>2.8</v>
      </c>
      <c r="AH267">
        <v>14</v>
      </c>
      <c r="AI267">
        <v>1.4</v>
      </c>
      <c r="AJ267">
        <v>250</v>
      </c>
      <c r="AK267">
        <v>0.31</v>
      </c>
      <c r="AL267" s="63">
        <f>IFERROR(INDEX(Job_Training[[Solar]:[Wind]],MATCH(AL$1,Job_Training[[`Typical Entry Level Education`]:[`Typical Entry Level Education`]],0),MATCH(LEFT($D267,5),Job_Training[[#Headers],[Solar]:[Wind]],0)),0)</f>
        <v>0</v>
      </c>
      <c r="AM267" s="63">
        <f>IFERROR(INDEX(Job_Training[[Solar]:[Wind]],MATCH(AM$1,Job_Training[[`Typical Entry Level Education`]:[`Typical Entry Level Education`]],0),MATCH(LEFT($D267,5),Job_Training[[#Headers],[Solar]:[Wind]],0)),0)</f>
        <v>0</v>
      </c>
      <c r="AN267" s="63">
        <f>IFERROR(INDEX(Job_Training[[Solar]:[Wind]],MATCH(AN$1,Job_Training[[`Typical Entry Level Education`]:[`Typical Entry Level Education`]],0),MATCH(LEFT($D267,5),Job_Training[[#Headers],[Solar]:[Wind]],0)),0)</f>
        <v>0</v>
      </c>
      <c r="AO267" s="63">
        <f>IFERROR(INDEX(Job_Training[[Solar]:[Wind]],MATCH(AO$1,Job_Training[[`Typical Entry Level Education`]:[`Typical Entry Level Education`]],0),MATCH(LEFT($D267,5),Job_Training[[#Headers],[Solar]:[Wind]],0)),0)</f>
        <v>0</v>
      </c>
      <c r="AP267">
        <f t="shared" si="100"/>
        <v>0</v>
      </c>
      <c r="AQ267" s="63">
        <f>IF(AP267&gt;0,IFERROR(INDEX(Assumptions!$C$165:$D$165,MATCH(LEFT($D267,5),Job_Training[[#Headers],[Solar]:[Wind]],0)),0),0)</f>
        <v>0</v>
      </c>
      <c r="AR267">
        <f>IF(AP267&gt;0,IFERROR(INDEX(Assumptions!$C$166:$D$166,MATCH(LEFT($D267,5),Job_Training[[#Headers],[Solar]:[Wind]],0)),0),0)</f>
        <v>0</v>
      </c>
    </row>
    <row r="268" spans="1:44" hidden="1" x14ac:dyDescent="0.35">
      <c r="A268" t="str">
        <f>UserInput!$B$30</f>
        <v>State Policy Aligned</v>
      </c>
      <c r="B268">
        <v>2039</v>
      </c>
      <c r="C268" s="16" t="s">
        <v>73</v>
      </c>
      <c r="D268" t="s">
        <v>74</v>
      </c>
      <c r="E268" s="66">
        <f>INDEX(UserInput!$C$30:$M$50,MATCH(UserMade_Scenario!B268,UserInput!$A$30:$A$50,0),MATCH(LEFT(IF(RIGHT(C268,2)="H2",UserMade_Scenario!C268,D268),3),UserInput!$C$25:$M$25,0))</f>
        <v>81457.894736842107</v>
      </c>
      <c r="F268" s="14" t="s">
        <v>75</v>
      </c>
      <c r="G268" s="14">
        <f t="shared" si="90"/>
        <v>9.7749473684210515E-3</v>
      </c>
      <c r="H268" s="63">
        <f t="shared" si="91"/>
        <v>0.13563901338605361</v>
      </c>
      <c r="I268" s="63">
        <f t="shared" si="92"/>
        <v>6.8392121565497652E-3</v>
      </c>
      <c r="J268" s="63">
        <f t="shared" si="93"/>
        <v>0.26443881461555746</v>
      </c>
      <c r="K268" s="30">
        <f>IF(OR(LEFT($D268,5)="Solar",$D268="Wind"),INDEX(Land_Use[AVG],MATCH(LEFT($D268,5),Land_Use[Tech],0)),0)*$E268</f>
        <v>0</v>
      </c>
      <c r="L268" s="30">
        <f>IF(OR(LEFT($D268,5)="Solar",$D268="Wind"),INDEX(Land_Use[MIN],MATCH(LEFT($D268,5),Land_Use[Tech],0)),0)*$E268</f>
        <v>0</v>
      </c>
      <c r="M268" s="30">
        <f>IF(OR(LEFT($D268,5)="Solar",$D268="Wind"),INDEX(Land_Use[MAX],MATCH(LEFT($D268,5),Land_Use[Tech],0)),0)*$E268</f>
        <v>0</v>
      </c>
      <c r="N268" s="15">
        <f t="shared" si="84"/>
        <v>228.0821052631579</v>
      </c>
      <c r="O268" s="11">
        <f t="shared" si="85"/>
        <v>0</v>
      </c>
      <c r="P268" s="11">
        <f t="shared" si="86"/>
        <v>0</v>
      </c>
      <c r="Q268" s="11">
        <f t="shared" si="87"/>
        <v>0</v>
      </c>
      <c r="R268" s="11">
        <f t="shared" si="88"/>
        <v>0</v>
      </c>
      <c r="S268" s="30">
        <f t="shared" si="94"/>
        <v>0</v>
      </c>
      <c r="T268" s="30">
        <f t="shared" si="95"/>
        <v>0</v>
      </c>
      <c r="U268" s="30">
        <f t="shared" si="96"/>
        <v>0</v>
      </c>
      <c r="V268" s="30">
        <f t="shared" si="97"/>
        <v>0</v>
      </c>
      <c r="W268" s="30">
        <f t="shared" si="98"/>
        <v>0</v>
      </c>
      <c r="X268" s="30">
        <f t="shared" si="99"/>
        <v>0</v>
      </c>
      <c r="Z268" s="23" t="s">
        <v>76</v>
      </c>
      <c r="AA268" s="40" t="str">
        <f>IF(C268="Electricity",E268*SUMIFS(Electricity!S:S,Electricity!P:P,UserMade_Scenario!B268,Electricity!M:M,UserMade_Scenario!Z268,Electricity!O:O,UserMade_Scenario!D268),"")</f>
        <v/>
      </c>
      <c r="AB268" s="76">
        <f>1000*Assumptions!$B$17/1000000000000</f>
        <v>1.1999999999999999E-7</v>
      </c>
      <c r="AC268" s="67" t="s">
        <v>77</v>
      </c>
      <c r="AD268" s="39">
        <f>SUMIFS(Hydrogen!AK:AK,Hydrogen!$AA:$AA,UserMade_Scenario!$Z268,Hydrogen!$Y:$Y,UserMade_Scenario!$D268,Hydrogen!$AB:$AB,UserMade_Scenario!$B268,Hydrogen!$Z:$Z,UserMade_Scenario!$C268)</f>
        <v>-13.876188615014854</v>
      </c>
      <c r="AE268" s="39">
        <f>SUMIFS(Hydrogen!AL:AL,Hydrogen!$AA:$AA,UserMade_Scenario!$Z268,Hydrogen!$Y:$Y,UserMade_Scenario!$D268,Hydrogen!$AB:$AB,UserMade_Scenario!$B268,Hydrogen!$Z:$Z,UserMade_Scenario!$C268)</f>
        <v>-0.69966741495146323</v>
      </c>
      <c r="AF268" s="39">
        <f>SUMIFS(Hydrogen!AM:AM,Hydrogen!$AA:$AA,UserMade_Scenario!$Z268,Hydrogen!$Y:$Y,UserMade_Scenario!$D268,Hydrogen!$AB:$AB,UserMade_Scenario!$B268,Hydrogen!$Z:$Z,UserMade_Scenario!$C268)</f>
        <v>-27.052709815078245</v>
      </c>
      <c r="AG268" s="68">
        <f>IFERROR(INDEX(WaterUseH2[Average Direct Water Consumption (Gal/ kg h2)],MATCH(LEFT(D268,3),WaterUseH2[Key],0)),0)</f>
        <v>2.8</v>
      </c>
      <c r="AH268">
        <v>14</v>
      </c>
      <c r="AI268">
        <v>1.4</v>
      </c>
      <c r="AJ268">
        <v>250</v>
      </c>
      <c r="AK268">
        <v>0.31</v>
      </c>
      <c r="AL268" s="63">
        <f>IFERROR(INDEX(Job_Training[[Solar]:[Wind]],MATCH(AL$1,Job_Training[[`Typical Entry Level Education`]:[`Typical Entry Level Education`]],0),MATCH(LEFT($D268,5),Job_Training[[#Headers],[Solar]:[Wind]],0)),0)</f>
        <v>0</v>
      </c>
      <c r="AM268" s="63">
        <f>IFERROR(INDEX(Job_Training[[Solar]:[Wind]],MATCH(AM$1,Job_Training[[`Typical Entry Level Education`]:[`Typical Entry Level Education`]],0),MATCH(LEFT($D268,5),Job_Training[[#Headers],[Solar]:[Wind]],0)),0)</f>
        <v>0</v>
      </c>
      <c r="AN268" s="63">
        <f>IFERROR(INDEX(Job_Training[[Solar]:[Wind]],MATCH(AN$1,Job_Training[[`Typical Entry Level Education`]:[`Typical Entry Level Education`]],0),MATCH(LEFT($D268,5),Job_Training[[#Headers],[Solar]:[Wind]],0)),0)</f>
        <v>0</v>
      </c>
      <c r="AO268" s="63">
        <f>IFERROR(INDEX(Job_Training[[Solar]:[Wind]],MATCH(AO$1,Job_Training[[`Typical Entry Level Education`]:[`Typical Entry Level Education`]],0),MATCH(LEFT($D268,5),Job_Training[[#Headers],[Solar]:[Wind]],0)),0)</f>
        <v>0</v>
      </c>
      <c r="AP268">
        <f t="shared" si="100"/>
        <v>0</v>
      </c>
      <c r="AQ268" s="63">
        <f>IF(AP268&gt;0,IFERROR(INDEX(Assumptions!$C$165:$D$165,MATCH(LEFT($D268,5),Job_Training[[#Headers],[Solar]:[Wind]],0)),0),0)</f>
        <v>0</v>
      </c>
      <c r="AR268">
        <f>IF(AP268&gt;0,IFERROR(INDEX(Assumptions!$C$166:$D$166,MATCH(LEFT($D268,5),Job_Training[[#Headers],[Solar]:[Wind]],0)),0),0)</f>
        <v>0</v>
      </c>
    </row>
    <row r="269" spans="1:44" hidden="1" x14ac:dyDescent="0.35">
      <c r="A269" t="str">
        <f>UserInput!$B$30</f>
        <v>State Policy Aligned</v>
      </c>
      <c r="B269">
        <v>2040</v>
      </c>
      <c r="C269" s="16" t="s">
        <v>73</v>
      </c>
      <c r="D269" t="s">
        <v>74</v>
      </c>
      <c r="E269" s="66">
        <f>INDEX(UserInput!$C$30:$M$50,MATCH(UserMade_Scenario!B269,UserInput!$A$30:$A$50,0),MATCH(LEFT(IF(RIGHT(C269,2)="H2",UserMade_Scenario!C269,D269),3),UserInput!$C$25:$M$25,0))</f>
        <v>86881.578947368427</v>
      </c>
      <c r="F269" s="14" t="s">
        <v>75</v>
      </c>
      <c r="G269" s="14">
        <f t="shared" si="90"/>
        <v>1.0425789473684211E-2</v>
      </c>
      <c r="H269" s="63">
        <f t="shared" si="91"/>
        <v>0.14102292861233814</v>
      </c>
      <c r="I269" s="63">
        <f t="shared" si="92"/>
        <v>0</v>
      </c>
      <c r="J269" s="63">
        <f t="shared" si="93"/>
        <v>0.28204585722467629</v>
      </c>
      <c r="K269" s="30">
        <f>IF(OR(LEFT($D269,5)="Solar",$D269="Wind"),INDEX(Land_Use[AVG],MATCH(LEFT($D269,5),Land_Use[Tech],0)),0)*$E269</f>
        <v>0</v>
      </c>
      <c r="L269" s="30">
        <f>IF(OR(LEFT($D269,5)="Solar",$D269="Wind"),INDEX(Land_Use[MIN],MATCH(LEFT($D269,5),Land_Use[Tech],0)),0)*$E269</f>
        <v>0</v>
      </c>
      <c r="M269" s="30">
        <f>IF(OR(LEFT($D269,5)="Solar",$D269="Wind"),INDEX(Land_Use[MAX],MATCH(LEFT($D269,5),Land_Use[Tech],0)),0)*$E269</f>
        <v>0</v>
      </c>
      <c r="N269" s="15">
        <f t="shared" si="84"/>
        <v>243.2684210526316</v>
      </c>
      <c r="O269" s="11">
        <f t="shared" si="85"/>
        <v>0</v>
      </c>
      <c r="P269" s="11">
        <f t="shared" si="86"/>
        <v>0</v>
      </c>
      <c r="Q269" s="11">
        <f t="shared" si="87"/>
        <v>0</v>
      </c>
      <c r="R269" s="11">
        <f t="shared" si="88"/>
        <v>0</v>
      </c>
      <c r="S269" s="30">
        <f t="shared" si="94"/>
        <v>0</v>
      </c>
      <c r="T269" s="30">
        <f t="shared" si="95"/>
        <v>0</v>
      </c>
      <c r="U269" s="30">
        <f t="shared" si="96"/>
        <v>0</v>
      </c>
      <c r="V269" s="30">
        <f t="shared" si="97"/>
        <v>0</v>
      </c>
      <c r="W269" s="30">
        <f t="shared" si="98"/>
        <v>0</v>
      </c>
      <c r="X269" s="30">
        <f t="shared" si="99"/>
        <v>0</v>
      </c>
      <c r="Z269" s="23" t="s">
        <v>76</v>
      </c>
      <c r="AA269" s="40" t="str">
        <f>IF(C269="Electricity",E269*SUMIFS(Electricity!S:S,Electricity!P:P,UserMade_Scenario!B269,Electricity!M:M,UserMade_Scenario!Z269,Electricity!O:O,UserMade_Scenario!D269),"")</f>
        <v/>
      </c>
      <c r="AB269" s="76">
        <f>1000*Assumptions!$B$17/1000000000000</f>
        <v>1.1999999999999999E-7</v>
      </c>
      <c r="AC269" s="67" t="s">
        <v>77</v>
      </c>
      <c r="AD269" s="39">
        <f>SUMIFS(Hydrogen!AK:AK,Hydrogen!$AA:$AA,UserMade_Scenario!$Z269,Hydrogen!$Y:$Y,UserMade_Scenario!$D269,Hydrogen!$AB:$AB,UserMade_Scenario!$B269,Hydrogen!$Z:$Z,UserMade_Scenario!$C269)</f>
        <v>-13.526354907539123</v>
      </c>
      <c r="AE269" s="39">
        <f>SUMIFS(Hydrogen!AL:AL,Hydrogen!$AA:$AA,UserMade_Scenario!$Z269,Hydrogen!$Y:$Y,UserMade_Scenario!$D269,Hydrogen!$AB:$AB,UserMade_Scenario!$B269,Hydrogen!$Z:$Z,UserMade_Scenario!$C269)</f>
        <v>0</v>
      </c>
      <c r="AF269" s="39">
        <f>SUMIFS(Hydrogen!AM:AM,Hydrogen!$AA:$AA,UserMade_Scenario!$Z269,Hydrogen!$Y:$Y,UserMade_Scenario!$D269,Hydrogen!$AB:$AB,UserMade_Scenario!$B269,Hydrogen!$Z:$Z,UserMade_Scenario!$C269)</f>
        <v>-27.052709815078245</v>
      </c>
      <c r="AG269" s="68">
        <f>IFERROR(INDEX(WaterUseH2[Average Direct Water Consumption (Gal/ kg h2)],MATCH(LEFT(D269,3),WaterUseH2[Key],0)),0)</f>
        <v>2.8</v>
      </c>
      <c r="AH269">
        <v>14</v>
      </c>
      <c r="AI269">
        <v>1.4</v>
      </c>
      <c r="AJ269">
        <v>250</v>
      </c>
      <c r="AK269">
        <v>0.31</v>
      </c>
      <c r="AL269" s="63">
        <f>IFERROR(INDEX(Job_Training[[Solar]:[Wind]],MATCH(AL$1,Job_Training[[`Typical Entry Level Education`]:[`Typical Entry Level Education`]],0),MATCH(LEFT($D269,5),Job_Training[[#Headers],[Solar]:[Wind]],0)),0)</f>
        <v>0</v>
      </c>
      <c r="AM269" s="63">
        <f>IFERROR(INDEX(Job_Training[[Solar]:[Wind]],MATCH(AM$1,Job_Training[[`Typical Entry Level Education`]:[`Typical Entry Level Education`]],0),MATCH(LEFT($D269,5),Job_Training[[#Headers],[Solar]:[Wind]],0)),0)</f>
        <v>0</v>
      </c>
      <c r="AN269" s="63">
        <f>IFERROR(INDEX(Job_Training[[Solar]:[Wind]],MATCH(AN$1,Job_Training[[`Typical Entry Level Education`]:[`Typical Entry Level Education`]],0),MATCH(LEFT($D269,5),Job_Training[[#Headers],[Solar]:[Wind]],0)),0)</f>
        <v>0</v>
      </c>
      <c r="AO269" s="63">
        <f>IFERROR(INDEX(Job_Training[[Solar]:[Wind]],MATCH(AO$1,Job_Training[[`Typical Entry Level Education`]:[`Typical Entry Level Education`]],0),MATCH(LEFT($D269,5),Job_Training[[#Headers],[Solar]:[Wind]],0)),0)</f>
        <v>0</v>
      </c>
      <c r="AP269">
        <f t="shared" si="100"/>
        <v>0</v>
      </c>
      <c r="AQ269" s="63">
        <f>IF(AP269&gt;0,IFERROR(INDEX(Assumptions!$C$165:$D$165,MATCH(LEFT($D269,5),Job_Training[[#Headers],[Solar]:[Wind]],0)),0),0)</f>
        <v>0</v>
      </c>
      <c r="AR269">
        <f>IF(AP269&gt;0,IFERROR(INDEX(Assumptions!$C$166:$D$166,MATCH(LEFT($D269,5),Job_Training[[#Headers],[Solar]:[Wind]],0)),0),0)</f>
        <v>0</v>
      </c>
    </row>
    <row r="270" spans="1:44" hidden="1" x14ac:dyDescent="0.35">
      <c r="A270" t="str">
        <f>UserInput!$B$30</f>
        <v>State Policy Aligned</v>
      </c>
      <c r="B270">
        <v>2041</v>
      </c>
      <c r="C270" s="16" t="s">
        <v>73</v>
      </c>
      <c r="D270" t="s">
        <v>74</v>
      </c>
      <c r="E270" s="66">
        <f>INDEX(UserInput!$C$30:$M$50,MATCH(UserMade_Scenario!B270,UserInput!$A$30:$A$50,0),MATCH(LEFT(IF(RIGHT(C270,2)="H2",UserMade_Scenario!C270,D270),3),UserInput!$C$25:$M$25,0))</f>
        <v>92305.263157894748</v>
      </c>
      <c r="F270" s="14" t="s">
        <v>75</v>
      </c>
      <c r="G270" s="14">
        <f t="shared" si="90"/>
        <v>1.1076631578947369E-2</v>
      </c>
      <c r="H270" s="63">
        <f t="shared" si="91"/>
        <v>0.14982644991689756</v>
      </c>
      <c r="I270" s="63">
        <f t="shared" si="92"/>
        <v>0</v>
      </c>
      <c r="J270" s="63">
        <f t="shared" si="93"/>
        <v>0.29965289983379512</v>
      </c>
      <c r="K270" s="30">
        <f>IF(OR(LEFT($D270,5)="Solar",$D270="Wind"),INDEX(Land_Use[AVG],MATCH(LEFT($D270,5),Land_Use[Tech],0)),0)*$E270</f>
        <v>0</v>
      </c>
      <c r="L270" s="30">
        <f>IF(OR(LEFT($D270,5)="Solar",$D270="Wind"),INDEX(Land_Use[MIN],MATCH(LEFT($D270,5),Land_Use[Tech],0)),0)*$E270</f>
        <v>0</v>
      </c>
      <c r="M270" s="30">
        <f>IF(OR(LEFT($D270,5)="Solar",$D270="Wind"),INDEX(Land_Use[MAX],MATCH(LEFT($D270,5),Land_Use[Tech],0)),0)*$E270</f>
        <v>0</v>
      </c>
      <c r="N270" s="15">
        <f t="shared" si="84"/>
        <v>258.45473684210526</v>
      </c>
      <c r="O270" s="11">
        <f t="shared" si="85"/>
        <v>0</v>
      </c>
      <c r="P270" s="11">
        <f t="shared" si="86"/>
        <v>0</v>
      </c>
      <c r="Q270" s="11">
        <f t="shared" si="87"/>
        <v>0</v>
      </c>
      <c r="R270" s="11">
        <f t="shared" si="88"/>
        <v>0</v>
      </c>
      <c r="S270" s="30">
        <f t="shared" si="94"/>
        <v>0</v>
      </c>
      <c r="T270" s="30">
        <f t="shared" si="95"/>
        <v>0</v>
      </c>
      <c r="U270" s="30">
        <f t="shared" si="96"/>
        <v>0</v>
      </c>
      <c r="V270" s="30">
        <f t="shared" si="97"/>
        <v>0</v>
      </c>
      <c r="W270" s="30">
        <f t="shared" si="98"/>
        <v>0</v>
      </c>
      <c r="X270" s="30">
        <f t="shared" si="99"/>
        <v>0</v>
      </c>
      <c r="Z270" s="23" t="s">
        <v>76</v>
      </c>
      <c r="AA270" s="40" t="str">
        <f>IF(C270="Electricity",E270*SUMIFS(Electricity!S:S,Electricity!P:P,UserMade_Scenario!B270,Electricity!M:M,UserMade_Scenario!Z270,Electricity!O:O,UserMade_Scenario!D270),"")</f>
        <v/>
      </c>
      <c r="AB270" s="76">
        <f>1000*Assumptions!$B$17/1000000000000</f>
        <v>1.1999999999999999E-7</v>
      </c>
      <c r="AC270" s="67" t="s">
        <v>77</v>
      </c>
      <c r="AD270" s="39">
        <f>SUMIFS(Hydrogen!AK:AK,Hydrogen!$AA:$AA,UserMade_Scenario!$Z270,Hydrogen!$Y:$Y,UserMade_Scenario!$D270,Hydrogen!$AB:$AB,UserMade_Scenario!$B270,Hydrogen!$Z:$Z,UserMade_Scenario!$C270)</f>
        <v>-13.526354907539123</v>
      </c>
      <c r="AE270" s="39">
        <f>SUMIFS(Hydrogen!AL:AL,Hydrogen!$AA:$AA,UserMade_Scenario!$Z270,Hydrogen!$Y:$Y,UserMade_Scenario!$D270,Hydrogen!$AB:$AB,UserMade_Scenario!$B270,Hydrogen!$Z:$Z,UserMade_Scenario!$C270)</f>
        <v>0</v>
      </c>
      <c r="AF270" s="39">
        <f>SUMIFS(Hydrogen!AM:AM,Hydrogen!$AA:$AA,UserMade_Scenario!$Z270,Hydrogen!$Y:$Y,UserMade_Scenario!$D270,Hydrogen!$AB:$AB,UserMade_Scenario!$B270,Hydrogen!$Z:$Z,UserMade_Scenario!$C270)</f>
        <v>-27.052709815078245</v>
      </c>
      <c r="AG270" s="68">
        <f>IFERROR(INDEX(WaterUseH2[Average Direct Water Consumption (Gal/ kg h2)],MATCH(LEFT(D270,3),WaterUseH2[Key],0)),0)</f>
        <v>2.8</v>
      </c>
      <c r="AH270">
        <v>14</v>
      </c>
      <c r="AI270">
        <v>1.4</v>
      </c>
      <c r="AJ270">
        <v>250</v>
      </c>
      <c r="AK270">
        <v>0.31</v>
      </c>
      <c r="AL270" s="63">
        <f>IFERROR(INDEX(Job_Training[[Solar]:[Wind]],MATCH(AL$1,Job_Training[[`Typical Entry Level Education`]:[`Typical Entry Level Education`]],0),MATCH(LEFT($D270,5),Job_Training[[#Headers],[Solar]:[Wind]],0)),0)</f>
        <v>0</v>
      </c>
      <c r="AM270" s="63">
        <f>IFERROR(INDEX(Job_Training[[Solar]:[Wind]],MATCH(AM$1,Job_Training[[`Typical Entry Level Education`]:[`Typical Entry Level Education`]],0),MATCH(LEFT($D270,5),Job_Training[[#Headers],[Solar]:[Wind]],0)),0)</f>
        <v>0</v>
      </c>
      <c r="AN270" s="63">
        <f>IFERROR(INDEX(Job_Training[[Solar]:[Wind]],MATCH(AN$1,Job_Training[[`Typical Entry Level Education`]:[`Typical Entry Level Education`]],0),MATCH(LEFT($D270,5),Job_Training[[#Headers],[Solar]:[Wind]],0)),0)</f>
        <v>0</v>
      </c>
      <c r="AO270" s="63">
        <f>IFERROR(INDEX(Job_Training[[Solar]:[Wind]],MATCH(AO$1,Job_Training[[`Typical Entry Level Education`]:[`Typical Entry Level Education`]],0),MATCH(LEFT($D270,5),Job_Training[[#Headers],[Solar]:[Wind]],0)),0)</f>
        <v>0</v>
      </c>
      <c r="AP270">
        <f t="shared" si="100"/>
        <v>0</v>
      </c>
      <c r="AQ270" s="63">
        <f>IF(AP270&gt;0,IFERROR(INDEX(Assumptions!$C$165:$D$165,MATCH(LEFT($D270,5),Job_Training[[#Headers],[Solar]:[Wind]],0)),0),0)</f>
        <v>0</v>
      </c>
      <c r="AR270">
        <f>IF(AP270&gt;0,IFERROR(INDEX(Assumptions!$C$166:$D$166,MATCH(LEFT($D270,5),Job_Training[[#Headers],[Solar]:[Wind]],0)),0),0)</f>
        <v>0</v>
      </c>
    </row>
    <row r="271" spans="1:44" hidden="1" x14ac:dyDescent="0.35">
      <c r="A271" t="str">
        <f>UserInput!$B$30</f>
        <v>State Policy Aligned</v>
      </c>
      <c r="B271">
        <v>2042</v>
      </c>
      <c r="C271" s="16" t="s">
        <v>73</v>
      </c>
      <c r="D271" t="s">
        <v>74</v>
      </c>
      <c r="E271" s="66">
        <f>INDEX(UserInput!$C$30:$M$50,MATCH(UserMade_Scenario!B271,UserInput!$A$30:$A$50,0),MATCH(LEFT(IF(RIGHT(C271,2)="H2",UserMade_Scenario!C271,D271),3),UserInput!$C$25:$M$25,0))</f>
        <v>97728.947368421068</v>
      </c>
      <c r="F271" s="14" t="s">
        <v>75</v>
      </c>
      <c r="G271" s="14">
        <f t="shared" si="90"/>
        <v>1.1727473684210527E-2</v>
      </c>
      <c r="H271" s="63">
        <f t="shared" si="91"/>
        <v>0.15862997122145697</v>
      </c>
      <c r="I271" s="63">
        <f t="shared" si="92"/>
        <v>0</v>
      </c>
      <c r="J271" s="63">
        <f t="shared" si="93"/>
        <v>0.31725994244291394</v>
      </c>
      <c r="K271" s="30">
        <f>IF(OR(LEFT($D271,5)="Solar",$D271="Wind"),INDEX(Land_Use[AVG],MATCH(LEFT($D271,5),Land_Use[Tech],0)),0)*$E271</f>
        <v>0</v>
      </c>
      <c r="L271" s="30">
        <f>IF(OR(LEFT($D271,5)="Solar",$D271="Wind"),INDEX(Land_Use[MIN],MATCH(LEFT($D271,5),Land_Use[Tech],0)),0)*$E271</f>
        <v>0</v>
      </c>
      <c r="M271" s="30">
        <f>IF(OR(LEFT($D271,5)="Solar",$D271="Wind"),INDEX(Land_Use[MAX],MATCH(LEFT($D271,5),Land_Use[Tech],0)),0)*$E271</f>
        <v>0</v>
      </c>
      <c r="N271" s="15">
        <f t="shared" si="84"/>
        <v>273.64105263157899</v>
      </c>
      <c r="O271" s="11">
        <f t="shared" si="85"/>
        <v>0</v>
      </c>
      <c r="P271" s="11">
        <f t="shared" si="86"/>
        <v>0</v>
      </c>
      <c r="Q271" s="11">
        <f t="shared" si="87"/>
        <v>0</v>
      </c>
      <c r="R271" s="11">
        <f t="shared" si="88"/>
        <v>0</v>
      </c>
      <c r="S271" s="30">
        <f t="shared" si="94"/>
        <v>0</v>
      </c>
      <c r="T271" s="30">
        <f t="shared" si="95"/>
        <v>0</v>
      </c>
      <c r="U271" s="30">
        <f t="shared" si="96"/>
        <v>0</v>
      </c>
      <c r="V271" s="30">
        <f t="shared" si="97"/>
        <v>0</v>
      </c>
      <c r="W271" s="30">
        <f t="shared" si="98"/>
        <v>0</v>
      </c>
      <c r="X271" s="30">
        <f t="shared" si="99"/>
        <v>0</v>
      </c>
      <c r="Z271" s="23" t="s">
        <v>76</v>
      </c>
      <c r="AA271" s="40" t="str">
        <f>IF(C271="Electricity",E271*SUMIFS(Electricity!S:S,Electricity!P:P,UserMade_Scenario!B271,Electricity!M:M,UserMade_Scenario!Z271,Electricity!O:O,UserMade_Scenario!D271),"")</f>
        <v/>
      </c>
      <c r="AB271" s="76">
        <f>1000*Assumptions!$B$17/1000000000000</f>
        <v>1.1999999999999999E-7</v>
      </c>
      <c r="AC271" s="67" t="s">
        <v>77</v>
      </c>
      <c r="AD271" s="39">
        <f>SUMIFS(Hydrogen!AK:AK,Hydrogen!$AA:$AA,UserMade_Scenario!$Z271,Hydrogen!$Y:$Y,UserMade_Scenario!$D271,Hydrogen!$AB:$AB,UserMade_Scenario!$B271,Hydrogen!$Z:$Z,UserMade_Scenario!$C271)</f>
        <v>-13.526354907539123</v>
      </c>
      <c r="AE271" s="39">
        <f>SUMIFS(Hydrogen!AL:AL,Hydrogen!$AA:$AA,UserMade_Scenario!$Z271,Hydrogen!$Y:$Y,UserMade_Scenario!$D271,Hydrogen!$AB:$AB,UserMade_Scenario!$B271,Hydrogen!$Z:$Z,UserMade_Scenario!$C271)</f>
        <v>0</v>
      </c>
      <c r="AF271" s="39">
        <f>SUMIFS(Hydrogen!AM:AM,Hydrogen!$AA:$AA,UserMade_Scenario!$Z271,Hydrogen!$Y:$Y,UserMade_Scenario!$D271,Hydrogen!$AB:$AB,UserMade_Scenario!$B271,Hydrogen!$Z:$Z,UserMade_Scenario!$C271)</f>
        <v>-27.052709815078245</v>
      </c>
      <c r="AG271" s="68">
        <f>IFERROR(INDEX(WaterUseH2[Average Direct Water Consumption (Gal/ kg h2)],MATCH(LEFT(D271,3),WaterUseH2[Key],0)),0)</f>
        <v>2.8</v>
      </c>
      <c r="AH271">
        <v>14</v>
      </c>
      <c r="AI271">
        <v>1.4</v>
      </c>
      <c r="AJ271">
        <v>250</v>
      </c>
      <c r="AK271">
        <v>0.31</v>
      </c>
      <c r="AL271" s="63">
        <f>IFERROR(INDEX(Job_Training[[Solar]:[Wind]],MATCH(AL$1,Job_Training[[`Typical Entry Level Education`]:[`Typical Entry Level Education`]],0),MATCH(LEFT($D271,5),Job_Training[[#Headers],[Solar]:[Wind]],0)),0)</f>
        <v>0</v>
      </c>
      <c r="AM271" s="63">
        <f>IFERROR(INDEX(Job_Training[[Solar]:[Wind]],MATCH(AM$1,Job_Training[[`Typical Entry Level Education`]:[`Typical Entry Level Education`]],0),MATCH(LEFT($D271,5),Job_Training[[#Headers],[Solar]:[Wind]],0)),0)</f>
        <v>0</v>
      </c>
      <c r="AN271" s="63">
        <f>IFERROR(INDEX(Job_Training[[Solar]:[Wind]],MATCH(AN$1,Job_Training[[`Typical Entry Level Education`]:[`Typical Entry Level Education`]],0),MATCH(LEFT($D271,5),Job_Training[[#Headers],[Solar]:[Wind]],0)),0)</f>
        <v>0</v>
      </c>
      <c r="AO271" s="63">
        <f>IFERROR(INDEX(Job_Training[[Solar]:[Wind]],MATCH(AO$1,Job_Training[[`Typical Entry Level Education`]:[`Typical Entry Level Education`]],0),MATCH(LEFT($D271,5),Job_Training[[#Headers],[Solar]:[Wind]],0)),0)</f>
        <v>0</v>
      </c>
      <c r="AP271">
        <f t="shared" si="100"/>
        <v>0</v>
      </c>
      <c r="AQ271" s="63">
        <f>IF(AP271&gt;0,IFERROR(INDEX(Assumptions!$C$165:$D$165,MATCH(LEFT($D271,5),Job_Training[[#Headers],[Solar]:[Wind]],0)),0),0)</f>
        <v>0</v>
      </c>
      <c r="AR271">
        <f>IF(AP271&gt;0,IFERROR(INDEX(Assumptions!$C$166:$D$166,MATCH(LEFT($D271,5),Job_Training[[#Headers],[Solar]:[Wind]],0)),0),0)</f>
        <v>0</v>
      </c>
    </row>
    <row r="272" spans="1:44" hidden="1" x14ac:dyDescent="0.35">
      <c r="A272" t="str">
        <f>UserInput!$B$30</f>
        <v>State Policy Aligned</v>
      </c>
      <c r="B272">
        <v>2043</v>
      </c>
      <c r="C272" s="16" t="s">
        <v>73</v>
      </c>
      <c r="D272" t="s">
        <v>74</v>
      </c>
      <c r="E272" s="66">
        <f>INDEX(UserInput!$C$30:$M$50,MATCH(UserMade_Scenario!B272,UserInput!$A$30:$A$50,0),MATCH(LEFT(IF(RIGHT(C272,2)="H2",UserMade_Scenario!C272,D272),3),UserInput!$C$25:$M$25,0))</f>
        <v>103152.63157894739</v>
      </c>
      <c r="F272" s="14" t="s">
        <v>75</v>
      </c>
      <c r="G272" s="14">
        <f t="shared" si="90"/>
        <v>1.2378315789473685E-2</v>
      </c>
      <c r="H272" s="63">
        <f t="shared" si="91"/>
        <v>0.16743349252601639</v>
      </c>
      <c r="I272" s="63">
        <f t="shared" si="92"/>
        <v>0</v>
      </c>
      <c r="J272" s="63">
        <f t="shared" si="93"/>
        <v>0.33486698505203277</v>
      </c>
      <c r="K272" s="30">
        <f>IF(OR(LEFT($D272,5)="Solar",$D272="Wind"),INDEX(Land_Use[AVG],MATCH(LEFT($D272,5),Land_Use[Tech],0)),0)*$E272</f>
        <v>0</v>
      </c>
      <c r="L272" s="30">
        <f>IF(OR(LEFT($D272,5)="Solar",$D272="Wind"),INDEX(Land_Use[MIN],MATCH(LEFT($D272,5),Land_Use[Tech],0)),0)*$E272</f>
        <v>0</v>
      </c>
      <c r="M272" s="30">
        <f>IF(OR(LEFT($D272,5)="Solar",$D272="Wind"),INDEX(Land_Use[MAX],MATCH(LEFT($D272,5),Land_Use[Tech],0)),0)*$E272</f>
        <v>0</v>
      </c>
      <c r="N272" s="15">
        <f t="shared" si="84"/>
        <v>288.82736842105265</v>
      </c>
      <c r="O272" s="11">
        <f t="shared" si="85"/>
        <v>0</v>
      </c>
      <c r="P272" s="11">
        <f t="shared" si="86"/>
        <v>0</v>
      </c>
      <c r="Q272" s="11">
        <f t="shared" si="87"/>
        <v>0</v>
      </c>
      <c r="R272" s="11">
        <f t="shared" si="88"/>
        <v>0</v>
      </c>
      <c r="S272" s="30">
        <f t="shared" si="94"/>
        <v>0</v>
      </c>
      <c r="T272" s="30">
        <f t="shared" si="95"/>
        <v>0</v>
      </c>
      <c r="U272" s="30">
        <f t="shared" si="96"/>
        <v>0</v>
      </c>
      <c r="V272" s="30">
        <f t="shared" si="97"/>
        <v>0</v>
      </c>
      <c r="W272" s="30">
        <f t="shared" si="98"/>
        <v>0</v>
      </c>
      <c r="X272" s="30">
        <f t="shared" si="99"/>
        <v>0</v>
      </c>
      <c r="Z272" s="23" t="s">
        <v>76</v>
      </c>
      <c r="AA272" s="40" t="str">
        <f>IF(C272="Electricity",E272*SUMIFS(Electricity!S:S,Electricity!P:P,UserMade_Scenario!B272,Electricity!M:M,UserMade_Scenario!Z272,Electricity!O:O,UserMade_Scenario!D272),"")</f>
        <v/>
      </c>
      <c r="AB272" s="76">
        <f>1000*Assumptions!$B$17/1000000000000</f>
        <v>1.1999999999999999E-7</v>
      </c>
      <c r="AC272" s="67" t="s">
        <v>77</v>
      </c>
      <c r="AD272" s="39">
        <f>SUMIFS(Hydrogen!AK:AK,Hydrogen!$AA:$AA,UserMade_Scenario!$Z272,Hydrogen!$Y:$Y,UserMade_Scenario!$D272,Hydrogen!$AB:$AB,UserMade_Scenario!$B272,Hydrogen!$Z:$Z,UserMade_Scenario!$C272)</f>
        <v>-13.526354907539123</v>
      </c>
      <c r="AE272" s="39">
        <f>SUMIFS(Hydrogen!AL:AL,Hydrogen!$AA:$AA,UserMade_Scenario!$Z272,Hydrogen!$Y:$Y,UserMade_Scenario!$D272,Hydrogen!$AB:$AB,UserMade_Scenario!$B272,Hydrogen!$Z:$Z,UserMade_Scenario!$C272)</f>
        <v>0</v>
      </c>
      <c r="AF272" s="39">
        <f>SUMIFS(Hydrogen!AM:AM,Hydrogen!$AA:$AA,UserMade_Scenario!$Z272,Hydrogen!$Y:$Y,UserMade_Scenario!$D272,Hydrogen!$AB:$AB,UserMade_Scenario!$B272,Hydrogen!$Z:$Z,UserMade_Scenario!$C272)</f>
        <v>-27.052709815078245</v>
      </c>
      <c r="AG272" s="68">
        <f>IFERROR(INDEX(WaterUseH2[Average Direct Water Consumption (Gal/ kg h2)],MATCH(LEFT(D272,3),WaterUseH2[Key],0)),0)</f>
        <v>2.8</v>
      </c>
      <c r="AH272">
        <v>14</v>
      </c>
      <c r="AI272">
        <v>1.4</v>
      </c>
      <c r="AJ272">
        <v>250</v>
      </c>
      <c r="AK272">
        <v>0.31</v>
      </c>
      <c r="AL272" s="63">
        <f>IFERROR(INDEX(Job_Training[[Solar]:[Wind]],MATCH(AL$1,Job_Training[[`Typical Entry Level Education`]:[`Typical Entry Level Education`]],0),MATCH(LEFT($D272,5),Job_Training[[#Headers],[Solar]:[Wind]],0)),0)</f>
        <v>0</v>
      </c>
      <c r="AM272" s="63">
        <f>IFERROR(INDEX(Job_Training[[Solar]:[Wind]],MATCH(AM$1,Job_Training[[`Typical Entry Level Education`]:[`Typical Entry Level Education`]],0),MATCH(LEFT($D272,5),Job_Training[[#Headers],[Solar]:[Wind]],0)),0)</f>
        <v>0</v>
      </c>
      <c r="AN272" s="63">
        <f>IFERROR(INDEX(Job_Training[[Solar]:[Wind]],MATCH(AN$1,Job_Training[[`Typical Entry Level Education`]:[`Typical Entry Level Education`]],0),MATCH(LEFT($D272,5),Job_Training[[#Headers],[Solar]:[Wind]],0)),0)</f>
        <v>0</v>
      </c>
      <c r="AO272" s="63">
        <f>IFERROR(INDEX(Job_Training[[Solar]:[Wind]],MATCH(AO$1,Job_Training[[`Typical Entry Level Education`]:[`Typical Entry Level Education`]],0),MATCH(LEFT($D272,5),Job_Training[[#Headers],[Solar]:[Wind]],0)),0)</f>
        <v>0</v>
      </c>
      <c r="AP272">
        <f t="shared" si="100"/>
        <v>0</v>
      </c>
      <c r="AQ272" s="63">
        <f>IF(AP272&gt;0,IFERROR(INDEX(Assumptions!$C$165:$D$165,MATCH(LEFT($D272,5),Job_Training[[#Headers],[Solar]:[Wind]],0)),0),0)</f>
        <v>0</v>
      </c>
      <c r="AR272">
        <f>IF(AP272&gt;0,IFERROR(INDEX(Assumptions!$C$166:$D$166,MATCH(LEFT($D272,5),Job_Training[[#Headers],[Solar]:[Wind]],0)),0),0)</f>
        <v>0</v>
      </c>
    </row>
    <row r="273" spans="1:44" hidden="1" x14ac:dyDescent="0.35">
      <c r="A273" t="str">
        <f>UserInput!$B$30</f>
        <v>State Policy Aligned</v>
      </c>
      <c r="B273">
        <v>2044</v>
      </c>
      <c r="C273" s="16" t="s">
        <v>73</v>
      </c>
      <c r="D273" t="s">
        <v>74</v>
      </c>
      <c r="E273" s="66">
        <f>INDEX(UserInput!$C$30:$M$50,MATCH(UserMade_Scenario!B273,UserInput!$A$30:$A$50,0),MATCH(LEFT(IF(RIGHT(C273,2)="H2",UserMade_Scenario!C273,D273),3),UserInput!$C$25:$M$25,0))</f>
        <v>108576.31578947371</v>
      </c>
      <c r="F273" s="14" t="s">
        <v>75</v>
      </c>
      <c r="G273" s="14">
        <f t="shared" si="90"/>
        <v>1.3029157894736843E-2</v>
      </c>
      <c r="H273" s="63">
        <f t="shared" si="91"/>
        <v>0.1762370138305758</v>
      </c>
      <c r="I273" s="63">
        <f t="shared" si="92"/>
        <v>0</v>
      </c>
      <c r="J273" s="63">
        <f t="shared" si="93"/>
        <v>0.3524740276611516</v>
      </c>
      <c r="K273" s="30">
        <f>IF(OR(LEFT($D273,5)="Solar",$D273="Wind"),INDEX(Land_Use[AVG],MATCH(LEFT($D273,5),Land_Use[Tech],0)),0)*$E273</f>
        <v>0</v>
      </c>
      <c r="L273" s="30">
        <f>IF(OR(LEFT($D273,5)="Solar",$D273="Wind"),INDEX(Land_Use[MIN],MATCH(LEFT($D273,5),Land_Use[Tech],0)),0)*$E273</f>
        <v>0</v>
      </c>
      <c r="M273" s="30">
        <f>IF(OR(LEFT($D273,5)="Solar",$D273="Wind"),INDEX(Land_Use[MAX],MATCH(LEFT($D273,5),Land_Use[Tech],0)),0)*$E273</f>
        <v>0</v>
      </c>
      <c r="N273" s="15">
        <f t="shared" si="84"/>
        <v>304.01368421052632</v>
      </c>
      <c r="O273" s="11">
        <f t="shared" si="85"/>
        <v>0</v>
      </c>
      <c r="P273" s="11">
        <f t="shared" si="86"/>
        <v>0</v>
      </c>
      <c r="Q273" s="11">
        <f t="shared" si="87"/>
        <v>0</v>
      </c>
      <c r="R273" s="11">
        <f t="shared" si="88"/>
        <v>0</v>
      </c>
      <c r="S273" s="30">
        <f t="shared" si="94"/>
        <v>0</v>
      </c>
      <c r="T273" s="30">
        <f t="shared" si="95"/>
        <v>0</v>
      </c>
      <c r="U273" s="30">
        <f t="shared" si="96"/>
        <v>0</v>
      </c>
      <c r="V273" s="30">
        <f t="shared" si="97"/>
        <v>0</v>
      </c>
      <c r="W273" s="30">
        <f t="shared" si="98"/>
        <v>0</v>
      </c>
      <c r="X273" s="30">
        <f t="shared" si="99"/>
        <v>0</v>
      </c>
      <c r="Z273" s="23" t="s">
        <v>76</v>
      </c>
      <c r="AA273" s="40" t="str">
        <f>IF(C273="Electricity",E273*SUMIFS(Electricity!S:S,Electricity!P:P,UserMade_Scenario!B273,Electricity!M:M,UserMade_Scenario!Z273,Electricity!O:O,UserMade_Scenario!D273),"")</f>
        <v/>
      </c>
      <c r="AB273" s="76">
        <f>1000*Assumptions!$B$17/1000000000000</f>
        <v>1.1999999999999999E-7</v>
      </c>
      <c r="AC273" s="67" t="s">
        <v>77</v>
      </c>
      <c r="AD273" s="39">
        <f>SUMIFS(Hydrogen!AK:AK,Hydrogen!$AA:$AA,UserMade_Scenario!$Z273,Hydrogen!$Y:$Y,UserMade_Scenario!$D273,Hydrogen!$AB:$AB,UserMade_Scenario!$B273,Hydrogen!$Z:$Z,UserMade_Scenario!$C273)</f>
        <v>-13.526354907539123</v>
      </c>
      <c r="AE273" s="39">
        <f>SUMIFS(Hydrogen!AL:AL,Hydrogen!$AA:$AA,UserMade_Scenario!$Z273,Hydrogen!$Y:$Y,UserMade_Scenario!$D273,Hydrogen!$AB:$AB,UserMade_Scenario!$B273,Hydrogen!$Z:$Z,UserMade_Scenario!$C273)</f>
        <v>0</v>
      </c>
      <c r="AF273" s="39">
        <f>SUMIFS(Hydrogen!AM:AM,Hydrogen!$AA:$AA,UserMade_Scenario!$Z273,Hydrogen!$Y:$Y,UserMade_Scenario!$D273,Hydrogen!$AB:$AB,UserMade_Scenario!$B273,Hydrogen!$Z:$Z,UserMade_Scenario!$C273)</f>
        <v>-27.052709815078245</v>
      </c>
      <c r="AG273" s="68">
        <f>IFERROR(INDEX(WaterUseH2[Average Direct Water Consumption (Gal/ kg h2)],MATCH(LEFT(D273,3),WaterUseH2[Key],0)),0)</f>
        <v>2.8</v>
      </c>
      <c r="AH273">
        <v>14</v>
      </c>
      <c r="AI273">
        <v>1.4</v>
      </c>
      <c r="AJ273">
        <v>250</v>
      </c>
      <c r="AK273">
        <v>0.31</v>
      </c>
      <c r="AL273" s="63">
        <f>IFERROR(INDEX(Job_Training[[Solar]:[Wind]],MATCH(AL$1,Job_Training[[`Typical Entry Level Education`]:[`Typical Entry Level Education`]],0),MATCH(LEFT($D273,5),Job_Training[[#Headers],[Solar]:[Wind]],0)),0)</f>
        <v>0</v>
      </c>
      <c r="AM273" s="63">
        <f>IFERROR(INDEX(Job_Training[[Solar]:[Wind]],MATCH(AM$1,Job_Training[[`Typical Entry Level Education`]:[`Typical Entry Level Education`]],0),MATCH(LEFT($D273,5),Job_Training[[#Headers],[Solar]:[Wind]],0)),0)</f>
        <v>0</v>
      </c>
      <c r="AN273" s="63">
        <f>IFERROR(INDEX(Job_Training[[Solar]:[Wind]],MATCH(AN$1,Job_Training[[`Typical Entry Level Education`]:[`Typical Entry Level Education`]],0),MATCH(LEFT($D273,5),Job_Training[[#Headers],[Solar]:[Wind]],0)),0)</f>
        <v>0</v>
      </c>
      <c r="AO273" s="63">
        <f>IFERROR(INDEX(Job_Training[[Solar]:[Wind]],MATCH(AO$1,Job_Training[[`Typical Entry Level Education`]:[`Typical Entry Level Education`]],0),MATCH(LEFT($D273,5),Job_Training[[#Headers],[Solar]:[Wind]],0)),0)</f>
        <v>0</v>
      </c>
      <c r="AP273">
        <f t="shared" si="100"/>
        <v>0</v>
      </c>
      <c r="AQ273" s="63">
        <f>IF(AP273&gt;0,IFERROR(INDEX(Assumptions!$C$165:$D$165,MATCH(LEFT($D273,5),Job_Training[[#Headers],[Solar]:[Wind]],0)),0),0)</f>
        <v>0</v>
      </c>
      <c r="AR273">
        <f>IF(AP273&gt;0,IFERROR(INDEX(Assumptions!$C$166:$D$166,MATCH(LEFT($D273,5),Job_Training[[#Headers],[Solar]:[Wind]],0)),0),0)</f>
        <v>0</v>
      </c>
    </row>
    <row r="274" spans="1:44" hidden="1" x14ac:dyDescent="0.35">
      <c r="A274" t="str">
        <f>UserInput!$B$30</f>
        <v>State Policy Aligned</v>
      </c>
      <c r="B274">
        <v>2045</v>
      </c>
      <c r="C274" s="16" t="s">
        <v>73</v>
      </c>
      <c r="D274" t="s">
        <v>74</v>
      </c>
      <c r="E274" s="66">
        <f>INDEX(UserInput!$C$30:$M$50,MATCH(UserMade_Scenario!B274,UserInput!$A$30:$A$50,0),MATCH(LEFT(IF(RIGHT(C274,2)="H2",UserMade_Scenario!C274,D274),3),UserInput!$C$25:$M$25,0))</f>
        <v>114000.00000000003</v>
      </c>
      <c r="F274" s="14" t="s">
        <v>75</v>
      </c>
      <c r="G274" s="14">
        <f t="shared" si="90"/>
        <v>1.3680000000000003E-2</v>
      </c>
      <c r="H274" s="63">
        <f t="shared" si="91"/>
        <v>0.18504053513513524</v>
      </c>
      <c r="I274" s="63">
        <f t="shared" si="92"/>
        <v>0</v>
      </c>
      <c r="J274" s="63">
        <f t="shared" si="93"/>
        <v>0.37008107027027048</v>
      </c>
      <c r="K274" s="30">
        <f>IF(OR(LEFT($D274,5)="Solar",$D274="Wind"),INDEX(Land_Use[AVG],MATCH(LEFT($D274,5),Land_Use[Tech],0)),0)*$E274</f>
        <v>0</v>
      </c>
      <c r="L274" s="30">
        <f>IF(OR(LEFT($D274,5)="Solar",$D274="Wind"),INDEX(Land_Use[MIN],MATCH(LEFT($D274,5),Land_Use[Tech],0)),0)*$E274</f>
        <v>0</v>
      </c>
      <c r="M274" s="30">
        <f>IF(OR(LEFT($D274,5)="Solar",$D274="Wind"),INDEX(Land_Use[MAX],MATCH(LEFT($D274,5),Land_Use[Tech],0)),0)*$E274</f>
        <v>0</v>
      </c>
      <c r="N274" s="15">
        <f t="shared" si="84"/>
        <v>319.20000000000005</v>
      </c>
      <c r="O274" s="11">
        <f t="shared" si="85"/>
        <v>0</v>
      </c>
      <c r="P274" s="11">
        <f t="shared" si="86"/>
        <v>0</v>
      </c>
      <c r="Q274" s="11">
        <f t="shared" si="87"/>
        <v>0</v>
      </c>
      <c r="R274" s="11">
        <f t="shared" si="88"/>
        <v>0</v>
      </c>
      <c r="S274" s="30">
        <f t="shared" si="94"/>
        <v>0</v>
      </c>
      <c r="T274" s="30">
        <f t="shared" si="95"/>
        <v>0</v>
      </c>
      <c r="U274" s="30">
        <f t="shared" si="96"/>
        <v>0</v>
      </c>
      <c r="V274" s="30">
        <f t="shared" si="97"/>
        <v>0</v>
      </c>
      <c r="W274" s="30">
        <f t="shared" si="98"/>
        <v>0</v>
      </c>
      <c r="X274" s="30">
        <f t="shared" si="99"/>
        <v>0</v>
      </c>
      <c r="Z274" s="23" t="s">
        <v>76</v>
      </c>
      <c r="AA274" s="40" t="str">
        <f>IF(C274="Electricity",E274*SUMIFS(Electricity!S:S,Electricity!P:P,UserMade_Scenario!B274,Electricity!M:M,UserMade_Scenario!Z274,Electricity!O:O,UserMade_Scenario!D274),"")</f>
        <v/>
      </c>
      <c r="AB274" s="76">
        <f>1000*Assumptions!$B$17/1000000000000</f>
        <v>1.1999999999999999E-7</v>
      </c>
      <c r="AC274" s="67" t="s">
        <v>77</v>
      </c>
      <c r="AD274" s="39">
        <f>SUMIFS(Hydrogen!AK:AK,Hydrogen!$AA:$AA,UserMade_Scenario!$Z274,Hydrogen!$Y:$Y,UserMade_Scenario!$D274,Hydrogen!$AB:$AB,UserMade_Scenario!$B274,Hydrogen!$Z:$Z,UserMade_Scenario!$C274)</f>
        <v>-13.526354907539123</v>
      </c>
      <c r="AE274" s="39">
        <f>SUMIFS(Hydrogen!AL:AL,Hydrogen!$AA:$AA,UserMade_Scenario!$Z274,Hydrogen!$Y:$Y,UserMade_Scenario!$D274,Hydrogen!$AB:$AB,UserMade_Scenario!$B274,Hydrogen!$Z:$Z,UserMade_Scenario!$C274)</f>
        <v>0</v>
      </c>
      <c r="AF274" s="39">
        <f>SUMIFS(Hydrogen!AM:AM,Hydrogen!$AA:$AA,UserMade_Scenario!$Z274,Hydrogen!$Y:$Y,UserMade_Scenario!$D274,Hydrogen!$AB:$AB,UserMade_Scenario!$B274,Hydrogen!$Z:$Z,UserMade_Scenario!$C274)</f>
        <v>-27.052709815078245</v>
      </c>
      <c r="AG274" s="68">
        <f>IFERROR(INDEX(WaterUseH2[Average Direct Water Consumption (Gal/ kg h2)],MATCH(LEFT(D274,3),WaterUseH2[Key],0)),0)</f>
        <v>2.8</v>
      </c>
      <c r="AH274">
        <v>14</v>
      </c>
      <c r="AI274">
        <v>1.4</v>
      </c>
      <c r="AJ274">
        <v>250</v>
      </c>
      <c r="AK274">
        <v>0.31</v>
      </c>
      <c r="AL274" s="63">
        <f>IFERROR(INDEX(Job_Training[[Solar]:[Wind]],MATCH(AL$1,Job_Training[[`Typical Entry Level Education`]:[`Typical Entry Level Education`]],0),MATCH(LEFT($D274,5),Job_Training[[#Headers],[Solar]:[Wind]],0)),0)</f>
        <v>0</v>
      </c>
      <c r="AM274" s="63">
        <f>IFERROR(INDEX(Job_Training[[Solar]:[Wind]],MATCH(AM$1,Job_Training[[`Typical Entry Level Education`]:[`Typical Entry Level Education`]],0),MATCH(LEFT($D274,5),Job_Training[[#Headers],[Solar]:[Wind]],0)),0)</f>
        <v>0</v>
      </c>
      <c r="AN274" s="63">
        <f>IFERROR(INDEX(Job_Training[[Solar]:[Wind]],MATCH(AN$1,Job_Training[[`Typical Entry Level Education`]:[`Typical Entry Level Education`]],0),MATCH(LEFT($D274,5),Job_Training[[#Headers],[Solar]:[Wind]],0)),0)</f>
        <v>0</v>
      </c>
      <c r="AO274" s="63">
        <f>IFERROR(INDEX(Job_Training[[Solar]:[Wind]],MATCH(AO$1,Job_Training[[`Typical Entry Level Education`]:[`Typical Entry Level Education`]],0),MATCH(LEFT($D274,5),Job_Training[[#Headers],[Solar]:[Wind]],0)),0)</f>
        <v>0</v>
      </c>
      <c r="AP274">
        <f t="shared" si="100"/>
        <v>0</v>
      </c>
      <c r="AQ274" s="63">
        <f>IF(AP274&gt;0,IFERROR(INDEX(Assumptions!$C$165:$D$165,MATCH(LEFT($D274,5),Job_Training[[#Headers],[Solar]:[Wind]],0)),0),0)</f>
        <v>0</v>
      </c>
      <c r="AR274">
        <f>IF(AP274&gt;0,IFERROR(INDEX(Assumptions!$C$166:$D$166,MATCH(LEFT($D274,5),Job_Training[[#Headers],[Solar]:[Wind]],0)),0),0)</f>
        <v>0</v>
      </c>
    </row>
    <row r="275" spans="1:44" hidden="1" x14ac:dyDescent="0.35">
      <c r="A275" t="str">
        <f>UserInput!$B$30</f>
        <v>State Policy Aligned</v>
      </c>
      <c r="B275">
        <v>2025</v>
      </c>
      <c r="C275" t="s">
        <v>78</v>
      </c>
      <c r="D275" t="s">
        <v>79</v>
      </c>
      <c r="E275" s="66">
        <f>INDEX(UserInput!$C$30:$M$50,MATCH(UserMade_Scenario!B275,UserInput!$A$30:$A$50,0),MATCH(LEFT(IF(RIGHT(C275,2)="H2",UserMade_Scenario!C275,D275),3),UserInput!$C$25:$M$25,0))</f>
        <v>0</v>
      </c>
      <c r="F275" s="14" t="s">
        <v>75</v>
      </c>
      <c r="G275" s="14">
        <f t="shared" si="90"/>
        <v>0</v>
      </c>
      <c r="H275" s="63">
        <f t="shared" si="91"/>
        <v>0</v>
      </c>
      <c r="I275" s="63">
        <f t="shared" si="92"/>
        <v>0</v>
      </c>
      <c r="J275" s="63">
        <f t="shared" si="93"/>
        <v>0</v>
      </c>
      <c r="K275" s="30">
        <f>IF(OR(LEFT($D275,5)="Solar",$D275="Wind"),INDEX(Land_Use[AVG],MATCH(LEFT($D275,5),Land_Use[Tech],0)),0)*$E275</f>
        <v>0</v>
      </c>
      <c r="L275" s="30">
        <f>IF(OR(LEFT($D275,5)="Solar",$D275="Wind"),INDEX(Land_Use[MIN],MATCH(LEFT($D275,5),Land_Use[Tech],0)),0)*$E275</f>
        <v>0</v>
      </c>
      <c r="M275" s="30">
        <f>IF(OR(LEFT($D275,5)="Solar",$D275="Wind"),INDEX(Land_Use[MAX],MATCH(LEFT($D275,5),Land_Use[Tech],0)),0)*$E275</f>
        <v>0</v>
      </c>
      <c r="N275" s="13">
        <f t="shared" si="84"/>
        <v>0</v>
      </c>
      <c r="O275" s="13">
        <f t="shared" si="85"/>
        <v>0</v>
      </c>
      <c r="P275" s="13">
        <f t="shared" si="86"/>
        <v>0</v>
      </c>
      <c r="Q275" s="13">
        <f t="shared" si="87"/>
        <v>0</v>
      </c>
      <c r="R275" s="13">
        <f t="shared" si="88"/>
        <v>0</v>
      </c>
      <c r="S275" s="30">
        <f t="shared" si="94"/>
        <v>0</v>
      </c>
      <c r="T275" s="30">
        <f t="shared" si="95"/>
        <v>0</v>
      </c>
      <c r="U275" s="30">
        <f t="shared" si="96"/>
        <v>0</v>
      </c>
      <c r="V275" s="30">
        <f t="shared" si="97"/>
        <v>0</v>
      </c>
      <c r="W275" s="30">
        <f t="shared" si="98"/>
        <v>0</v>
      </c>
      <c r="X275" s="30">
        <f t="shared" si="99"/>
        <v>0</v>
      </c>
      <c r="Z275" s="23" t="s">
        <v>76</v>
      </c>
      <c r="AA275" s="40" t="str">
        <f>IF(C275="Electricity",E275*SUMIFS(Electricity!S:S,Electricity!P:P,UserMade_Scenario!B275,Electricity!M:M,UserMade_Scenario!Z275,Electricity!O:O,UserMade_Scenario!D275),"")</f>
        <v/>
      </c>
      <c r="AB275" s="76">
        <f>1000*Assumptions!$B$17/1000000000000</f>
        <v>1.1999999999999999E-7</v>
      </c>
      <c r="AC275" s="67" t="s">
        <v>77</v>
      </c>
      <c r="AD275" s="39">
        <f>SUMIFS(Hydrogen!AK:AK,Hydrogen!$AA:$AA,UserMade_Scenario!$Z275,Hydrogen!$Y:$Y,UserMade_Scenario!$D275,Hydrogen!$AB:$AB,UserMade_Scenario!$B275,Hydrogen!$Z:$Z,UserMade_Scenario!$C275)</f>
        <v>-88.849553682831996</v>
      </c>
      <c r="AE275" s="39">
        <f>SUMIFS(Hydrogen!AL:AL,Hydrogen!$AA:$AA,UserMade_Scenario!$Z275,Hydrogen!$Y:$Y,UserMade_Scenario!$D275,Hydrogen!$AB:$AB,UserMade_Scenario!$B275,Hydrogen!$Z:$Z,UserMade_Scenario!$C275)</f>
        <v>-87.759107365663994</v>
      </c>
      <c r="AF275" s="39">
        <f>SUMIFS(Hydrogen!AM:AM,Hydrogen!$AA:$AA,UserMade_Scenario!$Z275,Hydrogen!$Y:$Y,UserMade_Scenario!$D275,Hydrogen!$AB:$AB,UserMade_Scenario!$B275,Hydrogen!$Z:$Z,UserMade_Scenario!$C275)</f>
        <v>-89.94</v>
      </c>
      <c r="AG275" s="68">
        <f>IFERROR(INDEX(WaterUseH2[Average Direct Water Consumption (Gal/ kg h2)],MATCH(LEFT(D275,3),WaterUseH2[Key],0)),0)</f>
        <v>4.0999999999999996</v>
      </c>
      <c r="AH275">
        <v>14</v>
      </c>
      <c r="AI275">
        <v>1.4</v>
      </c>
      <c r="AJ275">
        <v>250</v>
      </c>
      <c r="AK275">
        <v>0.31</v>
      </c>
      <c r="AL275" s="63">
        <f>IFERROR(INDEX(Job_Training[[Solar]:[Wind]],MATCH(AL$1,Job_Training[[`Typical Entry Level Education`]:[`Typical Entry Level Education`]],0),MATCH(LEFT($D275,5),Job_Training[[#Headers],[Solar]:[Wind]],0)),0)</f>
        <v>0</v>
      </c>
      <c r="AM275" s="63">
        <f>IFERROR(INDEX(Job_Training[[Solar]:[Wind]],MATCH(AM$1,Job_Training[[`Typical Entry Level Education`]:[`Typical Entry Level Education`]],0),MATCH(LEFT($D275,5),Job_Training[[#Headers],[Solar]:[Wind]],0)),0)</f>
        <v>0</v>
      </c>
      <c r="AN275" s="63">
        <f>IFERROR(INDEX(Job_Training[[Solar]:[Wind]],MATCH(AN$1,Job_Training[[`Typical Entry Level Education`]:[`Typical Entry Level Education`]],0),MATCH(LEFT($D275,5),Job_Training[[#Headers],[Solar]:[Wind]],0)),0)</f>
        <v>0</v>
      </c>
      <c r="AO275" s="63">
        <f>IFERROR(INDEX(Job_Training[[Solar]:[Wind]],MATCH(AO$1,Job_Training[[`Typical Entry Level Education`]:[`Typical Entry Level Education`]],0),MATCH(LEFT($D275,5),Job_Training[[#Headers],[Solar]:[Wind]],0)),0)</f>
        <v>0</v>
      </c>
      <c r="AP275">
        <f t="shared" si="100"/>
        <v>0</v>
      </c>
      <c r="AQ275" s="63">
        <f>IF(AP275&gt;0,IFERROR(INDEX(Assumptions!$C$165:$D$165,MATCH(LEFT($D275,5),Job_Training[[#Headers],[Solar]:[Wind]],0)),0),0)</f>
        <v>0</v>
      </c>
      <c r="AR275">
        <f>IF(AP275&gt;0,IFERROR(INDEX(Assumptions!$C$166:$D$166,MATCH(LEFT($D275,5),Job_Training[[#Headers],[Solar]:[Wind]],0)),0),0)</f>
        <v>0</v>
      </c>
    </row>
    <row r="276" spans="1:44" hidden="1" x14ac:dyDescent="0.35">
      <c r="A276" t="str">
        <f>UserInput!$B$30</f>
        <v>State Policy Aligned</v>
      </c>
      <c r="B276">
        <v>2026</v>
      </c>
      <c r="C276" t="s">
        <v>78</v>
      </c>
      <c r="D276" t="s">
        <v>79</v>
      </c>
      <c r="E276" s="66">
        <f>INDEX(UserInput!$C$30:$M$50,MATCH(UserMade_Scenario!B276,UserInput!$A$30:$A$50,0),MATCH(LEFT(IF(RIGHT(C276,2)="H2",UserMade_Scenario!C276,D276),3),UserInput!$C$25:$M$25,0))</f>
        <v>0</v>
      </c>
      <c r="F276" s="14" t="s">
        <v>75</v>
      </c>
      <c r="G276" s="14">
        <f t="shared" si="90"/>
        <v>0</v>
      </c>
      <c r="H276" s="63">
        <f t="shared" si="91"/>
        <v>0</v>
      </c>
      <c r="I276" s="63">
        <f t="shared" si="92"/>
        <v>0</v>
      </c>
      <c r="J276" s="63">
        <f t="shared" si="93"/>
        <v>0</v>
      </c>
      <c r="K276" s="30">
        <f>IF(OR(LEFT($D276,5)="Solar",$D276="Wind"),INDEX(Land_Use[AVG],MATCH(LEFT($D276,5),Land_Use[Tech],0)),0)*$E276</f>
        <v>0</v>
      </c>
      <c r="L276" s="30">
        <f>IF(OR(LEFT($D276,5)="Solar",$D276="Wind"),INDEX(Land_Use[MIN],MATCH(LEFT($D276,5),Land_Use[Tech],0)),0)*$E276</f>
        <v>0</v>
      </c>
      <c r="M276" s="30">
        <f>IF(OR(LEFT($D276,5)="Solar",$D276="Wind"),INDEX(Land_Use[MAX],MATCH(LEFT($D276,5),Land_Use[Tech],0)),0)*$E276</f>
        <v>0</v>
      </c>
      <c r="N276" s="13">
        <f t="shared" si="84"/>
        <v>0</v>
      </c>
      <c r="O276" s="13">
        <f t="shared" si="85"/>
        <v>0</v>
      </c>
      <c r="P276" s="13">
        <f t="shared" si="86"/>
        <v>0</v>
      </c>
      <c r="Q276" s="13">
        <f t="shared" si="87"/>
        <v>0</v>
      </c>
      <c r="R276" s="13">
        <f t="shared" si="88"/>
        <v>0</v>
      </c>
      <c r="S276" s="30">
        <f t="shared" si="94"/>
        <v>0</v>
      </c>
      <c r="T276" s="30">
        <f t="shared" si="95"/>
        <v>0</v>
      </c>
      <c r="U276" s="30">
        <f t="shared" si="96"/>
        <v>0</v>
      </c>
      <c r="V276" s="30">
        <f t="shared" si="97"/>
        <v>0</v>
      </c>
      <c r="W276" s="30">
        <f t="shared" si="98"/>
        <v>0</v>
      </c>
      <c r="X276" s="30">
        <f t="shared" si="99"/>
        <v>0</v>
      </c>
      <c r="Z276" s="23" t="s">
        <v>76</v>
      </c>
      <c r="AA276" s="40" t="str">
        <f>IF(C276="Electricity",E276*SUMIFS(Electricity!S:S,Electricity!P:P,UserMade_Scenario!B276,Electricity!M:M,UserMade_Scenario!Z276,Electricity!O:O,UserMade_Scenario!D276),"")</f>
        <v/>
      </c>
      <c r="AB276" s="76">
        <f>1000*Assumptions!$B$17/1000000000000</f>
        <v>1.1999999999999999E-7</v>
      </c>
      <c r="AC276" s="67" t="s">
        <v>77</v>
      </c>
      <c r="AD276" s="39">
        <f>SUMIFS(Hydrogen!AK:AK,Hydrogen!$AA:$AA,UserMade_Scenario!$Z276,Hydrogen!$Y:$Y,UserMade_Scenario!$D276,Hydrogen!$AB:$AB,UserMade_Scenario!$B276,Hydrogen!$Z:$Z,UserMade_Scenario!$C276)</f>
        <v>-88.490787443158112</v>
      </c>
      <c r="AE276" s="39">
        <f>SUMIFS(Hydrogen!AL:AL,Hydrogen!$AA:$AA,UserMade_Scenario!$Z276,Hydrogen!$Y:$Y,UserMade_Scenario!$D276,Hydrogen!$AB:$AB,UserMade_Scenario!$B276,Hydrogen!$Z:$Z,UserMade_Scenario!$C276)</f>
        <v>-87.041574886316226</v>
      </c>
      <c r="AF276" s="39">
        <f>SUMIFS(Hydrogen!AM:AM,Hydrogen!$AA:$AA,UserMade_Scenario!$Z276,Hydrogen!$Y:$Y,UserMade_Scenario!$D276,Hydrogen!$AB:$AB,UserMade_Scenario!$B276,Hydrogen!$Z:$Z,UserMade_Scenario!$C276)</f>
        <v>-89.94</v>
      </c>
      <c r="AG276" s="68">
        <f>IFERROR(INDEX(WaterUseH2[Average Direct Water Consumption (Gal/ kg h2)],MATCH(LEFT(D276,3),WaterUseH2[Key],0)),0)</f>
        <v>4.0999999999999996</v>
      </c>
      <c r="AH276">
        <v>14</v>
      </c>
      <c r="AI276">
        <v>1.4</v>
      </c>
      <c r="AJ276">
        <v>250</v>
      </c>
      <c r="AK276">
        <v>0.31</v>
      </c>
      <c r="AL276" s="63">
        <f>IFERROR(INDEX(Job_Training[[Solar]:[Wind]],MATCH(AL$1,Job_Training[[`Typical Entry Level Education`]:[`Typical Entry Level Education`]],0),MATCH(LEFT($D276,5),Job_Training[[#Headers],[Solar]:[Wind]],0)),0)</f>
        <v>0</v>
      </c>
      <c r="AM276" s="63">
        <f>IFERROR(INDEX(Job_Training[[Solar]:[Wind]],MATCH(AM$1,Job_Training[[`Typical Entry Level Education`]:[`Typical Entry Level Education`]],0),MATCH(LEFT($D276,5),Job_Training[[#Headers],[Solar]:[Wind]],0)),0)</f>
        <v>0</v>
      </c>
      <c r="AN276" s="63">
        <f>IFERROR(INDEX(Job_Training[[Solar]:[Wind]],MATCH(AN$1,Job_Training[[`Typical Entry Level Education`]:[`Typical Entry Level Education`]],0),MATCH(LEFT($D276,5),Job_Training[[#Headers],[Solar]:[Wind]],0)),0)</f>
        <v>0</v>
      </c>
      <c r="AO276" s="63">
        <f>IFERROR(INDEX(Job_Training[[Solar]:[Wind]],MATCH(AO$1,Job_Training[[`Typical Entry Level Education`]:[`Typical Entry Level Education`]],0),MATCH(LEFT($D276,5),Job_Training[[#Headers],[Solar]:[Wind]],0)),0)</f>
        <v>0</v>
      </c>
      <c r="AP276">
        <f t="shared" si="100"/>
        <v>0</v>
      </c>
      <c r="AQ276" s="63">
        <f>IF(AP276&gt;0,IFERROR(INDEX(Assumptions!$C$165:$D$165,MATCH(LEFT($D276,5),Job_Training[[#Headers],[Solar]:[Wind]],0)),0),0)</f>
        <v>0</v>
      </c>
      <c r="AR276">
        <f>IF(AP276&gt;0,IFERROR(INDEX(Assumptions!$C$166:$D$166,MATCH(LEFT($D276,5),Job_Training[[#Headers],[Solar]:[Wind]],0)),0),0)</f>
        <v>0</v>
      </c>
    </row>
    <row r="277" spans="1:44" hidden="1" x14ac:dyDescent="0.35">
      <c r="A277" t="str">
        <f>UserInput!$B$30</f>
        <v>State Policy Aligned</v>
      </c>
      <c r="B277">
        <v>2027</v>
      </c>
      <c r="C277" t="s">
        <v>78</v>
      </c>
      <c r="D277" t="s">
        <v>79</v>
      </c>
      <c r="E277" s="66">
        <f>INDEX(UserInput!$C$30:$M$50,MATCH(UserMade_Scenario!B277,UserInput!$A$30:$A$50,0),MATCH(LEFT(IF(RIGHT(C277,2)="H2",UserMade_Scenario!C277,D277),3),UserInput!$C$25:$M$25,0))</f>
        <v>0</v>
      </c>
      <c r="F277" s="14" t="s">
        <v>75</v>
      </c>
      <c r="G277" s="14">
        <f t="shared" si="90"/>
        <v>0</v>
      </c>
      <c r="H277" s="63">
        <f t="shared" si="91"/>
        <v>0</v>
      </c>
      <c r="I277" s="63">
        <f t="shared" si="92"/>
        <v>0</v>
      </c>
      <c r="J277" s="63">
        <f t="shared" si="93"/>
        <v>0</v>
      </c>
      <c r="K277" s="30">
        <f>IF(OR(LEFT($D277,5)="Solar",$D277="Wind"),INDEX(Land_Use[AVG],MATCH(LEFT($D277,5),Land_Use[Tech],0)),0)*$E277</f>
        <v>0</v>
      </c>
      <c r="L277" s="30">
        <f>IF(OR(LEFT($D277,5)="Solar",$D277="Wind"),INDEX(Land_Use[MIN],MATCH(LEFT($D277,5),Land_Use[Tech],0)),0)*$E277</f>
        <v>0</v>
      </c>
      <c r="M277" s="30">
        <f>IF(OR(LEFT($D277,5)="Solar",$D277="Wind"),INDEX(Land_Use[MAX],MATCH(LEFT($D277,5),Land_Use[Tech],0)),0)*$E277</f>
        <v>0</v>
      </c>
      <c r="N277" s="13">
        <f t="shared" si="84"/>
        <v>0</v>
      </c>
      <c r="O277" s="13">
        <f t="shared" si="85"/>
        <v>0</v>
      </c>
      <c r="P277" s="13">
        <f t="shared" si="86"/>
        <v>0</v>
      </c>
      <c r="Q277" s="13">
        <f t="shared" si="87"/>
        <v>0</v>
      </c>
      <c r="R277" s="13">
        <f t="shared" si="88"/>
        <v>0</v>
      </c>
      <c r="S277" s="30">
        <f t="shared" si="94"/>
        <v>0</v>
      </c>
      <c r="T277" s="30">
        <f t="shared" si="95"/>
        <v>0</v>
      </c>
      <c r="U277" s="30">
        <f t="shared" si="96"/>
        <v>0</v>
      </c>
      <c r="V277" s="30">
        <f t="shared" si="97"/>
        <v>0</v>
      </c>
      <c r="W277" s="30">
        <f t="shared" si="98"/>
        <v>0</v>
      </c>
      <c r="X277" s="30">
        <f t="shared" si="99"/>
        <v>0</v>
      </c>
      <c r="Z277" s="23" t="s">
        <v>76</v>
      </c>
      <c r="AA277" s="40" t="str">
        <f>IF(C277="Electricity",E277*SUMIFS(Electricity!S:S,Electricity!P:P,UserMade_Scenario!B277,Electricity!M:M,UserMade_Scenario!Z277,Electricity!O:O,UserMade_Scenario!D277),"")</f>
        <v/>
      </c>
      <c r="AB277" s="76">
        <f>1000*Assumptions!$B$17/1000000000000</f>
        <v>1.1999999999999999E-7</v>
      </c>
      <c r="AC277" s="67" t="s">
        <v>77</v>
      </c>
      <c r="AD277" s="39">
        <f>SUMIFS(Hydrogen!AK:AK,Hydrogen!$AA:$AA,UserMade_Scenario!$Z277,Hydrogen!$Y:$Y,UserMade_Scenario!$D277,Hydrogen!$AB:$AB,UserMade_Scenario!$B277,Hydrogen!$Z:$Z,UserMade_Scenario!$C277)</f>
        <v>-88.052436921360083</v>
      </c>
      <c r="AE277" s="39">
        <f>SUMIFS(Hydrogen!AL:AL,Hydrogen!$AA:$AA,UserMade_Scenario!$Z277,Hydrogen!$Y:$Y,UserMade_Scenario!$D277,Hydrogen!$AB:$AB,UserMade_Scenario!$B277,Hydrogen!$Z:$Z,UserMade_Scenario!$C277)</f>
        <v>-86.164873842720169</v>
      </c>
      <c r="AF277" s="39">
        <f>SUMIFS(Hydrogen!AM:AM,Hydrogen!$AA:$AA,UserMade_Scenario!$Z277,Hydrogen!$Y:$Y,UserMade_Scenario!$D277,Hydrogen!$AB:$AB,UserMade_Scenario!$B277,Hydrogen!$Z:$Z,UserMade_Scenario!$C277)</f>
        <v>-89.94</v>
      </c>
      <c r="AG277" s="68">
        <f>IFERROR(INDEX(WaterUseH2[Average Direct Water Consumption (Gal/ kg h2)],MATCH(LEFT(D277,3),WaterUseH2[Key],0)),0)</f>
        <v>4.0999999999999996</v>
      </c>
      <c r="AH277">
        <v>14</v>
      </c>
      <c r="AI277">
        <v>1.4</v>
      </c>
      <c r="AJ277">
        <v>250</v>
      </c>
      <c r="AK277">
        <v>0.31</v>
      </c>
      <c r="AL277" s="63">
        <f>IFERROR(INDEX(Job_Training[[Solar]:[Wind]],MATCH(AL$1,Job_Training[[`Typical Entry Level Education`]:[`Typical Entry Level Education`]],0),MATCH(LEFT($D277,5),Job_Training[[#Headers],[Solar]:[Wind]],0)),0)</f>
        <v>0</v>
      </c>
      <c r="AM277" s="63">
        <f>IFERROR(INDEX(Job_Training[[Solar]:[Wind]],MATCH(AM$1,Job_Training[[`Typical Entry Level Education`]:[`Typical Entry Level Education`]],0),MATCH(LEFT($D277,5),Job_Training[[#Headers],[Solar]:[Wind]],0)),0)</f>
        <v>0</v>
      </c>
      <c r="AN277" s="63">
        <f>IFERROR(INDEX(Job_Training[[Solar]:[Wind]],MATCH(AN$1,Job_Training[[`Typical Entry Level Education`]:[`Typical Entry Level Education`]],0),MATCH(LEFT($D277,5),Job_Training[[#Headers],[Solar]:[Wind]],0)),0)</f>
        <v>0</v>
      </c>
      <c r="AO277" s="63">
        <f>IFERROR(INDEX(Job_Training[[Solar]:[Wind]],MATCH(AO$1,Job_Training[[`Typical Entry Level Education`]:[`Typical Entry Level Education`]],0),MATCH(LEFT($D277,5),Job_Training[[#Headers],[Solar]:[Wind]],0)),0)</f>
        <v>0</v>
      </c>
      <c r="AP277">
        <f t="shared" si="100"/>
        <v>0</v>
      </c>
      <c r="AQ277" s="63">
        <f>IF(AP277&gt;0,IFERROR(INDEX(Assumptions!$C$165:$D$165,MATCH(LEFT($D277,5),Job_Training[[#Headers],[Solar]:[Wind]],0)),0),0)</f>
        <v>0</v>
      </c>
      <c r="AR277">
        <f>IF(AP277&gt;0,IFERROR(INDEX(Assumptions!$C$166:$D$166,MATCH(LEFT($D277,5),Job_Training[[#Headers],[Solar]:[Wind]],0)),0),0)</f>
        <v>0</v>
      </c>
    </row>
    <row r="278" spans="1:44" hidden="1" x14ac:dyDescent="0.35">
      <c r="A278" t="str">
        <f>UserInput!$B$30</f>
        <v>State Policy Aligned</v>
      </c>
      <c r="B278">
        <v>2028</v>
      </c>
      <c r="C278" t="s">
        <v>78</v>
      </c>
      <c r="D278" t="s">
        <v>79</v>
      </c>
      <c r="E278" s="66">
        <f>INDEX(UserInput!$C$30:$M$50,MATCH(UserMade_Scenario!B278,UserInput!$A$30:$A$50,0),MATCH(LEFT(IF(RIGHT(C278,2)="H2",UserMade_Scenario!C278,D278),3),UserInput!$C$25:$M$25,0))</f>
        <v>0</v>
      </c>
      <c r="F278" s="14" t="s">
        <v>75</v>
      </c>
      <c r="G278" s="14">
        <f t="shared" si="90"/>
        <v>0</v>
      </c>
      <c r="H278" s="63">
        <f t="shared" si="91"/>
        <v>0</v>
      </c>
      <c r="I278" s="63">
        <f t="shared" si="92"/>
        <v>0</v>
      </c>
      <c r="J278" s="63">
        <f t="shared" si="93"/>
        <v>0</v>
      </c>
      <c r="K278" s="30">
        <f>IF(OR(LEFT($D278,5)="Solar",$D278="Wind"),INDEX(Land_Use[AVG],MATCH(LEFT($D278,5),Land_Use[Tech],0)),0)*$E278</f>
        <v>0</v>
      </c>
      <c r="L278" s="30">
        <f>IF(OR(LEFT($D278,5)="Solar",$D278="Wind"),INDEX(Land_Use[MIN],MATCH(LEFT($D278,5),Land_Use[Tech],0)),0)*$E278</f>
        <v>0</v>
      </c>
      <c r="M278" s="30">
        <f>IF(OR(LEFT($D278,5)="Solar",$D278="Wind"),INDEX(Land_Use[MAX],MATCH(LEFT($D278,5),Land_Use[Tech],0)),0)*$E278</f>
        <v>0</v>
      </c>
      <c r="N278" s="13">
        <f t="shared" si="84"/>
        <v>0</v>
      </c>
      <c r="O278" s="13">
        <f t="shared" si="85"/>
        <v>0</v>
      </c>
      <c r="P278" s="13">
        <f t="shared" si="86"/>
        <v>0</v>
      </c>
      <c r="Q278" s="13">
        <f t="shared" si="87"/>
        <v>0</v>
      </c>
      <c r="R278" s="13">
        <f t="shared" si="88"/>
        <v>0</v>
      </c>
      <c r="S278" s="30">
        <f t="shared" si="94"/>
        <v>0</v>
      </c>
      <c r="T278" s="30">
        <f t="shared" si="95"/>
        <v>0</v>
      </c>
      <c r="U278" s="30">
        <f t="shared" si="96"/>
        <v>0</v>
      </c>
      <c r="V278" s="30">
        <f t="shared" si="97"/>
        <v>0</v>
      </c>
      <c r="W278" s="30">
        <f t="shared" si="98"/>
        <v>0</v>
      </c>
      <c r="X278" s="30">
        <f t="shared" si="99"/>
        <v>0</v>
      </c>
      <c r="Z278" s="23" t="s">
        <v>76</v>
      </c>
      <c r="AA278" s="40" t="str">
        <f>IF(C278="Electricity",E278*SUMIFS(Electricity!S:S,Electricity!P:P,UserMade_Scenario!B278,Electricity!M:M,UserMade_Scenario!Z278,Electricity!O:O,UserMade_Scenario!D278),"")</f>
        <v/>
      </c>
      <c r="AB278" s="76">
        <f>1000*Assumptions!$B$17/1000000000000</f>
        <v>1.1999999999999999E-7</v>
      </c>
      <c r="AC278" s="67" t="s">
        <v>77</v>
      </c>
      <c r="AD278" s="39">
        <f>SUMIFS(Hydrogen!AK:AK,Hydrogen!$AA:$AA,UserMade_Scenario!$Z278,Hydrogen!$Y:$Y,UserMade_Scenario!$D278,Hydrogen!$AB:$AB,UserMade_Scenario!$B278,Hydrogen!$Z:$Z,UserMade_Scenario!$C278)</f>
        <v>-87.578874094271839</v>
      </c>
      <c r="AE278" s="39">
        <f>SUMIFS(Hydrogen!AL:AL,Hydrogen!$AA:$AA,UserMade_Scenario!$Z278,Hydrogen!$Y:$Y,UserMade_Scenario!$D278,Hydrogen!$AB:$AB,UserMade_Scenario!$B278,Hydrogen!$Z:$Z,UserMade_Scenario!$C278)</f>
        <v>-85.217748188543695</v>
      </c>
      <c r="AF278" s="39">
        <f>SUMIFS(Hydrogen!AM:AM,Hydrogen!$AA:$AA,UserMade_Scenario!$Z278,Hydrogen!$Y:$Y,UserMade_Scenario!$D278,Hydrogen!$AB:$AB,UserMade_Scenario!$B278,Hydrogen!$Z:$Z,UserMade_Scenario!$C278)</f>
        <v>-89.94</v>
      </c>
      <c r="AG278" s="68">
        <f>IFERROR(INDEX(WaterUseH2[Average Direct Water Consumption (Gal/ kg h2)],MATCH(LEFT(D278,3),WaterUseH2[Key],0)),0)</f>
        <v>4.0999999999999996</v>
      </c>
      <c r="AH278">
        <v>14</v>
      </c>
      <c r="AI278">
        <v>1.4</v>
      </c>
      <c r="AJ278">
        <v>250</v>
      </c>
      <c r="AK278">
        <v>0.31</v>
      </c>
      <c r="AL278" s="63">
        <f>IFERROR(INDEX(Job_Training[[Solar]:[Wind]],MATCH(AL$1,Job_Training[[`Typical Entry Level Education`]:[`Typical Entry Level Education`]],0),MATCH(LEFT($D278,5),Job_Training[[#Headers],[Solar]:[Wind]],0)),0)</f>
        <v>0</v>
      </c>
      <c r="AM278" s="63">
        <f>IFERROR(INDEX(Job_Training[[Solar]:[Wind]],MATCH(AM$1,Job_Training[[`Typical Entry Level Education`]:[`Typical Entry Level Education`]],0),MATCH(LEFT($D278,5),Job_Training[[#Headers],[Solar]:[Wind]],0)),0)</f>
        <v>0</v>
      </c>
      <c r="AN278" s="63">
        <f>IFERROR(INDEX(Job_Training[[Solar]:[Wind]],MATCH(AN$1,Job_Training[[`Typical Entry Level Education`]:[`Typical Entry Level Education`]],0),MATCH(LEFT($D278,5),Job_Training[[#Headers],[Solar]:[Wind]],0)),0)</f>
        <v>0</v>
      </c>
      <c r="AO278" s="63">
        <f>IFERROR(INDEX(Job_Training[[Solar]:[Wind]],MATCH(AO$1,Job_Training[[`Typical Entry Level Education`]:[`Typical Entry Level Education`]],0),MATCH(LEFT($D278,5),Job_Training[[#Headers],[Solar]:[Wind]],0)),0)</f>
        <v>0</v>
      </c>
      <c r="AP278">
        <f t="shared" si="100"/>
        <v>0</v>
      </c>
      <c r="AQ278" s="63">
        <f>IF(AP278&gt;0,IFERROR(INDEX(Assumptions!$C$165:$D$165,MATCH(LEFT($D278,5),Job_Training[[#Headers],[Solar]:[Wind]],0)),0),0)</f>
        <v>0</v>
      </c>
      <c r="AR278">
        <f>IF(AP278&gt;0,IFERROR(INDEX(Assumptions!$C$166:$D$166,MATCH(LEFT($D278,5),Job_Training[[#Headers],[Solar]:[Wind]],0)),0),0)</f>
        <v>0</v>
      </c>
    </row>
    <row r="279" spans="1:44" hidden="1" x14ac:dyDescent="0.35">
      <c r="A279" t="str">
        <f>UserInput!$B$30</f>
        <v>State Policy Aligned</v>
      </c>
      <c r="B279">
        <v>2029</v>
      </c>
      <c r="C279" t="s">
        <v>78</v>
      </c>
      <c r="D279" t="s">
        <v>79</v>
      </c>
      <c r="E279" s="66">
        <f>INDEX(UserInput!$C$30:$M$50,MATCH(UserMade_Scenario!B279,UserInput!$A$30:$A$50,0),MATCH(LEFT(IF(RIGHT(C279,2)="H2",UserMade_Scenario!C279,D279),3),UserInput!$C$25:$M$25,0))</f>
        <v>0</v>
      </c>
      <c r="F279" s="14" t="s">
        <v>75</v>
      </c>
      <c r="G279" s="14">
        <f t="shared" si="90"/>
        <v>0</v>
      </c>
      <c r="H279" s="63">
        <f t="shared" si="91"/>
        <v>0</v>
      </c>
      <c r="I279" s="63">
        <f t="shared" si="92"/>
        <v>0</v>
      </c>
      <c r="J279" s="63">
        <f t="shared" si="93"/>
        <v>0</v>
      </c>
      <c r="K279" s="30">
        <f>IF(OR(LEFT($D279,5)="Solar",$D279="Wind"),INDEX(Land_Use[AVG],MATCH(LEFT($D279,5),Land_Use[Tech],0)),0)*$E279</f>
        <v>0</v>
      </c>
      <c r="L279" s="30">
        <f>IF(OR(LEFT($D279,5)="Solar",$D279="Wind"),INDEX(Land_Use[MIN],MATCH(LEFT($D279,5),Land_Use[Tech],0)),0)*$E279</f>
        <v>0</v>
      </c>
      <c r="M279" s="30">
        <f>IF(OR(LEFT($D279,5)="Solar",$D279="Wind"),INDEX(Land_Use[MAX],MATCH(LEFT($D279,5),Land_Use[Tech],0)),0)*$E279</f>
        <v>0</v>
      </c>
      <c r="N279" s="13">
        <f t="shared" si="84"/>
        <v>0</v>
      </c>
      <c r="O279" s="13">
        <f t="shared" si="85"/>
        <v>0</v>
      </c>
      <c r="P279" s="13">
        <f t="shared" si="86"/>
        <v>0</v>
      </c>
      <c r="Q279" s="13">
        <f t="shared" si="87"/>
        <v>0</v>
      </c>
      <c r="R279" s="13">
        <f t="shared" si="88"/>
        <v>0</v>
      </c>
      <c r="S279" s="30">
        <f t="shared" si="94"/>
        <v>0</v>
      </c>
      <c r="T279" s="30">
        <f t="shared" si="95"/>
        <v>0</v>
      </c>
      <c r="U279" s="30">
        <f t="shared" si="96"/>
        <v>0</v>
      </c>
      <c r="V279" s="30">
        <f t="shared" si="97"/>
        <v>0</v>
      </c>
      <c r="W279" s="30">
        <f t="shared" si="98"/>
        <v>0</v>
      </c>
      <c r="X279" s="30">
        <f t="shared" si="99"/>
        <v>0</v>
      </c>
      <c r="Z279" s="23" t="s">
        <v>76</v>
      </c>
      <c r="AA279" s="40" t="str">
        <f>IF(C279="Electricity",E279*SUMIFS(Electricity!S:S,Electricity!P:P,UserMade_Scenario!B279,Electricity!M:M,UserMade_Scenario!Z279,Electricity!O:O,UserMade_Scenario!D279),"")</f>
        <v/>
      </c>
      <c r="AB279" s="76">
        <f>1000*Assumptions!$B$17/1000000000000</f>
        <v>1.1999999999999999E-7</v>
      </c>
      <c r="AC279" s="67" t="s">
        <v>77</v>
      </c>
      <c r="AD279" s="39">
        <f>SUMIFS(Hydrogen!AK:AK,Hydrogen!$AA:$AA,UserMade_Scenario!$Z279,Hydrogen!$Y:$Y,UserMade_Scenario!$D279,Hydrogen!$AB:$AB,UserMade_Scenario!$B279,Hydrogen!$Z:$Z,UserMade_Scenario!$C279)</f>
        <v>-87.034867879479833</v>
      </c>
      <c r="AE279" s="39">
        <f>SUMIFS(Hydrogen!AL:AL,Hydrogen!$AA:$AA,UserMade_Scenario!$Z279,Hydrogen!$Y:$Y,UserMade_Scenario!$D279,Hydrogen!$AB:$AB,UserMade_Scenario!$B279,Hydrogen!$Z:$Z,UserMade_Scenario!$C279)</f>
        <v>-84.129735758959683</v>
      </c>
      <c r="AF279" s="39">
        <f>SUMIFS(Hydrogen!AM:AM,Hydrogen!$AA:$AA,UserMade_Scenario!$Z279,Hydrogen!$Y:$Y,UserMade_Scenario!$D279,Hydrogen!$AB:$AB,UserMade_Scenario!$B279,Hydrogen!$Z:$Z,UserMade_Scenario!$C279)</f>
        <v>-89.94</v>
      </c>
      <c r="AG279" s="68">
        <f>IFERROR(INDEX(WaterUseH2[Average Direct Water Consumption (Gal/ kg h2)],MATCH(LEFT(D279,3),WaterUseH2[Key],0)),0)</f>
        <v>4.0999999999999996</v>
      </c>
      <c r="AH279">
        <v>14</v>
      </c>
      <c r="AI279">
        <v>1.4</v>
      </c>
      <c r="AJ279">
        <v>250</v>
      </c>
      <c r="AK279">
        <v>0.31</v>
      </c>
      <c r="AL279" s="63">
        <f>IFERROR(INDEX(Job_Training[[Solar]:[Wind]],MATCH(AL$1,Job_Training[[`Typical Entry Level Education`]:[`Typical Entry Level Education`]],0),MATCH(LEFT($D279,5),Job_Training[[#Headers],[Solar]:[Wind]],0)),0)</f>
        <v>0</v>
      </c>
      <c r="AM279" s="63">
        <f>IFERROR(INDEX(Job_Training[[Solar]:[Wind]],MATCH(AM$1,Job_Training[[`Typical Entry Level Education`]:[`Typical Entry Level Education`]],0),MATCH(LEFT($D279,5),Job_Training[[#Headers],[Solar]:[Wind]],0)),0)</f>
        <v>0</v>
      </c>
      <c r="AN279" s="63">
        <f>IFERROR(INDEX(Job_Training[[Solar]:[Wind]],MATCH(AN$1,Job_Training[[`Typical Entry Level Education`]:[`Typical Entry Level Education`]],0),MATCH(LEFT($D279,5),Job_Training[[#Headers],[Solar]:[Wind]],0)),0)</f>
        <v>0</v>
      </c>
      <c r="AO279" s="63">
        <f>IFERROR(INDEX(Job_Training[[Solar]:[Wind]],MATCH(AO$1,Job_Training[[`Typical Entry Level Education`]:[`Typical Entry Level Education`]],0),MATCH(LEFT($D279,5),Job_Training[[#Headers],[Solar]:[Wind]],0)),0)</f>
        <v>0</v>
      </c>
      <c r="AP279">
        <f t="shared" si="100"/>
        <v>0</v>
      </c>
      <c r="AQ279" s="63">
        <f>IF(AP279&gt;0,IFERROR(INDEX(Assumptions!$C$165:$D$165,MATCH(LEFT($D279,5),Job_Training[[#Headers],[Solar]:[Wind]],0)),0),0)</f>
        <v>0</v>
      </c>
      <c r="AR279">
        <f>IF(AP279&gt;0,IFERROR(INDEX(Assumptions!$C$166:$D$166,MATCH(LEFT($D279,5),Job_Training[[#Headers],[Solar]:[Wind]],0)),0),0)</f>
        <v>0</v>
      </c>
    </row>
    <row r="280" spans="1:44" hidden="1" x14ac:dyDescent="0.35">
      <c r="A280" t="str">
        <f>UserInput!$B$30</f>
        <v>State Policy Aligned</v>
      </c>
      <c r="B280">
        <v>2030</v>
      </c>
      <c r="C280" t="s">
        <v>78</v>
      </c>
      <c r="D280" t="s">
        <v>79</v>
      </c>
      <c r="E280" s="66">
        <f>INDEX(UserInput!$C$30:$M$50,MATCH(UserMade_Scenario!B280,UserInput!$A$30:$A$50,0),MATCH(LEFT(IF(RIGHT(C280,2)="H2",UserMade_Scenario!C280,D280),3),UserInput!$C$25:$M$25,0))</f>
        <v>117306</v>
      </c>
      <c r="F280" s="14" t="s">
        <v>75</v>
      </c>
      <c r="G280" s="14">
        <f t="shared" si="90"/>
        <v>1.4076719999999999E-2</v>
      </c>
      <c r="H280" s="63">
        <f t="shared" si="91"/>
        <v>1.2164343300776963</v>
      </c>
      <c r="I280" s="63">
        <f t="shared" si="92"/>
        <v>1.1668084633553926</v>
      </c>
      <c r="J280" s="63">
        <f t="shared" si="93"/>
        <v>1.2660601967999998</v>
      </c>
      <c r="K280" s="30">
        <f>IF(OR(LEFT($D280,5)="Solar",$D280="Wind"),INDEX(Land_Use[AVG],MATCH(LEFT($D280,5),Land_Use[Tech],0)),0)*$E280</f>
        <v>0</v>
      </c>
      <c r="L280" s="30">
        <f>IF(OR(LEFT($D280,5)="Solar",$D280="Wind"),INDEX(Land_Use[MIN],MATCH(LEFT($D280,5),Land_Use[Tech],0)),0)*$E280</f>
        <v>0</v>
      </c>
      <c r="M280" s="30">
        <f>IF(OR(LEFT($D280,5)="Solar",$D280="Wind"),INDEX(Land_Use[MAX],MATCH(LEFT($D280,5),Land_Use[Tech],0)),0)*$E280</f>
        <v>0</v>
      </c>
      <c r="N280" s="13">
        <f t="shared" si="84"/>
        <v>480.95460000000003</v>
      </c>
      <c r="O280" s="13">
        <f t="shared" si="85"/>
        <v>0</v>
      </c>
      <c r="P280" s="13">
        <f t="shared" si="86"/>
        <v>0</v>
      </c>
      <c r="Q280" s="13">
        <f t="shared" si="87"/>
        <v>0</v>
      </c>
      <c r="R280" s="13">
        <f t="shared" si="88"/>
        <v>0</v>
      </c>
      <c r="S280" s="30">
        <f t="shared" si="94"/>
        <v>0</v>
      </c>
      <c r="T280" s="30">
        <f t="shared" si="95"/>
        <v>0</v>
      </c>
      <c r="U280" s="30">
        <f t="shared" si="96"/>
        <v>0</v>
      </c>
      <c r="V280" s="30">
        <f t="shared" si="97"/>
        <v>0</v>
      </c>
      <c r="W280" s="30">
        <f t="shared" si="98"/>
        <v>0</v>
      </c>
      <c r="X280" s="30">
        <f t="shared" si="99"/>
        <v>0</v>
      </c>
      <c r="Z280" s="23" t="s">
        <v>76</v>
      </c>
      <c r="AA280" s="40" t="str">
        <f>IF(C280="Electricity",E280*SUMIFS(Electricity!S:S,Electricity!P:P,UserMade_Scenario!B280,Electricity!M:M,UserMade_Scenario!Z280,Electricity!O:O,UserMade_Scenario!D280),"")</f>
        <v/>
      </c>
      <c r="AB280" s="76">
        <f>1000*Assumptions!$B$17/1000000000000</f>
        <v>1.1999999999999999E-7</v>
      </c>
      <c r="AC280" s="67" t="s">
        <v>77</v>
      </c>
      <c r="AD280" s="39">
        <f>SUMIFS(Hydrogen!AK:AK,Hydrogen!$AA:$AA,UserMade_Scenario!$Z280,Hydrogen!$Y:$Y,UserMade_Scenario!$D280,Hydrogen!$AB:$AB,UserMade_Scenario!$B280,Hydrogen!$Z:$Z,UserMade_Scenario!$C280)</f>
        <v>-86.41461434749688</v>
      </c>
      <c r="AE280" s="39">
        <f>SUMIFS(Hydrogen!AL:AL,Hydrogen!$AA:$AA,UserMade_Scenario!$Z280,Hydrogen!$Y:$Y,UserMade_Scenario!$D280,Hydrogen!$AB:$AB,UserMade_Scenario!$B280,Hydrogen!$Z:$Z,UserMade_Scenario!$C280)</f>
        <v>-82.889228694993761</v>
      </c>
      <c r="AF280" s="39">
        <f>SUMIFS(Hydrogen!AM:AM,Hydrogen!$AA:$AA,UserMade_Scenario!$Z280,Hydrogen!$Y:$Y,UserMade_Scenario!$D280,Hydrogen!$AB:$AB,UserMade_Scenario!$B280,Hydrogen!$Z:$Z,UserMade_Scenario!$C280)</f>
        <v>-89.94</v>
      </c>
      <c r="AG280" s="68">
        <f>IFERROR(INDEX(WaterUseH2[Average Direct Water Consumption (Gal/ kg h2)],MATCH(LEFT(D280,3),WaterUseH2[Key],0)),0)</f>
        <v>4.0999999999999996</v>
      </c>
      <c r="AH280">
        <v>14</v>
      </c>
      <c r="AI280">
        <v>1.4</v>
      </c>
      <c r="AJ280">
        <v>250</v>
      </c>
      <c r="AK280">
        <v>0.31</v>
      </c>
      <c r="AL280" s="63">
        <f>IFERROR(INDEX(Job_Training[[Solar]:[Wind]],MATCH(AL$1,Job_Training[[`Typical Entry Level Education`]:[`Typical Entry Level Education`]],0),MATCH(LEFT($D280,5),Job_Training[[#Headers],[Solar]:[Wind]],0)),0)</f>
        <v>0</v>
      </c>
      <c r="AM280" s="63">
        <f>IFERROR(INDEX(Job_Training[[Solar]:[Wind]],MATCH(AM$1,Job_Training[[`Typical Entry Level Education`]:[`Typical Entry Level Education`]],0),MATCH(LEFT($D280,5),Job_Training[[#Headers],[Solar]:[Wind]],0)),0)</f>
        <v>0</v>
      </c>
      <c r="AN280" s="63">
        <f>IFERROR(INDEX(Job_Training[[Solar]:[Wind]],MATCH(AN$1,Job_Training[[`Typical Entry Level Education`]:[`Typical Entry Level Education`]],0),MATCH(LEFT($D280,5),Job_Training[[#Headers],[Solar]:[Wind]],0)),0)</f>
        <v>0</v>
      </c>
      <c r="AO280" s="63">
        <f>IFERROR(INDEX(Job_Training[[Solar]:[Wind]],MATCH(AO$1,Job_Training[[`Typical Entry Level Education`]:[`Typical Entry Level Education`]],0),MATCH(LEFT($D280,5),Job_Training[[#Headers],[Solar]:[Wind]],0)),0)</f>
        <v>0</v>
      </c>
      <c r="AP280">
        <f t="shared" si="100"/>
        <v>0</v>
      </c>
      <c r="AQ280" s="63">
        <f>IF(AP280&gt;0,IFERROR(INDEX(Assumptions!$C$165:$D$165,MATCH(LEFT($D280,5),Job_Training[[#Headers],[Solar]:[Wind]],0)),0),0)</f>
        <v>0</v>
      </c>
      <c r="AR280">
        <f>IF(AP280&gt;0,IFERROR(INDEX(Assumptions!$C$166:$D$166,MATCH(LEFT($D280,5),Job_Training[[#Headers],[Solar]:[Wind]],0)),0),0)</f>
        <v>0</v>
      </c>
    </row>
    <row r="281" spans="1:44" hidden="1" x14ac:dyDescent="0.35">
      <c r="A281" t="str">
        <f>UserInput!$B$30</f>
        <v>State Policy Aligned</v>
      </c>
      <c r="B281">
        <v>2031</v>
      </c>
      <c r="C281" t="s">
        <v>78</v>
      </c>
      <c r="D281" t="s">
        <v>79</v>
      </c>
      <c r="E281" s="66">
        <f>INDEX(UserInput!$C$30:$M$50,MATCH(UserMade_Scenario!B281,UserInput!$A$30:$A$50,0),MATCH(LEFT(IF(RIGHT(C281,2)="H2",UserMade_Scenario!C281,D281),3),UserInput!$C$25:$M$25,0))</f>
        <v>132285.6</v>
      </c>
      <c r="F281" s="14" t="s">
        <v>75</v>
      </c>
      <c r="G281" s="14">
        <f t="shared" si="90"/>
        <v>1.5874271999999998E-2</v>
      </c>
      <c r="H281" s="63">
        <f t="shared" si="91"/>
        <v>1.3605819080381027</v>
      </c>
      <c r="I281" s="63">
        <f t="shared" si="92"/>
        <v>1.2934317923962058</v>
      </c>
      <c r="J281" s="63">
        <f t="shared" si="93"/>
        <v>1.4277320236799997</v>
      </c>
      <c r="K281" s="30">
        <f>IF(OR(LEFT($D281,5)="Solar",$D281="Wind"),INDEX(Land_Use[AVG],MATCH(LEFT($D281,5),Land_Use[Tech],0)),0)*$E281</f>
        <v>0</v>
      </c>
      <c r="L281" s="30">
        <f>IF(OR(LEFT($D281,5)="Solar",$D281="Wind"),INDEX(Land_Use[MIN],MATCH(LEFT($D281,5),Land_Use[Tech],0)),0)*$E281</f>
        <v>0</v>
      </c>
      <c r="M281" s="30">
        <f>IF(OR(LEFT($D281,5)="Solar",$D281="Wind"),INDEX(Land_Use[MAX],MATCH(LEFT($D281,5),Land_Use[Tech],0)),0)*$E281</f>
        <v>0</v>
      </c>
      <c r="N281" s="13">
        <f t="shared" si="84"/>
        <v>542.37095999999997</v>
      </c>
      <c r="O281" s="13">
        <f t="shared" si="85"/>
        <v>0</v>
      </c>
      <c r="P281" s="13">
        <f t="shared" si="86"/>
        <v>0</v>
      </c>
      <c r="Q281" s="13">
        <f t="shared" si="87"/>
        <v>0</v>
      </c>
      <c r="R281" s="13">
        <f t="shared" si="88"/>
        <v>0</v>
      </c>
      <c r="S281" s="30">
        <f t="shared" si="94"/>
        <v>0</v>
      </c>
      <c r="T281" s="30">
        <f t="shared" si="95"/>
        <v>0</v>
      </c>
      <c r="U281" s="30">
        <f t="shared" si="96"/>
        <v>0</v>
      </c>
      <c r="V281" s="30">
        <f t="shared" si="97"/>
        <v>0</v>
      </c>
      <c r="W281" s="30">
        <f t="shared" si="98"/>
        <v>0</v>
      </c>
      <c r="X281" s="30">
        <f t="shared" si="99"/>
        <v>0</v>
      </c>
      <c r="Z281" s="23" t="s">
        <v>76</v>
      </c>
      <c r="AA281" s="40" t="str">
        <f>IF(C281="Electricity",E281*SUMIFS(Electricity!S:S,Electricity!P:P,UserMade_Scenario!B281,Electricity!M:M,UserMade_Scenario!Z281,Electricity!O:O,UserMade_Scenario!D281),"")</f>
        <v/>
      </c>
      <c r="AB281" s="76">
        <f>1000*Assumptions!$B$17/1000000000000</f>
        <v>1.1999999999999999E-7</v>
      </c>
      <c r="AC281" s="67" t="s">
        <v>77</v>
      </c>
      <c r="AD281" s="39">
        <f>SUMIFS(Hydrogen!AK:AK,Hydrogen!$AA:$AA,UserMade_Scenario!$Z281,Hydrogen!$Y:$Y,UserMade_Scenario!$D281,Hydrogen!$AB:$AB,UserMade_Scenario!$B281,Hydrogen!$Z:$Z,UserMade_Scenario!$C281)</f>
        <v>-85.709877469537048</v>
      </c>
      <c r="AE281" s="39">
        <f>SUMIFS(Hydrogen!AL:AL,Hydrogen!$AA:$AA,UserMade_Scenario!$Z281,Hydrogen!$Y:$Y,UserMade_Scenario!$D281,Hydrogen!$AB:$AB,UserMade_Scenario!$B281,Hydrogen!$Z:$Z,UserMade_Scenario!$C281)</f>
        <v>-81.479754939074112</v>
      </c>
      <c r="AF281" s="39">
        <f>SUMIFS(Hydrogen!AM:AM,Hydrogen!$AA:$AA,UserMade_Scenario!$Z281,Hydrogen!$Y:$Y,UserMade_Scenario!$D281,Hydrogen!$AB:$AB,UserMade_Scenario!$B281,Hydrogen!$Z:$Z,UserMade_Scenario!$C281)</f>
        <v>-89.94</v>
      </c>
      <c r="AG281" s="68">
        <f>IFERROR(INDEX(WaterUseH2[Average Direct Water Consumption (Gal/ kg h2)],MATCH(LEFT(D281,3),WaterUseH2[Key],0)),0)</f>
        <v>4.0999999999999996</v>
      </c>
      <c r="AH281">
        <v>14</v>
      </c>
      <c r="AI281">
        <v>1.4</v>
      </c>
      <c r="AJ281">
        <v>250</v>
      </c>
      <c r="AK281">
        <v>0.31</v>
      </c>
      <c r="AL281" s="63">
        <f>IFERROR(INDEX(Job_Training[[Solar]:[Wind]],MATCH(AL$1,Job_Training[[`Typical Entry Level Education`]:[`Typical Entry Level Education`]],0),MATCH(LEFT($D281,5),Job_Training[[#Headers],[Solar]:[Wind]],0)),0)</f>
        <v>0</v>
      </c>
      <c r="AM281" s="63">
        <f>IFERROR(INDEX(Job_Training[[Solar]:[Wind]],MATCH(AM$1,Job_Training[[`Typical Entry Level Education`]:[`Typical Entry Level Education`]],0),MATCH(LEFT($D281,5),Job_Training[[#Headers],[Solar]:[Wind]],0)),0)</f>
        <v>0</v>
      </c>
      <c r="AN281" s="63">
        <f>IFERROR(INDEX(Job_Training[[Solar]:[Wind]],MATCH(AN$1,Job_Training[[`Typical Entry Level Education`]:[`Typical Entry Level Education`]],0),MATCH(LEFT($D281,5),Job_Training[[#Headers],[Solar]:[Wind]],0)),0)</f>
        <v>0</v>
      </c>
      <c r="AO281" s="63">
        <f>IFERROR(INDEX(Job_Training[[Solar]:[Wind]],MATCH(AO$1,Job_Training[[`Typical Entry Level Education`]:[`Typical Entry Level Education`]],0),MATCH(LEFT($D281,5),Job_Training[[#Headers],[Solar]:[Wind]],0)),0)</f>
        <v>0</v>
      </c>
      <c r="AP281">
        <f t="shared" si="100"/>
        <v>0</v>
      </c>
      <c r="AQ281" s="63">
        <f>IF(AP281&gt;0,IFERROR(INDEX(Assumptions!$C$165:$D$165,MATCH(LEFT($D281,5),Job_Training[[#Headers],[Solar]:[Wind]],0)),0),0)</f>
        <v>0</v>
      </c>
      <c r="AR281">
        <f>IF(AP281&gt;0,IFERROR(INDEX(Assumptions!$C$166:$D$166,MATCH(LEFT($D281,5),Job_Training[[#Headers],[Solar]:[Wind]],0)),0),0)</f>
        <v>0</v>
      </c>
    </row>
    <row r="282" spans="1:44" hidden="1" x14ac:dyDescent="0.35">
      <c r="A282" t="str">
        <f>UserInput!$B$30</f>
        <v>State Policy Aligned</v>
      </c>
      <c r="B282">
        <v>2032</v>
      </c>
      <c r="C282" t="s">
        <v>78</v>
      </c>
      <c r="D282" t="s">
        <v>79</v>
      </c>
      <c r="E282" s="66">
        <f>INDEX(UserInput!$C$30:$M$50,MATCH(UserMade_Scenario!B282,UserInput!$A$30:$A$50,0),MATCH(LEFT(IF(RIGHT(C282,2)="H2",UserMade_Scenario!C282,D282),3),UserInput!$C$25:$M$25,0))</f>
        <v>147265.20000000001</v>
      </c>
      <c r="F282" s="14" t="s">
        <v>75</v>
      </c>
      <c r="G282" s="14">
        <f t="shared" si="90"/>
        <v>1.7671823999999999E-2</v>
      </c>
      <c r="H282" s="63">
        <f t="shared" si="91"/>
        <v>1.5007127291279958</v>
      </c>
      <c r="I282" s="63">
        <f t="shared" si="92"/>
        <v>1.4120216076959915</v>
      </c>
      <c r="J282" s="63">
        <f t="shared" si="93"/>
        <v>1.5894038505599999</v>
      </c>
      <c r="K282" s="30">
        <f>IF(OR(LEFT($D282,5)="Solar",$D282="Wind"),INDEX(Land_Use[AVG],MATCH(LEFT($D282,5),Land_Use[Tech],0)),0)*$E282</f>
        <v>0</v>
      </c>
      <c r="L282" s="30">
        <f>IF(OR(LEFT($D282,5)="Solar",$D282="Wind"),INDEX(Land_Use[MIN],MATCH(LEFT($D282,5),Land_Use[Tech],0)),0)*$E282</f>
        <v>0</v>
      </c>
      <c r="M282" s="30">
        <f>IF(OR(LEFT($D282,5)="Solar",$D282="Wind"),INDEX(Land_Use[MAX],MATCH(LEFT($D282,5),Land_Use[Tech],0)),0)*$E282</f>
        <v>0</v>
      </c>
      <c r="N282" s="13">
        <f t="shared" si="84"/>
        <v>603.78732000000002</v>
      </c>
      <c r="O282" s="13">
        <f t="shared" si="85"/>
        <v>0</v>
      </c>
      <c r="P282" s="13">
        <f t="shared" si="86"/>
        <v>0</v>
      </c>
      <c r="Q282" s="13">
        <f t="shared" si="87"/>
        <v>0</v>
      </c>
      <c r="R282" s="13">
        <f t="shared" si="88"/>
        <v>0</v>
      </c>
      <c r="S282" s="30">
        <f t="shared" si="94"/>
        <v>0</v>
      </c>
      <c r="T282" s="30">
        <f t="shared" si="95"/>
        <v>0</v>
      </c>
      <c r="U282" s="30">
        <f t="shared" si="96"/>
        <v>0</v>
      </c>
      <c r="V282" s="30">
        <f t="shared" si="97"/>
        <v>0</v>
      </c>
      <c r="W282" s="30">
        <f t="shared" si="98"/>
        <v>0</v>
      </c>
      <c r="X282" s="30">
        <f t="shared" si="99"/>
        <v>0</v>
      </c>
      <c r="Z282" s="23" t="s">
        <v>76</v>
      </c>
      <c r="AA282" s="40" t="str">
        <f>IF(C282="Electricity",E282*SUMIFS(Electricity!S:S,Electricity!P:P,UserMade_Scenario!B282,Electricity!M:M,UserMade_Scenario!Z282,Electricity!O:O,UserMade_Scenario!D282),"")</f>
        <v/>
      </c>
      <c r="AB282" s="76">
        <f>1000*Assumptions!$B$17/1000000000000</f>
        <v>1.1999999999999999E-7</v>
      </c>
      <c r="AC282" s="67" t="s">
        <v>77</v>
      </c>
      <c r="AD282" s="39">
        <f>SUMIFS(Hydrogen!AK:AK,Hydrogen!$AA:$AA,UserMade_Scenario!$Z282,Hydrogen!$Y:$Y,UserMade_Scenario!$D282,Hydrogen!$AB:$AB,UserMade_Scenario!$B282,Hydrogen!$Z:$Z,UserMade_Scenario!$C282)</f>
        <v>-84.921212950513535</v>
      </c>
      <c r="AE282" s="39">
        <f>SUMIFS(Hydrogen!AL:AL,Hydrogen!$AA:$AA,UserMade_Scenario!$Z282,Hydrogen!$Y:$Y,UserMade_Scenario!$D282,Hydrogen!$AB:$AB,UserMade_Scenario!$B282,Hydrogen!$Z:$Z,UserMade_Scenario!$C282)</f>
        <v>-79.902425901027058</v>
      </c>
      <c r="AF282" s="39">
        <f>SUMIFS(Hydrogen!AM:AM,Hydrogen!$AA:$AA,UserMade_Scenario!$Z282,Hydrogen!$Y:$Y,UserMade_Scenario!$D282,Hydrogen!$AB:$AB,UserMade_Scenario!$B282,Hydrogen!$Z:$Z,UserMade_Scenario!$C282)</f>
        <v>-89.94</v>
      </c>
      <c r="AG282" s="68">
        <f>IFERROR(INDEX(WaterUseH2[Average Direct Water Consumption (Gal/ kg h2)],MATCH(LEFT(D282,3),WaterUseH2[Key],0)),0)</f>
        <v>4.0999999999999996</v>
      </c>
      <c r="AH282">
        <v>14</v>
      </c>
      <c r="AI282">
        <v>1.4</v>
      </c>
      <c r="AJ282">
        <v>250</v>
      </c>
      <c r="AK282">
        <v>0.31</v>
      </c>
      <c r="AL282" s="63">
        <f>IFERROR(INDEX(Job_Training[[Solar]:[Wind]],MATCH(AL$1,Job_Training[[`Typical Entry Level Education`]:[`Typical Entry Level Education`]],0),MATCH(LEFT($D282,5),Job_Training[[#Headers],[Solar]:[Wind]],0)),0)</f>
        <v>0</v>
      </c>
      <c r="AM282" s="63">
        <f>IFERROR(INDEX(Job_Training[[Solar]:[Wind]],MATCH(AM$1,Job_Training[[`Typical Entry Level Education`]:[`Typical Entry Level Education`]],0),MATCH(LEFT($D282,5),Job_Training[[#Headers],[Solar]:[Wind]],0)),0)</f>
        <v>0</v>
      </c>
      <c r="AN282" s="63">
        <f>IFERROR(INDEX(Job_Training[[Solar]:[Wind]],MATCH(AN$1,Job_Training[[`Typical Entry Level Education`]:[`Typical Entry Level Education`]],0),MATCH(LEFT($D282,5),Job_Training[[#Headers],[Solar]:[Wind]],0)),0)</f>
        <v>0</v>
      </c>
      <c r="AO282" s="63">
        <f>IFERROR(INDEX(Job_Training[[Solar]:[Wind]],MATCH(AO$1,Job_Training[[`Typical Entry Level Education`]:[`Typical Entry Level Education`]],0),MATCH(LEFT($D282,5),Job_Training[[#Headers],[Solar]:[Wind]],0)),0)</f>
        <v>0</v>
      </c>
      <c r="AP282">
        <f t="shared" si="100"/>
        <v>0</v>
      </c>
      <c r="AQ282" s="63">
        <f>IF(AP282&gt;0,IFERROR(INDEX(Assumptions!$C$165:$D$165,MATCH(LEFT($D282,5),Job_Training[[#Headers],[Solar]:[Wind]],0)),0),0)</f>
        <v>0</v>
      </c>
      <c r="AR282">
        <f>IF(AP282&gt;0,IFERROR(INDEX(Assumptions!$C$166:$D$166,MATCH(LEFT($D282,5),Job_Training[[#Headers],[Solar]:[Wind]],0)),0),0)</f>
        <v>0</v>
      </c>
    </row>
    <row r="283" spans="1:44" hidden="1" x14ac:dyDescent="0.35">
      <c r="A283" t="str">
        <f>UserInput!$B$30</f>
        <v>State Policy Aligned</v>
      </c>
      <c r="B283">
        <v>2033</v>
      </c>
      <c r="C283" t="s">
        <v>78</v>
      </c>
      <c r="D283" t="s">
        <v>79</v>
      </c>
      <c r="E283" s="66">
        <f>INDEX(UserInput!$C$30:$M$50,MATCH(UserMade_Scenario!B283,UserInput!$A$30:$A$50,0),MATCH(LEFT(IF(RIGHT(C283,2)="H2",UserMade_Scenario!C283,D283),3),UserInput!$C$25:$M$25,0))</f>
        <v>162244.80000000002</v>
      </c>
      <c r="F283" s="14" t="s">
        <v>75</v>
      </c>
      <c r="G283" s="14">
        <f t="shared" si="90"/>
        <v>1.9469376E-2</v>
      </c>
      <c r="H283" s="63">
        <f t="shared" si="91"/>
        <v>1.6357292805178707</v>
      </c>
      <c r="I283" s="63">
        <f t="shared" si="92"/>
        <v>1.5203828835957418</v>
      </c>
      <c r="J283" s="63">
        <f t="shared" si="93"/>
        <v>1.75107567744</v>
      </c>
      <c r="K283" s="30">
        <f>IF(OR(LEFT($D283,5)="Solar",$D283="Wind"),INDEX(Land_Use[AVG],MATCH(LEFT($D283,5),Land_Use[Tech],0)),0)*$E283</f>
        <v>0</v>
      </c>
      <c r="L283" s="30">
        <f>IF(OR(LEFT($D283,5)="Solar",$D283="Wind"),INDEX(Land_Use[MIN],MATCH(LEFT($D283,5),Land_Use[Tech],0)),0)*$E283</f>
        <v>0</v>
      </c>
      <c r="M283" s="30">
        <f>IF(OR(LEFT($D283,5)="Solar",$D283="Wind"),INDEX(Land_Use[MAX],MATCH(LEFT($D283,5),Land_Use[Tech],0)),0)*$E283</f>
        <v>0</v>
      </c>
      <c r="N283" s="13">
        <f t="shared" si="84"/>
        <v>665.20367999999996</v>
      </c>
      <c r="O283" s="13">
        <f t="shared" si="85"/>
        <v>0</v>
      </c>
      <c r="P283" s="13">
        <f t="shared" si="86"/>
        <v>0</v>
      </c>
      <c r="Q283" s="13">
        <f t="shared" si="87"/>
        <v>0</v>
      </c>
      <c r="R283" s="13">
        <f t="shared" si="88"/>
        <v>0</v>
      </c>
      <c r="S283" s="30">
        <f t="shared" si="94"/>
        <v>0</v>
      </c>
      <c r="T283" s="30">
        <f t="shared" si="95"/>
        <v>0</v>
      </c>
      <c r="U283" s="30">
        <f t="shared" si="96"/>
        <v>0</v>
      </c>
      <c r="V283" s="30">
        <f t="shared" si="97"/>
        <v>0</v>
      </c>
      <c r="W283" s="30">
        <f t="shared" si="98"/>
        <v>0</v>
      </c>
      <c r="X283" s="30">
        <f t="shared" si="99"/>
        <v>0</v>
      </c>
      <c r="Z283" s="23" t="s">
        <v>76</v>
      </c>
      <c r="AA283" s="40" t="str">
        <f>IF(C283="Electricity",E283*SUMIFS(Electricity!S:S,Electricity!P:P,UserMade_Scenario!B283,Electricity!M:M,UserMade_Scenario!Z283,Electricity!O:O,UserMade_Scenario!D283),"")</f>
        <v/>
      </c>
      <c r="AB283" s="76">
        <f>1000*Assumptions!$B$17/1000000000000</f>
        <v>1.1999999999999999E-7</v>
      </c>
      <c r="AC283" s="67" t="s">
        <v>77</v>
      </c>
      <c r="AD283" s="39">
        <f>SUMIFS(Hydrogen!AK:AK,Hydrogen!$AA:$AA,UserMade_Scenario!$Z283,Hydrogen!$Y:$Y,UserMade_Scenario!$D283,Hydrogen!$AB:$AB,UserMade_Scenario!$B283,Hydrogen!$Z:$Z,UserMade_Scenario!$C283)</f>
        <v>-84.015495952097837</v>
      </c>
      <c r="AE283" s="39">
        <f>SUMIFS(Hydrogen!AL:AL,Hydrogen!$AA:$AA,UserMade_Scenario!$Z283,Hydrogen!$Y:$Y,UserMade_Scenario!$D283,Hydrogen!$AB:$AB,UserMade_Scenario!$B283,Hydrogen!$Z:$Z,UserMade_Scenario!$C283)</f>
        <v>-78.09099190419569</v>
      </c>
      <c r="AF283" s="39">
        <f>SUMIFS(Hydrogen!AM:AM,Hydrogen!$AA:$AA,UserMade_Scenario!$Z283,Hydrogen!$Y:$Y,UserMade_Scenario!$D283,Hydrogen!$AB:$AB,UserMade_Scenario!$B283,Hydrogen!$Z:$Z,UserMade_Scenario!$C283)</f>
        <v>-89.94</v>
      </c>
      <c r="AG283" s="68">
        <f>IFERROR(INDEX(WaterUseH2[Average Direct Water Consumption (Gal/ kg h2)],MATCH(LEFT(D283,3),WaterUseH2[Key],0)),0)</f>
        <v>4.0999999999999996</v>
      </c>
      <c r="AH283">
        <v>14</v>
      </c>
      <c r="AI283">
        <v>1.4</v>
      </c>
      <c r="AJ283">
        <v>250</v>
      </c>
      <c r="AK283">
        <v>0.31</v>
      </c>
      <c r="AL283" s="63">
        <f>IFERROR(INDEX(Job_Training[[Solar]:[Wind]],MATCH(AL$1,Job_Training[[`Typical Entry Level Education`]:[`Typical Entry Level Education`]],0),MATCH(LEFT($D283,5),Job_Training[[#Headers],[Solar]:[Wind]],0)),0)</f>
        <v>0</v>
      </c>
      <c r="AM283" s="63">
        <f>IFERROR(INDEX(Job_Training[[Solar]:[Wind]],MATCH(AM$1,Job_Training[[`Typical Entry Level Education`]:[`Typical Entry Level Education`]],0),MATCH(LEFT($D283,5),Job_Training[[#Headers],[Solar]:[Wind]],0)),0)</f>
        <v>0</v>
      </c>
      <c r="AN283" s="63">
        <f>IFERROR(INDEX(Job_Training[[Solar]:[Wind]],MATCH(AN$1,Job_Training[[`Typical Entry Level Education`]:[`Typical Entry Level Education`]],0),MATCH(LEFT($D283,5),Job_Training[[#Headers],[Solar]:[Wind]],0)),0)</f>
        <v>0</v>
      </c>
      <c r="AO283" s="63">
        <f>IFERROR(INDEX(Job_Training[[Solar]:[Wind]],MATCH(AO$1,Job_Training[[`Typical Entry Level Education`]:[`Typical Entry Level Education`]],0),MATCH(LEFT($D283,5),Job_Training[[#Headers],[Solar]:[Wind]],0)),0)</f>
        <v>0</v>
      </c>
      <c r="AP283">
        <f t="shared" si="100"/>
        <v>0</v>
      </c>
      <c r="AQ283" s="63">
        <f>IF(AP283&gt;0,IFERROR(INDEX(Assumptions!$C$165:$D$165,MATCH(LEFT($D283,5),Job_Training[[#Headers],[Solar]:[Wind]],0)),0),0)</f>
        <v>0</v>
      </c>
      <c r="AR283">
        <f>IF(AP283&gt;0,IFERROR(INDEX(Assumptions!$C$166:$D$166,MATCH(LEFT($D283,5),Job_Training[[#Headers],[Solar]:[Wind]],0)),0),0)</f>
        <v>0</v>
      </c>
    </row>
    <row r="284" spans="1:44" hidden="1" x14ac:dyDescent="0.35">
      <c r="A284" t="str">
        <f>UserInput!$B$30</f>
        <v>State Policy Aligned</v>
      </c>
      <c r="B284">
        <v>2034</v>
      </c>
      <c r="C284" t="s">
        <v>78</v>
      </c>
      <c r="D284" t="s">
        <v>79</v>
      </c>
      <c r="E284" s="66">
        <f>INDEX(UserInput!$C$30:$M$50,MATCH(UserMade_Scenario!B284,UserInput!$A$30:$A$50,0),MATCH(LEFT(IF(RIGHT(C284,2)="H2",UserMade_Scenario!C284,D284),3),UserInput!$C$25:$M$25,0))</f>
        <v>177224.40000000002</v>
      </c>
      <c r="F284" s="14" t="s">
        <v>75</v>
      </c>
      <c r="G284" s="14">
        <f t="shared" si="90"/>
        <v>2.1266928000000001E-2</v>
      </c>
      <c r="H284" s="63">
        <f t="shared" si="91"/>
        <v>1.7652655763080563</v>
      </c>
      <c r="I284" s="63">
        <f t="shared" si="92"/>
        <v>1.6177836482961123</v>
      </c>
      <c r="J284" s="63">
        <f t="shared" si="93"/>
        <v>1.91274750432</v>
      </c>
      <c r="K284" s="30">
        <f>IF(OR(LEFT($D284,5)="Solar",$D284="Wind"),INDEX(Land_Use[AVG],MATCH(LEFT($D284,5),Land_Use[Tech],0)),0)*$E284</f>
        <v>0</v>
      </c>
      <c r="L284" s="30">
        <f>IF(OR(LEFT($D284,5)="Solar",$D284="Wind"),INDEX(Land_Use[MIN],MATCH(LEFT($D284,5),Land_Use[Tech],0)),0)*$E284</f>
        <v>0</v>
      </c>
      <c r="M284" s="30">
        <f>IF(OR(LEFT($D284,5)="Solar",$D284="Wind"),INDEX(Land_Use[MAX],MATCH(LEFT($D284,5),Land_Use[Tech],0)),0)*$E284</f>
        <v>0</v>
      </c>
      <c r="N284" s="13">
        <f t="shared" si="84"/>
        <v>726.62004000000002</v>
      </c>
      <c r="O284" s="13">
        <f t="shared" si="85"/>
        <v>0</v>
      </c>
      <c r="P284" s="13">
        <f t="shared" si="86"/>
        <v>0</v>
      </c>
      <c r="Q284" s="13">
        <f t="shared" si="87"/>
        <v>0</v>
      </c>
      <c r="R284" s="13">
        <f t="shared" si="88"/>
        <v>0</v>
      </c>
      <c r="S284" s="30">
        <f t="shared" si="94"/>
        <v>0</v>
      </c>
      <c r="T284" s="30">
        <f t="shared" si="95"/>
        <v>0</v>
      </c>
      <c r="U284" s="30">
        <f t="shared" si="96"/>
        <v>0</v>
      </c>
      <c r="V284" s="30">
        <f t="shared" si="97"/>
        <v>0</v>
      </c>
      <c r="W284" s="30">
        <f t="shared" si="98"/>
        <v>0</v>
      </c>
      <c r="X284" s="30">
        <f t="shared" si="99"/>
        <v>0</v>
      </c>
      <c r="Z284" s="23" t="s">
        <v>76</v>
      </c>
      <c r="AA284" s="40" t="str">
        <f>IF(C284="Electricity",E284*SUMIFS(Electricity!S:S,Electricity!P:P,UserMade_Scenario!B284,Electricity!M:M,UserMade_Scenario!Z284,Electricity!O:O,UserMade_Scenario!D284),"")</f>
        <v/>
      </c>
      <c r="AB284" s="76">
        <f>1000*Assumptions!$B$17/1000000000000</f>
        <v>1.1999999999999999E-7</v>
      </c>
      <c r="AC284" s="67" t="s">
        <v>77</v>
      </c>
      <c r="AD284" s="39">
        <f>SUMIFS(Hydrogen!AK:AK,Hydrogen!$AA:$AA,UserMade_Scenario!$Z284,Hydrogen!$Y:$Y,UserMade_Scenario!$D284,Hydrogen!$AB:$AB,UserMade_Scenario!$B284,Hydrogen!$Z:$Z,UserMade_Scenario!$C284)</f>
        <v>-83.005198320512307</v>
      </c>
      <c r="AE284" s="39">
        <f>SUMIFS(Hydrogen!AL:AL,Hydrogen!$AA:$AA,UserMade_Scenario!$Z284,Hydrogen!$Y:$Y,UserMade_Scenario!$D284,Hydrogen!$AB:$AB,UserMade_Scenario!$B284,Hydrogen!$Z:$Z,UserMade_Scenario!$C284)</f>
        <v>-76.070396641024615</v>
      </c>
      <c r="AF284" s="39">
        <f>SUMIFS(Hydrogen!AM:AM,Hydrogen!$AA:$AA,UserMade_Scenario!$Z284,Hydrogen!$Y:$Y,UserMade_Scenario!$D284,Hydrogen!$AB:$AB,UserMade_Scenario!$B284,Hydrogen!$Z:$Z,UserMade_Scenario!$C284)</f>
        <v>-89.94</v>
      </c>
      <c r="AG284" s="68">
        <f>IFERROR(INDEX(WaterUseH2[Average Direct Water Consumption (Gal/ kg h2)],MATCH(LEFT(D284,3),WaterUseH2[Key],0)),0)</f>
        <v>4.0999999999999996</v>
      </c>
      <c r="AH284">
        <v>14</v>
      </c>
      <c r="AI284">
        <v>1.4</v>
      </c>
      <c r="AJ284">
        <v>250</v>
      </c>
      <c r="AK284">
        <v>0.31</v>
      </c>
      <c r="AL284" s="63">
        <f>IFERROR(INDEX(Job_Training[[Solar]:[Wind]],MATCH(AL$1,Job_Training[[`Typical Entry Level Education`]:[`Typical Entry Level Education`]],0),MATCH(LEFT($D284,5),Job_Training[[#Headers],[Solar]:[Wind]],0)),0)</f>
        <v>0</v>
      </c>
      <c r="AM284" s="63">
        <f>IFERROR(INDEX(Job_Training[[Solar]:[Wind]],MATCH(AM$1,Job_Training[[`Typical Entry Level Education`]:[`Typical Entry Level Education`]],0),MATCH(LEFT($D284,5),Job_Training[[#Headers],[Solar]:[Wind]],0)),0)</f>
        <v>0</v>
      </c>
      <c r="AN284" s="63">
        <f>IFERROR(INDEX(Job_Training[[Solar]:[Wind]],MATCH(AN$1,Job_Training[[`Typical Entry Level Education`]:[`Typical Entry Level Education`]],0),MATCH(LEFT($D284,5),Job_Training[[#Headers],[Solar]:[Wind]],0)),0)</f>
        <v>0</v>
      </c>
      <c r="AO284" s="63">
        <f>IFERROR(INDEX(Job_Training[[Solar]:[Wind]],MATCH(AO$1,Job_Training[[`Typical Entry Level Education`]:[`Typical Entry Level Education`]],0),MATCH(LEFT($D284,5),Job_Training[[#Headers],[Solar]:[Wind]],0)),0)</f>
        <v>0</v>
      </c>
      <c r="AP284">
        <f t="shared" si="100"/>
        <v>0</v>
      </c>
      <c r="AQ284" s="63">
        <f>IF(AP284&gt;0,IFERROR(INDEX(Assumptions!$C$165:$D$165,MATCH(LEFT($D284,5),Job_Training[[#Headers],[Solar]:[Wind]],0)),0),0)</f>
        <v>0</v>
      </c>
      <c r="AR284">
        <f>IF(AP284&gt;0,IFERROR(INDEX(Assumptions!$C$166:$D$166,MATCH(LEFT($D284,5),Job_Training[[#Headers],[Solar]:[Wind]],0)),0),0)</f>
        <v>0</v>
      </c>
    </row>
    <row r="285" spans="1:44" hidden="1" x14ac:dyDescent="0.35">
      <c r="A285" t="str">
        <f>UserInput!$B$30</f>
        <v>State Policy Aligned</v>
      </c>
      <c r="B285">
        <v>2035</v>
      </c>
      <c r="C285" t="s">
        <v>78</v>
      </c>
      <c r="D285" t="s">
        <v>79</v>
      </c>
      <c r="E285" s="66">
        <f>INDEX(UserInput!$C$30:$M$50,MATCH(UserMade_Scenario!B285,UserInput!$A$30:$A$50,0),MATCH(LEFT(IF(RIGHT(C285,2)="H2",UserMade_Scenario!C285,D285),3),UserInput!$C$25:$M$25,0))</f>
        <v>192204.00000000003</v>
      </c>
      <c r="F285" s="14" t="s">
        <v>75</v>
      </c>
      <c r="G285" s="14">
        <f t="shared" si="90"/>
        <v>2.3064480000000002E-2</v>
      </c>
      <c r="H285" s="63">
        <f t="shared" si="91"/>
        <v>1.8878659501243753</v>
      </c>
      <c r="I285" s="63">
        <f t="shared" si="92"/>
        <v>1.7013125690487501</v>
      </c>
      <c r="J285" s="63">
        <f t="shared" si="93"/>
        <v>2.0744193312000001</v>
      </c>
      <c r="K285" s="30">
        <f>IF(OR(LEFT($D285,5)="Solar",$D285="Wind"),INDEX(Land_Use[AVG],MATCH(LEFT($D285,5),Land_Use[Tech],0)),0)*$E285</f>
        <v>0</v>
      </c>
      <c r="L285" s="30">
        <f>IF(OR(LEFT($D285,5)="Solar",$D285="Wind"),INDEX(Land_Use[MIN],MATCH(LEFT($D285,5),Land_Use[Tech],0)),0)*$E285</f>
        <v>0</v>
      </c>
      <c r="M285" s="30">
        <f>IF(OR(LEFT($D285,5)="Solar",$D285="Wind"),INDEX(Land_Use[MAX],MATCH(LEFT($D285,5),Land_Use[Tech],0)),0)*$E285</f>
        <v>0</v>
      </c>
      <c r="N285" s="13">
        <f t="shared" si="84"/>
        <v>788.03639999999996</v>
      </c>
      <c r="O285" s="13">
        <f t="shared" si="85"/>
        <v>0</v>
      </c>
      <c r="P285" s="13">
        <f t="shared" si="86"/>
        <v>0</v>
      </c>
      <c r="Q285" s="13">
        <f t="shared" si="87"/>
        <v>0</v>
      </c>
      <c r="R285" s="13">
        <f t="shared" si="88"/>
        <v>0</v>
      </c>
      <c r="S285" s="30">
        <f t="shared" si="94"/>
        <v>0</v>
      </c>
      <c r="T285" s="30">
        <f t="shared" si="95"/>
        <v>0</v>
      </c>
      <c r="U285" s="30">
        <f t="shared" si="96"/>
        <v>0</v>
      </c>
      <c r="V285" s="30">
        <f t="shared" si="97"/>
        <v>0</v>
      </c>
      <c r="W285" s="30">
        <f t="shared" si="98"/>
        <v>0</v>
      </c>
      <c r="X285" s="30">
        <f t="shared" si="99"/>
        <v>0</v>
      </c>
      <c r="Z285" s="23" t="s">
        <v>76</v>
      </c>
      <c r="AA285" s="40" t="str">
        <f>IF(C285="Electricity",E285*SUMIFS(Electricity!S:S,Electricity!P:P,UserMade_Scenario!B285,Electricity!M:M,UserMade_Scenario!Z285,Electricity!O:O,UserMade_Scenario!D285),"")</f>
        <v/>
      </c>
      <c r="AB285" s="76">
        <f>1000*Assumptions!$B$17/1000000000000</f>
        <v>1.1999999999999999E-7</v>
      </c>
      <c r="AC285" s="67" t="s">
        <v>77</v>
      </c>
      <c r="AD285" s="39">
        <f>SUMIFS(Hydrogen!AK:AK,Hydrogen!$AA:$AA,UserMade_Scenario!$Z285,Hydrogen!$Y:$Y,UserMade_Scenario!$D285,Hydrogen!$AB:$AB,UserMade_Scenario!$B285,Hydrogen!$Z:$Z,UserMade_Scenario!$C285)</f>
        <v>-81.851658919879185</v>
      </c>
      <c r="AE285" s="39">
        <f>SUMIFS(Hydrogen!AL:AL,Hydrogen!$AA:$AA,UserMade_Scenario!$Z285,Hydrogen!$Y:$Y,UserMade_Scenario!$D285,Hydrogen!$AB:$AB,UserMade_Scenario!$B285,Hydrogen!$Z:$Z,UserMade_Scenario!$C285)</f>
        <v>-73.763317839758358</v>
      </c>
      <c r="AF285" s="39">
        <f>SUMIFS(Hydrogen!AM:AM,Hydrogen!$AA:$AA,UserMade_Scenario!$Z285,Hydrogen!$Y:$Y,UserMade_Scenario!$D285,Hydrogen!$AB:$AB,UserMade_Scenario!$B285,Hydrogen!$Z:$Z,UserMade_Scenario!$C285)</f>
        <v>-89.94</v>
      </c>
      <c r="AG285" s="68">
        <f>IFERROR(INDEX(WaterUseH2[Average Direct Water Consumption (Gal/ kg h2)],MATCH(LEFT(D285,3),WaterUseH2[Key],0)),0)</f>
        <v>4.0999999999999996</v>
      </c>
      <c r="AH285">
        <v>14</v>
      </c>
      <c r="AI285">
        <v>1.4</v>
      </c>
      <c r="AJ285">
        <v>250</v>
      </c>
      <c r="AK285">
        <v>0.31</v>
      </c>
      <c r="AL285" s="63">
        <f>IFERROR(INDEX(Job_Training[[Solar]:[Wind]],MATCH(AL$1,Job_Training[[`Typical Entry Level Education`]:[`Typical Entry Level Education`]],0),MATCH(LEFT($D285,5),Job_Training[[#Headers],[Solar]:[Wind]],0)),0)</f>
        <v>0</v>
      </c>
      <c r="AM285" s="63">
        <f>IFERROR(INDEX(Job_Training[[Solar]:[Wind]],MATCH(AM$1,Job_Training[[`Typical Entry Level Education`]:[`Typical Entry Level Education`]],0),MATCH(LEFT($D285,5),Job_Training[[#Headers],[Solar]:[Wind]],0)),0)</f>
        <v>0</v>
      </c>
      <c r="AN285" s="63">
        <f>IFERROR(INDEX(Job_Training[[Solar]:[Wind]],MATCH(AN$1,Job_Training[[`Typical Entry Level Education`]:[`Typical Entry Level Education`]],0),MATCH(LEFT($D285,5),Job_Training[[#Headers],[Solar]:[Wind]],0)),0)</f>
        <v>0</v>
      </c>
      <c r="AO285" s="63">
        <f>IFERROR(INDEX(Job_Training[[Solar]:[Wind]],MATCH(AO$1,Job_Training[[`Typical Entry Level Education`]:[`Typical Entry Level Education`]],0),MATCH(LEFT($D285,5),Job_Training[[#Headers],[Solar]:[Wind]],0)),0)</f>
        <v>0</v>
      </c>
      <c r="AP285">
        <f t="shared" si="100"/>
        <v>0</v>
      </c>
      <c r="AQ285" s="63">
        <f>IF(AP285&gt;0,IFERROR(INDEX(Assumptions!$C$165:$D$165,MATCH(LEFT($D285,5),Job_Training[[#Headers],[Solar]:[Wind]],0)),0),0)</f>
        <v>0</v>
      </c>
      <c r="AR285">
        <f>IF(AP285&gt;0,IFERROR(INDEX(Assumptions!$C$166:$D$166,MATCH(LEFT($D285,5),Job_Training[[#Headers],[Solar]:[Wind]],0)),0),0)</f>
        <v>0</v>
      </c>
    </row>
    <row r="286" spans="1:44" hidden="1" x14ac:dyDescent="0.35">
      <c r="A286" t="str">
        <f>UserInput!$B$30</f>
        <v>State Policy Aligned</v>
      </c>
      <c r="B286">
        <v>2036</v>
      </c>
      <c r="C286" t="s">
        <v>78</v>
      </c>
      <c r="D286" t="s">
        <v>79</v>
      </c>
      <c r="E286" s="66">
        <f>INDEX(UserInput!$C$30:$M$50,MATCH(UserMade_Scenario!B286,UserInput!$A$30:$A$50,0),MATCH(LEFT(IF(RIGHT(C286,2)="H2",UserMade_Scenario!C286,D286),3),UserInput!$C$25:$M$25,0))</f>
        <v>207183.60000000003</v>
      </c>
      <c r="F286" s="14" t="s">
        <v>75</v>
      </c>
      <c r="G286" s="14">
        <f t="shared" si="90"/>
        <v>2.4862032000000003E-2</v>
      </c>
      <c r="H286" s="63">
        <f t="shared" si="91"/>
        <v>2.0042371249856377</v>
      </c>
      <c r="I286" s="63">
        <f t="shared" si="92"/>
        <v>1.7723830918912753</v>
      </c>
      <c r="J286" s="63">
        <f t="shared" si="93"/>
        <v>2.2360911580800003</v>
      </c>
      <c r="K286" s="30">
        <f>IF(OR(LEFT($D286,5)="Solar",$D286="Wind"),INDEX(Land_Use[AVG],MATCH(LEFT($D286,5),Land_Use[Tech],0)),0)*$E286</f>
        <v>0</v>
      </c>
      <c r="L286" s="30">
        <f>IF(OR(LEFT($D286,5)="Solar",$D286="Wind"),INDEX(Land_Use[MIN],MATCH(LEFT($D286,5),Land_Use[Tech],0)),0)*$E286</f>
        <v>0</v>
      </c>
      <c r="M286" s="30">
        <f>IF(OR(LEFT($D286,5)="Solar",$D286="Wind"),INDEX(Land_Use[MAX],MATCH(LEFT($D286,5),Land_Use[Tech],0)),0)*$E286</f>
        <v>0</v>
      </c>
      <c r="N286" s="13">
        <f t="shared" si="84"/>
        <v>849.45276000000013</v>
      </c>
      <c r="O286" s="13">
        <f t="shared" si="85"/>
        <v>0</v>
      </c>
      <c r="P286" s="13">
        <f t="shared" si="86"/>
        <v>0</v>
      </c>
      <c r="Q286" s="13">
        <f t="shared" si="87"/>
        <v>0</v>
      </c>
      <c r="R286" s="13">
        <f t="shared" si="88"/>
        <v>0</v>
      </c>
      <c r="S286" s="30">
        <f t="shared" si="94"/>
        <v>0</v>
      </c>
      <c r="T286" s="30">
        <f t="shared" si="95"/>
        <v>0</v>
      </c>
      <c r="U286" s="30">
        <f t="shared" si="96"/>
        <v>0</v>
      </c>
      <c r="V286" s="30">
        <f t="shared" si="97"/>
        <v>0</v>
      </c>
      <c r="W286" s="30">
        <f t="shared" si="98"/>
        <v>0</v>
      </c>
      <c r="X286" s="30">
        <f t="shared" si="99"/>
        <v>0</v>
      </c>
      <c r="Z286" s="23" t="s">
        <v>76</v>
      </c>
      <c r="AA286" s="40" t="str">
        <f>IF(C286="Electricity",E286*SUMIFS(Electricity!S:S,Electricity!P:P,UserMade_Scenario!B286,Electricity!M:M,UserMade_Scenario!Z286,Electricity!O:O,UserMade_Scenario!D286),"")</f>
        <v/>
      </c>
      <c r="AB286" s="76">
        <f>1000*Assumptions!$B$17/1000000000000</f>
        <v>1.1999999999999999E-7</v>
      </c>
      <c r="AC286" s="67" t="s">
        <v>77</v>
      </c>
      <c r="AD286" s="39">
        <f>SUMIFS(Hydrogen!AK:AK,Hydrogen!$AA:$AA,UserMade_Scenario!$Z286,Hydrogen!$Y:$Y,UserMade_Scenario!$D286,Hydrogen!$AB:$AB,UserMade_Scenario!$B286,Hydrogen!$Z:$Z,UserMade_Scenario!$C286)</f>
        <v>-80.61437315283149</v>
      </c>
      <c r="AE286" s="39">
        <f>SUMIFS(Hydrogen!AL:AL,Hydrogen!$AA:$AA,UserMade_Scenario!$Z286,Hydrogen!$Y:$Y,UserMade_Scenario!$D286,Hydrogen!$AB:$AB,UserMade_Scenario!$B286,Hydrogen!$Z:$Z,UserMade_Scenario!$C286)</f>
        <v>-71.288746305662997</v>
      </c>
      <c r="AF286" s="39">
        <f>SUMIFS(Hydrogen!AM:AM,Hydrogen!$AA:$AA,UserMade_Scenario!$Z286,Hydrogen!$Y:$Y,UserMade_Scenario!$D286,Hydrogen!$AB:$AB,UserMade_Scenario!$B286,Hydrogen!$Z:$Z,UserMade_Scenario!$C286)</f>
        <v>-89.94</v>
      </c>
      <c r="AG286" s="68">
        <f>IFERROR(INDEX(WaterUseH2[Average Direct Water Consumption (Gal/ kg h2)],MATCH(LEFT(D286,3),WaterUseH2[Key],0)),0)</f>
        <v>4.0999999999999996</v>
      </c>
      <c r="AH286">
        <v>14</v>
      </c>
      <c r="AI286">
        <v>1.4</v>
      </c>
      <c r="AJ286">
        <v>250</v>
      </c>
      <c r="AK286">
        <v>0.31</v>
      </c>
      <c r="AL286" s="63">
        <f>IFERROR(INDEX(Job_Training[[Solar]:[Wind]],MATCH(AL$1,Job_Training[[`Typical Entry Level Education`]:[`Typical Entry Level Education`]],0),MATCH(LEFT($D286,5),Job_Training[[#Headers],[Solar]:[Wind]],0)),0)</f>
        <v>0</v>
      </c>
      <c r="AM286" s="63">
        <f>IFERROR(INDEX(Job_Training[[Solar]:[Wind]],MATCH(AM$1,Job_Training[[`Typical Entry Level Education`]:[`Typical Entry Level Education`]],0),MATCH(LEFT($D286,5),Job_Training[[#Headers],[Solar]:[Wind]],0)),0)</f>
        <v>0</v>
      </c>
      <c r="AN286" s="63">
        <f>IFERROR(INDEX(Job_Training[[Solar]:[Wind]],MATCH(AN$1,Job_Training[[`Typical Entry Level Education`]:[`Typical Entry Level Education`]],0),MATCH(LEFT($D286,5),Job_Training[[#Headers],[Solar]:[Wind]],0)),0)</f>
        <v>0</v>
      </c>
      <c r="AO286" s="63">
        <f>IFERROR(INDEX(Job_Training[[Solar]:[Wind]],MATCH(AO$1,Job_Training[[`Typical Entry Level Education`]:[`Typical Entry Level Education`]],0),MATCH(LEFT($D286,5),Job_Training[[#Headers],[Solar]:[Wind]],0)),0)</f>
        <v>0</v>
      </c>
      <c r="AP286">
        <f t="shared" si="100"/>
        <v>0</v>
      </c>
      <c r="AQ286" s="63">
        <f>IF(AP286&gt;0,IFERROR(INDEX(Assumptions!$C$165:$D$165,MATCH(LEFT($D286,5),Job_Training[[#Headers],[Solar]:[Wind]],0)),0),0)</f>
        <v>0</v>
      </c>
      <c r="AR286">
        <f>IF(AP286&gt;0,IFERROR(INDEX(Assumptions!$C$166:$D$166,MATCH(LEFT($D286,5),Job_Training[[#Headers],[Solar]:[Wind]],0)),0),0)</f>
        <v>0</v>
      </c>
    </row>
    <row r="287" spans="1:44" hidden="1" x14ac:dyDescent="0.35">
      <c r="A287" t="str">
        <f>UserInput!$B$30</f>
        <v>State Policy Aligned</v>
      </c>
      <c r="B287">
        <v>2037</v>
      </c>
      <c r="C287" t="s">
        <v>78</v>
      </c>
      <c r="D287" t="s">
        <v>79</v>
      </c>
      <c r="E287" s="66">
        <f>INDEX(UserInput!$C$30:$M$50,MATCH(UserMade_Scenario!B287,UserInput!$A$30:$A$50,0),MATCH(LEFT(IF(RIGHT(C287,2)="H2",UserMade_Scenario!C287,D287),3),UserInput!$C$25:$M$25,0))</f>
        <v>222163.20000000004</v>
      </c>
      <c r="F287" s="14" t="s">
        <v>75</v>
      </c>
      <c r="G287" s="14">
        <f t="shared" si="90"/>
        <v>2.6659584000000004E-2</v>
      </c>
      <c r="H287" s="63">
        <f t="shared" si="91"/>
        <v>2.1150616620741638</v>
      </c>
      <c r="I287" s="63">
        <f t="shared" si="92"/>
        <v>1.8323603391883279</v>
      </c>
      <c r="J287" s="63">
        <f t="shared" si="93"/>
        <v>2.3977629849600004</v>
      </c>
      <c r="K287" s="30">
        <f>IF(OR(LEFT($D287,5)="Solar",$D287="Wind"),INDEX(Land_Use[AVG],MATCH(LEFT($D287,5),Land_Use[Tech],0)),0)*$E287</f>
        <v>0</v>
      </c>
      <c r="L287" s="30">
        <f>IF(OR(LEFT($D287,5)="Solar",$D287="Wind"),INDEX(Land_Use[MIN],MATCH(LEFT($D287,5),Land_Use[Tech],0)),0)*$E287</f>
        <v>0</v>
      </c>
      <c r="M287" s="30">
        <f>IF(OR(LEFT($D287,5)="Solar",$D287="Wind"),INDEX(Land_Use[MAX],MATCH(LEFT($D287,5),Land_Use[Tech],0)),0)*$E287</f>
        <v>0</v>
      </c>
      <c r="N287" s="13">
        <f t="shared" si="84"/>
        <v>910.86912000000007</v>
      </c>
      <c r="O287" s="13">
        <f t="shared" si="85"/>
        <v>0</v>
      </c>
      <c r="P287" s="13">
        <f t="shared" si="86"/>
        <v>0</v>
      </c>
      <c r="Q287" s="13">
        <f t="shared" si="87"/>
        <v>0</v>
      </c>
      <c r="R287" s="13">
        <f t="shared" si="88"/>
        <v>0</v>
      </c>
      <c r="S287" s="30">
        <f t="shared" si="94"/>
        <v>0</v>
      </c>
      <c r="T287" s="30">
        <f t="shared" si="95"/>
        <v>0</v>
      </c>
      <c r="U287" s="30">
        <f t="shared" si="96"/>
        <v>0</v>
      </c>
      <c r="V287" s="30">
        <f t="shared" si="97"/>
        <v>0</v>
      </c>
      <c r="W287" s="30">
        <f t="shared" si="98"/>
        <v>0</v>
      </c>
      <c r="X287" s="30">
        <f t="shared" si="99"/>
        <v>0</v>
      </c>
      <c r="Z287" s="23" t="s">
        <v>76</v>
      </c>
      <c r="AA287" s="40" t="str">
        <f>IF(C287="Electricity",E287*SUMIFS(Electricity!S:S,Electricity!P:P,UserMade_Scenario!B287,Electricity!M:M,UserMade_Scenario!Z287,Electricity!O:O,UserMade_Scenario!D287),"")</f>
        <v/>
      </c>
      <c r="AB287" s="76">
        <f>1000*Assumptions!$B$17/1000000000000</f>
        <v>1.1999999999999999E-7</v>
      </c>
      <c r="AC287" s="67" t="s">
        <v>77</v>
      </c>
      <c r="AD287" s="39">
        <f>SUMIFS(Hydrogen!AK:AK,Hydrogen!$AA:$AA,UserMade_Scenario!$Z287,Hydrogen!$Y:$Y,UserMade_Scenario!$D287,Hydrogen!$AB:$AB,UserMade_Scenario!$B287,Hydrogen!$Z:$Z,UserMade_Scenario!$C287)</f>
        <v>-79.335883938555213</v>
      </c>
      <c r="AE287" s="39">
        <f>SUMIFS(Hydrogen!AL:AL,Hydrogen!$AA:$AA,UserMade_Scenario!$Z287,Hydrogen!$Y:$Y,UserMade_Scenario!$D287,Hydrogen!$AB:$AB,UserMade_Scenario!$B287,Hydrogen!$Z:$Z,UserMade_Scenario!$C287)</f>
        <v>-68.731767877110443</v>
      </c>
      <c r="AF287" s="39">
        <f>SUMIFS(Hydrogen!AM:AM,Hydrogen!$AA:$AA,UserMade_Scenario!$Z287,Hydrogen!$Y:$Y,UserMade_Scenario!$D287,Hydrogen!$AB:$AB,UserMade_Scenario!$B287,Hydrogen!$Z:$Z,UserMade_Scenario!$C287)</f>
        <v>-89.94</v>
      </c>
      <c r="AG287" s="68">
        <f>IFERROR(INDEX(WaterUseH2[Average Direct Water Consumption (Gal/ kg h2)],MATCH(LEFT(D287,3),WaterUseH2[Key],0)),0)</f>
        <v>4.0999999999999996</v>
      </c>
      <c r="AH287">
        <v>14</v>
      </c>
      <c r="AI287">
        <v>1.4</v>
      </c>
      <c r="AJ287">
        <v>250</v>
      </c>
      <c r="AK287">
        <v>0.31</v>
      </c>
      <c r="AL287" s="63">
        <f>IFERROR(INDEX(Job_Training[[Solar]:[Wind]],MATCH(AL$1,Job_Training[[`Typical Entry Level Education`]:[`Typical Entry Level Education`]],0),MATCH(LEFT($D287,5),Job_Training[[#Headers],[Solar]:[Wind]],0)),0)</f>
        <v>0</v>
      </c>
      <c r="AM287" s="63">
        <f>IFERROR(INDEX(Job_Training[[Solar]:[Wind]],MATCH(AM$1,Job_Training[[`Typical Entry Level Education`]:[`Typical Entry Level Education`]],0),MATCH(LEFT($D287,5),Job_Training[[#Headers],[Solar]:[Wind]],0)),0)</f>
        <v>0</v>
      </c>
      <c r="AN287" s="63">
        <f>IFERROR(INDEX(Job_Training[[Solar]:[Wind]],MATCH(AN$1,Job_Training[[`Typical Entry Level Education`]:[`Typical Entry Level Education`]],0),MATCH(LEFT($D287,5),Job_Training[[#Headers],[Solar]:[Wind]],0)),0)</f>
        <v>0</v>
      </c>
      <c r="AO287" s="63">
        <f>IFERROR(INDEX(Job_Training[[Solar]:[Wind]],MATCH(AO$1,Job_Training[[`Typical Entry Level Education`]:[`Typical Entry Level Education`]],0),MATCH(LEFT($D287,5),Job_Training[[#Headers],[Solar]:[Wind]],0)),0)</f>
        <v>0</v>
      </c>
      <c r="AP287">
        <f t="shared" si="100"/>
        <v>0</v>
      </c>
      <c r="AQ287" s="63">
        <f>IF(AP287&gt;0,IFERROR(INDEX(Assumptions!$C$165:$D$165,MATCH(LEFT($D287,5),Job_Training[[#Headers],[Solar]:[Wind]],0)),0),0)</f>
        <v>0</v>
      </c>
      <c r="AR287">
        <f>IF(AP287&gt;0,IFERROR(INDEX(Assumptions!$C$166:$D$166,MATCH(LEFT($D287,5),Job_Training[[#Headers],[Solar]:[Wind]],0)),0),0)</f>
        <v>0</v>
      </c>
    </row>
    <row r="288" spans="1:44" hidden="1" x14ac:dyDescent="0.35">
      <c r="A288" t="str">
        <f>UserInput!$B$30</f>
        <v>State Policy Aligned</v>
      </c>
      <c r="B288">
        <v>2038</v>
      </c>
      <c r="C288" t="s">
        <v>78</v>
      </c>
      <c r="D288" t="s">
        <v>79</v>
      </c>
      <c r="E288" s="66">
        <f>INDEX(UserInput!$C$30:$M$50,MATCH(UserMade_Scenario!B288,UserInput!$A$30:$A$50,0),MATCH(LEFT(IF(RIGHT(C288,2)="H2",UserMade_Scenario!C288,D288),3),UserInput!$C$25:$M$25,0))</f>
        <v>237142.80000000005</v>
      </c>
      <c r="F288" s="14" t="s">
        <v>75</v>
      </c>
      <c r="G288" s="14">
        <f t="shared" si="90"/>
        <v>2.8457136000000004E-2</v>
      </c>
      <c r="H288" s="63">
        <f t="shared" si="91"/>
        <v>2.2214934360959346</v>
      </c>
      <c r="I288" s="63">
        <f t="shared" si="92"/>
        <v>1.8835520603518694</v>
      </c>
      <c r="J288" s="63">
        <f t="shared" si="93"/>
        <v>2.5594348118400005</v>
      </c>
      <c r="K288" s="30">
        <f>IF(OR(LEFT($D288,5)="Solar",$D288="Wind"),INDEX(Land_Use[AVG],MATCH(LEFT($D288,5),Land_Use[Tech],0)),0)*$E288</f>
        <v>0</v>
      </c>
      <c r="L288" s="30">
        <f>IF(OR(LEFT($D288,5)="Solar",$D288="Wind"),INDEX(Land_Use[MIN],MATCH(LEFT($D288,5),Land_Use[Tech],0)),0)*$E288</f>
        <v>0</v>
      </c>
      <c r="M288" s="30">
        <f>IF(OR(LEFT($D288,5)="Solar",$D288="Wind"),INDEX(Land_Use[MAX],MATCH(LEFT($D288,5),Land_Use[Tech],0)),0)*$E288</f>
        <v>0</v>
      </c>
      <c r="N288" s="13">
        <f t="shared" si="84"/>
        <v>972.28548000000012</v>
      </c>
      <c r="O288" s="13">
        <f t="shared" si="85"/>
        <v>0</v>
      </c>
      <c r="P288" s="13">
        <f t="shared" si="86"/>
        <v>0</v>
      </c>
      <c r="Q288" s="13">
        <f t="shared" si="87"/>
        <v>0</v>
      </c>
      <c r="R288" s="13">
        <f t="shared" si="88"/>
        <v>0</v>
      </c>
      <c r="S288" s="30">
        <f t="shared" si="94"/>
        <v>0</v>
      </c>
      <c r="T288" s="30">
        <f t="shared" si="95"/>
        <v>0</v>
      </c>
      <c r="U288" s="30">
        <f t="shared" si="96"/>
        <v>0</v>
      </c>
      <c r="V288" s="30">
        <f t="shared" si="97"/>
        <v>0</v>
      </c>
      <c r="W288" s="30">
        <f t="shared" si="98"/>
        <v>0</v>
      </c>
      <c r="X288" s="30">
        <f t="shared" si="99"/>
        <v>0</v>
      </c>
      <c r="Z288" s="23" t="s">
        <v>76</v>
      </c>
      <c r="AA288" s="40" t="str">
        <f>IF(C288="Electricity",E288*SUMIFS(Electricity!S:S,Electricity!P:P,UserMade_Scenario!B288,Electricity!M:M,UserMade_Scenario!Z288,Electricity!O:O,UserMade_Scenario!D288),"")</f>
        <v/>
      </c>
      <c r="AB288" s="76">
        <f>1000*Assumptions!$B$17/1000000000000</f>
        <v>1.1999999999999999E-7</v>
      </c>
      <c r="AC288" s="67" t="s">
        <v>77</v>
      </c>
      <c r="AD288" s="39">
        <f>SUMIFS(Hydrogen!AK:AK,Hydrogen!$AA:$AA,UserMade_Scenario!$Z288,Hydrogen!$Y:$Y,UserMade_Scenario!$D288,Hydrogen!$AB:$AB,UserMade_Scenario!$B288,Hydrogen!$Z:$Z,UserMade_Scenario!$C288)</f>
        <v>-78.06454718759943</v>
      </c>
      <c r="AE288" s="39">
        <f>SUMIFS(Hydrogen!AL:AL,Hydrogen!$AA:$AA,UserMade_Scenario!$Z288,Hydrogen!$Y:$Y,UserMade_Scenario!$D288,Hydrogen!$AB:$AB,UserMade_Scenario!$B288,Hydrogen!$Z:$Z,UserMade_Scenario!$C288)</f>
        <v>-66.189094375198863</v>
      </c>
      <c r="AF288" s="39">
        <f>SUMIFS(Hydrogen!AM:AM,Hydrogen!$AA:$AA,UserMade_Scenario!$Z288,Hydrogen!$Y:$Y,UserMade_Scenario!$D288,Hydrogen!$AB:$AB,UserMade_Scenario!$B288,Hydrogen!$Z:$Z,UserMade_Scenario!$C288)</f>
        <v>-89.94</v>
      </c>
      <c r="AG288" s="68">
        <f>IFERROR(INDEX(WaterUseH2[Average Direct Water Consumption (Gal/ kg h2)],MATCH(LEFT(D288,3),WaterUseH2[Key],0)),0)</f>
        <v>4.0999999999999996</v>
      </c>
      <c r="AH288">
        <v>14</v>
      </c>
      <c r="AI288">
        <v>1.4</v>
      </c>
      <c r="AJ288">
        <v>250</v>
      </c>
      <c r="AK288">
        <v>0.31</v>
      </c>
      <c r="AL288" s="63">
        <f>IFERROR(INDEX(Job_Training[[Solar]:[Wind]],MATCH(AL$1,Job_Training[[`Typical Entry Level Education`]:[`Typical Entry Level Education`]],0),MATCH(LEFT($D288,5),Job_Training[[#Headers],[Solar]:[Wind]],0)),0)</f>
        <v>0</v>
      </c>
      <c r="AM288" s="63">
        <f>IFERROR(INDEX(Job_Training[[Solar]:[Wind]],MATCH(AM$1,Job_Training[[`Typical Entry Level Education`]:[`Typical Entry Level Education`]],0),MATCH(LEFT($D288,5),Job_Training[[#Headers],[Solar]:[Wind]],0)),0)</f>
        <v>0</v>
      </c>
      <c r="AN288" s="63">
        <f>IFERROR(INDEX(Job_Training[[Solar]:[Wind]],MATCH(AN$1,Job_Training[[`Typical Entry Level Education`]:[`Typical Entry Level Education`]],0),MATCH(LEFT($D288,5),Job_Training[[#Headers],[Solar]:[Wind]],0)),0)</f>
        <v>0</v>
      </c>
      <c r="AO288" s="63">
        <f>IFERROR(INDEX(Job_Training[[Solar]:[Wind]],MATCH(AO$1,Job_Training[[`Typical Entry Level Education`]:[`Typical Entry Level Education`]],0),MATCH(LEFT($D288,5),Job_Training[[#Headers],[Solar]:[Wind]],0)),0)</f>
        <v>0</v>
      </c>
      <c r="AP288">
        <f t="shared" si="100"/>
        <v>0</v>
      </c>
      <c r="AQ288" s="63">
        <f>IF(AP288&gt;0,IFERROR(INDEX(Assumptions!$C$165:$D$165,MATCH(LEFT($D288,5),Job_Training[[#Headers],[Solar]:[Wind]],0)),0),0)</f>
        <v>0</v>
      </c>
      <c r="AR288">
        <f>IF(AP288&gt;0,IFERROR(INDEX(Assumptions!$C$166:$D$166,MATCH(LEFT($D288,5),Job_Training[[#Headers],[Solar]:[Wind]],0)),0),0)</f>
        <v>0</v>
      </c>
    </row>
    <row r="289" spans="1:44" hidden="1" x14ac:dyDescent="0.35">
      <c r="A289" t="str">
        <f>UserInput!$B$30</f>
        <v>State Policy Aligned</v>
      </c>
      <c r="B289">
        <v>2039</v>
      </c>
      <c r="C289" t="s">
        <v>78</v>
      </c>
      <c r="D289" t="s">
        <v>79</v>
      </c>
      <c r="E289" s="66">
        <f>INDEX(UserInput!$C$30:$M$50,MATCH(UserMade_Scenario!B289,UserInput!$A$30:$A$50,0),MATCH(LEFT(IF(RIGHT(C289,2)="H2",UserMade_Scenario!C289,D289),3),UserInput!$C$25:$M$25,0))</f>
        <v>252122.40000000005</v>
      </c>
      <c r="F289" s="14" t="s">
        <v>75</v>
      </c>
      <c r="G289" s="14">
        <f t="shared" si="90"/>
        <v>3.0254688000000005E-2</v>
      </c>
      <c r="H289" s="63">
        <f t="shared" si="91"/>
        <v>2.3224551008866969</v>
      </c>
      <c r="I289" s="63">
        <f t="shared" si="92"/>
        <v>1.9238035630533936</v>
      </c>
      <c r="J289" s="63">
        <f t="shared" si="93"/>
        <v>2.7211066387200002</v>
      </c>
      <c r="K289" s="30">
        <f>IF(OR(LEFT($D289,5)="Solar",$D289="Wind"),INDEX(Land_Use[AVG],MATCH(LEFT($D289,5),Land_Use[Tech],0)),0)*$E289</f>
        <v>0</v>
      </c>
      <c r="L289" s="30">
        <f>IF(OR(LEFT($D289,5)="Solar",$D289="Wind"),INDEX(Land_Use[MIN],MATCH(LEFT($D289,5),Land_Use[Tech],0)),0)*$E289</f>
        <v>0</v>
      </c>
      <c r="M289" s="30">
        <f>IF(OR(LEFT($D289,5)="Solar",$D289="Wind"),INDEX(Land_Use[MAX],MATCH(LEFT($D289,5),Land_Use[Tech],0)),0)*$E289</f>
        <v>0</v>
      </c>
      <c r="N289" s="13">
        <f t="shared" ref="N289:N362" si="101">E289*AG289*1000/1000000</f>
        <v>1033.7018400000002</v>
      </c>
      <c r="O289" s="13">
        <f t="shared" ref="O289:O362" si="102">$K289*AH$2</f>
        <v>0</v>
      </c>
      <c r="P289" s="13">
        <f t="shared" ref="P289:P362" si="103">$K289*AI$2</f>
        <v>0</v>
      </c>
      <c r="Q289" s="13">
        <f t="shared" ref="Q289:Q362" si="104">$K289*AJ$2</f>
        <v>0</v>
      </c>
      <c r="R289" s="13">
        <f t="shared" ref="R289:R362" si="105">$K289*AK$2</f>
        <v>0</v>
      </c>
      <c r="S289" s="30">
        <f t="shared" si="94"/>
        <v>0</v>
      </c>
      <c r="T289" s="30">
        <f t="shared" si="95"/>
        <v>0</v>
      </c>
      <c r="U289" s="30">
        <f t="shared" si="96"/>
        <v>0</v>
      </c>
      <c r="V289" s="30">
        <f t="shared" si="97"/>
        <v>0</v>
      </c>
      <c r="W289" s="30">
        <f t="shared" si="98"/>
        <v>0</v>
      </c>
      <c r="X289" s="30">
        <f t="shared" si="99"/>
        <v>0</v>
      </c>
      <c r="Z289" s="23" t="s">
        <v>76</v>
      </c>
      <c r="AA289" s="40" t="str">
        <f>IF(C289="Electricity",E289*SUMIFS(Electricity!S:S,Electricity!P:P,UserMade_Scenario!B289,Electricity!M:M,UserMade_Scenario!Z289,Electricity!O:O,UserMade_Scenario!D289),"")</f>
        <v/>
      </c>
      <c r="AB289" s="76">
        <f>1000*Assumptions!$B$17/1000000000000</f>
        <v>1.1999999999999999E-7</v>
      </c>
      <c r="AC289" s="67" t="s">
        <v>77</v>
      </c>
      <c r="AD289" s="39">
        <f>SUMIFS(Hydrogen!AK:AK,Hydrogen!$AA:$AA,UserMade_Scenario!$Z289,Hydrogen!$Y:$Y,UserMade_Scenario!$D289,Hydrogen!$AB:$AB,UserMade_Scenario!$B289,Hydrogen!$Z:$Z,UserMade_Scenario!$C289)</f>
        <v>-76.763478799936607</v>
      </c>
      <c r="AE289" s="39">
        <f>SUMIFS(Hydrogen!AL:AL,Hydrogen!$AA:$AA,UserMade_Scenario!$Z289,Hydrogen!$Y:$Y,UserMade_Scenario!$D289,Hydrogen!$AB:$AB,UserMade_Scenario!$B289,Hydrogen!$Z:$Z,UserMade_Scenario!$C289)</f>
        <v>-63.586957599873223</v>
      </c>
      <c r="AF289" s="39">
        <f>SUMIFS(Hydrogen!AM:AM,Hydrogen!$AA:$AA,UserMade_Scenario!$Z289,Hydrogen!$Y:$Y,UserMade_Scenario!$D289,Hydrogen!$AB:$AB,UserMade_Scenario!$B289,Hydrogen!$Z:$Z,UserMade_Scenario!$C289)</f>
        <v>-89.94</v>
      </c>
      <c r="AG289" s="68">
        <f>IFERROR(INDEX(WaterUseH2[Average Direct Water Consumption (Gal/ kg h2)],MATCH(LEFT(D289,3),WaterUseH2[Key],0)),0)</f>
        <v>4.0999999999999996</v>
      </c>
      <c r="AH289">
        <v>14</v>
      </c>
      <c r="AI289">
        <v>1.4</v>
      </c>
      <c r="AJ289">
        <v>250</v>
      </c>
      <c r="AK289">
        <v>0.31</v>
      </c>
      <c r="AL289" s="63">
        <f>IFERROR(INDEX(Job_Training[[Solar]:[Wind]],MATCH(AL$1,Job_Training[[`Typical Entry Level Education`]:[`Typical Entry Level Education`]],0),MATCH(LEFT($D289,5),Job_Training[[#Headers],[Solar]:[Wind]],0)),0)</f>
        <v>0</v>
      </c>
      <c r="AM289" s="63">
        <f>IFERROR(INDEX(Job_Training[[Solar]:[Wind]],MATCH(AM$1,Job_Training[[`Typical Entry Level Education`]:[`Typical Entry Level Education`]],0),MATCH(LEFT($D289,5),Job_Training[[#Headers],[Solar]:[Wind]],0)),0)</f>
        <v>0</v>
      </c>
      <c r="AN289" s="63">
        <f>IFERROR(INDEX(Job_Training[[Solar]:[Wind]],MATCH(AN$1,Job_Training[[`Typical Entry Level Education`]:[`Typical Entry Level Education`]],0),MATCH(LEFT($D289,5),Job_Training[[#Headers],[Solar]:[Wind]],0)),0)</f>
        <v>0</v>
      </c>
      <c r="AO289" s="63">
        <f>IFERROR(INDEX(Job_Training[[Solar]:[Wind]],MATCH(AO$1,Job_Training[[`Typical Entry Level Education`]:[`Typical Entry Level Education`]],0),MATCH(LEFT($D289,5),Job_Training[[#Headers],[Solar]:[Wind]],0)),0)</f>
        <v>0</v>
      </c>
      <c r="AP289">
        <f t="shared" si="100"/>
        <v>0</v>
      </c>
      <c r="AQ289" s="63">
        <f>IF(AP289&gt;0,IFERROR(INDEX(Assumptions!$C$165:$D$165,MATCH(LEFT($D289,5),Job_Training[[#Headers],[Solar]:[Wind]],0)),0),0)</f>
        <v>0</v>
      </c>
      <c r="AR289">
        <f>IF(AP289&gt;0,IFERROR(INDEX(Assumptions!$C$166:$D$166,MATCH(LEFT($D289,5),Job_Training[[#Headers],[Solar]:[Wind]],0)),0),0)</f>
        <v>0</v>
      </c>
    </row>
    <row r="290" spans="1:44" hidden="1" x14ac:dyDescent="0.35">
      <c r="A290" t="str">
        <f>UserInput!$B$30</f>
        <v>State Policy Aligned</v>
      </c>
      <c r="B290">
        <v>2040</v>
      </c>
      <c r="C290" t="s">
        <v>78</v>
      </c>
      <c r="D290" t="s">
        <v>79</v>
      </c>
      <c r="E290" s="66">
        <f>INDEX(UserInput!$C$30:$M$50,MATCH(UserMade_Scenario!B290,UserInput!$A$30:$A$50,0),MATCH(LEFT(IF(RIGHT(C290,2)="H2",UserMade_Scenario!C290,D290),3),UserInput!$C$25:$M$25,0))</f>
        <v>267102.00000000006</v>
      </c>
      <c r="F290" s="14" t="s">
        <v>75</v>
      </c>
      <c r="G290" s="14">
        <f t="shared" si="90"/>
        <v>3.2052240000000003E-2</v>
      </c>
      <c r="H290" s="63">
        <f t="shared" si="91"/>
        <v>2.4180618748919831</v>
      </c>
      <c r="I290" s="63">
        <f t="shared" si="92"/>
        <v>1.9533452841839665</v>
      </c>
      <c r="J290" s="63">
        <f t="shared" si="93"/>
        <v>2.8827784656</v>
      </c>
      <c r="K290" s="30">
        <f>IF(OR(LEFT($D290,5)="Solar",$D290="Wind"),INDEX(Land_Use[AVG],MATCH(LEFT($D290,5),Land_Use[Tech],0)),0)*$E290</f>
        <v>0</v>
      </c>
      <c r="L290" s="30">
        <f>IF(OR(LEFT($D290,5)="Solar",$D290="Wind"),INDEX(Land_Use[MIN],MATCH(LEFT($D290,5),Land_Use[Tech],0)),0)*$E290</f>
        <v>0</v>
      </c>
      <c r="M290" s="30">
        <f>IF(OR(LEFT($D290,5)="Solar",$D290="Wind"),INDEX(Land_Use[MAX],MATCH(LEFT($D290,5),Land_Use[Tech],0)),0)*$E290</f>
        <v>0</v>
      </c>
      <c r="N290" s="13">
        <f t="shared" si="101"/>
        <v>1095.1182000000003</v>
      </c>
      <c r="O290" s="13">
        <f t="shared" si="102"/>
        <v>0</v>
      </c>
      <c r="P290" s="13">
        <f t="shared" si="103"/>
        <v>0</v>
      </c>
      <c r="Q290" s="13">
        <f t="shared" si="104"/>
        <v>0</v>
      </c>
      <c r="R290" s="13">
        <f t="shared" si="105"/>
        <v>0</v>
      </c>
      <c r="S290" s="30">
        <f t="shared" si="94"/>
        <v>0</v>
      </c>
      <c r="T290" s="30">
        <f t="shared" si="95"/>
        <v>0</v>
      </c>
      <c r="U290" s="30">
        <f t="shared" si="96"/>
        <v>0</v>
      </c>
      <c r="V290" s="30">
        <f t="shared" si="97"/>
        <v>0</v>
      </c>
      <c r="W290" s="30">
        <f t="shared" si="98"/>
        <v>0</v>
      </c>
      <c r="X290" s="30">
        <f t="shared" si="99"/>
        <v>0</v>
      </c>
      <c r="Z290" s="23" t="s">
        <v>76</v>
      </c>
      <c r="AA290" s="40" t="str">
        <f>IF(C290="Electricity",E290*SUMIFS(Electricity!S:S,Electricity!P:P,UserMade_Scenario!B290,Electricity!M:M,UserMade_Scenario!Z290,Electricity!O:O,UserMade_Scenario!D290),"")</f>
        <v/>
      </c>
      <c r="AB290" s="76">
        <f>1000*Assumptions!$B$17/1000000000000</f>
        <v>1.1999999999999999E-7</v>
      </c>
      <c r="AC290" s="67" t="s">
        <v>77</v>
      </c>
      <c r="AD290" s="39">
        <f>SUMIFS(Hydrogen!AK:AK,Hydrogen!$AA:$AA,UserMade_Scenario!$Z290,Hydrogen!$Y:$Y,UserMade_Scenario!$D290,Hydrogen!$AB:$AB,UserMade_Scenario!$B290,Hydrogen!$Z:$Z,UserMade_Scenario!$C290)</f>
        <v>-75.441275707781514</v>
      </c>
      <c r="AE290" s="39">
        <f>SUMIFS(Hydrogen!AL:AL,Hydrogen!$AA:$AA,UserMade_Scenario!$Z290,Hydrogen!$Y:$Y,UserMade_Scenario!$D290,Hydrogen!$AB:$AB,UserMade_Scenario!$B290,Hydrogen!$Z:$Z,UserMade_Scenario!$C290)</f>
        <v>-60.942551415563038</v>
      </c>
      <c r="AF290" s="39">
        <f>SUMIFS(Hydrogen!AM:AM,Hydrogen!$AA:$AA,UserMade_Scenario!$Z290,Hydrogen!$Y:$Y,UserMade_Scenario!$D290,Hydrogen!$AB:$AB,UserMade_Scenario!$B290,Hydrogen!$Z:$Z,UserMade_Scenario!$C290)</f>
        <v>-89.94</v>
      </c>
      <c r="AG290" s="68">
        <f>IFERROR(INDEX(WaterUseH2[Average Direct Water Consumption (Gal/ kg h2)],MATCH(LEFT(D290,3),WaterUseH2[Key],0)),0)</f>
        <v>4.0999999999999996</v>
      </c>
      <c r="AH290">
        <v>14</v>
      </c>
      <c r="AI290">
        <v>1.4</v>
      </c>
      <c r="AJ290">
        <v>250</v>
      </c>
      <c r="AK290">
        <v>0.31</v>
      </c>
      <c r="AL290" s="63">
        <f>IFERROR(INDEX(Job_Training[[Solar]:[Wind]],MATCH(AL$1,Job_Training[[`Typical Entry Level Education`]:[`Typical Entry Level Education`]],0),MATCH(LEFT($D290,5),Job_Training[[#Headers],[Solar]:[Wind]],0)),0)</f>
        <v>0</v>
      </c>
      <c r="AM290" s="63">
        <f>IFERROR(INDEX(Job_Training[[Solar]:[Wind]],MATCH(AM$1,Job_Training[[`Typical Entry Level Education`]:[`Typical Entry Level Education`]],0),MATCH(LEFT($D290,5),Job_Training[[#Headers],[Solar]:[Wind]],0)),0)</f>
        <v>0</v>
      </c>
      <c r="AN290" s="63">
        <f>IFERROR(INDEX(Job_Training[[Solar]:[Wind]],MATCH(AN$1,Job_Training[[`Typical Entry Level Education`]:[`Typical Entry Level Education`]],0),MATCH(LEFT($D290,5),Job_Training[[#Headers],[Solar]:[Wind]],0)),0)</f>
        <v>0</v>
      </c>
      <c r="AO290" s="63">
        <f>IFERROR(INDEX(Job_Training[[Solar]:[Wind]],MATCH(AO$1,Job_Training[[`Typical Entry Level Education`]:[`Typical Entry Level Education`]],0),MATCH(LEFT($D290,5),Job_Training[[#Headers],[Solar]:[Wind]],0)),0)</f>
        <v>0</v>
      </c>
      <c r="AP290">
        <f t="shared" si="100"/>
        <v>0</v>
      </c>
      <c r="AQ290" s="63">
        <f>IF(AP290&gt;0,IFERROR(INDEX(Assumptions!$C$165:$D$165,MATCH(LEFT($D290,5),Job_Training[[#Headers],[Solar]:[Wind]],0)),0),0)</f>
        <v>0</v>
      </c>
      <c r="AR290">
        <f>IF(AP290&gt;0,IFERROR(INDEX(Assumptions!$C$166:$D$166,MATCH(LEFT($D290,5),Job_Training[[#Headers],[Solar]:[Wind]],0)),0),0)</f>
        <v>0</v>
      </c>
    </row>
    <row r="291" spans="1:44" hidden="1" x14ac:dyDescent="0.35">
      <c r="A291" t="str">
        <f>UserInput!$B$30</f>
        <v>State Policy Aligned</v>
      </c>
      <c r="B291">
        <v>2041</v>
      </c>
      <c r="C291" t="s">
        <v>78</v>
      </c>
      <c r="D291" t="s">
        <v>79</v>
      </c>
      <c r="E291" s="66">
        <f>INDEX(UserInput!$C$30:$M$50,MATCH(UserMade_Scenario!B291,UserInput!$A$30:$A$50,0),MATCH(LEFT(IF(RIGHT(C291,2)="H2",UserMade_Scenario!C291,D291),3),UserInput!$C$25:$M$25,0))</f>
        <v>282081.60000000003</v>
      </c>
      <c r="F291" s="14" t="s">
        <v>75</v>
      </c>
      <c r="G291" s="14">
        <f t="shared" si="90"/>
        <v>3.3849792000000004E-2</v>
      </c>
      <c r="H291" s="63">
        <f t="shared" si="91"/>
        <v>2.509191844703059</v>
      </c>
      <c r="I291" s="63">
        <f t="shared" si="92"/>
        <v>1.9739333969261179</v>
      </c>
      <c r="J291" s="63">
        <f t="shared" si="93"/>
        <v>3.0444502924800001</v>
      </c>
      <c r="K291" s="30">
        <f>IF(OR(LEFT($D291,5)="Solar",$D291="Wind"),INDEX(Land_Use[AVG],MATCH(LEFT($D291,5),Land_Use[Tech],0)),0)*$E291</f>
        <v>0</v>
      </c>
      <c r="L291" s="30">
        <f>IF(OR(LEFT($D291,5)="Solar",$D291="Wind"),INDEX(Land_Use[MIN],MATCH(LEFT($D291,5),Land_Use[Tech],0)),0)*$E291</f>
        <v>0</v>
      </c>
      <c r="M291" s="30">
        <f>IF(OR(LEFT($D291,5)="Solar",$D291="Wind"),INDEX(Land_Use[MAX],MATCH(LEFT($D291,5),Land_Use[Tech],0)),0)*$E291</f>
        <v>0</v>
      </c>
      <c r="N291" s="13">
        <f t="shared" si="101"/>
        <v>1156.5345600000001</v>
      </c>
      <c r="O291" s="13">
        <f t="shared" si="102"/>
        <v>0</v>
      </c>
      <c r="P291" s="13">
        <f t="shared" si="103"/>
        <v>0</v>
      </c>
      <c r="Q291" s="13">
        <f t="shared" si="104"/>
        <v>0</v>
      </c>
      <c r="R291" s="13">
        <f t="shared" si="105"/>
        <v>0</v>
      </c>
      <c r="S291" s="30">
        <f t="shared" si="94"/>
        <v>0</v>
      </c>
      <c r="T291" s="30">
        <f t="shared" si="95"/>
        <v>0</v>
      </c>
      <c r="U291" s="30">
        <f t="shared" si="96"/>
        <v>0</v>
      </c>
      <c r="V291" s="30">
        <f t="shared" si="97"/>
        <v>0</v>
      </c>
      <c r="W291" s="30">
        <f t="shared" si="98"/>
        <v>0</v>
      </c>
      <c r="X291" s="30">
        <f t="shared" si="99"/>
        <v>0</v>
      </c>
      <c r="Z291" s="23" t="s">
        <v>76</v>
      </c>
      <c r="AA291" s="40" t="str">
        <f>IF(C291="Electricity",E291*SUMIFS(Electricity!S:S,Electricity!P:P,UserMade_Scenario!B291,Electricity!M:M,UserMade_Scenario!Z291,Electricity!O:O,UserMade_Scenario!D291),"")</f>
        <v/>
      </c>
      <c r="AB291" s="76">
        <f>1000*Assumptions!$B$17/1000000000000</f>
        <v>1.1999999999999999E-7</v>
      </c>
      <c r="AC291" s="67" t="s">
        <v>77</v>
      </c>
      <c r="AD291" s="39">
        <f>SUMIFS(Hydrogen!AK:AK,Hydrogen!$AA:$AA,UserMade_Scenario!$Z291,Hydrogen!$Y:$Y,UserMade_Scenario!$D291,Hydrogen!$AB:$AB,UserMade_Scenario!$B291,Hydrogen!$Z:$Z,UserMade_Scenario!$C291)</f>
        <v>-74.127245588482751</v>
      </c>
      <c r="AE291" s="39">
        <f>SUMIFS(Hydrogen!AL:AL,Hydrogen!$AA:$AA,UserMade_Scenario!$Z291,Hydrogen!$Y:$Y,UserMade_Scenario!$D291,Hydrogen!$AB:$AB,UserMade_Scenario!$B291,Hydrogen!$Z:$Z,UserMade_Scenario!$C291)</f>
        <v>-58.314491176965511</v>
      </c>
      <c r="AF291" s="39">
        <f>SUMIFS(Hydrogen!AM:AM,Hydrogen!$AA:$AA,UserMade_Scenario!$Z291,Hydrogen!$Y:$Y,UserMade_Scenario!$D291,Hydrogen!$AB:$AB,UserMade_Scenario!$B291,Hydrogen!$Z:$Z,UserMade_Scenario!$C291)</f>
        <v>-89.94</v>
      </c>
      <c r="AG291" s="68">
        <f>IFERROR(INDEX(WaterUseH2[Average Direct Water Consumption (Gal/ kg h2)],MATCH(LEFT(D291,3),WaterUseH2[Key],0)),0)</f>
        <v>4.0999999999999996</v>
      </c>
      <c r="AH291">
        <v>14</v>
      </c>
      <c r="AI291">
        <v>1.4</v>
      </c>
      <c r="AJ291">
        <v>250</v>
      </c>
      <c r="AK291">
        <v>0.31</v>
      </c>
      <c r="AL291" s="63">
        <f>IFERROR(INDEX(Job_Training[[Solar]:[Wind]],MATCH(AL$1,Job_Training[[`Typical Entry Level Education`]:[`Typical Entry Level Education`]],0),MATCH(LEFT($D291,5),Job_Training[[#Headers],[Solar]:[Wind]],0)),0)</f>
        <v>0</v>
      </c>
      <c r="AM291" s="63">
        <f>IFERROR(INDEX(Job_Training[[Solar]:[Wind]],MATCH(AM$1,Job_Training[[`Typical Entry Level Education`]:[`Typical Entry Level Education`]],0),MATCH(LEFT($D291,5),Job_Training[[#Headers],[Solar]:[Wind]],0)),0)</f>
        <v>0</v>
      </c>
      <c r="AN291" s="63">
        <f>IFERROR(INDEX(Job_Training[[Solar]:[Wind]],MATCH(AN$1,Job_Training[[`Typical Entry Level Education`]:[`Typical Entry Level Education`]],0),MATCH(LEFT($D291,5),Job_Training[[#Headers],[Solar]:[Wind]],0)),0)</f>
        <v>0</v>
      </c>
      <c r="AO291" s="63">
        <f>IFERROR(INDEX(Job_Training[[Solar]:[Wind]],MATCH(AO$1,Job_Training[[`Typical Entry Level Education`]:[`Typical Entry Level Education`]],0),MATCH(LEFT($D291,5),Job_Training[[#Headers],[Solar]:[Wind]],0)),0)</f>
        <v>0</v>
      </c>
      <c r="AP291">
        <f t="shared" si="100"/>
        <v>0</v>
      </c>
      <c r="AQ291" s="63">
        <f>IF(AP291&gt;0,IFERROR(INDEX(Assumptions!$C$165:$D$165,MATCH(LEFT($D291,5),Job_Training[[#Headers],[Solar]:[Wind]],0)),0),0)</f>
        <v>0</v>
      </c>
      <c r="AR291">
        <f>IF(AP291&gt;0,IFERROR(INDEX(Assumptions!$C$166:$D$166,MATCH(LEFT($D291,5),Job_Training[[#Headers],[Solar]:[Wind]],0)),0),0)</f>
        <v>0</v>
      </c>
    </row>
    <row r="292" spans="1:44" hidden="1" x14ac:dyDescent="0.35">
      <c r="A292" t="str">
        <f>UserInput!$B$30</f>
        <v>State Policy Aligned</v>
      </c>
      <c r="B292">
        <v>2042</v>
      </c>
      <c r="C292" t="s">
        <v>78</v>
      </c>
      <c r="D292" t="s">
        <v>79</v>
      </c>
      <c r="E292" s="66">
        <f>INDEX(UserInput!$C$30:$M$50,MATCH(UserMade_Scenario!B292,UserInput!$A$30:$A$50,0),MATCH(LEFT(IF(RIGHT(C292,2)="H2",UserMade_Scenario!C292,D292),3),UserInput!$C$25:$M$25,0))</f>
        <v>297061.2</v>
      </c>
      <c r="F292" s="14" t="s">
        <v>75</v>
      </c>
      <c r="G292" s="14">
        <f t="shared" si="90"/>
        <v>3.5647343999999997E-2</v>
      </c>
      <c r="H292" s="63">
        <f t="shared" si="91"/>
        <v>2.5970625206175106</v>
      </c>
      <c r="I292" s="63">
        <f t="shared" si="92"/>
        <v>1.9880029218750213</v>
      </c>
      <c r="J292" s="63">
        <f t="shared" si="93"/>
        <v>3.2061221193599998</v>
      </c>
      <c r="K292" s="30">
        <f>IF(OR(LEFT($D292,5)="Solar",$D292="Wind"),INDEX(Land_Use[AVG],MATCH(LEFT($D292,5),Land_Use[Tech],0)),0)*$E292</f>
        <v>0</v>
      </c>
      <c r="L292" s="30">
        <f>IF(OR(LEFT($D292,5)="Solar",$D292="Wind"),INDEX(Land_Use[MIN],MATCH(LEFT($D292,5),Land_Use[Tech],0)),0)*$E292</f>
        <v>0</v>
      </c>
      <c r="M292" s="30">
        <f>IF(OR(LEFT($D292,5)="Solar",$D292="Wind"),INDEX(Land_Use[MAX],MATCH(LEFT($D292,5),Land_Use[Tech],0)),0)*$E292</f>
        <v>0</v>
      </c>
      <c r="N292" s="13">
        <f t="shared" si="101"/>
        <v>1217.95092</v>
      </c>
      <c r="O292" s="13">
        <f t="shared" si="102"/>
        <v>0</v>
      </c>
      <c r="P292" s="13">
        <f t="shared" si="103"/>
        <v>0</v>
      </c>
      <c r="Q292" s="13">
        <f t="shared" si="104"/>
        <v>0</v>
      </c>
      <c r="R292" s="13">
        <f t="shared" si="105"/>
        <v>0</v>
      </c>
      <c r="S292" s="30">
        <f t="shared" si="94"/>
        <v>0</v>
      </c>
      <c r="T292" s="30">
        <f t="shared" si="95"/>
        <v>0</v>
      </c>
      <c r="U292" s="30">
        <f t="shared" si="96"/>
        <v>0</v>
      </c>
      <c r="V292" s="30">
        <f t="shared" si="97"/>
        <v>0</v>
      </c>
      <c r="W292" s="30">
        <f t="shared" si="98"/>
        <v>0</v>
      </c>
      <c r="X292" s="30">
        <f t="shared" si="99"/>
        <v>0</v>
      </c>
      <c r="Z292" s="23" t="s">
        <v>76</v>
      </c>
      <c r="AA292" s="40" t="str">
        <f>IF(C292="Electricity",E292*SUMIFS(Electricity!S:S,Electricity!P:P,UserMade_Scenario!B292,Electricity!M:M,UserMade_Scenario!Z292,Electricity!O:O,UserMade_Scenario!D292),"")</f>
        <v/>
      </c>
      <c r="AB292" s="76">
        <f>1000*Assumptions!$B$17/1000000000000</f>
        <v>1.1999999999999999E-7</v>
      </c>
      <c r="AC292" s="67" t="s">
        <v>77</v>
      </c>
      <c r="AD292" s="39">
        <f>SUMIFS(Hydrogen!AK:AK,Hydrogen!$AA:$AA,UserMade_Scenario!$Z292,Hydrogen!$Y:$Y,UserMade_Scenario!$D292,Hydrogen!$AB:$AB,UserMade_Scenario!$B292,Hydrogen!$Z:$Z,UserMade_Scenario!$C292)</f>
        <v>-72.85430635778954</v>
      </c>
      <c r="AE292" s="39">
        <f>SUMIFS(Hydrogen!AL:AL,Hydrogen!$AA:$AA,UserMade_Scenario!$Z292,Hydrogen!$Y:$Y,UserMade_Scenario!$D292,Hydrogen!$AB:$AB,UserMade_Scenario!$B292,Hydrogen!$Z:$Z,UserMade_Scenario!$C292)</f>
        <v>-55.768612715579074</v>
      </c>
      <c r="AF292" s="39">
        <f>SUMIFS(Hydrogen!AM:AM,Hydrogen!$AA:$AA,UserMade_Scenario!$Z292,Hydrogen!$Y:$Y,UserMade_Scenario!$D292,Hydrogen!$AB:$AB,UserMade_Scenario!$B292,Hydrogen!$Z:$Z,UserMade_Scenario!$C292)</f>
        <v>-89.94</v>
      </c>
      <c r="AG292" s="68">
        <f>IFERROR(INDEX(WaterUseH2[Average Direct Water Consumption (Gal/ kg h2)],MATCH(LEFT(D292,3),WaterUseH2[Key],0)),0)</f>
        <v>4.0999999999999996</v>
      </c>
      <c r="AH292">
        <v>14</v>
      </c>
      <c r="AI292">
        <v>1.4</v>
      </c>
      <c r="AJ292">
        <v>250</v>
      </c>
      <c r="AK292">
        <v>0.31</v>
      </c>
      <c r="AL292" s="63">
        <f>IFERROR(INDEX(Job_Training[[Solar]:[Wind]],MATCH(AL$1,Job_Training[[`Typical Entry Level Education`]:[`Typical Entry Level Education`]],0),MATCH(LEFT($D292,5),Job_Training[[#Headers],[Solar]:[Wind]],0)),0)</f>
        <v>0</v>
      </c>
      <c r="AM292" s="63">
        <f>IFERROR(INDEX(Job_Training[[Solar]:[Wind]],MATCH(AM$1,Job_Training[[`Typical Entry Level Education`]:[`Typical Entry Level Education`]],0),MATCH(LEFT($D292,5),Job_Training[[#Headers],[Solar]:[Wind]],0)),0)</f>
        <v>0</v>
      </c>
      <c r="AN292" s="63">
        <f>IFERROR(INDEX(Job_Training[[Solar]:[Wind]],MATCH(AN$1,Job_Training[[`Typical Entry Level Education`]:[`Typical Entry Level Education`]],0),MATCH(LEFT($D292,5),Job_Training[[#Headers],[Solar]:[Wind]],0)),0)</f>
        <v>0</v>
      </c>
      <c r="AO292" s="63">
        <f>IFERROR(INDEX(Job_Training[[Solar]:[Wind]],MATCH(AO$1,Job_Training[[`Typical Entry Level Education`]:[`Typical Entry Level Education`]],0),MATCH(LEFT($D292,5),Job_Training[[#Headers],[Solar]:[Wind]],0)),0)</f>
        <v>0</v>
      </c>
      <c r="AP292">
        <f t="shared" si="100"/>
        <v>0</v>
      </c>
      <c r="AQ292" s="63">
        <f>IF(AP292&gt;0,IFERROR(INDEX(Assumptions!$C$165:$D$165,MATCH(LEFT($D292,5),Job_Training[[#Headers],[Solar]:[Wind]],0)),0),0)</f>
        <v>0</v>
      </c>
      <c r="AR292">
        <f>IF(AP292&gt;0,IFERROR(INDEX(Assumptions!$C$166:$D$166,MATCH(LEFT($D292,5),Job_Training[[#Headers],[Solar]:[Wind]],0)),0),0)</f>
        <v>0</v>
      </c>
    </row>
    <row r="293" spans="1:44" hidden="1" x14ac:dyDescent="0.35">
      <c r="A293" t="str">
        <f>UserInput!$B$30</f>
        <v>State Policy Aligned</v>
      </c>
      <c r="B293">
        <v>2043</v>
      </c>
      <c r="C293" t="s">
        <v>78</v>
      </c>
      <c r="D293" t="s">
        <v>79</v>
      </c>
      <c r="E293" s="66">
        <f>INDEX(UserInput!$C$30:$M$50,MATCH(UserMade_Scenario!B293,UserInput!$A$30:$A$50,0),MATCH(LEFT(IF(RIGHT(C293,2)="H2",UserMade_Scenario!C293,D293),3),UserInput!$C$25:$M$25,0))</f>
        <v>312040.8</v>
      </c>
      <c r="F293" s="14" t="s">
        <v>75</v>
      </c>
      <c r="G293" s="14">
        <f t="shared" si="90"/>
        <v>3.7444895999999998E-2</v>
      </c>
      <c r="H293" s="63">
        <f t="shared" si="91"/>
        <v>2.6822791612728616</v>
      </c>
      <c r="I293" s="63">
        <f t="shared" si="92"/>
        <v>1.9967643763057235</v>
      </c>
      <c r="J293" s="63">
        <f t="shared" si="93"/>
        <v>3.3677939462399999</v>
      </c>
      <c r="K293" s="30">
        <f>IF(OR(LEFT($D293,5)="Solar",$D293="Wind"),INDEX(Land_Use[AVG],MATCH(LEFT($D293,5),Land_Use[Tech],0)),0)*$E293</f>
        <v>0</v>
      </c>
      <c r="L293" s="30">
        <f>IF(OR(LEFT($D293,5)="Solar",$D293="Wind"),INDEX(Land_Use[MIN],MATCH(LEFT($D293,5),Land_Use[Tech],0)),0)*$E293</f>
        <v>0</v>
      </c>
      <c r="M293" s="30">
        <f>IF(OR(LEFT($D293,5)="Solar",$D293="Wind"),INDEX(Land_Use[MAX],MATCH(LEFT($D293,5),Land_Use[Tech],0)),0)*$E293</f>
        <v>0</v>
      </c>
      <c r="N293" s="13">
        <f t="shared" si="101"/>
        <v>1279.3672799999997</v>
      </c>
      <c r="O293" s="13">
        <f t="shared" si="102"/>
        <v>0</v>
      </c>
      <c r="P293" s="13">
        <f t="shared" si="103"/>
        <v>0</v>
      </c>
      <c r="Q293" s="13">
        <f t="shared" si="104"/>
        <v>0</v>
      </c>
      <c r="R293" s="13">
        <f t="shared" si="105"/>
        <v>0</v>
      </c>
      <c r="S293" s="30">
        <f t="shared" si="94"/>
        <v>0</v>
      </c>
      <c r="T293" s="30">
        <f t="shared" si="95"/>
        <v>0</v>
      </c>
      <c r="U293" s="30">
        <f t="shared" si="96"/>
        <v>0</v>
      </c>
      <c r="V293" s="30">
        <f t="shared" si="97"/>
        <v>0</v>
      </c>
      <c r="W293" s="30">
        <f t="shared" si="98"/>
        <v>0</v>
      </c>
      <c r="X293" s="30">
        <f t="shared" si="99"/>
        <v>0</v>
      </c>
      <c r="Z293" s="23" t="s">
        <v>76</v>
      </c>
      <c r="AA293" s="40" t="str">
        <f>IF(C293="Electricity",E293*SUMIFS(Electricity!S:S,Electricity!P:P,UserMade_Scenario!B293,Electricity!M:M,UserMade_Scenario!Z293,Electricity!O:O,UserMade_Scenario!D293),"")</f>
        <v/>
      </c>
      <c r="AB293" s="76">
        <f>1000*Assumptions!$B$17/1000000000000</f>
        <v>1.1999999999999999E-7</v>
      </c>
      <c r="AC293" s="67" t="s">
        <v>77</v>
      </c>
      <c r="AD293" s="39">
        <f>SUMIFS(Hydrogen!AK:AK,Hydrogen!$AA:$AA,UserMade_Scenario!$Z293,Hydrogen!$Y:$Y,UserMade_Scenario!$D293,Hydrogen!$AB:$AB,UserMade_Scenario!$B293,Hydrogen!$Z:$Z,UserMade_Scenario!$C293)</f>
        <v>-71.632704261559752</v>
      </c>
      <c r="AE293" s="39">
        <f>SUMIFS(Hydrogen!AL:AL,Hydrogen!$AA:$AA,UserMade_Scenario!$Z293,Hydrogen!$Y:$Y,UserMade_Scenario!$D293,Hydrogen!$AB:$AB,UserMade_Scenario!$B293,Hydrogen!$Z:$Z,UserMade_Scenario!$C293)</f>
        <v>-53.325408523119506</v>
      </c>
      <c r="AF293" s="39">
        <f>SUMIFS(Hydrogen!AM:AM,Hydrogen!$AA:$AA,UserMade_Scenario!$Z293,Hydrogen!$Y:$Y,UserMade_Scenario!$D293,Hydrogen!$AB:$AB,UserMade_Scenario!$B293,Hydrogen!$Z:$Z,UserMade_Scenario!$C293)</f>
        <v>-89.94</v>
      </c>
      <c r="AG293" s="68">
        <f>IFERROR(INDEX(WaterUseH2[Average Direct Water Consumption (Gal/ kg h2)],MATCH(LEFT(D293,3),WaterUseH2[Key],0)),0)</f>
        <v>4.0999999999999996</v>
      </c>
      <c r="AH293">
        <v>14</v>
      </c>
      <c r="AI293">
        <v>1.4</v>
      </c>
      <c r="AJ293">
        <v>250</v>
      </c>
      <c r="AK293">
        <v>0.31</v>
      </c>
      <c r="AL293" s="63">
        <f>IFERROR(INDEX(Job_Training[[Solar]:[Wind]],MATCH(AL$1,Job_Training[[`Typical Entry Level Education`]:[`Typical Entry Level Education`]],0),MATCH(LEFT($D293,5),Job_Training[[#Headers],[Solar]:[Wind]],0)),0)</f>
        <v>0</v>
      </c>
      <c r="AM293" s="63">
        <f>IFERROR(INDEX(Job_Training[[Solar]:[Wind]],MATCH(AM$1,Job_Training[[`Typical Entry Level Education`]:[`Typical Entry Level Education`]],0),MATCH(LEFT($D293,5),Job_Training[[#Headers],[Solar]:[Wind]],0)),0)</f>
        <v>0</v>
      </c>
      <c r="AN293" s="63">
        <f>IFERROR(INDEX(Job_Training[[Solar]:[Wind]],MATCH(AN$1,Job_Training[[`Typical Entry Level Education`]:[`Typical Entry Level Education`]],0),MATCH(LEFT($D293,5),Job_Training[[#Headers],[Solar]:[Wind]],0)),0)</f>
        <v>0</v>
      </c>
      <c r="AO293" s="63">
        <f>IFERROR(INDEX(Job_Training[[Solar]:[Wind]],MATCH(AO$1,Job_Training[[`Typical Entry Level Education`]:[`Typical Entry Level Education`]],0),MATCH(LEFT($D293,5),Job_Training[[#Headers],[Solar]:[Wind]],0)),0)</f>
        <v>0</v>
      </c>
      <c r="AP293">
        <f t="shared" si="100"/>
        <v>0</v>
      </c>
      <c r="AQ293" s="63">
        <f>IF(AP293&gt;0,IFERROR(INDEX(Assumptions!$C$165:$D$165,MATCH(LEFT($D293,5),Job_Training[[#Headers],[Solar]:[Wind]],0)),0),0)</f>
        <v>0</v>
      </c>
      <c r="AR293">
        <f>IF(AP293&gt;0,IFERROR(INDEX(Assumptions!$C$166:$D$166,MATCH(LEFT($D293,5),Job_Training[[#Headers],[Solar]:[Wind]],0)),0),0)</f>
        <v>0</v>
      </c>
    </row>
    <row r="294" spans="1:44" hidden="1" x14ac:dyDescent="0.35">
      <c r="A294" t="str">
        <f>UserInput!$B$30</f>
        <v>State Policy Aligned</v>
      </c>
      <c r="B294">
        <v>2044</v>
      </c>
      <c r="C294" t="s">
        <v>78</v>
      </c>
      <c r="D294" t="s">
        <v>79</v>
      </c>
      <c r="E294" s="66">
        <f>INDEX(UserInput!$C$30:$M$50,MATCH(UserMade_Scenario!B294,UserInput!$A$30:$A$50,0),MATCH(LEFT(IF(RIGHT(C294,2)="H2",UserMade_Scenario!C294,D294),3),UserInput!$C$25:$M$25,0))</f>
        <v>327020.39999999997</v>
      </c>
      <c r="F294" s="14" t="s">
        <v>75</v>
      </c>
      <c r="G294" s="14">
        <f t="shared" si="90"/>
        <v>3.9242447999999992E-2</v>
      </c>
      <c r="H294" s="63">
        <f t="shared" si="91"/>
        <v>2.7658148456337917</v>
      </c>
      <c r="I294" s="63">
        <f t="shared" si="92"/>
        <v>2.0021639181475841</v>
      </c>
      <c r="J294" s="63">
        <f t="shared" si="93"/>
        <v>3.5294657731199992</v>
      </c>
      <c r="K294" s="30">
        <f>IF(OR(LEFT($D294,5)="Solar",$D294="Wind"),INDEX(Land_Use[AVG],MATCH(LEFT($D294,5),Land_Use[Tech],0)),0)*$E294</f>
        <v>0</v>
      </c>
      <c r="L294" s="30">
        <f>IF(OR(LEFT($D294,5)="Solar",$D294="Wind"),INDEX(Land_Use[MIN],MATCH(LEFT($D294,5),Land_Use[Tech],0)),0)*$E294</f>
        <v>0</v>
      </c>
      <c r="M294" s="30">
        <f>IF(OR(LEFT($D294,5)="Solar",$D294="Wind"),INDEX(Land_Use[MAX],MATCH(LEFT($D294,5),Land_Use[Tech],0)),0)*$E294</f>
        <v>0</v>
      </c>
      <c r="N294" s="13">
        <f t="shared" si="101"/>
        <v>1340.7836399999997</v>
      </c>
      <c r="O294" s="13">
        <f t="shared" si="102"/>
        <v>0</v>
      </c>
      <c r="P294" s="13">
        <f t="shared" si="103"/>
        <v>0</v>
      </c>
      <c r="Q294" s="13">
        <f t="shared" si="104"/>
        <v>0</v>
      </c>
      <c r="R294" s="13">
        <f t="shared" si="105"/>
        <v>0</v>
      </c>
      <c r="S294" s="30">
        <f t="shared" si="94"/>
        <v>0</v>
      </c>
      <c r="T294" s="30">
        <f t="shared" si="95"/>
        <v>0</v>
      </c>
      <c r="U294" s="30">
        <f t="shared" si="96"/>
        <v>0</v>
      </c>
      <c r="V294" s="30">
        <f t="shared" si="97"/>
        <v>0</v>
      </c>
      <c r="W294" s="30">
        <f t="shared" si="98"/>
        <v>0</v>
      </c>
      <c r="X294" s="30">
        <f t="shared" si="99"/>
        <v>0</v>
      </c>
      <c r="Z294" s="23" t="s">
        <v>76</v>
      </c>
      <c r="AA294" s="40" t="str">
        <f>IF(C294="Electricity",E294*SUMIFS(Electricity!S:S,Electricity!P:P,UserMade_Scenario!B294,Electricity!M:M,UserMade_Scenario!Z294,Electricity!O:O,UserMade_Scenario!D294),"")</f>
        <v/>
      </c>
      <c r="AB294" s="76">
        <f>1000*Assumptions!$B$17/1000000000000</f>
        <v>1.1999999999999999E-7</v>
      </c>
      <c r="AC294" s="67" t="s">
        <v>77</v>
      </c>
      <c r="AD294" s="39">
        <f>SUMIFS(Hydrogen!AK:AK,Hydrogen!$AA:$AA,UserMade_Scenario!$Z294,Hydrogen!$Y:$Y,UserMade_Scenario!$D294,Hydrogen!$AB:$AB,UserMade_Scenario!$B294,Hydrogen!$Z:$Z,UserMade_Scenario!$C294)</f>
        <v>-70.480181196488871</v>
      </c>
      <c r="AE294" s="39">
        <f>SUMIFS(Hydrogen!AL:AL,Hydrogen!$AA:$AA,UserMade_Scenario!$Z294,Hydrogen!$Y:$Y,UserMade_Scenario!$D294,Hydrogen!$AB:$AB,UserMade_Scenario!$B294,Hydrogen!$Z:$Z,UserMade_Scenario!$C294)</f>
        <v>-51.020362392977738</v>
      </c>
      <c r="AF294" s="39">
        <f>SUMIFS(Hydrogen!AM:AM,Hydrogen!$AA:$AA,UserMade_Scenario!$Z294,Hydrogen!$Y:$Y,UserMade_Scenario!$D294,Hydrogen!$AB:$AB,UserMade_Scenario!$B294,Hydrogen!$Z:$Z,UserMade_Scenario!$C294)</f>
        <v>-89.94</v>
      </c>
      <c r="AG294" s="68">
        <f>IFERROR(INDEX(WaterUseH2[Average Direct Water Consumption (Gal/ kg h2)],MATCH(LEFT(D294,3),WaterUseH2[Key],0)),0)</f>
        <v>4.0999999999999996</v>
      </c>
      <c r="AH294">
        <v>14</v>
      </c>
      <c r="AI294">
        <v>1.4</v>
      </c>
      <c r="AJ294">
        <v>250</v>
      </c>
      <c r="AK294">
        <v>0.31</v>
      </c>
      <c r="AL294" s="63">
        <f>IFERROR(INDEX(Job_Training[[Solar]:[Wind]],MATCH(AL$1,Job_Training[[`Typical Entry Level Education`]:[`Typical Entry Level Education`]],0),MATCH(LEFT($D294,5),Job_Training[[#Headers],[Solar]:[Wind]],0)),0)</f>
        <v>0</v>
      </c>
      <c r="AM294" s="63">
        <f>IFERROR(INDEX(Job_Training[[Solar]:[Wind]],MATCH(AM$1,Job_Training[[`Typical Entry Level Education`]:[`Typical Entry Level Education`]],0),MATCH(LEFT($D294,5),Job_Training[[#Headers],[Solar]:[Wind]],0)),0)</f>
        <v>0</v>
      </c>
      <c r="AN294" s="63">
        <f>IFERROR(INDEX(Job_Training[[Solar]:[Wind]],MATCH(AN$1,Job_Training[[`Typical Entry Level Education`]:[`Typical Entry Level Education`]],0),MATCH(LEFT($D294,5),Job_Training[[#Headers],[Solar]:[Wind]],0)),0)</f>
        <v>0</v>
      </c>
      <c r="AO294" s="63">
        <f>IFERROR(INDEX(Job_Training[[Solar]:[Wind]],MATCH(AO$1,Job_Training[[`Typical Entry Level Education`]:[`Typical Entry Level Education`]],0),MATCH(LEFT($D294,5),Job_Training[[#Headers],[Solar]:[Wind]],0)),0)</f>
        <v>0</v>
      </c>
      <c r="AP294">
        <f t="shared" si="100"/>
        <v>0</v>
      </c>
      <c r="AQ294" s="63">
        <f>IF(AP294&gt;0,IFERROR(INDEX(Assumptions!$C$165:$D$165,MATCH(LEFT($D294,5),Job_Training[[#Headers],[Solar]:[Wind]],0)),0),0)</f>
        <v>0</v>
      </c>
      <c r="AR294">
        <f>IF(AP294&gt;0,IFERROR(INDEX(Assumptions!$C$166:$D$166,MATCH(LEFT($D294,5),Job_Training[[#Headers],[Solar]:[Wind]],0)),0),0)</f>
        <v>0</v>
      </c>
    </row>
    <row r="295" spans="1:44" hidden="1" x14ac:dyDescent="0.35">
      <c r="A295" t="str">
        <f>UserInput!$B$30</f>
        <v>State Policy Aligned</v>
      </c>
      <c r="B295">
        <v>2045</v>
      </c>
      <c r="C295" t="s">
        <v>78</v>
      </c>
      <c r="D295" t="s">
        <v>79</v>
      </c>
      <c r="E295" s="66">
        <f>INDEX(UserInput!$C$30:$M$50,MATCH(UserMade_Scenario!B295,UserInput!$A$30:$A$50,0),MATCH(LEFT(IF(RIGHT(C295,2)="H2",UserMade_Scenario!C295,D295),3),UserInput!$C$25:$M$25,0))</f>
        <v>341999.99999999994</v>
      </c>
      <c r="F295" s="14" t="s">
        <v>75</v>
      </c>
      <c r="G295" s="14">
        <f t="shared" si="90"/>
        <v>4.1039999999999986E-2</v>
      </c>
      <c r="H295" s="63">
        <f t="shared" si="91"/>
        <v>2.848608727982461</v>
      </c>
      <c r="I295" s="63">
        <f t="shared" si="92"/>
        <v>2.0060798559649236</v>
      </c>
      <c r="J295" s="63">
        <f t="shared" si="93"/>
        <v>3.6911375999999985</v>
      </c>
      <c r="K295" s="30">
        <f>IF(OR(LEFT($D295,5)="Solar",$D295="Wind"),INDEX(Land_Use[AVG],MATCH(LEFT($D295,5),Land_Use[Tech],0)),0)*$E295</f>
        <v>0</v>
      </c>
      <c r="L295" s="30">
        <f>IF(OR(LEFT($D295,5)="Solar",$D295="Wind"),INDEX(Land_Use[MIN],MATCH(LEFT($D295,5),Land_Use[Tech],0)),0)*$E295</f>
        <v>0</v>
      </c>
      <c r="M295" s="30">
        <f>IF(OR(LEFT($D295,5)="Solar",$D295="Wind"),INDEX(Land_Use[MAX],MATCH(LEFT($D295,5),Land_Use[Tech],0)),0)*$E295</f>
        <v>0</v>
      </c>
      <c r="N295" s="13">
        <f t="shared" si="101"/>
        <v>1402.1999999999996</v>
      </c>
      <c r="O295" s="13">
        <f t="shared" si="102"/>
        <v>0</v>
      </c>
      <c r="P295" s="13">
        <f t="shared" si="103"/>
        <v>0</v>
      </c>
      <c r="Q295" s="13">
        <f t="shared" si="104"/>
        <v>0</v>
      </c>
      <c r="R295" s="13">
        <f t="shared" si="105"/>
        <v>0</v>
      </c>
      <c r="S295" s="30">
        <f t="shared" si="94"/>
        <v>0</v>
      </c>
      <c r="T295" s="30">
        <f t="shared" si="95"/>
        <v>0</v>
      </c>
      <c r="U295" s="30">
        <f t="shared" si="96"/>
        <v>0</v>
      </c>
      <c r="V295" s="30">
        <f t="shared" si="97"/>
        <v>0</v>
      </c>
      <c r="W295" s="30">
        <f t="shared" si="98"/>
        <v>0</v>
      </c>
      <c r="X295" s="30">
        <f t="shared" si="99"/>
        <v>0</v>
      </c>
      <c r="Z295" s="23" t="s">
        <v>76</v>
      </c>
      <c r="AA295" s="40" t="str">
        <f>IF(C295="Electricity",E295*SUMIFS(Electricity!S:S,Electricity!P:P,UserMade_Scenario!B295,Electricity!M:M,UserMade_Scenario!Z295,Electricity!O:O,UserMade_Scenario!D295),"")</f>
        <v/>
      </c>
      <c r="AB295" s="76">
        <f>1000*Assumptions!$B$17/1000000000000</f>
        <v>1.1999999999999999E-7</v>
      </c>
      <c r="AC295" s="67" t="s">
        <v>77</v>
      </c>
      <c r="AD295" s="39">
        <f>SUMIFS(Hydrogen!AK:AK,Hydrogen!$AA:$AA,UserMade_Scenario!$Z295,Hydrogen!$Y:$Y,UserMade_Scenario!$D295,Hydrogen!$AB:$AB,UserMade_Scenario!$B295,Hydrogen!$Z:$Z,UserMade_Scenario!$C295)</f>
        <v>-69.410544054153561</v>
      </c>
      <c r="AE295" s="39">
        <f>SUMIFS(Hydrogen!AL:AL,Hydrogen!$AA:$AA,UserMade_Scenario!$Z295,Hydrogen!$Y:$Y,UserMade_Scenario!$D295,Hydrogen!$AB:$AB,UserMade_Scenario!$B295,Hydrogen!$Z:$Z,UserMade_Scenario!$C295)</f>
        <v>-48.881088108307125</v>
      </c>
      <c r="AF295" s="39">
        <f>SUMIFS(Hydrogen!AM:AM,Hydrogen!$AA:$AA,UserMade_Scenario!$Z295,Hydrogen!$Y:$Y,UserMade_Scenario!$D295,Hydrogen!$AB:$AB,UserMade_Scenario!$B295,Hydrogen!$Z:$Z,UserMade_Scenario!$C295)</f>
        <v>-89.94</v>
      </c>
      <c r="AG295" s="68">
        <f>IFERROR(INDEX(WaterUseH2[Average Direct Water Consumption (Gal/ kg h2)],MATCH(LEFT(D295,3),WaterUseH2[Key],0)),0)</f>
        <v>4.0999999999999996</v>
      </c>
      <c r="AH295">
        <v>14</v>
      </c>
      <c r="AI295">
        <v>1.4</v>
      </c>
      <c r="AJ295">
        <v>250</v>
      </c>
      <c r="AK295">
        <v>0.31</v>
      </c>
      <c r="AL295" s="63">
        <f>IFERROR(INDEX(Job_Training[[Solar]:[Wind]],MATCH(AL$1,Job_Training[[`Typical Entry Level Education`]:[`Typical Entry Level Education`]],0),MATCH(LEFT($D295,5),Job_Training[[#Headers],[Solar]:[Wind]],0)),0)</f>
        <v>0</v>
      </c>
      <c r="AM295" s="63">
        <f>IFERROR(INDEX(Job_Training[[Solar]:[Wind]],MATCH(AM$1,Job_Training[[`Typical Entry Level Education`]:[`Typical Entry Level Education`]],0),MATCH(LEFT($D295,5),Job_Training[[#Headers],[Solar]:[Wind]],0)),0)</f>
        <v>0</v>
      </c>
      <c r="AN295" s="63">
        <f>IFERROR(INDEX(Job_Training[[Solar]:[Wind]],MATCH(AN$1,Job_Training[[`Typical Entry Level Education`]:[`Typical Entry Level Education`]],0),MATCH(LEFT($D295,5),Job_Training[[#Headers],[Solar]:[Wind]],0)),0)</f>
        <v>0</v>
      </c>
      <c r="AO295" s="63">
        <f>IFERROR(INDEX(Job_Training[[Solar]:[Wind]],MATCH(AO$1,Job_Training[[`Typical Entry Level Education`]:[`Typical Entry Level Education`]],0),MATCH(LEFT($D295,5),Job_Training[[#Headers],[Solar]:[Wind]],0)),0)</f>
        <v>0</v>
      </c>
      <c r="AP295">
        <f t="shared" si="100"/>
        <v>0</v>
      </c>
      <c r="AQ295" s="63">
        <f>IF(AP295&gt;0,IFERROR(INDEX(Assumptions!$C$165:$D$165,MATCH(LEFT($D295,5),Job_Training[[#Headers],[Solar]:[Wind]],0)),0),0)</f>
        <v>0</v>
      </c>
      <c r="AR295">
        <f>IF(AP295&gt;0,IFERROR(INDEX(Assumptions!$C$166:$D$166,MATCH(LEFT($D295,5),Job_Training[[#Headers],[Solar]:[Wind]],0)),0),0)</f>
        <v>0</v>
      </c>
    </row>
    <row r="296" spans="1:44" hidden="1" x14ac:dyDescent="0.35">
      <c r="A296" t="str">
        <f>UserInput!$B$30</f>
        <v>State Policy Aligned</v>
      </c>
      <c r="B296">
        <v>2025</v>
      </c>
      <c r="C296" t="s">
        <v>41</v>
      </c>
      <c r="D296" t="s">
        <v>80</v>
      </c>
      <c r="E296" s="66">
        <f>INDEX(UserInput!$C$30:$M$50,MATCH(UserMade_Scenario!B296,UserInput!$A$30:$A$50,0),MATCH(LEFT(IF(RIGHT(C296,2)="H2",UserMade_Scenario!C296,D296),3),UserInput!$C$25:$M$25,0))</f>
        <v>1171</v>
      </c>
      <c r="F296" t="s">
        <v>81</v>
      </c>
      <c r="G296" s="14">
        <f>AA296*AB296</f>
        <v>9.6702605611217567E-3</v>
      </c>
      <c r="H296" s="63">
        <f t="shared" si="91"/>
        <v>0.38691110363161241</v>
      </c>
      <c r="I296" s="63">
        <f t="shared" si="92"/>
        <v>0.35472836501890959</v>
      </c>
      <c r="J296" s="63">
        <f t="shared" si="93"/>
        <v>0.41909383955799928</v>
      </c>
      <c r="K296" s="30">
        <f>IF(OR(LEFT($D296,5)="Solar",$D296="Wind"),INDEX(Land_Use[AVG],MATCH(LEFT($D296,5),Land_Use[Tech],0)),0)*$E296</f>
        <v>4098.5</v>
      </c>
      <c r="L296" s="30">
        <f>IF(OR(LEFT($D296,5)="Solar",$D296="Wind"),INDEX(Land_Use[MIN],MATCH(LEFT($D296,5),Land_Use[Tech],0)),0)*$E296</f>
        <v>3278.7999999999997</v>
      </c>
      <c r="M296" s="30">
        <f>IF(OR(LEFT($D296,5)="Solar",$D296="Wind"),INDEX(Land_Use[MAX],MATCH(LEFT($D296,5),Land_Use[Tech],0)),0)*$E296</f>
        <v>4918.2</v>
      </c>
      <c r="N296" s="15">
        <f t="shared" si="101"/>
        <v>0</v>
      </c>
      <c r="O296" s="11">
        <f t="shared" si="102"/>
        <v>57379</v>
      </c>
      <c r="P296" s="11">
        <f t="shared" si="103"/>
        <v>5737.9</v>
      </c>
      <c r="Q296" s="11">
        <f t="shared" si="104"/>
        <v>1024625</v>
      </c>
      <c r="R296" s="11">
        <f t="shared" si="105"/>
        <v>1270.5350000000001</v>
      </c>
      <c r="S296" s="30">
        <f t="shared" si="94"/>
        <v>40.516599999999997</v>
      </c>
      <c r="T296" s="30">
        <f t="shared" si="95"/>
        <v>33.022199999999998</v>
      </c>
      <c r="U296" s="30">
        <f t="shared" si="96"/>
        <v>39.111399999999996</v>
      </c>
      <c r="V296" s="30">
        <f t="shared" si="97"/>
        <v>6.5810199999999996</v>
      </c>
      <c r="W296" s="30">
        <f t="shared" si="98"/>
        <v>119.23121999999999</v>
      </c>
      <c r="X296" s="30">
        <f t="shared" si="99"/>
        <v>7153.8731999999991</v>
      </c>
      <c r="Z296" s="23" t="s">
        <v>76</v>
      </c>
      <c r="AA296" s="40">
        <f>IF(C296="Electricity",E296*SUMIFS(Electricity!S:S,Electricity!P:P,UserMade_Scenario!B296,Electricity!M:M,UserMade_Scenario!Z296,Electricity!O:O,UserMade_Scenario!D296),"")</f>
        <v>2686315.8887658324</v>
      </c>
      <c r="AB296" s="76">
        <f>1/Assumptions!$B$23/1000000000000</f>
        <v>3.5998225679871703E-9</v>
      </c>
      <c r="AC296" s="67" t="s">
        <v>82</v>
      </c>
      <c r="AD296" s="69">
        <f>INDEX(Table11[AVG
CO2e MT per MWh],MATCH(UserMade_Scenario!$B296,Table11[[Year]:[Year]],0))</f>
        <v>-0.14403038200000001</v>
      </c>
      <c r="AE296" s="69">
        <f>INDEX(Table11[MIN
CO2e MT per MWh],MATCH(UserMade_Scenario!$B296,Table11[[Year]:[Year]],0))</f>
        <v>-0.13205013099999999</v>
      </c>
      <c r="AF296" s="69">
        <f>INDEX(Table11[MAX CO2e MT per MWh],MATCH(UserMade_Scenario!$B296,Table11[[Year]:[Year]],0))</f>
        <v>-0.15601063200000001</v>
      </c>
      <c r="AG296" s="68">
        <f>IFERROR(INDEX(WaterUseH2[Average Direct Water Consumption (Gal/ kg h2)],MATCH(LEFT(D296,3),WaterUseH2[Key],0)),0)</f>
        <v>0</v>
      </c>
      <c r="AH296">
        <v>14</v>
      </c>
      <c r="AI296">
        <v>1.4</v>
      </c>
      <c r="AJ296">
        <v>250</v>
      </c>
      <c r="AK296">
        <v>0.31</v>
      </c>
      <c r="AL296" s="63">
        <f>IFERROR(INDEX(Job_Training[[Solar]:[Wind]],MATCH(AL$1,Job_Training[[`Typical Entry Level Education`]:[`Typical Entry Level Education`]],0),MATCH(LEFT($D296,5),Job_Training[[#Headers],[Solar]:[Wind]],0)),0)</f>
        <v>3.4599999999999999E-2</v>
      </c>
      <c r="AM296" s="63">
        <f>IFERROR(INDEX(Job_Training[[Solar]:[Wind]],MATCH(AM$1,Job_Training[[`Typical Entry Level Education`]:[`Typical Entry Level Education`]],0),MATCH(LEFT($D296,5),Job_Training[[#Headers],[Solar]:[Wind]],0)),0)</f>
        <v>2.8199999999999999E-2</v>
      </c>
      <c r="AN296" s="63">
        <f>IFERROR(INDEX(Job_Training[[Solar]:[Wind]],MATCH(AN$1,Job_Training[[`Typical Entry Level Education`]:[`Typical Entry Level Education`]],0),MATCH(LEFT($D296,5),Job_Training[[#Headers],[Solar]:[Wind]],0)),0)</f>
        <v>3.3399999999999999E-2</v>
      </c>
      <c r="AO296" s="63">
        <f>IFERROR(INDEX(Job_Training[[Solar]:[Wind]],MATCH(AO$1,Job_Training[[`Typical Entry Level Education`]:[`Typical Entry Level Education`]],0),MATCH(LEFT($D296,5),Job_Training[[#Headers],[Solar]:[Wind]],0)),0)</f>
        <v>5.62E-3</v>
      </c>
      <c r="AP296">
        <f t="shared" si="100"/>
        <v>1171</v>
      </c>
      <c r="AQ296" s="63">
        <f>IF(AP296&gt;0,IFERROR(INDEX(Assumptions!$C$165:$D$165,MATCH(LEFT($D296,5),Job_Training[[#Headers],[Solar]:[Wind]],0)),0),0)</f>
        <v>0.10181999999999999</v>
      </c>
      <c r="AR296">
        <f>IF(AP296&gt;0,IFERROR(INDEX(Assumptions!$C$166:$D$166,MATCH(LEFT($D296,5),Job_Training[[#Headers],[Solar]:[Wind]],0)),0),0)</f>
        <v>6.1091999999999995</v>
      </c>
    </row>
    <row r="297" spans="1:44" hidden="1" x14ac:dyDescent="0.35">
      <c r="A297" t="str">
        <f>UserInput!$B$30</f>
        <v>State Policy Aligned</v>
      </c>
      <c r="B297">
        <v>2026</v>
      </c>
      <c r="C297" t="s">
        <v>41</v>
      </c>
      <c r="D297" t="s">
        <v>80</v>
      </c>
      <c r="E297" s="66">
        <f>INDEX(UserInput!$C$30:$M$50,MATCH(UserMade_Scenario!B297,UserInput!$A$30:$A$50,0),MATCH(LEFT(IF(RIGHT(C297,2)="H2",UserMade_Scenario!C297,D297),3),UserInput!$C$25:$M$25,0))</f>
        <v>2342</v>
      </c>
      <c r="F297" t="s">
        <v>81</v>
      </c>
      <c r="G297" s="14">
        <f t="shared" ref="G297:G360" si="106">AA297*AB297</f>
        <v>1.8886309524751267E-2</v>
      </c>
      <c r="H297" s="63">
        <f t="shared" si="91"/>
        <v>0.73348838330280919</v>
      </c>
      <c r="I297" s="63">
        <f t="shared" si="92"/>
        <v>0.66573516186895565</v>
      </c>
      <c r="J297" s="63">
        <f t="shared" si="93"/>
        <v>0.80124159949020701</v>
      </c>
      <c r="K297" s="30">
        <f>IF(OR(LEFT($D297,5)="Solar",$D297="Wind"),INDEX(Land_Use[AVG],MATCH(LEFT($D297,5),Land_Use[Tech],0)),0)*$E297</f>
        <v>8197</v>
      </c>
      <c r="L297" s="30">
        <f>IF(OR(LEFT($D297,5)="Solar",$D297="Wind"),INDEX(Land_Use[MIN],MATCH(LEFT($D297,5),Land_Use[Tech],0)),0)*$E297</f>
        <v>6557.5999999999995</v>
      </c>
      <c r="M297" s="30">
        <f>IF(OR(LEFT($D297,5)="Solar",$D297="Wind"),INDEX(Land_Use[MAX],MATCH(LEFT($D297,5),Land_Use[Tech],0)),0)*$E297</f>
        <v>9836.4</v>
      </c>
      <c r="N297" s="15">
        <f t="shared" si="101"/>
        <v>0</v>
      </c>
      <c r="O297" s="11">
        <f t="shared" si="102"/>
        <v>114758</v>
      </c>
      <c r="P297" s="11">
        <f t="shared" si="103"/>
        <v>11475.8</v>
      </c>
      <c r="Q297" s="11">
        <f t="shared" si="104"/>
        <v>2049250</v>
      </c>
      <c r="R297" s="11">
        <f t="shared" si="105"/>
        <v>2541.0700000000002</v>
      </c>
      <c r="S297" s="30">
        <f t="shared" si="94"/>
        <v>40.516599999999997</v>
      </c>
      <c r="T297" s="30">
        <f t="shared" si="95"/>
        <v>33.022199999999998</v>
      </c>
      <c r="U297" s="30">
        <f t="shared" si="96"/>
        <v>39.111399999999996</v>
      </c>
      <c r="V297" s="30">
        <f t="shared" si="97"/>
        <v>6.5810199999999996</v>
      </c>
      <c r="W297" s="30">
        <f t="shared" si="98"/>
        <v>119.23121999999999</v>
      </c>
      <c r="X297" s="30">
        <f t="shared" si="99"/>
        <v>7153.8731999999991</v>
      </c>
      <c r="Z297" s="23" t="s">
        <v>76</v>
      </c>
      <c r="AA297" s="40">
        <f>IF(C297="Electricity",E297*SUMIFS(Electricity!S:S,Electricity!P:P,UserMade_Scenario!B297,Electricity!M:M,UserMade_Scenario!Z297,Electricity!O:O,UserMade_Scenario!D297),"")</f>
        <v>5246455.6705391984</v>
      </c>
      <c r="AB297" s="76">
        <f>1/Assumptions!$B$23/1000000000000</f>
        <v>3.5998225679871703E-9</v>
      </c>
      <c r="AC297" s="67" t="s">
        <v>82</v>
      </c>
      <c r="AD297" s="69">
        <f>INDEX(Table11[AVG
CO2e MT per MWh],MATCH(UserMade_Scenario!$B297,Table11[[Year]:[Year]],0))</f>
        <v>-0.13980645780000001</v>
      </c>
      <c r="AE297" s="69">
        <f>INDEX(Table11[MIN
CO2e MT per MWh],MATCH(UserMade_Scenario!$B297,Table11[[Year]:[Year]],0))</f>
        <v>-0.12689236385</v>
      </c>
      <c r="AF297" s="69">
        <f>INDEX(Table11[MAX CO2e MT per MWh],MATCH(UserMade_Scenario!$B297,Table11[[Year]:[Year]],0))</f>
        <v>-0.15272055075000002</v>
      </c>
      <c r="AG297" s="68">
        <f>IFERROR(INDEX(WaterUseH2[Average Direct Water Consumption (Gal/ kg h2)],MATCH(LEFT(D297,3),WaterUseH2[Key],0)),0)</f>
        <v>0</v>
      </c>
      <c r="AH297">
        <v>14</v>
      </c>
      <c r="AI297">
        <v>1.4</v>
      </c>
      <c r="AJ297">
        <v>250</v>
      </c>
      <c r="AK297">
        <v>0.31</v>
      </c>
      <c r="AL297" s="63">
        <f>IFERROR(INDEX(Job_Training[[Solar]:[Wind]],MATCH(AL$1,Job_Training[[`Typical Entry Level Education`]:[`Typical Entry Level Education`]],0),MATCH(LEFT($D297,5),Job_Training[[#Headers],[Solar]:[Wind]],0)),0)</f>
        <v>3.4599999999999999E-2</v>
      </c>
      <c r="AM297" s="63">
        <f>IFERROR(INDEX(Job_Training[[Solar]:[Wind]],MATCH(AM$1,Job_Training[[`Typical Entry Level Education`]:[`Typical Entry Level Education`]],0),MATCH(LEFT($D297,5),Job_Training[[#Headers],[Solar]:[Wind]],0)),0)</f>
        <v>2.8199999999999999E-2</v>
      </c>
      <c r="AN297" s="63">
        <f>IFERROR(INDEX(Job_Training[[Solar]:[Wind]],MATCH(AN$1,Job_Training[[`Typical Entry Level Education`]:[`Typical Entry Level Education`]],0),MATCH(LEFT($D297,5),Job_Training[[#Headers],[Solar]:[Wind]],0)),0)</f>
        <v>3.3399999999999999E-2</v>
      </c>
      <c r="AO297" s="63">
        <f>IFERROR(INDEX(Job_Training[[Solar]:[Wind]],MATCH(AO$1,Job_Training[[`Typical Entry Level Education`]:[`Typical Entry Level Education`]],0),MATCH(LEFT($D297,5),Job_Training[[#Headers],[Solar]:[Wind]],0)),0)</f>
        <v>5.62E-3</v>
      </c>
      <c r="AP297">
        <f t="shared" si="100"/>
        <v>1171</v>
      </c>
      <c r="AQ297" s="63">
        <f>IF(AP297&gt;0,IFERROR(INDEX(Assumptions!$C$165:$D$165,MATCH(LEFT($D297,5),Job_Training[[#Headers],[Solar]:[Wind]],0)),0),0)</f>
        <v>0.10181999999999999</v>
      </c>
      <c r="AR297">
        <f>IF(AP297&gt;0,IFERROR(INDEX(Assumptions!$C$166:$D$166,MATCH(LEFT($D297,5),Job_Training[[#Headers],[Solar]:[Wind]],0)),0),0)</f>
        <v>6.1091999999999995</v>
      </c>
    </row>
    <row r="298" spans="1:44" hidden="1" x14ac:dyDescent="0.35">
      <c r="A298" t="str">
        <f>UserInput!$B$30</f>
        <v>State Policy Aligned</v>
      </c>
      <c r="B298">
        <v>2027</v>
      </c>
      <c r="C298" t="s">
        <v>41</v>
      </c>
      <c r="D298" t="s">
        <v>80</v>
      </c>
      <c r="E298" s="66">
        <f>INDEX(UserInput!$C$30:$M$50,MATCH(UserMade_Scenario!B298,UserInput!$A$30:$A$50,0),MATCH(LEFT(IF(RIGHT(C298,2)="H2",UserMade_Scenario!C298,D298),3),UserInput!$C$25:$M$25,0))</f>
        <v>3513</v>
      </c>
      <c r="F298" t="s">
        <v>81</v>
      </c>
      <c r="G298" s="14">
        <f t="shared" si="106"/>
        <v>2.7648146890888538E-2</v>
      </c>
      <c r="H298" s="63">
        <f t="shared" si="91"/>
        <v>1.0413307139489523</v>
      </c>
      <c r="I298" s="63">
        <f t="shared" si="92"/>
        <v>0.93497275148942038</v>
      </c>
      <c r="J298" s="63">
        <f t="shared" si="93"/>
        <v>1.1476886687280652</v>
      </c>
      <c r="K298" s="30">
        <f>IF(OR(LEFT($D298,5)="Solar",$D298="Wind"),INDEX(Land_Use[AVG],MATCH(LEFT($D298,5),Land_Use[Tech],0)),0)*$E298</f>
        <v>12295.5</v>
      </c>
      <c r="L298" s="30">
        <f>IF(OR(LEFT($D298,5)="Solar",$D298="Wind"),INDEX(Land_Use[MIN],MATCH(LEFT($D298,5),Land_Use[Tech],0)),0)*$E298</f>
        <v>9836.4</v>
      </c>
      <c r="M298" s="30">
        <f>IF(OR(LEFT($D298,5)="Solar",$D298="Wind"),INDEX(Land_Use[MAX],MATCH(LEFT($D298,5),Land_Use[Tech],0)),0)*$E298</f>
        <v>14754.6</v>
      </c>
      <c r="N298" s="15">
        <f t="shared" si="101"/>
        <v>0</v>
      </c>
      <c r="O298" s="11">
        <f t="shared" si="102"/>
        <v>172137</v>
      </c>
      <c r="P298" s="11">
        <f t="shared" si="103"/>
        <v>17213.699999999997</v>
      </c>
      <c r="Q298" s="11">
        <f t="shared" si="104"/>
        <v>3073875</v>
      </c>
      <c r="R298" s="11">
        <f t="shared" si="105"/>
        <v>3811.605</v>
      </c>
      <c r="S298" s="30">
        <f t="shared" si="94"/>
        <v>40.516599999999997</v>
      </c>
      <c r="T298" s="30">
        <f t="shared" si="95"/>
        <v>33.022199999999998</v>
      </c>
      <c r="U298" s="30">
        <f t="shared" si="96"/>
        <v>39.111399999999996</v>
      </c>
      <c r="V298" s="30">
        <f t="shared" si="97"/>
        <v>6.5810199999999996</v>
      </c>
      <c r="W298" s="30">
        <f t="shared" si="98"/>
        <v>119.23121999999999</v>
      </c>
      <c r="X298" s="30">
        <f t="shared" si="99"/>
        <v>7153.8731999999991</v>
      </c>
      <c r="Z298" s="23" t="s">
        <v>76</v>
      </c>
      <c r="AA298" s="40">
        <f>IF(C298="Electricity",E298*SUMIFS(Electricity!S:S,Electricity!P:P,UserMade_Scenario!B298,Electricity!M:M,UserMade_Scenario!Z298,Electricity!O:O,UserMade_Scenario!D298),"")</f>
        <v>7680419.345320099</v>
      </c>
      <c r="AB298" s="76">
        <f>1/Assumptions!$B$23/1000000000000</f>
        <v>3.5998225679871703E-9</v>
      </c>
      <c r="AC298" s="67" t="s">
        <v>82</v>
      </c>
      <c r="AD298" s="69">
        <f>INDEX(Table11[AVG
CO2e MT per MWh],MATCH(UserMade_Scenario!$B298,Table11[[Year]:[Year]],0))</f>
        <v>-0.1355825336</v>
      </c>
      <c r="AE298" s="69">
        <f>INDEX(Table11[MIN
CO2e MT per MWh],MATCH(UserMade_Scenario!$B298,Table11[[Year]:[Year]],0))</f>
        <v>-0.1217345967</v>
      </c>
      <c r="AF298" s="69">
        <f>INDEX(Table11[MAX CO2e MT per MWh],MATCH(UserMade_Scenario!$B298,Table11[[Year]:[Year]],0))</f>
        <v>-0.14943046950000002</v>
      </c>
      <c r="AG298" s="68">
        <f>IFERROR(INDEX(WaterUseH2[Average Direct Water Consumption (Gal/ kg h2)],MATCH(LEFT(D298,3),WaterUseH2[Key],0)),0)</f>
        <v>0</v>
      </c>
      <c r="AH298">
        <v>14</v>
      </c>
      <c r="AI298">
        <v>1.4</v>
      </c>
      <c r="AJ298">
        <v>250</v>
      </c>
      <c r="AK298">
        <v>0.31</v>
      </c>
      <c r="AL298" s="63">
        <f>IFERROR(INDEX(Job_Training[[Solar]:[Wind]],MATCH(AL$1,Job_Training[[`Typical Entry Level Education`]:[`Typical Entry Level Education`]],0),MATCH(LEFT($D298,5),Job_Training[[#Headers],[Solar]:[Wind]],0)),0)</f>
        <v>3.4599999999999999E-2</v>
      </c>
      <c r="AM298" s="63">
        <f>IFERROR(INDEX(Job_Training[[Solar]:[Wind]],MATCH(AM$1,Job_Training[[`Typical Entry Level Education`]:[`Typical Entry Level Education`]],0),MATCH(LEFT($D298,5),Job_Training[[#Headers],[Solar]:[Wind]],0)),0)</f>
        <v>2.8199999999999999E-2</v>
      </c>
      <c r="AN298" s="63">
        <f>IFERROR(INDEX(Job_Training[[Solar]:[Wind]],MATCH(AN$1,Job_Training[[`Typical Entry Level Education`]:[`Typical Entry Level Education`]],0),MATCH(LEFT($D298,5),Job_Training[[#Headers],[Solar]:[Wind]],0)),0)</f>
        <v>3.3399999999999999E-2</v>
      </c>
      <c r="AO298" s="63">
        <f>IFERROR(INDEX(Job_Training[[Solar]:[Wind]],MATCH(AO$1,Job_Training[[`Typical Entry Level Education`]:[`Typical Entry Level Education`]],0),MATCH(LEFT($D298,5),Job_Training[[#Headers],[Solar]:[Wind]],0)),0)</f>
        <v>5.62E-3</v>
      </c>
      <c r="AP298">
        <f t="shared" si="100"/>
        <v>1171</v>
      </c>
      <c r="AQ298" s="63">
        <f>IF(AP298&gt;0,IFERROR(INDEX(Assumptions!$C$165:$D$165,MATCH(LEFT($D298,5),Job_Training[[#Headers],[Solar]:[Wind]],0)),0),0)</f>
        <v>0.10181999999999999</v>
      </c>
      <c r="AR298">
        <f>IF(AP298&gt;0,IFERROR(INDEX(Assumptions!$C$166:$D$166,MATCH(LEFT($D298,5),Job_Training[[#Headers],[Solar]:[Wind]],0)),0),0)</f>
        <v>6.1091999999999995</v>
      </c>
    </row>
    <row r="299" spans="1:44" hidden="1" x14ac:dyDescent="0.35">
      <c r="A299" t="str">
        <f>UserInput!$B$30</f>
        <v>State Policy Aligned</v>
      </c>
      <c r="B299">
        <v>2028</v>
      </c>
      <c r="C299" t="s">
        <v>41</v>
      </c>
      <c r="D299" t="s">
        <v>80</v>
      </c>
      <c r="E299" s="66">
        <f>INDEX(UserInput!$C$30:$M$50,MATCH(UserMade_Scenario!B299,UserInput!$A$30:$A$50,0),MATCH(LEFT(IF(RIGHT(C299,2)="H2",UserMade_Scenario!C299,D299),3),UserInput!$C$25:$M$25,0))</f>
        <v>4684</v>
      </c>
      <c r="F299" t="s">
        <v>81</v>
      </c>
      <c r="G299" s="14">
        <f t="shared" si="106"/>
        <v>3.5955772659533571E-2</v>
      </c>
      <c r="H299" s="63">
        <f t="shared" si="91"/>
        <v>1.3120369705054034</v>
      </c>
      <c r="I299" s="63">
        <f t="shared" si="92"/>
        <v>1.1643934948195851</v>
      </c>
      <c r="J299" s="63">
        <f t="shared" si="93"/>
        <v>1.4596804362030154</v>
      </c>
      <c r="K299" s="30">
        <f>IF(OR(LEFT($D299,5)="Solar",$D299="Wind"),INDEX(Land_Use[AVG],MATCH(LEFT($D299,5),Land_Use[Tech],0)),0)*$E299</f>
        <v>16394</v>
      </c>
      <c r="L299" s="30">
        <f>IF(OR(LEFT($D299,5)="Solar",$D299="Wind"),INDEX(Land_Use[MIN],MATCH(LEFT($D299,5),Land_Use[Tech],0)),0)*$E299</f>
        <v>13115.199999999999</v>
      </c>
      <c r="M299" s="30">
        <f>IF(OR(LEFT($D299,5)="Solar",$D299="Wind"),INDEX(Land_Use[MAX],MATCH(LEFT($D299,5),Land_Use[Tech],0)),0)*$E299</f>
        <v>19672.8</v>
      </c>
      <c r="N299" s="15">
        <f t="shared" si="101"/>
        <v>0</v>
      </c>
      <c r="O299" s="11">
        <f t="shared" si="102"/>
        <v>229516</v>
      </c>
      <c r="P299" s="11">
        <f t="shared" si="103"/>
        <v>22951.599999999999</v>
      </c>
      <c r="Q299" s="11">
        <f t="shared" si="104"/>
        <v>4098500</v>
      </c>
      <c r="R299" s="11">
        <f t="shared" si="105"/>
        <v>5082.1400000000003</v>
      </c>
      <c r="S299" s="30">
        <f t="shared" si="94"/>
        <v>40.516599999999997</v>
      </c>
      <c r="T299" s="30">
        <f t="shared" si="95"/>
        <v>33.022199999999998</v>
      </c>
      <c r="U299" s="30">
        <f t="shared" si="96"/>
        <v>39.111399999999996</v>
      </c>
      <c r="V299" s="30">
        <f t="shared" si="97"/>
        <v>6.5810199999999996</v>
      </c>
      <c r="W299" s="30">
        <f t="shared" si="98"/>
        <v>119.23121999999999</v>
      </c>
      <c r="X299" s="30">
        <f t="shared" si="99"/>
        <v>7153.8731999999991</v>
      </c>
      <c r="Z299" s="23" t="s">
        <v>76</v>
      </c>
      <c r="AA299" s="40">
        <f>IF(C299="Electricity",E299*SUMIFS(Electricity!S:S,Electricity!P:P,UserMade_Scenario!B299,Electricity!M:M,UserMade_Scenario!Z299,Electricity!O:O,UserMade_Scenario!D299),"")</f>
        <v>9988206.9131085332</v>
      </c>
      <c r="AB299" s="76">
        <f>1/Assumptions!$B$23/1000000000000</f>
        <v>3.5998225679871703E-9</v>
      </c>
      <c r="AC299" s="67" t="s">
        <v>82</v>
      </c>
      <c r="AD299" s="69">
        <f>INDEX(Table11[AVG
CO2e MT per MWh],MATCH(UserMade_Scenario!$B299,Table11[[Year]:[Year]],0))</f>
        <v>-0.13135860939999999</v>
      </c>
      <c r="AE299" s="69">
        <f>INDEX(Table11[MIN
CO2e MT per MWh],MATCH(UserMade_Scenario!$B299,Table11[[Year]:[Year]],0))</f>
        <v>-0.11657682955000001</v>
      </c>
      <c r="AF299" s="69">
        <f>INDEX(Table11[MAX CO2e MT per MWh],MATCH(UserMade_Scenario!$B299,Table11[[Year]:[Year]],0))</f>
        <v>-0.14614038825000003</v>
      </c>
      <c r="AG299" s="68">
        <f>IFERROR(INDEX(WaterUseH2[Average Direct Water Consumption (Gal/ kg h2)],MATCH(LEFT(D299,3),WaterUseH2[Key],0)),0)</f>
        <v>0</v>
      </c>
      <c r="AH299">
        <v>14</v>
      </c>
      <c r="AI299">
        <v>1.4</v>
      </c>
      <c r="AJ299">
        <v>250</v>
      </c>
      <c r="AK299">
        <v>0.31</v>
      </c>
      <c r="AL299" s="63">
        <f>IFERROR(INDEX(Job_Training[[Solar]:[Wind]],MATCH(AL$1,Job_Training[[`Typical Entry Level Education`]:[`Typical Entry Level Education`]],0),MATCH(LEFT($D299,5),Job_Training[[#Headers],[Solar]:[Wind]],0)),0)</f>
        <v>3.4599999999999999E-2</v>
      </c>
      <c r="AM299" s="63">
        <f>IFERROR(INDEX(Job_Training[[Solar]:[Wind]],MATCH(AM$1,Job_Training[[`Typical Entry Level Education`]:[`Typical Entry Level Education`]],0),MATCH(LEFT($D299,5),Job_Training[[#Headers],[Solar]:[Wind]],0)),0)</f>
        <v>2.8199999999999999E-2</v>
      </c>
      <c r="AN299" s="63">
        <f>IFERROR(INDEX(Job_Training[[Solar]:[Wind]],MATCH(AN$1,Job_Training[[`Typical Entry Level Education`]:[`Typical Entry Level Education`]],0),MATCH(LEFT($D299,5),Job_Training[[#Headers],[Solar]:[Wind]],0)),0)</f>
        <v>3.3399999999999999E-2</v>
      </c>
      <c r="AO299" s="63">
        <f>IFERROR(INDEX(Job_Training[[Solar]:[Wind]],MATCH(AO$1,Job_Training[[`Typical Entry Level Education`]:[`Typical Entry Level Education`]],0),MATCH(LEFT($D299,5),Job_Training[[#Headers],[Solar]:[Wind]],0)),0)</f>
        <v>5.62E-3</v>
      </c>
      <c r="AP299">
        <f t="shared" si="100"/>
        <v>1171</v>
      </c>
      <c r="AQ299" s="63">
        <f>IF(AP299&gt;0,IFERROR(INDEX(Assumptions!$C$165:$D$165,MATCH(LEFT($D299,5),Job_Training[[#Headers],[Solar]:[Wind]],0)),0),0)</f>
        <v>0.10181999999999999</v>
      </c>
      <c r="AR299">
        <f>IF(AP299&gt;0,IFERROR(INDEX(Assumptions!$C$166:$D$166,MATCH(LEFT($D299,5),Job_Training[[#Headers],[Solar]:[Wind]],0)),0),0)</f>
        <v>6.1091999999999995</v>
      </c>
    </row>
    <row r="300" spans="1:44" hidden="1" x14ac:dyDescent="0.35">
      <c r="A300" t="str">
        <f>UserInput!$B$30</f>
        <v>State Policy Aligned</v>
      </c>
      <c r="B300">
        <v>2029</v>
      </c>
      <c r="C300" t="s">
        <v>41</v>
      </c>
      <c r="D300" t="s">
        <v>80</v>
      </c>
      <c r="E300" s="66">
        <f>INDEX(UserInput!$C$30:$M$50,MATCH(UserMade_Scenario!B300,UserInput!$A$30:$A$50,0),MATCH(LEFT(IF(RIGHT(C300,2)="H2",UserMade_Scenario!C300,D300),3),UserInput!$C$25:$M$25,0))</f>
        <v>5854</v>
      </c>
      <c r="F300" t="s">
        <v>81</v>
      </c>
      <c r="G300" s="14">
        <f t="shared" si="106"/>
        <v>4.3801704475975728E-2</v>
      </c>
      <c r="H300" s="63">
        <f t="shared" si="91"/>
        <v>1.5469417741025873</v>
      </c>
      <c r="I300" s="63">
        <f t="shared" si="92"/>
        <v>1.3557181644549579</v>
      </c>
      <c r="J300" s="63">
        <f t="shared" si="93"/>
        <v>1.7381653715824776</v>
      </c>
      <c r="K300" s="30">
        <f>IF(OR(LEFT($D300,5)="Solar",$D300="Wind"),INDEX(Land_Use[AVG],MATCH(LEFT($D300,5),Land_Use[Tech],0)),0)*$E300</f>
        <v>20489</v>
      </c>
      <c r="L300" s="30">
        <f>IF(OR(LEFT($D300,5)="Solar",$D300="Wind"),INDEX(Land_Use[MIN],MATCH(LEFT($D300,5),Land_Use[Tech],0)),0)*$E300</f>
        <v>16391.2</v>
      </c>
      <c r="M300" s="30">
        <f>IF(OR(LEFT($D300,5)="Solar",$D300="Wind"),INDEX(Land_Use[MAX],MATCH(LEFT($D300,5),Land_Use[Tech],0)),0)*$E300</f>
        <v>24586.799999999999</v>
      </c>
      <c r="N300" s="15">
        <f t="shared" si="101"/>
        <v>0</v>
      </c>
      <c r="O300" s="11">
        <f t="shared" si="102"/>
        <v>286846</v>
      </c>
      <c r="P300" s="11">
        <f t="shared" si="103"/>
        <v>28684.6</v>
      </c>
      <c r="Q300" s="11">
        <f t="shared" si="104"/>
        <v>5122250</v>
      </c>
      <c r="R300" s="11">
        <f t="shared" si="105"/>
        <v>6351.59</v>
      </c>
      <c r="S300" s="30">
        <f t="shared" si="94"/>
        <v>40.481999999999999</v>
      </c>
      <c r="T300" s="30">
        <f t="shared" si="95"/>
        <v>32.994</v>
      </c>
      <c r="U300" s="30">
        <f t="shared" si="96"/>
        <v>39.077999999999996</v>
      </c>
      <c r="V300" s="30">
        <f t="shared" si="97"/>
        <v>6.5754000000000001</v>
      </c>
      <c r="W300" s="30">
        <f t="shared" si="98"/>
        <v>119.12939999999999</v>
      </c>
      <c r="X300" s="30">
        <f t="shared" si="99"/>
        <v>7147.7639999999992</v>
      </c>
      <c r="Z300" s="23" t="s">
        <v>76</v>
      </c>
      <c r="AA300" s="40">
        <f>IF(C300="Electricity",E300*SUMIFS(Electricity!S:S,Electricity!P:P,UserMade_Scenario!B300,Electricity!M:M,UserMade_Scenario!Z300,Electricity!O:O,UserMade_Scenario!D300),"")</f>
        <v>12167739.839596404</v>
      </c>
      <c r="AB300" s="76">
        <f>1/Assumptions!$B$23/1000000000000</f>
        <v>3.5998225679871703E-9</v>
      </c>
      <c r="AC300" s="67" t="s">
        <v>82</v>
      </c>
      <c r="AD300" s="69">
        <f>INDEX(Table11[AVG
CO2e MT per MWh],MATCH(UserMade_Scenario!$B300,Table11[[Year]:[Year]],0))</f>
        <v>-0.12713468519999999</v>
      </c>
      <c r="AE300" s="69">
        <f>INDEX(Table11[MIN
CO2e MT per MWh],MATCH(UserMade_Scenario!$B300,Table11[[Year]:[Year]],0))</f>
        <v>-0.11141906240000002</v>
      </c>
      <c r="AF300" s="69">
        <f>INDEX(Table11[MAX CO2e MT per MWh],MATCH(UserMade_Scenario!$B300,Table11[[Year]:[Year]],0))</f>
        <v>-0.14285030700000004</v>
      </c>
      <c r="AG300" s="68">
        <f>IFERROR(INDEX(WaterUseH2[Average Direct Water Consumption (Gal/ kg h2)],MATCH(LEFT(D300,3),WaterUseH2[Key],0)),0)</f>
        <v>0</v>
      </c>
      <c r="AH300">
        <v>14</v>
      </c>
      <c r="AI300">
        <v>1.4</v>
      </c>
      <c r="AJ300">
        <v>250</v>
      </c>
      <c r="AK300">
        <v>0.31</v>
      </c>
      <c r="AL300" s="63">
        <f>IFERROR(INDEX(Job_Training[[Solar]:[Wind]],MATCH(AL$1,Job_Training[[`Typical Entry Level Education`]:[`Typical Entry Level Education`]],0),MATCH(LEFT($D300,5),Job_Training[[#Headers],[Solar]:[Wind]],0)),0)</f>
        <v>3.4599999999999999E-2</v>
      </c>
      <c r="AM300" s="63">
        <f>IFERROR(INDEX(Job_Training[[Solar]:[Wind]],MATCH(AM$1,Job_Training[[`Typical Entry Level Education`]:[`Typical Entry Level Education`]],0),MATCH(LEFT($D300,5),Job_Training[[#Headers],[Solar]:[Wind]],0)),0)</f>
        <v>2.8199999999999999E-2</v>
      </c>
      <c r="AN300" s="63">
        <f>IFERROR(INDEX(Job_Training[[Solar]:[Wind]],MATCH(AN$1,Job_Training[[`Typical Entry Level Education`]:[`Typical Entry Level Education`]],0),MATCH(LEFT($D300,5),Job_Training[[#Headers],[Solar]:[Wind]],0)),0)</f>
        <v>3.3399999999999999E-2</v>
      </c>
      <c r="AO300" s="63">
        <f>IFERROR(INDEX(Job_Training[[Solar]:[Wind]],MATCH(AO$1,Job_Training[[`Typical Entry Level Education`]:[`Typical Entry Level Education`]],0),MATCH(LEFT($D300,5),Job_Training[[#Headers],[Solar]:[Wind]],0)),0)</f>
        <v>5.62E-3</v>
      </c>
      <c r="AP300">
        <f t="shared" si="100"/>
        <v>1170</v>
      </c>
      <c r="AQ300" s="63">
        <f>IF(AP300&gt;0,IFERROR(INDEX(Assumptions!$C$165:$D$165,MATCH(LEFT($D300,5),Job_Training[[#Headers],[Solar]:[Wind]],0)),0),0)</f>
        <v>0.10181999999999999</v>
      </c>
      <c r="AR300">
        <f>IF(AP300&gt;0,IFERROR(INDEX(Assumptions!$C$166:$D$166,MATCH(LEFT($D300,5),Job_Training[[#Headers],[Solar]:[Wind]],0)),0),0)</f>
        <v>6.1091999999999995</v>
      </c>
    </row>
    <row r="301" spans="1:44" hidden="1" x14ac:dyDescent="0.35">
      <c r="A301" t="str">
        <f>UserInput!$B$30</f>
        <v>State Policy Aligned</v>
      </c>
      <c r="B301">
        <v>2030</v>
      </c>
      <c r="C301" t="s">
        <v>41</v>
      </c>
      <c r="D301" t="s">
        <v>80</v>
      </c>
      <c r="E301" s="66">
        <f>INDEX(UserInput!$C$30:$M$50,MATCH(UserMade_Scenario!B301,UserInput!$A$30:$A$50,0),MATCH(LEFT(IF(RIGHT(C301,2)="H2",UserMade_Scenario!C301,D301),3),UserInput!$C$25:$M$25,0))</f>
        <v>7025</v>
      </c>
      <c r="F301" t="s">
        <v>81</v>
      </c>
      <c r="G301" s="14">
        <f t="shared" si="106"/>
        <v>5.120110099139439E-2</v>
      </c>
      <c r="H301" s="63">
        <f t="shared" si="91"/>
        <v>1.7481879087193295</v>
      </c>
      <c r="I301" s="63">
        <f t="shared" si="92"/>
        <v>1.511378743484509</v>
      </c>
      <c r="J301" s="63">
        <f t="shared" si="93"/>
        <v>1.9849970597309223</v>
      </c>
      <c r="K301" s="30">
        <f>IF(OR(LEFT($D301,5)="Solar",$D301="Wind"),INDEX(Land_Use[AVG],MATCH(LEFT($D301,5),Land_Use[Tech],0)),0)*$E301</f>
        <v>24587.5</v>
      </c>
      <c r="L301" s="30">
        <f>IF(OR(LEFT($D301,5)="Solar",$D301="Wind"),INDEX(Land_Use[MIN],MATCH(LEFT($D301,5),Land_Use[Tech],0)),0)*$E301</f>
        <v>19670</v>
      </c>
      <c r="M301" s="30">
        <f>IF(OR(LEFT($D301,5)="Solar",$D301="Wind"),INDEX(Land_Use[MAX],MATCH(LEFT($D301,5),Land_Use[Tech],0)),0)*$E301</f>
        <v>29505</v>
      </c>
      <c r="N301" s="15">
        <f t="shared" si="101"/>
        <v>0</v>
      </c>
      <c r="O301" s="11">
        <f t="shared" si="102"/>
        <v>344225</v>
      </c>
      <c r="P301" s="11">
        <f t="shared" si="103"/>
        <v>34422.5</v>
      </c>
      <c r="Q301" s="11">
        <f t="shared" si="104"/>
        <v>6146875</v>
      </c>
      <c r="R301" s="11">
        <f t="shared" si="105"/>
        <v>7622.125</v>
      </c>
      <c r="S301" s="30">
        <f t="shared" si="94"/>
        <v>40.516599999999997</v>
      </c>
      <c r="T301" s="30">
        <f t="shared" si="95"/>
        <v>33.022199999999998</v>
      </c>
      <c r="U301" s="30">
        <f t="shared" si="96"/>
        <v>39.111399999999996</v>
      </c>
      <c r="V301" s="30">
        <f t="shared" si="97"/>
        <v>6.5810199999999996</v>
      </c>
      <c r="W301" s="30">
        <f t="shared" si="98"/>
        <v>119.23121999999999</v>
      </c>
      <c r="X301" s="30">
        <f t="shared" si="99"/>
        <v>7153.8731999999991</v>
      </c>
      <c r="Z301" s="23" t="s">
        <v>76</v>
      </c>
      <c r="AA301" s="40">
        <f>IF(C301="Electricity",E301*SUMIFS(Electricity!S:S,Electricity!P:P,UserMade_Scenario!B301,Electricity!M:M,UserMade_Scenario!Z301,Electricity!O:O,UserMade_Scenario!D301),"")</f>
        <v>14223229.068765832</v>
      </c>
      <c r="AB301" s="76">
        <f>1/Assumptions!$B$23/1000000000000</f>
        <v>3.5998225679871703E-9</v>
      </c>
      <c r="AC301" s="67" t="s">
        <v>82</v>
      </c>
      <c r="AD301" s="69">
        <f>INDEX(Table11[AVG
CO2e MT per MWh],MATCH(UserMade_Scenario!$B301,Table11[[Year]:[Year]],0))</f>
        <v>-0.12291076099999998</v>
      </c>
      <c r="AE301" s="69">
        <f>INDEX(Table11[MIN
CO2e MT per MWh],MATCH(UserMade_Scenario!$B301,Table11[[Year]:[Year]],0))</f>
        <v>-0.10626129525000003</v>
      </c>
      <c r="AF301" s="69">
        <f>INDEX(Table11[MAX CO2e MT per MWh],MATCH(UserMade_Scenario!$B301,Table11[[Year]:[Year]],0))</f>
        <v>-0.13956022575000004</v>
      </c>
      <c r="AG301" s="68">
        <f>IFERROR(INDEX(WaterUseH2[Average Direct Water Consumption (Gal/ kg h2)],MATCH(LEFT(D301,3),WaterUseH2[Key],0)),0)</f>
        <v>0</v>
      </c>
      <c r="AH301">
        <v>14</v>
      </c>
      <c r="AI301">
        <v>1.4</v>
      </c>
      <c r="AJ301">
        <v>250</v>
      </c>
      <c r="AK301">
        <v>0.31</v>
      </c>
      <c r="AL301" s="63">
        <f>IFERROR(INDEX(Job_Training[[Solar]:[Wind]],MATCH(AL$1,Job_Training[[`Typical Entry Level Education`]:[`Typical Entry Level Education`]],0),MATCH(LEFT($D301,5),Job_Training[[#Headers],[Solar]:[Wind]],0)),0)</f>
        <v>3.4599999999999999E-2</v>
      </c>
      <c r="AM301" s="63">
        <f>IFERROR(INDEX(Job_Training[[Solar]:[Wind]],MATCH(AM$1,Job_Training[[`Typical Entry Level Education`]:[`Typical Entry Level Education`]],0),MATCH(LEFT($D301,5),Job_Training[[#Headers],[Solar]:[Wind]],0)),0)</f>
        <v>2.8199999999999999E-2</v>
      </c>
      <c r="AN301" s="63">
        <f>IFERROR(INDEX(Job_Training[[Solar]:[Wind]],MATCH(AN$1,Job_Training[[`Typical Entry Level Education`]:[`Typical Entry Level Education`]],0),MATCH(LEFT($D301,5),Job_Training[[#Headers],[Solar]:[Wind]],0)),0)</f>
        <v>3.3399999999999999E-2</v>
      </c>
      <c r="AO301" s="63">
        <f>IFERROR(INDEX(Job_Training[[Solar]:[Wind]],MATCH(AO$1,Job_Training[[`Typical Entry Level Education`]:[`Typical Entry Level Education`]],0),MATCH(LEFT($D301,5),Job_Training[[#Headers],[Solar]:[Wind]],0)),0)</f>
        <v>5.62E-3</v>
      </c>
      <c r="AP301">
        <f t="shared" si="100"/>
        <v>1171</v>
      </c>
      <c r="AQ301" s="63">
        <f>IF(AP301&gt;0,IFERROR(INDEX(Assumptions!$C$165:$D$165,MATCH(LEFT($D301,5),Job_Training[[#Headers],[Solar]:[Wind]],0)),0),0)</f>
        <v>0.10181999999999999</v>
      </c>
      <c r="AR301">
        <f>IF(AP301&gt;0,IFERROR(INDEX(Assumptions!$C$166:$D$166,MATCH(LEFT($D301,5),Job_Training[[#Headers],[Solar]:[Wind]],0)),0),0)</f>
        <v>6.1091999999999995</v>
      </c>
    </row>
    <row r="302" spans="1:44" hidden="1" x14ac:dyDescent="0.35">
      <c r="A302" t="str">
        <f>UserInput!$B$30</f>
        <v>State Policy Aligned</v>
      </c>
      <c r="B302">
        <v>2031</v>
      </c>
      <c r="C302" t="s">
        <v>41</v>
      </c>
      <c r="D302" t="s">
        <v>80</v>
      </c>
      <c r="E302" s="66">
        <f>INDEX(UserInput!$C$30:$M$50,MATCH(UserMade_Scenario!B302,UserInput!$A$30:$A$50,0),MATCH(LEFT(IF(RIGHT(C302,2)="H2",UserMade_Scenario!C302,D302),3),UserInput!$C$25:$M$25,0))</f>
        <v>8196</v>
      </c>
      <c r="F302" t="s">
        <v>81</v>
      </c>
      <c r="G302" s="14">
        <f t="shared" si="106"/>
        <v>5.8146285909320798E-2</v>
      </c>
      <c r="H302" s="63">
        <f t="shared" si="91"/>
        <v>1.9170941389215412</v>
      </c>
      <c r="I302" s="63">
        <f t="shared" si="92"/>
        <v>1.6330790032884208</v>
      </c>
      <c r="J302" s="63">
        <f t="shared" si="93"/>
        <v>2.2011092584021217</v>
      </c>
      <c r="K302" s="30">
        <f>IF(OR(LEFT($D302,5)="Solar",$D302="Wind"),INDEX(Land_Use[AVG],MATCH(LEFT($D302,5),Land_Use[Tech],0)),0)*$E302</f>
        <v>28686</v>
      </c>
      <c r="L302" s="30">
        <f>IF(OR(LEFT($D302,5)="Solar",$D302="Wind"),INDEX(Land_Use[MIN],MATCH(LEFT($D302,5),Land_Use[Tech],0)),0)*$E302</f>
        <v>22948.799999999999</v>
      </c>
      <c r="M302" s="30">
        <f>IF(OR(LEFT($D302,5)="Solar",$D302="Wind"),INDEX(Land_Use[MAX],MATCH(LEFT($D302,5),Land_Use[Tech],0)),0)*$E302</f>
        <v>34423.200000000004</v>
      </c>
      <c r="N302" s="15">
        <f t="shared" si="101"/>
        <v>0</v>
      </c>
      <c r="O302" s="11">
        <f t="shared" si="102"/>
        <v>401604</v>
      </c>
      <c r="P302" s="11">
        <f t="shared" si="103"/>
        <v>40160.399999999994</v>
      </c>
      <c r="Q302" s="11">
        <f t="shared" si="104"/>
        <v>7171500</v>
      </c>
      <c r="R302" s="11">
        <f t="shared" si="105"/>
        <v>8892.66</v>
      </c>
      <c r="S302" s="30">
        <f t="shared" si="94"/>
        <v>40.516599999999997</v>
      </c>
      <c r="T302" s="30">
        <f t="shared" si="95"/>
        <v>33.022199999999998</v>
      </c>
      <c r="U302" s="30">
        <f t="shared" si="96"/>
        <v>39.111399999999996</v>
      </c>
      <c r="V302" s="30">
        <f t="shared" si="97"/>
        <v>6.5810199999999996</v>
      </c>
      <c r="W302" s="30">
        <f t="shared" si="98"/>
        <v>119.23121999999999</v>
      </c>
      <c r="X302" s="30">
        <f t="shared" si="99"/>
        <v>7153.8731999999991</v>
      </c>
      <c r="Z302" s="23" t="s">
        <v>76</v>
      </c>
      <c r="AA302" s="40">
        <f>IF(C302="Electricity",E302*SUMIFS(Electricity!S:S,Electricity!P:P,UserMade_Scenario!B302,Electricity!M:M,UserMade_Scenario!Z302,Electricity!O:O,UserMade_Scenario!D302),"")</f>
        <v>16152542.190942792</v>
      </c>
      <c r="AB302" s="76">
        <f>1/Assumptions!$B$23/1000000000000</f>
        <v>3.5998225679871703E-9</v>
      </c>
      <c r="AC302" s="67" t="s">
        <v>82</v>
      </c>
      <c r="AD302" s="69">
        <f>INDEX(Table11[AVG
CO2e MT per MWh],MATCH(UserMade_Scenario!$B302,Table11[[Year]:[Year]],0))</f>
        <v>-0.11868683679999997</v>
      </c>
      <c r="AE302" s="69">
        <f>INDEX(Table11[MIN
CO2e MT per MWh],MATCH(UserMade_Scenario!$B302,Table11[[Year]:[Year]],0))</f>
        <v>-0.10110352810000003</v>
      </c>
      <c r="AF302" s="69">
        <f>INDEX(Table11[MAX CO2e MT per MWh],MATCH(UserMade_Scenario!$B302,Table11[[Year]:[Year]],0))</f>
        <v>-0.13627014450000005</v>
      </c>
      <c r="AG302" s="68">
        <f>IFERROR(INDEX(WaterUseH2[Average Direct Water Consumption (Gal/ kg h2)],MATCH(LEFT(D302,3),WaterUseH2[Key],0)),0)</f>
        <v>0</v>
      </c>
      <c r="AH302">
        <v>14</v>
      </c>
      <c r="AI302">
        <v>1.4</v>
      </c>
      <c r="AJ302">
        <v>250</v>
      </c>
      <c r="AK302">
        <v>0.31</v>
      </c>
      <c r="AL302" s="63">
        <f>IFERROR(INDEX(Job_Training[[Solar]:[Wind]],MATCH(AL$1,Job_Training[[`Typical Entry Level Education`]:[`Typical Entry Level Education`]],0),MATCH(LEFT($D302,5),Job_Training[[#Headers],[Solar]:[Wind]],0)),0)</f>
        <v>3.4599999999999999E-2</v>
      </c>
      <c r="AM302" s="63">
        <f>IFERROR(INDEX(Job_Training[[Solar]:[Wind]],MATCH(AM$1,Job_Training[[`Typical Entry Level Education`]:[`Typical Entry Level Education`]],0),MATCH(LEFT($D302,5),Job_Training[[#Headers],[Solar]:[Wind]],0)),0)</f>
        <v>2.8199999999999999E-2</v>
      </c>
      <c r="AN302" s="63">
        <f>IFERROR(INDEX(Job_Training[[Solar]:[Wind]],MATCH(AN$1,Job_Training[[`Typical Entry Level Education`]:[`Typical Entry Level Education`]],0),MATCH(LEFT($D302,5),Job_Training[[#Headers],[Solar]:[Wind]],0)),0)</f>
        <v>3.3399999999999999E-2</v>
      </c>
      <c r="AO302" s="63">
        <f>IFERROR(INDEX(Job_Training[[Solar]:[Wind]],MATCH(AO$1,Job_Training[[`Typical Entry Level Education`]:[`Typical Entry Level Education`]],0),MATCH(LEFT($D302,5),Job_Training[[#Headers],[Solar]:[Wind]],0)),0)</f>
        <v>5.62E-3</v>
      </c>
      <c r="AP302">
        <f t="shared" si="100"/>
        <v>1171</v>
      </c>
      <c r="AQ302" s="63">
        <f>IF(AP302&gt;0,IFERROR(INDEX(Assumptions!$C$165:$D$165,MATCH(LEFT($D302,5),Job_Training[[#Headers],[Solar]:[Wind]],0)),0),0)</f>
        <v>0.10181999999999999</v>
      </c>
      <c r="AR302">
        <f>IF(AP302&gt;0,IFERROR(INDEX(Assumptions!$C$166:$D$166,MATCH(LEFT($D302,5),Job_Training[[#Headers],[Solar]:[Wind]],0)),0),0)</f>
        <v>6.1091999999999995</v>
      </c>
    </row>
    <row r="303" spans="1:44" hidden="1" x14ac:dyDescent="0.35">
      <c r="A303" t="str">
        <f>UserInput!$B$30</f>
        <v>State Policy Aligned</v>
      </c>
      <c r="B303">
        <v>2032</v>
      </c>
      <c r="C303" t="s">
        <v>41</v>
      </c>
      <c r="D303" t="s">
        <v>80</v>
      </c>
      <c r="E303" s="66">
        <f>INDEX(UserInput!$C$30:$M$50,MATCH(UserMade_Scenario!B303,UserInput!$A$30:$A$50,0),MATCH(LEFT(IF(RIGHT(C303,2)="H2",UserMade_Scenario!C303,D303),3),UserInput!$C$25:$M$25,0))</f>
        <v>9367</v>
      </c>
      <c r="F303" t="s">
        <v>81</v>
      </c>
      <c r="G303" s="14">
        <f t="shared" si="106"/>
        <v>6.4637259229754981E-2</v>
      </c>
      <c r="H303" s="63">
        <f t="shared" si="91"/>
        <v>2.0552593396445848</v>
      </c>
      <c r="I303" s="63">
        <f t="shared" si="92"/>
        <v>1.7227713048059754</v>
      </c>
      <c r="J303" s="63">
        <f t="shared" si="93"/>
        <v>2.3877473565275178</v>
      </c>
      <c r="K303" s="30">
        <f>IF(OR(LEFT($D303,5)="Solar",$D303="Wind"),INDEX(Land_Use[AVG],MATCH(LEFT($D303,5),Land_Use[Tech],0)),0)*$E303</f>
        <v>32784.5</v>
      </c>
      <c r="L303" s="30">
        <f>IF(OR(LEFT($D303,5)="Solar",$D303="Wind"),INDEX(Land_Use[MIN],MATCH(LEFT($D303,5),Land_Use[Tech],0)),0)*$E303</f>
        <v>26227.599999999999</v>
      </c>
      <c r="M303" s="30">
        <f>IF(OR(LEFT($D303,5)="Solar",$D303="Wind"),INDEX(Land_Use[MAX],MATCH(LEFT($D303,5),Land_Use[Tech],0)),0)*$E303</f>
        <v>39341.4</v>
      </c>
      <c r="N303" s="15">
        <f t="shared" si="101"/>
        <v>0</v>
      </c>
      <c r="O303" s="11">
        <f t="shared" si="102"/>
        <v>458983</v>
      </c>
      <c r="P303" s="11">
        <f t="shared" si="103"/>
        <v>45898.299999999996</v>
      </c>
      <c r="Q303" s="11">
        <f t="shared" si="104"/>
        <v>8196125</v>
      </c>
      <c r="R303" s="11">
        <f t="shared" si="105"/>
        <v>10163.195</v>
      </c>
      <c r="S303" s="30">
        <f t="shared" si="94"/>
        <v>40.516599999999997</v>
      </c>
      <c r="T303" s="30">
        <f t="shared" si="95"/>
        <v>33.022199999999998</v>
      </c>
      <c r="U303" s="30">
        <f t="shared" si="96"/>
        <v>39.111399999999996</v>
      </c>
      <c r="V303" s="30">
        <f t="shared" si="97"/>
        <v>6.5810199999999996</v>
      </c>
      <c r="W303" s="30">
        <f t="shared" si="98"/>
        <v>119.23121999999999</v>
      </c>
      <c r="X303" s="30">
        <f t="shared" si="99"/>
        <v>7153.8731999999991</v>
      </c>
      <c r="Z303" s="23" t="s">
        <v>76</v>
      </c>
      <c r="AA303" s="40">
        <f>IF(C303="Electricity",E303*SUMIFS(Electricity!S:S,Electricity!P:P,UserMade_Scenario!B303,Electricity!M:M,UserMade_Scenario!Z303,Electricity!O:O,UserMade_Scenario!D303),"")</f>
        <v>17955679.20612729</v>
      </c>
      <c r="AB303" s="76">
        <f>1/Assumptions!$B$23/1000000000000</f>
        <v>3.5998225679871703E-9</v>
      </c>
      <c r="AC303" s="67" t="s">
        <v>82</v>
      </c>
      <c r="AD303" s="69">
        <f>INDEX(Table11[AVG
CO2e MT per MWh],MATCH(UserMade_Scenario!$B303,Table11[[Year]:[Year]],0))</f>
        <v>-0.11446291259999997</v>
      </c>
      <c r="AE303" s="69">
        <f>INDEX(Table11[MIN
CO2e MT per MWh],MATCH(UserMade_Scenario!$B303,Table11[[Year]:[Year]],0))</f>
        <v>-9.5945760950000042E-2</v>
      </c>
      <c r="AF303" s="69">
        <f>INDEX(Table11[MAX CO2e MT per MWh],MATCH(UserMade_Scenario!$B303,Table11[[Year]:[Year]],0))</f>
        <v>-0.13298006325000006</v>
      </c>
      <c r="AG303" s="68">
        <f>IFERROR(INDEX(WaterUseH2[Average Direct Water Consumption (Gal/ kg h2)],MATCH(LEFT(D303,3),WaterUseH2[Key],0)),0)</f>
        <v>0</v>
      </c>
      <c r="AH303">
        <v>14</v>
      </c>
      <c r="AI303">
        <v>1.4</v>
      </c>
      <c r="AJ303">
        <v>250</v>
      </c>
      <c r="AK303">
        <v>0.31</v>
      </c>
      <c r="AL303" s="63">
        <f>IFERROR(INDEX(Job_Training[[Solar]:[Wind]],MATCH(AL$1,Job_Training[[`Typical Entry Level Education`]:[`Typical Entry Level Education`]],0),MATCH(LEFT($D303,5),Job_Training[[#Headers],[Solar]:[Wind]],0)),0)</f>
        <v>3.4599999999999999E-2</v>
      </c>
      <c r="AM303" s="63">
        <f>IFERROR(INDEX(Job_Training[[Solar]:[Wind]],MATCH(AM$1,Job_Training[[`Typical Entry Level Education`]:[`Typical Entry Level Education`]],0),MATCH(LEFT($D303,5),Job_Training[[#Headers],[Solar]:[Wind]],0)),0)</f>
        <v>2.8199999999999999E-2</v>
      </c>
      <c r="AN303" s="63">
        <f>IFERROR(INDEX(Job_Training[[Solar]:[Wind]],MATCH(AN$1,Job_Training[[`Typical Entry Level Education`]:[`Typical Entry Level Education`]],0),MATCH(LEFT($D303,5),Job_Training[[#Headers],[Solar]:[Wind]],0)),0)</f>
        <v>3.3399999999999999E-2</v>
      </c>
      <c r="AO303" s="63">
        <f>IFERROR(INDEX(Job_Training[[Solar]:[Wind]],MATCH(AO$1,Job_Training[[`Typical Entry Level Education`]:[`Typical Entry Level Education`]],0),MATCH(LEFT($D303,5),Job_Training[[#Headers],[Solar]:[Wind]],0)),0)</f>
        <v>5.62E-3</v>
      </c>
      <c r="AP303">
        <f t="shared" si="100"/>
        <v>1171</v>
      </c>
      <c r="AQ303" s="63">
        <f>IF(AP303&gt;0,IFERROR(INDEX(Assumptions!$C$165:$D$165,MATCH(LEFT($D303,5),Job_Training[[#Headers],[Solar]:[Wind]],0)),0),0)</f>
        <v>0.10181999999999999</v>
      </c>
      <c r="AR303">
        <f>IF(AP303&gt;0,IFERROR(INDEX(Assumptions!$C$166:$D$166,MATCH(LEFT($D303,5),Job_Training[[#Headers],[Solar]:[Wind]],0)),0),0)</f>
        <v>6.1091999999999995</v>
      </c>
    </row>
    <row r="304" spans="1:44" hidden="1" x14ac:dyDescent="0.35">
      <c r="A304" t="str">
        <f>UserInput!$B$30</f>
        <v>State Policy Aligned</v>
      </c>
      <c r="B304">
        <v>2033</v>
      </c>
      <c r="C304" t="s">
        <v>41</v>
      </c>
      <c r="D304" t="s">
        <v>80</v>
      </c>
      <c r="E304" s="66">
        <f>INDEX(UserInput!$C$30:$M$50,MATCH(UserMade_Scenario!B304,UserInput!$A$30:$A$50,0),MATCH(LEFT(IF(RIGHT(C304,2)="H2",UserMade_Scenario!C304,D304),3),UserInput!$C$25:$M$25,0))</f>
        <v>10538</v>
      </c>
      <c r="F304" t="s">
        <v>81</v>
      </c>
      <c r="G304" s="14">
        <f t="shared" si="106"/>
        <v>7.0674020952696898E-2</v>
      </c>
      <c r="H304" s="63">
        <f t="shared" si="91"/>
        <v>2.1642823858238214</v>
      </c>
      <c r="I304" s="63">
        <f t="shared" si="92"/>
        <v>1.7824080089764547</v>
      </c>
      <c r="J304" s="63">
        <f t="shared" si="93"/>
        <v>2.5461567430385519</v>
      </c>
      <c r="K304" s="30">
        <f>IF(OR(LEFT($D304,5)="Solar",$D304="Wind"),INDEX(Land_Use[AVG],MATCH(LEFT($D304,5),Land_Use[Tech],0)),0)*$E304</f>
        <v>36883</v>
      </c>
      <c r="L304" s="30">
        <f>IF(OR(LEFT($D304,5)="Solar",$D304="Wind"),INDEX(Land_Use[MIN],MATCH(LEFT($D304,5),Land_Use[Tech],0)),0)*$E304</f>
        <v>29506.399999999998</v>
      </c>
      <c r="M304" s="30">
        <f>IF(OR(LEFT($D304,5)="Solar",$D304="Wind"),INDEX(Land_Use[MAX],MATCH(LEFT($D304,5),Land_Use[Tech],0)),0)*$E304</f>
        <v>44259.6</v>
      </c>
      <c r="N304" s="15">
        <f t="shared" si="101"/>
        <v>0</v>
      </c>
      <c r="O304" s="11">
        <f t="shared" si="102"/>
        <v>516362</v>
      </c>
      <c r="P304" s="11">
        <f t="shared" si="103"/>
        <v>51636.2</v>
      </c>
      <c r="Q304" s="11">
        <f t="shared" si="104"/>
        <v>9220750</v>
      </c>
      <c r="R304" s="11">
        <f t="shared" si="105"/>
        <v>11433.73</v>
      </c>
      <c r="S304" s="30">
        <f t="shared" si="94"/>
        <v>40.516599999999997</v>
      </c>
      <c r="T304" s="30">
        <f t="shared" si="95"/>
        <v>33.022199999999998</v>
      </c>
      <c r="U304" s="30">
        <f t="shared" si="96"/>
        <v>39.111399999999996</v>
      </c>
      <c r="V304" s="30">
        <f t="shared" si="97"/>
        <v>6.5810199999999996</v>
      </c>
      <c r="W304" s="30">
        <f t="shared" si="98"/>
        <v>119.23121999999999</v>
      </c>
      <c r="X304" s="30">
        <f t="shared" si="99"/>
        <v>7153.8731999999991</v>
      </c>
      <c r="Z304" s="23" t="s">
        <v>76</v>
      </c>
      <c r="AA304" s="40">
        <f>IF(C304="Electricity",E304*SUMIFS(Electricity!S:S,Electricity!P:P,UserMade_Scenario!B304,Electricity!M:M,UserMade_Scenario!Z304,Electricity!O:O,UserMade_Scenario!D304),"")</f>
        <v>19632640.114319317</v>
      </c>
      <c r="AB304" s="76">
        <f>1/Assumptions!$B$23/1000000000000</f>
        <v>3.5998225679871703E-9</v>
      </c>
      <c r="AC304" s="67" t="s">
        <v>82</v>
      </c>
      <c r="AD304" s="69">
        <f>INDEX(Table11[AVG
CO2e MT per MWh],MATCH(UserMade_Scenario!$B304,Table11[[Year]:[Year]],0))</f>
        <v>-0.11023898839999996</v>
      </c>
      <c r="AE304" s="69">
        <f>INDEX(Table11[MIN
CO2e MT per MWh],MATCH(UserMade_Scenario!$B304,Table11[[Year]:[Year]],0))</f>
        <v>-9.078799380000005E-2</v>
      </c>
      <c r="AF304" s="69">
        <f>INDEX(Table11[MAX CO2e MT per MWh],MATCH(UserMade_Scenario!$B304,Table11[[Year]:[Year]],0))</f>
        <v>-0.12968998200000006</v>
      </c>
      <c r="AG304" s="68">
        <f>IFERROR(INDEX(WaterUseH2[Average Direct Water Consumption (Gal/ kg h2)],MATCH(LEFT(D304,3),WaterUseH2[Key],0)),0)</f>
        <v>0</v>
      </c>
      <c r="AH304">
        <v>14</v>
      </c>
      <c r="AI304">
        <v>1.4</v>
      </c>
      <c r="AJ304">
        <v>250</v>
      </c>
      <c r="AK304">
        <v>0.31</v>
      </c>
      <c r="AL304" s="63">
        <f>IFERROR(INDEX(Job_Training[[Solar]:[Wind]],MATCH(AL$1,Job_Training[[`Typical Entry Level Education`]:[`Typical Entry Level Education`]],0),MATCH(LEFT($D304,5),Job_Training[[#Headers],[Solar]:[Wind]],0)),0)</f>
        <v>3.4599999999999999E-2</v>
      </c>
      <c r="AM304" s="63">
        <f>IFERROR(INDEX(Job_Training[[Solar]:[Wind]],MATCH(AM$1,Job_Training[[`Typical Entry Level Education`]:[`Typical Entry Level Education`]],0),MATCH(LEFT($D304,5),Job_Training[[#Headers],[Solar]:[Wind]],0)),0)</f>
        <v>2.8199999999999999E-2</v>
      </c>
      <c r="AN304" s="63">
        <f>IFERROR(INDEX(Job_Training[[Solar]:[Wind]],MATCH(AN$1,Job_Training[[`Typical Entry Level Education`]:[`Typical Entry Level Education`]],0),MATCH(LEFT($D304,5),Job_Training[[#Headers],[Solar]:[Wind]],0)),0)</f>
        <v>3.3399999999999999E-2</v>
      </c>
      <c r="AO304" s="63">
        <f>IFERROR(INDEX(Job_Training[[Solar]:[Wind]],MATCH(AO$1,Job_Training[[`Typical Entry Level Education`]:[`Typical Entry Level Education`]],0),MATCH(LEFT($D304,5),Job_Training[[#Headers],[Solar]:[Wind]],0)),0)</f>
        <v>5.62E-3</v>
      </c>
      <c r="AP304">
        <f t="shared" si="100"/>
        <v>1171</v>
      </c>
      <c r="AQ304" s="63">
        <f>IF(AP304&gt;0,IFERROR(INDEX(Assumptions!$C$165:$D$165,MATCH(LEFT($D304,5),Job_Training[[#Headers],[Solar]:[Wind]],0)),0),0)</f>
        <v>0.10181999999999999</v>
      </c>
      <c r="AR304">
        <f>IF(AP304&gt;0,IFERROR(INDEX(Assumptions!$C$166:$D$166,MATCH(LEFT($D304,5),Job_Training[[#Headers],[Solar]:[Wind]],0)),0),0)</f>
        <v>6.1091999999999995</v>
      </c>
    </row>
    <row r="305" spans="1:44" hidden="1" x14ac:dyDescent="0.35">
      <c r="A305" t="str">
        <f>UserInput!$B$30</f>
        <v>State Policy Aligned</v>
      </c>
      <c r="B305">
        <v>2034</v>
      </c>
      <c r="C305" t="s">
        <v>41</v>
      </c>
      <c r="D305" t="s">
        <v>80</v>
      </c>
      <c r="E305" s="66">
        <f>INDEX(UserInput!$C$30:$M$50,MATCH(UserMade_Scenario!B305,UserInput!$A$30:$A$50,0),MATCH(LEFT(IF(RIGHT(C305,2)="H2",UserMade_Scenario!C305,D305),3),UserInput!$C$25:$M$25,0))</f>
        <v>11709</v>
      </c>
      <c r="F305" t="s">
        <v>81</v>
      </c>
      <c r="G305" s="14">
        <f t="shared" si="106"/>
        <v>7.6256571078146596E-2</v>
      </c>
      <c r="H305" s="63">
        <f t="shared" si="91"/>
        <v>2.245762152394613</v>
      </c>
      <c r="I305" s="63">
        <f t="shared" si="92"/>
        <v>1.8139414767391404</v>
      </c>
      <c r="J305" s="63">
        <f t="shared" si="93"/>
        <v>2.6775828068666656</v>
      </c>
      <c r="K305" s="30">
        <f>IF(OR(LEFT($D305,5)="Solar",$D305="Wind"),INDEX(Land_Use[AVG],MATCH(LEFT($D305,5),Land_Use[Tech],0)),0)*$E305</f>
        <v>40981.5</v>
      </c>
      <c r="L305" s="30">
        <f>IF(OR(LEFT($D305,5)="Solar",$D305="Wind"),INDEX(Land_Use[MIN],MATCH(LEFT($D305,5),Land_Use[Tech],0)),0)*$E305</f>
        <v>32785.199999999997</v>
      </c>
      <c r="M305" s="30">
        <f>IF(OR(LEFT($D305,5)="Solar",$D305="Wind"),INDEX(Land_Use[MAX],MATCH(LEFT($D305,5),Land_Use[Tech],0)),0)*$E305</f>
        <v>49177.8</v>
      </c>
      <c r="N305" s="15">
        <f t="shared" si="101"/>
        <v>0</v>
      </c>
      <c r="O305" s="11">
        <f t="shared" si="102"/>
        <v>573741</v>
      </c>
      <c r="P305" s="11">
        <f t="shared" si="103"/>
        <v>57374.1</v>
      </c>
      <c r="Q305" s="11">
        <f t="shared" si="104"/>
        <v>10245375</v>
      </c>
      <c r="R305" s="11">
        <f t="shared" si="105"/>
        <v>12704.264999999999</v>
      </c>
      <c r="S305" s="30">
        <f t="shared" si="94"/>
        <v>40.516599999999997</v>
      </c>
      <c r="T305" s="30">
        <f t="shared" si="95"/>
        <v>33.022199999999998</v>
      </c>
      <c r="U305" s="30">
        <f t="shared" si="96"/>
        <v>39.111399999999996</v>
      </c>
      <c r="V305" s="30">
        <f t="shared" si="97"/>
        <v>6.5810199999999996</v>
      </c>
      <c r="W305" s="30">
        <f t="shared" si="98"/>
        <v>119.23121999999999</v>
      </c>
      <c r="X305" s="30">
        <f t="shared" si="99"/>
        <v>7153.8731999999991</v>
      </c>
      <c r="Z305" s="23" t="s">
        <v>76</v>
      </c>
      <c r="AA305" s="40">
        <f>IF(C305="Electricity",E305*SUMIFS(Electricity!S:S,Electricity!P:P,UserMade_Scenario!B305,Electricity!M:M,UserMade_Scenario!Z305,Electricity!O:O,UserMade_Scenario!D305),"")</f>
        <v>21183424.915518884</v>
      </c>
      <c r="AB305" s="76">
        <f>1/Assumptions!$B$23/1000000000000</f>
        <v>3.5998225679871703E-9</v>
      </c>
      <c r="AC305" s="67" t="s">
        <v>82</v>
      </c>
      <c r="AD305" s="69">
        <f>INDEX(Table11[AVG
CO2e MT per MWh],MATCH(UserMade_Scenario!$B305,Table11[[Year]:[Year]],0))</f>
        <v>-0.10601506419999995</v>
      </c>
      <c r="AE305" s="69">
        <f>INDEX(Table11[MIN
CO2e MT per MWh],MATCH(UserMade_Scenario!$B305,Table11[[Year]:[Year]],0))</f>
        <v>-8.5630226650000058E-2</v>
      </c>
      <c r="AF305" s="69">
        <f>INDEX(Table11[MAX CO2e MT per MWh],MATCH(UserMade_Scenario!$B305,Table11[[Year]:[Year]],0))</f>
        <v>-0.12639990075000007</v>
      </c>
      <c r="AG305" s="68">
        <f>IFERROR(INDEX(WaterUseH2[Average Direct Water Consumption (Gal/ kg h2)],MATCH(LEFT(D305,3),WaterUseH2[Key],0)),0)</f>
        <v>0</v>
      </c>
      <c r="AH305">
        <v>14</v>
      </c>
      <c r="AI305">
        <v>1.4</v>
      </c>
      <c r="AJ305">
        <v>250</v>
      </c>
      <c r="AK305">
        <v>0.31</v>
      </c>
      <c r="AL305" s="63">
        <f>IFERROR(INDEX(Job_Training[[Solar]:[Wind]],MATCH(AL$1,Job_Training[[`Typical Entry Level Education`]:[`Typical Entry Level Education`]],0),MATCH(LEFT($D305,5),Job_Training[[#Headers],[Solar]:[Wind]],0)),0)</f>
        <v>3.4599999999999999E-2</v>
      </c>
      <c r="AM305" s="63">
        <f>IFERROR(INDEX(Job_Training[[Solar]:[Wind]],MATCH(AM$1,Job_Training[[`Typical Entry Level Education`]:[`Typical Entry Level Education`]],0),MATCH(LEFT($D305,5),Job_Training[[#Headers],[Solar]:[Wind]],0)),0)</f>
        <v>2.8199999999999999E-2</v>
      </c>
      <c r="AN305" s="63">
        <f>IFERROR(INDEX(Job_Training[[Solar]:[Wind]],MATCH(AN$1,Job_Training[[`Typical Entry Level Education`]:[`Typical Entry Level Education`]],0),MATCH(LEFT($D305,5),Job_Training[[#Headers],[Solar]:[Wind]],0)),0)</f>
        <v>3.3399999999999999E-2</v>
      </c>
      <c r="AO305" s="63">
        <f>IFERROR(INDEX(Job_Training[[Solar]:[Wind]],MATCH(AO$1,Job_Training[[`Typical Entry Level Education`]:[`Typical Entry Level Education`]],0),MATCH(LEFT($D305,5),Job_Training[[#Headers],[Solar]:[Wind]],0)),0)</f>
        <v>5.62E-3</v>
      </c>
      <c r="AP305">
        <f t="shared" si="100"/>
        <v>1171</v>
      </c>
      <c r="AQ305" s="63">
        <f>IF(AP305&gt;0,IFERROR(INDEX(Assumptions!$C$165:$D$165,MATCH(LEFT($D305,5),Job_Training[[#Headers],[Solar]:[Wind]],0)),0),0)</f>
        <v>0.10181999999999999</v>
      </c>
      <c r="AR305">
        <f>IF(AP305&gt;0,IFERROR(INDEX(Assumptions!$C$166:$D$166,MATCH(LEFT($D305,5),Job_Training[[#Headers],[Solar]:[Wind]],0)),0),0)</f>
        <v>6.1091999999999995</v>
      </c>
    </row>
    <row r="306" spans="1:44" hidden="1" x14ac:dyDescent="0.35">
      <c r="A306" t="str">
        <f>UserInput!$B$30</f>
        <v>State Policy Aligned</v>
      </c>
      <c r="B306">
        <v>2035</v>
      </c>
      <c r="C306" t="s">
        <v>41</v>
      </c>
      <c r="D306" t="s">
        <v>80</v>
      </c>
      <c r="E306" s="66">
        <f>INDEX(UserInput!$C$30:$M$50,MATCH(UserMade_Scenario!B306,UserInput!$A$30:$A$50,0),MATCH(LEFT(IF(RIGHT(C306,2)="H2",UserMade_Scenario!C306,D306),3),UserInput!$C$25:$M$25,0))</f>
        <v>12880</v>
      </c>
      <c r="F306" t="s">
        <v>81</v>
      </c>
      <c r="G306" s="14">
        <f t="shared" si="106"/>
        <v>8.1384909606104033E-2</v>
      </c>
      <c r="H306" s="63">
        <f t="shared" si="91"/>
        <v>2.3012975142923215</v>
      </c>
      <c r="I306" s="63">
        <f t="shared" si="92"/>
        <v>1.8193240690333143</v>
      </c>
      <c r="J306" s="63">
        <f t="shared" si="93"/>
        <v>2.7832709369433006</v>
      </c>
      <c r="K306" s="30">
        <f>IF(OR(LEFT($D306,5)="Solar",$D306="Wind"),INDEX(Land_Use[AVG],MATCH(LEFT($D306,5),Land_Use[Tech],0)),0)*$E306</f>
        <v>45080</v>
      </c>
      <c r="L306" s="30">
        <f>IF(OR(LEFT($D306,5)="Solar",$D306="Wind"),INDEX(Land_Use[MIN],MATCH(LEFT($D306,5),Land_Use[Tech],0)),0)*$E306</f>
        <v>36064</v>
      </c>
      <c r="M306" s="30">
        <f>IF(OR(LEFT($D306,5)="Solar",$D306="Wind"),INDEX(Land_Use[MAX],MATCH(LEFT($D306,5),Land_Use[Tech],0)),0)*$E306</f>
        <v>54096</v>
      </c>
      <c r="N306" s="15">
        <f t="shared" si="101"/>
        <v>0</v>
      </c>
      <c r="O306" s="11">
        <f t="shared" si="102"/>
        <v>631120</v>
      </c>
      <c r="P306" s="11">
        <f t="shared" si="103"/>
        <v>63111.999999999993</v>
      </c>
      <c r="Q306" s="11">
        <f t="shared" si="104"/>
        <v>11270000</v>
      </c>
      <c r="R306" s="11">
        <f t="shared" si="105"/>
        <v>13974.8</v>
      </c>
      <c r="S306" s="30">
        <f t="shared" si="94"/>
        <v>40.516599999999997</v>
      </c>
      <c r="T306" s="30">
        <f t="shared" si="95"/>
        <v>33.022199999999998</v>
      </c>
      <c r="U306" s="30">
        <f t="shared" si="96"/>
        <v>39.111399999999996</v>
      </c>
      <c r="V306" s="30">
        <f t="shared" si="97"/>
        <v>6.5810199999999996</v>
      </c>
      <c r="W306" s="30">
        <f t="shared" si="98"/>
        <v>119.23121999999999</v>
      </c>
      <c r="X306" s="30">
        <f t="shared" si="99"/>
        <v>7153.8731999999991</v>
      </c>
      <c r="Z306" s="23" t="s">
        <v>76</v>
      </c>
      <c r="AA306" s="40">
        <f>IF(C306="Electricity",E306*SUMIFS(Electricity!S:S,Electricity!P:P,UserMade_Scenario!B306,Electricity!M:M,UserMade_Scenario!Z306,Electricity!O:O,UserMade_Scenario!D306),"")</f>
        <v>22608033.609725982</v>
      </c>
      <c r="AB306" s="76">
        <f>1/Assumptions!$B$23/1000000000000</f>
        <v>3.5998225679871703E-9</v>
      </c>
      <c r="AC306" s="67" t="s">
        <v>82</v>
      </c>
      <c r="AD306" s="69">
        <f>INDEX(Table11[AVG
CO2e MT per MWh],MATCH(UserMade_Scenario!$B306,Table11[[Year]:[Year]],0))</f>
        <v>-0.10179113999999995</v>
      </c>
      <c r="AE306" s="69">
        <f>INDEX(Table11[MIN
CO2e MT per MWh],MATCH(UserMade_Scenario!$B306,Table11[[Year]:[Year]],0))</f>
        <v>-8.0472459500000065E-2</v>
      </c>
      <c r="AF306" s="69">
        <f>INDEX(Table11[MAX CO2e MT per MWh],MATCH(UserMade_Scenario!$B306,Table11[[Year]:[Year]],0))</f>
        <v>-0.12310981950000006</v>
      </c>
      <c r="AG306" s="68">
        <f>IFERROR(INDEX(WaterUseH2[Average Direct Water Consumption (Gal/ kg h2)],MATCH(LEFT(D306,3),WaterUseH2[Key],0)),0)</f>
        <v>0</v>
      </c>
      <c r="AH306">
        <v>14</v>
      </c>
      <c r="AI306">
        <v>1.4</v>
      </c>
      <c r="AJ306">
        <v>250</v>
      </c>
      <c r="AK306">
        <v>0.31</v>
      </c>
      <c r="AL306" s="63">
        <f>IFERROR(INDEX(Job_Training[[Solar]:[Wind]],MATCH(AL$1,Job_Training[[`Typical Entry Level Education`]:[`Typical Entry Level Education`]],0),MATCH(LEFT($D306,5),Job_Training[[#Headers],[Solar]:[Wind]],0)),0)</f>
        <v>3.4599999999999999E-2</v>
      </c>
      <c r="AM306" s="63">
        <f>IFERROR(INDEX(Job_Training[[Solar]:[Wind]],MATCH(AM$1,Job_Training[[`Typical Entry Level Education`]:[`Typical Entry Level Education`]],0),MATCH(LEFT($D306,5),Job_Training[[#Headers],[Solar]:[Wind]],0)),0)</f>
        <v>2.8199999999999999E-2</v>
      </c>
      <c r="AN306" s="63">
        <f>IFERROR(INDEX(Job_Training[[Solar]:[Wind]],MATCH(AN$1,Job_Training[[`Typical Entry Level Education`]:[`Typical Entry Level Education`]],0),MATCH(LEFT($D306,5),Job_Training[[#Headers],[Solar]:[Wind]],0)),0)</f>
        <v>3.3399999999999999E-2</v>
      </c>
      <c r="AO306" s="63">
        <f>IFERROR(INDEX(Job_Training[[Solar]:[Wind]],MATCH(AO$1,Job_Training[[`Typical Entry Level Education`]:[`Typical Entry Level Education`]],0),MATCH(LEFT($D306,5),Job_Training[[#Headers],[Solar]:[Wind]],0)),0)</f>
        <v>5.62E-3</v>
      </c>
      <c r="AP306">
        <f t="shared" si="100"/>
        <v>1171</v>
      </c>
      <c r="AQ306" s="63">
        <f>IF(AP306&gt;0,IFERROR(INDEX(Assumptions!$C$165:$D$165,MATCH(LEFT($D306,5),Job_Training[[#Headers],[Solar]:[Wind]],0)),0),0)</f>
        <v>0.10181999999999999</v>
      </c>
      <c r="AR306">
        <f>IF(AP306&gt;0,IFERROR(INDEX(Assumptions!$C$166:$D$166,MATCH(LEFT($D306,5),Job_Training[[#Headers],[Solar]:[Wind]],0)),0),0)</f>
        <v>6.1091999999999995</v>
      </c>
    </row>
    <row r="307" spans="1:44" hidden="1" x14ac:dyDescent="0.35">
      <c r="A307" t="str">
        <f>UserInput!$B$30</f>
        <v>State Policy Aligned</v>
      </c>
      <c r="B307">
        <v>2036</v>
      </c>
      <c r="C307" t="s">
        <v>41</v>
      </c>
      <c r="D307" t="s">
        <v>80</v>
      </c>
      <c r="E307" s="66">
        <f>INDEX(UserInput!$C$30:$M$50,MATCH(UserMade_Scenario!B307,UserInput!$A$30:$A$50,0),MATCH(LEFT(IF(RIGHT(C307,2)="H2",UserMade_Scenario!C307,D307),3),UserInput!$C$25:$M$25,0))</f>
        <v>14051</v>
      </c>
      <c r="F307" t="s">
        <v>81</v>
      </c>
      <c r="G307" s="14">
        <f t="shared" si="106"/>
        <v>8.6059036536569253E-2</v>
      </c>
      <c r="H307" s="63">
        <f t="shared" si="91"/>
        <v>2.332487346452309</v>
      </c>
      <c r="I307" s="63">
        <f t="shared" si="92"/>
        <v>1.8005081467982589</v>
      </c>
      <c r="J307" s="63">
        <f t="shared" si="93"/>
        <v>2.8644665221998991</v>
      </c>
      <c r="K307" s="30">
        <f>IF(OR(LEFT($D307,5)="Solar",$D307="Wind"),INDEX(Land_Use[AVG],MATCH(LEFT($D307,5),Land_Use[Tech],0)),0)*$E307</f>
        <v>49178.5</v>
      </c>
      <c r="L307" s="30">
        <f>IF(OR(LEFT($D307,5)="Solar",$D307="Wind"),INDEX(Land_Use[MIN],MATCH(LEFT($D307,5),Land_Use[Tech],0)),0)*$E307</f>
        <v>39342.799999999996</v>
      </c>
      <c r="M307" s="30">
        <f>IF(OR(LEFT($D307,5)="Solar",$D307="Wind"),INDEX(Land_Use[MAX],MATCH(LEFT($D307,5),Land_Use[Tech],0)),0)*$E307</f>
        <v>59014.200000000004</v>
      </c>
      <c r="N307" s="15">
        <f t="shared" si="101"/>
        <v>0</v>
      </c>
      <c r="O307" s="11">
        <f t="shared" si="102"/>
        <v>688499</v>
      </c>
      <c r="P307" s="11">
        <f t="shared" si="103"/>
        <v>68849.899999999994</v>
      </c>
      <c r="Q307" s="11">
        <f t="shared" si="104"/>
        <v>12294625</v>
      </c>
      <c r="R307" s="11">
        <f t="shared" si="105"/>
        <v>15245.334999999999</v>
      </c>
      <c r="S307" s="30">
        <f t="shared" si="94"/>
        <v>40.516599999999997</v>
      </c>
      <c r="T307" s="30">
        <f t="shared" si="95"/>
        <v>33.022199999999998</v>
      </c>
      <c r="U307" s="30">
        <f t="shared" si="96"/>
        <v>39.111399999999996</v>
      </c>
      <c r="V307" s="30">
        <f t="shared" si="97"/>
        <v>6.5810199999999996</v>
      </c>
      <c r="W307" s="30">
        <f t="shared" si="98"/>
        <v>119.23121999999999</v>
      </c>
      <c r="X307" s="30">
        <f t="shared" si="99"/>
        <v>7153.8731999999991</v>
      </c>
      <c r="Z307" s="23" t="s">
        <v>76</v>
      </c>
      <c r="AA307" s="40">
        <f>IF(C307="Electricity",E307*SUMIFS(Electricity!S:S,Electricity!P:P,UserMade_Scenario!B307,Electricity!M:M,UserMade_Scenario!Z307,Electricity!O:O,UserMade_Scenario!D307),"")</f>
        <v>23906466.196940616</v>
      </c>
      <c r="AB307" s="76">
        <f>1/Assumptions!$B$23/1000000000000</f>
        <v>3.5998225679871703E-9</v>
      </c>
      <c r="AC307" s="67" t="s">
        <v>82</v>
      </c>
      <c r="AD307" s="69">
        <f>INDEX(Table11[AVG
CO2e MT per MWh],MATCH(UserMade_Scenario!$B307,Table11[[Year]:[Year]],0))</f>
        <v>-9.756721579999994E-2</v>
      </c>
      <c r="AE307" s="69">
        <f>INDEX(Table11[MIN
CO2e MT per MWh],MATCH(UserMade_Scenario!$B307,Table11[[Year]:[Year]],0))</f>
        <v>-7.5314692350000073E-2</v>
      </c>
      <c r="AF307" s="69">
        <f>INDEX(Table11[MAX CO2e MT per MWh],MATCH(UserMade_Scenario!$B307,Table11[[Year]:[Year]],0))</f>
        <v>-0.11981973825000006</v>
      </c>
      <c r="AG307" s="68">
        <f>IFERROR(INDEX(WaterUseH2[Average Direct Water Consumption (Gal/ kg h2)],MATCH(LEFT(D307,3),WaterUseH2[Key],0)),0)</f>
        <v>0</v>
      </c>
      <c r="AH307">
        <v>14</v>
      </c>
      <c r="AI307">
        <v>1.4</v>
      </c>
      <c r="AJ307">
        <v>250</v>
      </c>
      <c r="AK307">
        <v>0.31</v>
      </c>
      <c r="AL307" s="63">
        <f>IFERROR(INDEX(Job_Training[[Solar]:[Wind]],MATCH(AL$1,Job_Training[[`Typical Entry Level Education`]:[`Typical Entry Level Education`]],0),MATCH(LEFT($D307,5),Job_Training[[#Headers],[Solar]:[Wind]],0)),0)</f>
        <v>3.4599999999999999E-2</v>
      </c>
      <c r="AM307" s="63">
        <f>IFERROR(INDEX(Job_Training[[Solar]:[Wind]],MATCH(AM$1,Job_Training[[`Typical Entry Level Education`]:[`Typical Entry Level Education`]],0),MATCH(LEFT($D307,5),Job_Training[[#Headers],[Solar]:[Wind]],0)),0)</f>
        <v>2.8199999999999999E-2</v>
      </c>
      <c r="AN307" s="63">
        <f>IFERROR(INDEX(Job_Training[[Solar]:[Wind]],MATCH(AN$1,Job_Training[[`Typical Entry Level Education`]:[`Typical Entry Level Education`]],0),MATCH(LEFT($D307,5),Job_Training[[#Headers],[Solar]:[Wind]],0)),0)</f>
        <v>3.3399999999999999E-2</v>
      </c>
      <c r="AO307" s="63">
        <f>IFERROR(INDEX(Job_Training[[Solar]:[Wind]],MATCH(AO$1,Job_Training[[`Typical Entry Level Education`]:[`Typical Entry Level Education`]],0),MATCH(LEFT($D307,5),Job_Training[[#Headers],[Solar]:[Wind]],0)),0)</f>
        <v>5.62E-3</v>
      </c>
      <c r="AP307">
        <f t="shared" si="100"/>
        <v>1171</v>
      </c>
      <c r="AQ307" s="63">
        <f>IF(AP307&gt;0,IFERROR(INDEX(Assumptions!$C$165:$D$165,MATCH(LEFT($D307,5),Job_Training[[#Headers],[Solar]:[Wind]],0)),0),0)</f>
        <v>0.10181999999999999</v>
      </c>
      <c r="AR307">
        <f>IF(AP307&gt;0,IFERROR(INDEX(Assumptions!$C$166:$D$166,MATCH(LEFT($D307,5),Job_Training[[#Headers],[Solar]:[Wind]],0)),0),0)</f>
        <v>6.1091999999999995</v>
      </c>
    </row>
    <row r="308" spans="1:44" hidden="1" x14ac:dyDescent="0.35">
      <c r="A308" t="str">
        <f>UserInput!$B$30</f>
        <v>State Policy Aligned</v>
      </c>
      <c r="B308">
        <v>2037</v>
      </c>
      <c r="C308" t="s">
        <v>41</v>
      </c>
      <c r="D308" t="s">
        <v>80</v>
      </c>
      <c r="E308" s="66">
        <f>INDEX(UserInput!$C$30:$M$50,MATCH(UserMade_Scenario!B308,UserInput!$A$30:$A$50,0),MATCH(LEFT(IF(RIGHT(C308,2)="H2",UserMade_Scenario!C308,D308),3),UserInput!$C$25:$M$25,0))</f>
        <v>15221</v>
      </c>
      <c r="F308" t="s">
        <v>81</v>
      </c>
      <c r="G308" s="14">
        <f t="shared" si="106"/>
        <v>9.0273021048896465E-2</v>
      </c>
      <c r="H308" s="63">
        <f t="shared" si="91"/>
        <v>2.3407767378078468</v>
      </c>
      <c r="I308" s="63">
        <f t="shared" si="92"/>
        <v>1.7593304852374139</v>
      </c>
      <c r="J308" s="63">
        <f t="shared" si="93"/>
        <v>2.9222229653012111</v>
      </c>
      <c r="K308" s="30">
        <f>IF(OR(LEFT($D308,5)="Solar",$D308="Wind"),INDEX(Land_Use[AVG],MATCH(LEFT($D308,5),Land_Use[Tech],0)),0)*$E308</f>
        <v>53273.5</v>
      </c>
      <c r="L308" s="30">
        <f>IF(OR(LEFT($D308,5)="Solar",$D308="Wind"),INDEX(Land_Use[MIN],MATCH(LEFT($D308,5),Land_Use[Tech],0)),0)*$E308</f>
        <v>42618.799999999996</v>
      </c>
      <c r="M308" s="30">
        <f>IF(OR(LEFT($D308,5)="Solar",$D308="Wind"),INDEX(Land_Use[MAX],MATCH(LEFT($D308,5),Land_Use[Tech],0)),0)*$E308</f>
        <v>63928.200000000004</v>
      </c>
      <c r="N308" s="15">
        <f t="shared" si="101"/>
        <v>0</v>
      </c>
      <c r="O308" s="11">
        <f t="shared" si="102"/>
        <v>745829</v>
      </c>
      <c r="P308" s="11">
        <f t="shared" si="103"/>
        <v>74582.899999999994</v>
      </c>
      <c r="Q308" s="11">
        <f t="shared" si="104"/>
        <v>13318375</v>
      </c>
      <c r="R308" s="11">
        <f t="shared" si="105"/>
        <v>16514.785</v>
      </c>
      <c r="S308" s="30">
        <f t="shared" si="94"/>
        <v>40.481999999999999</v>
      </c>
      <c r="T308" s="30">
        <f t="shared" si="95"/>
        <v>32.994</v>
      </c>
      <c r="U308" s="30">
        <f t="shared" si="96"/>
        <v>39.077999999999996</v>
      </c>
      <c r="V308" s="30">
        <f t="shared" si="97"/>
        <v>6.5754000000000001</v>
      </c>
      <c r="W308" s="30">
        <f t="shared" si="98"/>
        <v>119.12939999999999</v>
      </c>
      <c r="X308" s="30">
        <f t="shared" si="99"/>
        <v>7147.7639999999992</v>
      </c>
      <c r="Z308" s="23" t="s">
        <v>76</v>
      </c>
      <c r="AA308" s="40">
        <f>IF(C308="Electricity",E308*SUMIFS(Electricity!S:S,Electricity!P:P,UserMade_Scenario!B308,Electricity!M:M,UserMade_Scenario!Z308,Electricity!O:O,UserMade_Scenario!D308),"")</f>
        <v>25077075.145782072</v>
      </c>
      <c r="AB308" s="76">
        <f>1/Assumptions!$B$23/1000000000000</f>
        <v>3.5998225679871703E-9</v>
      </c>
      <c r="AC308" s="67" t="s">
        <v>82</v>
      </c>
      <c r="AD308" s="69">
        <f>INDEX(Table11[AVG
CO2e MT per MWh],MATCH(UserMade_Scenario!$B308,Table11[[Year]:[Year]],0))</f>
        <v>-9.3343291599999934E-2</v>
      </c>
      <c r="AE308" s="69">
        <f>INDEX(Table11[MIN
CO2e MT per MWh],MATCH(UserMade_Scenario!$B308,Table11[[Year]:[Year]],0))</f>
        <v>-7.0156925200000081E-2</v>
      </c>
      <c r="AF308" s="69">
        <f>INDEX(Table11[MAX CO2e MT per MWh],MATCH(UserMade_Scenario!$B308,Table11[[Year]:[Year]],0))</f>
        <v>-0.11652965700000005</v>
      </c>
      <c r="AG308" s="68">
        <f>IFERROR(INDEX(WaterUseH2[Average Direct Water Consumption (Gal/ kg h2)],MATCH(LEFT(D308,3),WaterUseH2[Key],0)),0)</f>
        <v>0</v>
      </c>
      <c r="AH308">
        <v>14</v>
      </c>
      <c r="AI308">
        <v>1.4</v>
      </c>
      <c r="AJ308">
        <v>250</v>
      </c>
      <c r="AK308">
        <v>0.31</v>
      </c>
      <c r="AL308" s="63">
        <f>IFERROR(INDEX(Job_Training[[Solar]:[Wind]],MATCH(AL$1,Job_Training[[`Typical Entry Level Education`]:[`Typical Entry Level Education`]],0),MATCH(LEFT($D308,5),Job_Training[[#Headers],[Solar]:[Wind]],0)),0)</f>
        <v>3.4599999999999999E-2</v>
      </c>
      <c r="AM308" s="63">
        <f>IFERROR(INDEX(Job_Training[[Solar]:[Wind]],MATCH(AM$1,Job_Training[[`Typical Entry Level Education`]:[`Typical Entry Level Education`]],0),MATCH(LEFT($D308,5),Job_Training[[#Headers],[Solar]:[Wind]],0)),0)</f>
        <v>2.8199999999999999E-2</v>
      </c>
      <c r="AN308" s="63">
        <f>IFERROR(INDEX(Job_Training[[Solar]:[Wind]],MATCH(AN$1,Job_Training[[`Typical Entry Level Education`]:[`Typical Entry Level Education`]],0),MATCH(LEFT($D308,5),Job_Training[[#Headers],[Solar]:[Wind]],0)),0)</f>
        <v>3.3399999999999999E-2</v>
      </c>
      <c r="AO308" s="63">
        <f>IFERROR(INDEX(Job_Training[[Solar]:[Wind]],MATCH(AO$1,Job_Training[[`Typical Entry Level Education`]:[`Typical Entry Level Education`]],0),MATCH(LEFT($D308,5),Job_Training[[#Headers],[Solar]:[Wind]],0)),0)</f>
        <v>5.62E-3</v>
      </c>
      <c r="AP308">
        <f t="shared" si="100"/>
        <v>1170</v>
      </c>
      <c r="AQ308" s="63">
        <f>IF(AP308&gt;0,IFERROR(INDEX(Assumptions!$C$165:$D$165,MATCH(LEFT($D308,5),Job_Training[[#Headers],[Solar]:[Wind]],0)),0),0)</f>
        <v>0.10181999999999999</v>
      </c>
      <c r="AR308">
        <f>IF(AP308&gt;0,IFERROR(INDEX(Assumptions!$C$166:$D$166,MATCH(LEFT($D308,5),Job_Training[[#Headers],[Solar]:[Wind]],0)),0),0)</f>
        <v>6.1091999999999995</v>
      </c>
    </row>
    <row r="309" spans="1:44" hidden="1" x14ac:dyDescent="0.35">
      <c r="A309" t="str">
        <f>UserInput!$B$30</f>
        <v>State Policy Aligned</v>
      </c>
      <c r="B309">
        <v>2038</v>
      </c>
      <c r="C309" t="s">
        <v>41</v>
      </c>
      <c r="D309" t="s">
        <v>80</v>
      </c>
      <c r="E309" s="66">
        <f>INDEX(UserInput!$C$30:$M$50,MATCH(UserMade_Scenario!B309,UserInput!$A$30:$A$50,0),MATCH(LEFT(IF(RIGHT(C309,2)="H2",UserMade_Scenario!C309,D309),3),UserInput!$C$25:$M$25,0))</f>
        <v>16392</v>
      </c>
      <c r="F309" t="s">
        <v>81</v>
      </c>
      <c r="G309" s="14">
        <f t="shared" si="106"/>
        <v>9.4038918726135304E-2</v>
      </c>
      <c r="H309" s="63">
        <f t="shared" si="91"/>
        <v>2.3280838956846757</v>
      </c>
      <c r="I309" s="63">
        <f t="shared" si="92"/>
        <v>1.6979866161984032</v>
      </c>
      <c r="J309" s="63">
        <f t="shared" si="93"/>
        <v>2.9581811490477463</v>
      </c>
      <c r="K309" s="30">
        <f>IF(OR(LEFT($D309,5)="Solar",$D309="Wind"),INDEX(Land_Use[AVG],MATCH(LEFT($D309,5),Land_Use[Tech],0)),0)*$E309</f>
        <v>57372</v>
      </c>
      <c r="L309" s="30">
        <f>IF(OR(LEFT($D309,5)="Solar",$D309="Wind"),INDEX(Land_Use[MIN],MATCH(LEFT($D309,5),Land_Use[Tech],0)),0)*$E309</f>
        <v>45897.599999999999</v>
      </c>
      <c r="M309" s="30">
        <f>IF(OR(LEFT($D309,5)="Solar",$D309="Wind"),INDEX(Land_Use[MAX],MATCH(LEFT($D309,5),Land_Use[Tech],0)),0)*$E309</f>
        <v>68846.400000000009</v>
      </c>
      <c r="N309" s="15">
        <f t="shared" si="101"/>
        <v>0</v>
      </c>
      <c r="O309" s="11">
        <f t="shared" si="102"/>
        <v>803208</v>
      </c>
      <c r="P309" s="11">
        <f t="shared" si="103"/>
        <v>80320.799999999988</v>
      </c>
      <c r="Q309" s="11">
        <f t="shared" si="104"/>
        <v>14343000</v>
      </c>
      <c r="R309" s="11">
        <f t="shared" si="105"/>
        <v>17785.32</v>
      </c>
      <c r="S309" s="30">
        <f t="shared" si="94"/>
        <v>40.516599999999997</v>
      </c>
      <c r="T309" s="30">
        <f t="shared" si="95"/>
        <v>33.022199999999998</v>
      </c>
      <c r="U309" s="30">
        <f t="shared" si="96"/>
        <v>39.111399999999996</v>
      </c>
      <c r="V309" s="30">
        <f t="shared" si="97"/>
        <v>6.5810199999999996</v>
      </c>
      <c r="W309" s="30">
        <f t="shared" si="98"/>
        <v>119.23121999999999</v>
      </c>
      <c r="X309" s="30">
        <f t="shared" si="99"/>
        <v>7153.8731999999991</v>
      </c>
      <c r="Z309" s="23" t="s">
        <v>76</v>
      </c>
      <c r="AA309" s="40">
        <f>IF(C309="Electricity",E309*SUMIFS(Electricity!S:S,Electricity!P:P,UserMade_Scenario!B309,Electricity!M:M,UserMade_Scenario!Z309,Electricity!O:O,UserMade_Scenario!D309),"")</f>
        <v>26123209.394377701</v>
      </c>
      <c r="AB309" s="76">
        <f>1/Assumptions!$B$23/1000000000000</f>
        <v>3.5998225679871703E-9</v>
      </c>
      <c r="AC309" s="67" t="s">
        <v>82</v>
      </c>
      <c r="AD309" s="69">
        <f>INDEX(Table11[AVG
CO2e MT per MWh],MATCH(UserMade_Scenario!$B309,Table11[[Year]:[Year]],0))</f>
        <v>-8.9119367399999927E-2</v>
      </c>
      <c r="AE309" s="69">
        <f>INDEX(Table11[MIN
CO2e MT per MWh],MATCH(UserMade_Scenario!$B309,Table11[[Year]:[Year]],0))</f>
        <v>-6.4999158050000089E-2</v>
      </c>
      <c r="AF309" s="69">
        <f>INDEX(Table11[MAX CO2e MT per MWh],MATCH(UserMade_Scenario!$B309,Table11[[Year]:[Year]],0))</f>
        <v>-0.11323957575000004</v>
      </c>
      <c r="AG309" s="68">
        <f>IFERROR(INDEX(WaterUseH2[Average Direct Water Consumption (Gal/ kg h2)],MATCH(LEFT(D309,3),WaterUseH2[Key],0)),0)</f>
        <v>0</v>
      </c>
      <c r="AH309">
        <v>14</v>
      </c>
      <c r="AI309">
        <v>1.4</v>
      </c>
      <c r="AJ309">
        <v>250</v>
      </c>
      <c r="AK309">
        <v>0.31</v>
      </c>
      <c r="AL309" s="63">
        <f>IFERROR(INDEX(Job_Training[[Solar]:[Wind]],MATCH(AL$1,Job_Training[[`Typical Entry Level Education`]:[`Typical Entry Level Education`]],0),MATCH(LEFT($D309,5),Job_Training[[#Headers],[Solar]:[Wind]],0)),0)</f>
        <v>3.4599999999999999E-2</v>
      </c>
      <c r="AM309" s="63">
        <f>IFERROR(INDEX(Job_Training[[Solar]:[Wind]],MATCH(AM$1,Job_Training[[`Typical Entry Level Education`]:[`Typical Entry Level Education`]],0),MATCH(LEFT($D309,5),Job_Training[[#Headers],[Solar]:[Wind]],0)),0)</f>
        <v>2.8199999999999999E-2</v>
      </c>
      <c r="AN309" s="63">
        <f>IFERROR(INDEX(Job_Training[[Solar]:[Wind]],MATCH(AN$1,Job_Training[[`Typical Entry Level Education`]:[`Typical Entry Level Education`]],0),MATCH(LEFT($D309,5),Job_Training[[#Headers],[Solar]:[Wind]],0)),0)</f>
        <v>3.3399999999999999E-2</v>
      </c>
      <c r="AO309" s="63">
        <f>IFERROR(INDEX(Job_Training[[Solar]:[Wind]],MATCH(AO$1,Job_Training[[`Typical Entry Level Education`]:[`Typical Entry Level Education`]],0),MATCH(LEFT($D309,5),Job_Training[[#Headers],[Solar]:[Wind]],0)),0)</f>
        <v>5.62E-3</v>
      </c>
      <c r="AP309">
        <f t="shared" si="100"/>
        <v>1171</v>
      </c>
      <c r="AQ309" s="63">
        <f>IF(AP309&gt;0,IFERROR(INDEX(Assumptions!$C$165:$D$165,MATCH(LEFT($D309,5),Job_Training[[#Headers],[Solar]:[Wind]],0)),0),0)</f>
        <v>0.10181999999999999</v>
      </c>
      <c r="AR309">
        <f>IF(AP309&gt;0,IFERROR(INDEX(Assumptions!$C$166:$D$166,MATCH(LEFT($D309,5),Job_Training[[#Headers],[Solar]:[Wind]],0)),0),0)</f>
        <v>6.1091999999999995</v>
      </c>
    </row>
    <row r="310" spans="1:44" hidden="1" x14ac:dyDescent="0.35">
      <c r="A310" t="str">
        <f>UserInput!$B$30</f>
        <v>State Policy Aligned</v>
      </c>
      <c r="B310">
        <v>2039</v>
      </c>
      <c r="C310" t="s">
        <v>41</v>
      </c>
      <c r="D310" t="s">
        <v>80</v>
      </c>
      <c r="E310" s="66">
        <f>INDEX(UserInput!$C$30:$M$50,MATCH(UserMade_Scenario!B310,UserInput!$A$30:$A$50,0),MATCH(LEFT(IF(RIGHT(C310,2)="H2",UserMade_Scenario!C310,D310),3),UserInput!$C$25:$M$25,0))</f>
        <v>17563</v>
      </c>
      <c r="F310" t="s">
        <v>81</v>
      </c>
      <c r="G310" s="14">
        <f t="shared" si="106"/>
        <v>9.7350604805881882E-2</v>
      </c>
      <c r="H310" s="63">
        <f t="shared" si="91"/>
        <v>2.2958416934989447</v>
      </c>
      <c r="I310" s="63">
        <f t="shared" si="92"/>
        <v>1.6183007596948227</v>
      </c>
      <c r="J310" s="63">
        <f t="shared" si="93"/>
        <v>2.9733826002599066</v>
      </c>
      <c r="K310" s="30">
        <f>IF(OR(LEFT($D310,5)="Solar",$D310="Wind"),INDEX(Land_Use[AVG],MATCH(LEFT($D310,5),Land_Use[Tech],0)),0)*$E310</f>
        <v>61470.5</v>
      </c>
      <c r="L310" s="30">
        <f>IF(OR(LEFT($D310,5)="Solar",$D310="Wind"),INDEX(Land_Use[MIN],MATCH(LEFT($D310,5),Land_Use[Tech],0)),0)*$E310</f>
        <v>49176.399999999994</v>
      </c>
      <c r="M310" s="30">
        <f>IF(OR(LEFT($D310,5)="Solar",$D310="Wind"),INDEX(Land_Use[MAX],MATCH(LEFT($D310,5),Land_Use[Tech],0)),0)*$E310</f>
        <v>73764.600000000006</v>
      </c>
      <c r="N310" s="15">
        <f t="shared" si="101"/>
        <v>0</v>
      </c>
      <c r="O310" s="11">
        <f t="shared" si="102"/>
        <v>860587</v>
      </c>
      <c r="P310" s="11">
        <f t="shared" si="103"/>
        <v>86058.7</v>
      </c>
      <c r="Q310" s="11">
        <f t="shared" si="104"/>
        <v>15367625</v>
      </c>
      <c r="R310" s="11">
        <f t="shared" si="105"/>
        <v>19055.855</v>
      </c>
      <c r="S310" s="30">
        <f t="shared" si="94"/>
        <v>40.516599999999997</v>
      </c>
      <c r="T310" s="30">
        <f t="shared" si="95"/>
        <v>33.022199999999998</v>
      </c>
      <c r="U310" s="30">
        <f t="shared" si="96"/>
        <v>39.111399999999996</v>
      </c>
      <c r="V310" s="30">
        <f t="shared" si="97"/>
        <v>6.5810199999999996</v>
      </c>
      <c r="W310" s="30">
        <f t="shared" si="98"/>
        <v>119.23121999999999</v>
      </c>
      <c r="X310" s="30">
        <f t="shared" si="99"/>
        <v>7153.8731999999991</v>
      </c>
      <c r="Z310" s="23" t="s">
        <v>76</v>
      </c>
      <c r="AA310" s="40">
        <f>IF(C310="Electricity",E310*SUMIFS(Electricity!S:S,Electricity!P:P,UserMade_Scenario!B310,Electricity!M:M,UserMade_Scenario!Z310,Electricity!O:O,UserMade_Scenario!D310),"")</f>
        <v>27043167.535980858</v>
      </c>
      <c r="AB310" s="76">
        <f>1/Assumptions!$B$23/1000000000000</f>
        <v>3.5998225679871703E-9</v>
      </c>
      <c r="AC310" s="67" t="s">
        <v>82</v>
      </c>
      <c r="AD310" s="69">
        <f>INDEX(Table11[AVG
CO2e MT per MWh],MATCH(UserMade_Scenario!$B310,Table11[[Year]:[Year]],0))</f>
        <v>-8.489544319999992E-2</v>
      </c>
      <c r="AE310" s="69">
        <f>INDEX(Table11[MIN
CO2e MT per MWh],MATCH(UserMade_Scenario!$B310,Table11[[Year]:[Year]],0))</f>
        <v>-5.984139090000009E-2</v>
      </c>
      <c r="AF310" s="69">
        <f>INDEX(Table11[MAX CO2e MT per MWh],MATCH(UserMade_Scenario!$B310,Table11[[Year]:[Year]],0))</f>
        <v>-0.10994949450000004</v>
      </c>
      <c r="AG310" s="68">
        <f>IFERROR(INDEX(WaterUseH2[Average Direct Water Consumption (Gal/ kg h2)],MATCH(LEFT(D310,3),WaterUseH2[Key],0)),0)</f>
        <v>0</v>
      </c>
      <c r="AH310">
        <v>14</v>
      </c>
      <c r="AI310">
        <v>1.4</v>
      </c>
      <c r="AJ310">
        <v>250</v>
      </c>
      <c r="AK310">
        <v>0.31</v>
      </c>
      <c r="AL310" s="63">
        <f>IFERROR(INDEX(Job_Training[[Solar]:[Wind]],MATCH(AL$1,Job_Training[[`Typical Entry Level Education`]:[`Typical Entry Level Education`]],0),MATCH(LEFT($D310,5),Job_Training[[#Headers],[Solar]:[Wind]],0)),0)</f>
        <v>3.4599999999999999E-2</v>
      </c>
      <c r="AM310" s="63">
        <f>IFERROR(INDEX(Job_Training[[Solar]:[Wind]],MATCH(AM$1,Job_Training[[`Typical Entry Level Education`]:[`Typical Entry Level Education`]],0),MATCH(LEFT($D310,5),Job_Training[[#Headers],[Solar]:[Wind]],0)),0)</f>
        <v>2.8199999999999999E-2</v>
      </c>
      <c r="AN310" s="63">
        <f>IFERROR(INDEX(Job_Training[[Solar]:[Wind]],MATCH(AN$1,Job_Training[[`Typical Entry Level Education`]:[`Typical Entry Level Education`]],0),MATCH(LEFT($D310,5),Job_Training[[#Headers],[Solar]:[Wind]],0)),0)</f>
        <v>3.3399999999999999E-2</v>
      </c>
      <c r="AO310" s="63">
        <f>IFERROR(INDEX(Job_Training[[Solar]:[Wind]],MATCH(AO$1,Job_Training[[`Typical Entry Level Education`]:[`Typical Entry Level Education`]],0),MATCH(LEFT($D310,5),Job_Training[[#Headers],[Solar]:[Wind]],0)),0)</f>
        <v>5.62E-3</v>
      </c>
      <c r="AP310">
        <f t="shared" si="100"/>
        <v>1171</v>
      </c>
      <c r="AQ310" s="63">
        <f>IF(AP310&gt;0,IFERROR(INDEX(Assumptions!$C$165:$D$165,MATCH(LEFT($D310,5),Job_Training[[#Headers],[Solar]:[Wind]],0)),0),0)</f>
        <v>0.10181999999999999</v>
      </c>
      <c r="AR310">
        <f>IF(AP310&gt;0,IFERROR(INDEX(Assumptions!$C$166:$D$166,MATCH(LEFT($D310,5),Job_Training[[#Headers],[Solar]:[Wind]],0)),0),0)</f>
        <v>6.1091999999999995</v>
      </c>
    </row>
    <row r="311" spans="1:44" hidden="1" x14ac:dyDescent="0.35">
      <c r="A311" t="str">
        <f>UserInput!$B$30</f>
        <v>State Policy Aligned</v>
      </c>
      <c r="B311">
        <v>2040</v>
      </c>
      <c r="C311" t="s">
        <v>41</v>
      </c>
      <c r="D311" t="s">
        <v>80</v>
      </c>
      <c r="E311" s="66">
        <f>INDEX(UserInput!$C$30:$M$50,MATCH(UserMade_Scenario!B311,UserInput!$A$30:$A$50,0),MATCH(LEFT(IF(RIGHT(C311,2)="H2",UserMade_Scenario!C311,D311),3),UserInput!$C$25:$M$25,0))</f>
        <v>18734</v>
      </c>
      <c r="F311" t="s">
        <v>81</v>
      </c>
      <c r="G311" s="14">
        <f t="shared" si="106"/>
        <v>0.10020807928813624</v>
      </c>
      <c r="H311" s="63">
        <f t="shared" si="91"/>
        <v>2.2456490061860159</v>
      </c>
      <c r="I311" s="63">
        <f t="shared" si="92"/>
        <v>1.522225276665955</v>
      </c>
      <c r="J311" s="63">
        <f t="shared" si="93"/>
        <v>2.9690727078691355</v>
      </c>
      <c r="K311" s="30">
        <f>IF(OR(LEFT($D311,5)="Solar",$D311="Wind"),INDEX(Land_Use[AVG],MATCH(LEFT($D311,5),Land_Use[Tech],0)),0)*$E311</f>
        <v>65569</v>
      </c>
      <c r="L311" s="30">
        <f>IF(OR(LEFT($D311,5)="Solar",$D311="Wind"),INDEX(Land_Use[MIN],MATCH(LEFT($D311,5),Land_Use[Tech],0)),0)*$E311</f>
        <v>52455.199999999997</v>
      </c>
      <c r="M311" s="30">
        <f>IF(OR(LEFT($D311,5)="Solar",$D311="Wind"),INDEX(Land_Use[MAX],MATCH(LEFT($D311,5),Land_Use[Tech],0)),0)*$E311</f>
        <v>78682.8</v>
      </c>
      <c r="N311" s="15">
        <f t="shared" si="101"/>
        <v>0</v>
      </c>
      <c r="O311" s="11">
        <f t="shared" si="102"/>
        <v>917966</v>
      </c>
      <c r="P311" s="11">
        <f t="shared" si="103"/>
        <v>91796.599999999991</v>
      </c>
      <c r="Q311" s="11">
        <f t="shared" si="104"/>
        <v>16392250</v>
      </c>
      <c r="R311" s="11">
        <f t="shared" si="105"/>
        <v>20326.39</v>
      </c>
      <c r="S311" s="30">
        <f t="shared" si="94"/>
        <v>40.516599999999997</v>
      </c>
      <c r="T311" s="30">
        <f t="shared" si="95"/>
        <v>33.022199999999998</v>
      </c>
      <c r="U311" s="30">
        <f t="shared" si="96"/>
        <v>39.111399999999996</v>
      </c>
      <c r="V311" s="30">
        <f t="shared" si="97"/>
        <v>6.5810199999999996</v>
      </c>
      <c r="W311" s="30">
        <f t="shared" si="98"/>
        <v>119.23121999999999</v>
      </c>
      <c r="X311" s="30">
        <f t="shared" si="99"/>
        <v>7153.8731999999991</v>
      </c>
      <c r="Z311" s="23" t="s">
        <v>76</v>
      </c>
      <c r="AA311" s="40">
        <f>IF(C311="Electricity",E311*SUMIFS(Electricity!S:S,Electricity!P:P,UserMade_Scenario!B311,Electricity!M:M,UserMade_Scenario!Z311,Electricity!O:O,UserMade_Scenario!D311),"")</f>
        <v>27836949.570591554</v>
      </c>
      <c r="AB311" s="76">
        <f>1/Assumptions!$B$23/1000000000000</f>
        <v>3.5998225679871703E-9</v>
      </c>
      <c r="AC311" s="67" t="s">
        <v>82</v>
      </c>
      <c r="AD311" s="69">
        <f>INDEX(Table11[AVG
CO2e MT per MWh],MATCH(UserMade_Scenario!$B311,Table11[[Year]:[Year]],0))</f>
        <v>-8.0671518999999914E-2</v>
      </c>
      <c r="AE311" s="69">
        <f>INDEX(Table11[MIN
CO2e MT per MWh],MATCH(UserMade_Scenario!$B311,Table11[[Year]:[Year]],0))</f>
        <v>-5.468362375000009E-2</v>
      </c>
      <c r="AF311" s="69">
        <f>INDEX(Table11[MAX CO2e MT per MWh],MATCH(UserMade_Scenario!$B311,Table11[[Year]:[Year]],0))</f>
        <v>-0.10665941325000003</v>
      </c>
      <c r="AG311" s="68">
        <f>IFERROR(INDEX(WaterUseH2[Average Direct Water Consumption (Gal/ kg h2)],MATCH(LEFT(D311,3),WaterUseH2[Key],0)),0)</f>
        <v>0</v>
      </c>
      <c r="AH311">
        <v>14</v>
      </c>
      <c r="AI311">
        <v>1.4</v>
      </c>
      <c r="AJ311">
        <v>250</v>
      </c>
      <c r="AK311">
        <v>0.31</v>
      </c>
      <c r="AL311" s="63">
        <f>IFERROR(INDEX(Job_Training[[Solar]:[Wind]],MATCH(AL$1,Job_Training[[`Typical Entry Level Education`]:[`Typical Entry Level Education`]],0),MATCH(LEFT($D311,5),Job_Training[[#Headers],[Solar]:[Wind]],0)),0)</f>
        <v>3.4599999999999999E-2</v>
      </c>
      <c r="AM311" s="63">
        <f>IFERROR(INDEX(Job_Training[[Solar]:[Wind]],MATCH(AM$1,Job_Training[[`Typical Entry Level Education`]:[`Typical Entry Level Education`]],0),MATCH(LEFT($D311,5),Job_Training[[#Headers],[Solar]:[Wind]],0)),0)</f>
        <v>2.8199999999999999E-2</v>
      </c>
      <c r="AN311" s="63">
        <f>IFERROR(INDEX(Job_Training[[Solar]:[Wind]],MATCH(AN$1,Job_Training[[`Typical Entry Level Education`]:[`Typical Entry Level Education`]],0),MATCH(LEFT($D311,5),Job_Training[[#Headers],[Solar]:[Wind]],0)),0)</f>
        <v>3.3399999999999999E-2</v>
      </c>
      <c r="AO311" s="63">
        <f>IFERROR(INDEX(Job_Training[[Solar]:[Wind]],MATCH(AO$1,Job_Training[[`Typical Entry Level Education`]:[`Typical Entry Level Education`]],0),MATCH(LEFT($D311,5),Job_Training[[#Headers],[Solar]:[Wind]],0)),0)</f>
        <v>5.62E-3</v>
      </c>
      <c r="AP311">
        <f t="shared" si="100"/>
        <v>1171</v>
      </c>
      <c r="AQ311" s="63">
        <f>IF(AP311&gt;0,IFERROR(INDEX(Assumptions!$C$165:$D$165,MATCH(LEFT($D311,5),Job_Training[[#Headers],[Solar]:[Wind]],0)),0),0)</f>
        <v>0.10181999999999999</v>
      </c>
      <c r="AR311">
        <f>IF(AP311&gt;0,IFERROR(INDEX(Assumptions!$C$166:$D$166,MATCH(LEFT($D311,5),Job_Training[[#Headers],[Solar]:[Wind]],0)),0),0)</f>
        <v>6.1091999999999995</v>
      </c>
    </row>
    <row r="312" spans="1:44" hidden="1" x14ac:dyDescent="0.35">
      <c r="A312" t="str">
        <f>UserInput!$B$30</f>
        <v>State Policy Aligned</v>
      </c>
      <c r="B312">
        <v>2041</v>
      </c>
      <c r="C312" t="s">
        <v>41</v>
      </c>
      <c r="D312" t="s">
        <v>80</v>
      </c>
      <c r="E312" s="66">
        <f>INDEX(UserInput!$C$30:$M$50,MATCH(UserMade_Scenario!B312,UserInput!$A$30:$A$50,0),MATCH(LEFT(IF(RIGHT(C312,2)="H2",UserMade_Scenario!C312,D312),3),UserInput!$C$25:$M$25,0))</f>
        <v>19905</v>
      </c>
      <c r="F312" t="s">
        <v>81</v>
      </c>
      <c r="G312" s="14">
        <f t="shared" si="106"/>
        <v>0.10261134217289836</v>
      </c>
      <c r="H312" s="63">
        <f t="shared" si="91"/>
        <v>2.1791047086812507</v>
      </c>
      <c r="I312" s="63">
        <f t="shared" si="92"/>
        <v>1.4117125280510818</v>
      </c>
      <c r="J312" s="63">
        <f t="shared" si="93"/>
        <v>2.9464968608068731</v>
      </c>
      <c r="K312" s="30">
        <f>IF(OR(LEFT($D312,5)="Solar",$D312="Wind"),INDEX(Land_Use[AVG],MATCH(LEFT($D312,5),Land_Use[Tech],0)),0)*$E312</f>
        <v>69667.5</v>
      </c>
      <c r="L312" s="30">
        <f>IF(OR(LEFT($D312,5)="Solar",$D312="Wind"),INDEX(Land_Use[MIN],MATCH(LEFT($D312,5),Land_Use[Tech],0)),0)*$E312</f>
        <v>55734</v>
      </c>
      <c r="M312" s="30">
        <f>IF(OR(LEFT($D312,5)="Solar",$D312="Wind"),INDEX(Land_Use[MAX],MATCH(LEFT($D312,5),Land_Use[Tech],0)),0)*$E312</f>
        <v>83601</v>
      </c>
      <c r="N312" s="15">
        <f t="shared" si="101"/>
        <v>0</v>
      </c>
      <c r="O312" s="11">
        <f t="shared" si="102"/>
        <v>975345</v>
      </c>
      <c r="P312" s="11">
        <f t="shared" si="103"/>
        <v>97534.5</v>
      </c>
      <c r="Q312" s="11">
        <f t="shared" si="104"/>
        <v>17416875</v>
      </c>
      <c r="R312" s="11">
        <f t="shared" si="105"/>
        <v>21596.924999999999</v>
      </c>
      <c r="S312" s="30">
        <f t="shared" si="94"/>
        <v>40.516599999999997</v>
      </c>
      <c r="T312" s="30">
        <f t="shared" si="95"/>
        <v>33.022199999999998</v>
      </c>
      <c r="U312" s="30">
        <f t="shared" si="96"/>
        <v>39.111399999999996</v>
      </c>
      <c r="V312" s="30">
        <f t="shared" si="97"/>
        <v>6.5810199999999996</v>
      </c>
      <c r="W312" s="30">
        <f t="shared" si="98"/>
        <v>119.23121999999999</v>
      </c>
      <c r="X312" s="30">
        <f t="shared" si="99"/>
        <v>7153.8731999999991</v>
      </c>
      <c r="Z312" s="23" t="s">
        <v>76</v>
      </c>
      <c r="AA312" s="40">
        <f>IF(C312="Electricity",E312*SUMIFS(Electricity!S:S,Electricity!P:P,UserMade_Scenario!B312,Electricity!M:M,UserMade_Scenario!Z312,Electricity!O:O,UserMade_Scenario!D312),"")</f>
        <v>28504555.498209782</v>
      </c>
      <c r="AB312" s="76">
        <f>1/Assumptions!$B$23/1000000000000</f>
        <v>3.5998225679871703E-9</v>
      </c>
      <c r="AC312" s="67" t="s">
        <v>82</v>
      </c>
      <c r="AD312" s="69">
        <f>INDEX(Table11[AVG
CO2e MT per MWh],MATCH(UserMade_Scenario!$B312,Table11[[Year]:[Year]],0))</f>
        <v>-7.6447594799999907E-2</v>
      </c>
      <c r="AE312" s="69">
        <f>INDEX(Table11[MIN
CO2e MT per MWh],MATCH(UserMade_Scenario!$B312,Table11[[Year]:[Year]],0))</f>
        <v>-4.9525856600000091E-2</v>
      </c>
      <c r="AF312" s="69">
        <f>INDEX(Table11[MAX CO2e MT per MWh],MATCH(UserMade_Scenario!$B312,Table11[[Year]:[Year]],0))</f>
        <v>-0.10336933200000002</v>
      </c>
      <c r="AG312" s="68">
        <f>IFERROR(INDEX(WaterUseH2[Average Direct Water Consumption (Gal/ kg h2)],MATCH(LEFT(D312,3),WaterUseH2[Key],0)),0)</f>
        <v>0</v>
      </c>
      <c r="AH312">
        <v>14</v>
      </c>
      <c r="AI312">
        <v>1.4</v>
      </c>
      <c r="AJ312">
        <v>250</v>
      </c>
      <c r="AK312">
        <v>0.31</v>
      </c>
      <c r="AL312" s="63">
        <f>IFERROR(INDEX(Job_Training[[Solar]:[Wind]],MATCH(AL$1,Job_Training[[`Typical Entry Level Education`]:[`Typical Entry Level Education`]],0),MATCH(LEFT($D312,5),Job_Training[[#Headers],[Solar]:[Wind]],0)),0)</f>
        <v>3.4599999999999999E-2</v>
      </c>
      <c r="AM312" s="63">
        <f>IFERROR(INDEX(Job_Training[[Solar]:[Wind]],MATCH(AM$1,Job_Training[[`Typical Entry Level Education`]:[`Typical Entry Level Education`]],0),MATCH(LEFT($D312,5),Job_Training[[#Headers],[Solar]:[Wind]],0)),0)</f>
        <v>2.8199999999999999E-2</v>
      </c>
      <c r="AN312" s="63">
        <f>IFERROR(INDEX(Job_Training[[Solar]:[Wind]],MATCH(AN$1,Job_Training[[`Typical Entry Level Education`]:[`Typical Entry Level Education`]],0),MATCH(LEFT($D312,5),Job_Training[[#Headers],[Solar]:[Wind]],0)),0)</f>
        <v>3.3399999999999999E-2</v>
      </c>
      <c r="AO312" s="63">
        <f>IFERROR(INDEX(Job_Training[[Solar]:[Wind]],MATCH(AO$1,Job_Training[[`Typical Entry Level Education`]:[`Typical Entry Level Education`]],0),MATCH(LEFT($D312,5),Job_Training[[#Headers],[Solar]:[Wind]],0)),0)</f>
        <v>5.62E-3</v>
      </c>
      <c r="AP312">
        <f t="shared" si="100"/>
        <v>1171</v>
      </c>
      <c r="AQ312" s="63">
        <f>IF(AP312&gt;0,IFERROR(INDEX(Assumptions!$C$165:$D$165,MATCH(LEFT($D312,5),Job_Training[[#Headers],[Solar]:[Wind]],0)),0),0)</f>
        <v>0.10181999999999999</v>
      </c>
      <c r="AR312">
        <f>IF(AP312&gt;0,IFERROR(INDEX(Assumptions!$C$166:$D$166,MATCH(LEFT($D312,5),Job_Training[[#Headers],[Solar]:[Wind]],0)),0),0)</f>
        <v>6.1091999999999995</v>
      </c>
    </row>
    <row r="313" spans="1:44" hidden="1" x14ac:dyDescent="0.35">
      <c r="A313" t="str">
        <f>UserInput!$B$30</f>
        <v>State Policy Aligned</v>
      </c>
      <c r="B313">
        <v>2042</v>
      </c>
      <c r="C313" t="s">
        <v>41</v>
      </c>
      <c r="D313" t="s">
        <v>80</v>
      </c>
      <c r="E313" s="66">
        <f>INDEX(UserInput!$C$30:$M$50,MATCH(UserMade_Scenario!B313,UserInput!$A$30:$A$50,0),MATCH(LEFT(IF(RIGHT(C313,2)="H2",UserMade_Scenario!C313,D313),3),UserInput!$C$25:$M$25,0))</f>
        <v>21076</v>
      </c>
      <c r="F313" t="s">
        <v>81</v>
      </c>
      <c r="G313" s="14">
        <f t="shared" si="106"/>
        <v>0.10456039346016822</v>
      </c>
      <c r="H313" s="63">
        <f t="shared" si="91"/>
        <v>2.0978076759200115</v>
      </c>
      <c r="I313" s="63">
        <f t="shared" si="92"/>
        <v>1.288714874789485</v>
      </c>
      <c r="J313" s="63">
        <f t="shared" si="93"/>
        <v>2.9069004480045617</v>
      </c>
      <c r="K313" s="30">
        <f>IF(OR(LEFT($D313,5)="Solar",$D313="Wind"),INDEX(Land_Use[AVG],MATCH(LEFT($D313,5),Land_Use[Tech],0)),0)*$E313</f>
        <v>73766</v>
      </c>
      <c r="L313" s="30">
        <f>IF(OR(LEFT($D313,5)="Solar",$D313="Wind"),INDEX(Land_Use[MIN],MATCH(LEFT($D313,5),Land_Use[Tech],0)),0)*$E313</f>
        <v>59012.799999999996</v>
      </c>
      <c r="M313" s="30">
        <f>IF(OR(LEFT($D313,5)="Solar",$D313="Wind"),INDEX(Land_Use[MAX],MATCH(LEFT($D313,5),Land_Use[Tech],0)),0)*$E313</f>
        <v>88519.2</v>
      </c>
      <c r="N313" s="15">
        <f t="shared" si="101"/>
        <v>0</v>
      </c>
      <c r="O313" s="11">
        <f t="shared" si="102"/>
        <v>1032724</v>
      </c>
      <c r="P313" s="11">
        <f t="shared" si="103"/>
        <v>103272.4</v>
      </c>
      <c r="Q313" s="11">
        <f t="shared" si="104"/>
        <v>18441500</v>
      </c>
      <c r="R313" s="11">
        <f t="shared" si="105"/>
        <v>22867.46</v>
      </c>
      <c r="S313" s="30">
        <f t="shared" si="94"/>
        <v>40.516599999999997</v>
      </c>
      <c r="T313" s="30">
        <f t="shared" si="95"/>
        <v>33.022199999999998</v>
      </c>
      <c r="U313" s="30">
        <f t="shared" si="96"/>
        <v>39.111399999999996</v>
      </c>
      <c r="V313" s="30">
        <f t="shared" si="97"/>
        <v>6.5810199999999996</v>
      </c>
      <c r="W313" s="30">
        <f t="shared" si="98"/>
        <v>119.23121999999999</v>
      </c>
      <c r="X313" s="30">
        <f t="shared" si="99"/>
        <v>7153.8731999999991</v>
      </c>
      <c r="Z313" s="23" t="s">
        <v>76</v>
      </c>
      <c r="AA313" s="40">
        <f>IF(C313="Electricity",E313*SUMIFS(Electricity!S:S,Electricity!P:P,UserMade_Scenario!B313,Electricity!M:M,UserMade_Scenario!Z313,Electricity!O:O,UserMade_Scenario!D313),"")</f>
        <v>29045985.318835545</v>
      </c>
      <c r="AB313" s="76">
        <f>1/Assumptions!$B$23/1000000000000</f>
        <v>3.5998225679871703E-9</v>
      </c>
      <c r="AC313" s="67" t="s">
        <v>82</v>
      </c>
      <c r="AD313" s="69">
        <f>INDEX(Table11[AVG
CO2e MT per MWh],MATCH(UserMade_Scenario!$B313,Table11[[Year]:[Year]],0))</f>
        <v>-7.2223670599999901E-2</v>
      </c>
      <c r="AE313" s="69">
        <f>INDEX(Table11[MIN
CO2e MT per MWh],MATCH(UserMade_Scenario!$B313,Table11[[Year]:[Year]],0))</f>
        <v>-4.4368089450000092E-2</v>
      </c>
      <c r="AF313" s="69">
        <f>INDEX(Table11[MAX CO2e MT per MWh],MATCH(UserMade_Scenario!$B313,Table11[[Year]:[Year]],0))</f>
        <v>-0.10007925075000002</v>
      </c>
      <c r="AG313" s="68">
        <f>IFERROR(INDEX(WaterUseH2[Average Direct Water Consumption (Gal/ kg h2)],MATCH(LEFT(D313,3),WaterUseH2[Key],0)),0)</f>
        <v>0</v>
      </c>
      <c r="AH313">
        <v>14</v>
      </c>
      <c r="AI313">
        <v>1.4</v>
      </c>
      <c r="AJ313">
        <v>250</v>
      </c>
      <c r="AK313">
        <v>0.31</v>
      </c>
      <c r="AL313" s="63">
        <f>IFERROR(INDEX(Job_Training[[Solar]:[Wind]],MATCH(AL$1,Job_Training[[`Typical Entry Level Education`]:[`Typical Entry Level Education`]],0),MATCH(LEFT($D313,5),Job_Training[[#Headers],[Solar]:[Wind]],0)),0)</f>
        <v>3.4599999999999999E-2</v>
      </c>
      <c r="AM313" s="63">
        <f>IFERROR(INDEX(Job_Training[[Solar]:[Wind]],MATCH(AM$1,Job_Training[[`Typical Entry Level Education`]:[`Typical Entry Level Education`]],0),MATCH(LEFT($D313,5),Job_Training[[#Headers],[Solar]:[Wind]],0)),0)</f>
        <v>2.8199999999999999E-2</v>
      </c>
      <c r="AN313" s="63">
        <f>IFERROR(INDEX(Job_Training[[Solar]:[Wind]],MATCH(AN$1,Job_Training[[`Typical Entry Level Education`]:[`Typical Entry Level Education`]],0),MATCH(LEFT($D313,5),Job_Training[[#Headers],[Solar]:[Wind]],0)),0)</f>
        <v>3.3399999999999999E-2</v>
      </c>
      <c r="AO313" s="63">
        <f>IFERROR(INDEX(Job_Training[[Solar]:[Wind]],MATCH(AO$1,Job_Training[[`Typical Entry Level Education`]:[`Typical Entry Level Education`]],0),MATCH(LEFT($D313,5),Job_Training[[#Headers],[Solar]:[Wind]],0)),0)</f>
        <v>5.62E-3</v>
      </c>
      <c r="AP313">
        <f t="shared" si="100"/>
        <v>1171</v>
      </c>
      <c r="AQ313" s="63">
        <f>IF(AP313&gt;0,IFERROR(INDEX(Assumptions!$C$165:$D$165,MATCH(LEFT($D313,5),Job_Training[[#Headers],[Solar]:[Wind]],0)),0),0)</f>
        <v>0.10181999999999999</v>
      </c>
      <c r="AR313">
        <f>IF(AP313&gt;0,IFERROR(INDEX(Assumptions!$C$166:$D$166,MATCH(LEFT($D313,5),Job_Training[[#Headers],[Solar]:[Wind]],0)),0),0)</f>
        <v>6.1091999999999995</v>
      </c>
    </row>
    <row r="314" spans="1:44" hidden="1" x14ac:dyDescent="0.35">
      <c r="A314" t="str">
        <f>UserInput!$B$30</f>
        <v>State Policy Aligned</v>
      </c>
      <c r="B314">
        <v>2043</v>
      </c>
      <c r="C314" t="s">
        <v>41</v>
      </c>
      <c r="D314" t="s">
        <v>80</v>
      </c>
      <c r="E314" s="66">
        <f>INDEX(UserInput!$C$30:$M$50,MATCH(UserMade_Scenario!B314,UserInput!$A$30:$A$50,0),MATCH(LEFT(IF(RIGHT(C314,2)="H2",UserMade_Scenario!C314,D314),3),UserInput!$C$25:$M$25,0))</f>
        <v>22247</v>
      </c>
      <c r="F314" t="s">
        <v>81</v>
      </c>
      <c r="G314" s="14">
        <f t="shared" si="106"/>
        <v>0.10605523314994585</v>
      </c>
      <c r="H314" s="63">
        <f t="shared" si="91"/>
        <v>2.0033567828376597</v>
      </c>
      <c r="I314" s="63">
        <f t="shared" si="92"/>
        <v>1.1551846778204462</v>
      </c>
      <c r="J314" s="63">
        <f t="shared" si="93"/>
        <v>2.8515288583936429</v>
      </c>
      <c r="K314" s="30">
        <f>IF(OR(LEFT($D314,5)="Solar",$D314="Wind"),INDEX(Land_Use[AVG],MATCH(LEFT($D314,5),Land_Use[Tech],0)),0)*$E314</f>
        <v>77864.5</v>
      </c>
      <c r="L314" s="30">
        <f>IF(OR(LEFT($D314,5)="Solar",$D314="Wind"),INDEX(Land_Use[MIN],MATCH(LEFT($D314,5),Land_Use[Tech],0)),0)*$E314</f>
        <v>62291.6</v>
      </c>
      <c r="M314" s="30">
        <f>IF(OR(LEFT($D314,5)="Solar",$D314="Wind"),INDEX(Land_Use[MAX],MATCH(LEFT($D314,5),Land_Use[Tech],0)),0)*$E314</f>
        <v>93437.400000000009</v>
      </c>
      <c r="N314" s="15">
        <f t="shared" si="101"/>
        <v>0</v>
      </c>
      <c r="O314" s="11">
        <f t="shared" si="102"/>
        <v>1090103</v>
      </c>
      <c r="P314" s="11">
        <f t="shared" si="103"/>
        <v>109010.29999999999</v>
      </c>
      <c r="Q314" s="11">
        <f t="shared" si="104"/>
        <v>19466125</v>
      </c>
      <c r="R314" s="11">
        <f t="shared" si="105"/>
        <v>24137.994999999999</v>
      </c>
      <c r="S314" s="30">
        <f t="shared" si="94"/>
        <v>40.516599999999997</v>
      </c>
      <c r="T314" s="30">
        <f t="shared" si="95"/>
        <v>33.022199999999998</v>
      </c>
      <c r="U314" s="30">
        <f t="shared" si="96"/>
        <v>39.111399999999996</v>
      </c>
      <c r="V314" s="30">
        <f t="shared" si="97"/>
        <v>6.5810199999999996</v>
      </c>
      <c r="W314" s="30">
        <f t="shared" si="98"/>
        <v>119.23121999999999</v>
      </c>
      <c r="X314" s="30">
        <f t="shared" si="99"/>
        <v>7153.8731999999991</v>
      </c>
      <c r="Z314" s="23" t="s">
        <v>76</v>
      </c>
      <c r="AA314" s="40">
        <f>IF(C314="Electricity",E314*SUMIFS(Electricity!S:S,Electricity!P:P,UserMade_Scenario!B314,Electricity!M:M,UserMade_Scenario!Z314,Electricity!O:O,UserMade_Scenario!D314),"")</f>
        <v>29461239.032468844</v>
      </c>
      <c r="AB314" s="76">
        <f>1/Assumptions!$B$23/1000000000000</f>
        <v>3.5998225679871703E-9</v>
      </c>
      <c r="AC314" s="67" t="s">
        <v>82</v>
      </c>
      <c r="AD314" s="69">
        <f>INDEX(Table11[AVG
CO2e MT per MWh],MATCH(UserMade_Scenario!$B314,Table11[[Year]:[Year]],0))</f>
        <v>-6.7999746399999894E-2</v>
      </c>
      <c r="AE314" s="69">
        <f>INDEX(Table11[MIN
CO2e MT per MWh],MATCH(UserMade_Scenario!$B314,Table11[[Year]:[Year]],0))</f>
        <v>-3.9210322300000093E-2</v>
      </c>
      <c r="AF314" s="69">
        <f>INDEX(Table11[MAX CO2e MT per MWh],MATCH(UserMade_Scenario!$B314,Table11[[Year]:[Year]],0))</f>
        <v>-9.6789169500000008E-2</v>
      </c>
      <c r="AG314" s="68">
        <f>IFERROR(INDEX(WaterUseH2[Average Direct Water Consumption (Gal/ kg h2)],MATCH(LEFT(D314,3),WaterUseH2[Key],0)),0)</f>
        <v>0</v>
      </c>
      <c r="AH314">
        <v>14</v>
      </c>
      <c r="AI314">
        <v>1.4</v>
      </c>
      <c r="AJ314">
        <v>250</v>
      </c>
      <c r="AK314">
        <v>0.31</v>
      </c>
      <c r="AL314" s="63">
        <f>IFERROR(INDEX(Job_Training[[Solar]:[Wind]],MATCH(AL$1,Job_Training[[`Typical Entry Level Education`]:[`Typical Entry Level Education`]],0),MATCH(LEFT($D314,5),Job_Training[[#Headers],[Solar]:[Wind]],0)),0)</f>
        <v>3.4599999999999999E-2</v>
      </c>
      <c r="AM314" s="63">
        <f>IFERROR(INDEX(Job_Training[[Solar]:[Wind]],MATCH(AM$1,Job_Training[[`Typical Entry Level Education`]:[`Typical Entry Level Education`]],0),MATCH(LEFT($D314,5),Job_Training[[#Headers],[Solar]:[Wind]],0)),0)</f>
        <v>2.8199999999999999E-2</v>
      </c>
      <c r="AN314" s="63">
        <f>IFERROR(INDEX(Job_Training[[Solar]:[Wind]],MATCH(AN$1,Job_Training[[`Typical Entry Level Education`]:[`Typical Entry Level Education`]],0),MATCH(LEFT($D314,5),Job_Training[[#Headers],[Solar]:[Wind]],0)),0)</f>
        <v>3.3399999999999999E-2</v>
      </c>
      <c r="AO314" s="63">
        <f>IFERROR(INDEX(Job_Training[[Solar]:[Wind]],MATCH(AO$1,Job_Training[[`Typical Entry Level Education`]:[`Typical Entry Level Education`]],0),MATCH(LEFT($D314,5),Job_Training[[#Headers],[Solar]:[Wind]],0)),0)</f>
        <v>5.62E-3</v>
      </c>
      <c r="AP314">
        <f t="shared" si="100"/>
        <v>1171</v>
      </c>
      <c r="AQ314" s="63">
        <f>IF(AP314&gt;0,IFERROR(INDEX(Assumptions!$C$165:$D$165,MATCH(LEFT($D314,5),Job_Training[[#Headers],[Solar]:[Wind]],0)),0),0)</f>
        <v>0.10181999999999999</v>
      </c>
      <c r="AR314">
        <f>IF(AP314&gt;0,IFERROR(INDEX(Assumptions!$C$166:$D$166,MATCH(LEFT($D314,5),Job_Training[[#Headers],[Solar]:[Wind]],0)),0),0)</f>
        <v>6.1091999999999995</v>
      </c>
    </row>
    <row r="315" spans="1:44" hidden="1" x14ac:dyDescent="0.35">
      <c r="A315" t="str">
        <f>UserInput!$B$30</f>
        <v>State Policy Aligned</v>
      </c>
      <c r="B315">
        <v>2044</v>
      </c>
      <c r="C315" t="s">
        <v>41</v>
      </c>
      <c r="D315" t="s">
        <v>80</v>
      </c>
      <c r="E315" s="66">
        <f>INDEX(UserInput!$C$30:$M$50,MATCH(UserMade_Scenario!B315,UserInput!$A$30:$A$50,0),MATCH(LEFT(IF(RIGHT(C315,2)="H2",UserMade_Scenario!C315,D315),3),UserInput!$C$25:$M$25,0))</f>
        <v>23418</v>
      </c>
      <c r="F315" t="s">
        <v>81</v>
      </c>
      <c r="G315" s="14">
        <f t="shared" si="106"/>
        <v>0.10709586124223124</v>
      </c>
      <c r="H315" s="63">
        <f t="shared" si="91"/>
        <v>1.8973509043695567</v>
      </c>
      <c r="I315" s="63">
        <f t="shared" si="92"/>
        <v>1.0130742980832477</v>
      </c>
      <c r="J315" s="63">
        <f t="shared" si="93"/>
        <v>2.7816274809055588</v>
      </c>
      <c r="K315" s="30">
        <f>IF(OR(LEFT($D315,5)="Solar",$D315="Wind"),INDEX(Land_Use[AVG],MATCH(LEFT($D315,5),Land_Use[Tech],0)),0)*$E315</f>
        <v>81963</v>
      </c>
      <c r="L315" s="30">
        <f>IF(OR(LEFT($D315,5)="Solar",$D315="Wind"),INDEX(Land_Use[MIN],MATCH(LEFT($D315,5),Land_Use[Tech],0)),0)*$E315</f>
        <v>65570.399999999994</v>
      </c>
      <c r="M315" s="30">
        <f>IF(OR(LEFT($D315,5)="Solar",$D315="Wind"),INDEX(Land_Use[MAX],MATCH(LEFT($D315,5),Land_Use[Tech],0)),0)*$E315</f>
        <v>98355.6</v>
      </c>
      <c r="N315" s="15">
        <f t="shared" si="101"/>
        <v>0</v>
      </c>
      <c r="O315" s="11">
        <f t="shared" si="102"/>
        <v>1147482</v>
      </c>
      <c r="P315" s="11">
        <f t="shared" si="103"/>
        <v>114748.2</v>
      </c>
      <c r="Q315" s="11">
        <f t="shared" si="104"/>
        <v>20490750</v>
      </c>
      <c r="R315" s="11">
        <f t="shared" si="105"/>
        <v>25408.53</v>
      </c>
      <c r="S315" s="30">
        <f t="shared" si="94"/>
        <v>40.516599999999997</v>
      </c>
      <c r="T315" s="30">
        <f t="shared" si="95"/>
        <v>33.022199999999998</v>
      </c>
      <c r="U315" s="30">
        <f t="shared" si="96"/>
        <v>39.111399999999996</v>
      </c>
      <c r="V315" s="30">
        <f t="shared" si="97"/>
        <v>6.5810199999999996</v>
      </c>
      <c r="W315" s="30">
        <f t="shared" si="98"/>
        <v>119.23121999999999</v>
      </c>
      <c r="X315" s="30">
        <f t="shared" si="99"/>
        <v>7153.8731999999991</v>
      </c>
      <c r="Z315" s="23" t="s">
        <v>76</v>
      </c>
      <c r="AA315" s="40">
        <f>IF(C315="Electricity",E315*SUMIFS(Electricity!S:S,Electricity!P:P,UserMade_Scenario!B315,Electricity!M:M,UserMade_Scenario!Z315,Electricity!O:O,UserMade_Scenario!D315),"")</f>
        <v>29750316.639109675</v>
      </c>
      <c r="AB315" s="76">
        <f>1/Assumptions!$B$23/1000000000000</f>
        <v>3.5998225679871703E-9</v>
      </c>
      <c r="AC315" s="67" t="s">
        <v>82</v>
      </c>
      <c r="AD315" s="69">
        <f>INDEX(Table11[AVG
CO2e MT per MWh],MATCH(UserMade_Scenario!$B315,Table11[[Year]:[Year]],0))</f>
        <v>-6.3775822199999888E-2</v>
      </c>
      <c r="AE315" s="69">
        <f>INDEX(Table11[MIN
CO2e MT per MWh],MATCH(UserMade_Scenario!$B315,Table11[[Year]:[Year]],0))</f>
        <v>-3.4052555150000094E-2</v>
      </c>
      <c r="AF315" s="69">
        <f>INDEX(Table11[MAX CO2e MT per MWh],MATCH(UserMade_Scenario!$B315,Table11[[Year]:[Year]],0))</f>
        <v>-9.3499088250000001E-2</v>
      </c>
      <c r="AG315" s="68">
        <f>IFERROR(INDEX(WaterUseH2[Average Direct Water Consumption (Gal/ kg h2)],MATCH(LEFT(D315,3),WaterUseH2[Key],0)),0)</f>
        <v>0</v>
      </c>
      <c r="AH315">
        <v>14</v>
      </c>
      <c r="AI315">
        <v>1.4</v>
      </c>
      <c r="AJ315">
        <v>250</v>
      </c>
      <c r="AK315">
        <v>0.31</v>
      </c>
      <c r="AL315" s="63">
        <f>IFERROR(INDEX(Job_Training[[Solar]:[Wind]],MATCH(AL$1,Job_Training[[`Typical Entry Level Education`]:[`Typical Entry Level Education`]],0),MATCH(LEFT($D315,5),Job_Training[[#Headers],[Solar]:[Wind]],0)),0)</f>
        <v>3.4599999999999999E-2</v>
      </c>
      <c r="AM315" s="63">
        <f>IFERROR(INDEX(Job_Training[[Solar]:[Wind]],MATCH(AM$1,Job_Training[[`Typical Entry Level Education`]:[`Typical Entry Level Education`]],0),MATCH(LEFT($D315,5),Job_Training[[#Headers],[Solar]:[Wind]],0)),0)</f>
        <v>2.8199999999999999E-2</v>
      </c>
      <c r="AN315" s="63">
        <f>IFERROR(INDEX(Job_Training[[Solar]:[Wind]],MATCH(AN$1,Job_Training[[`Typical Entry Level Education`]:[`Typical Entry Level Education`]],0),MATCH(LEFT($D315,5),Job_Training[[#Headers],[Solar]:[Wind]],0)),0)</f>
        <v>3.3399999999999999E-2</v>
      </c>
      <c r="AO315" s="63">
        <f>IFERROR(INDEX(Job_Training[[Solar]:[Wind]],MATCH(AO$1,Job_Training[[`Typical Entry Level Education`]:[`Typical Entry Level Education`]],0),MATCH(LEFT($D315,5),Job_Training[[#Headers],[Solar]:[Wind]],0)),0)</f>
        <v>5.62E-3</v>
      </c>
      <c r="AP315">
        <f t="shared" si="100"/>
        <v>1171</v>
      </c>
      <c r="AQ315" s="63">
        <f>IF(AP315&gt;0,IFERROR(INDEX(Assumptions!$C$165:$D$165,MATCH(LEFT($D315,5),Job_Training[[#Headers],[Solar]:[Wind]],0)),0),0)</f>
        <v>0.10181999999999999</v>
      </c>
      <c r="AR315">
        <f>IF(AP315&gt;0,IFERROR(INDEX(Assumptions!$C$166:$D$166,MATCH(LEFT($D315,5),Job_Training[[#Headers],[Solar]:[Wind]],0)),0),0)</f>
        <v>6.1091999999999995</v>
      </c>
    </row>
    <row r="316" spans="1:44" hidden="1" x14ac:dyDescent="0.35">
      <c r="A316" t="str">
        <f>UserInput!$B$30</f>
        <v>State Policy Aligned</v>
      </c>
      <c r="B316">
        <v>2045</v>
      </c>
      <c r="C316" t="s">
        <v>41</v>
      </c>
      <c r="D316" t="s">
        <v>80</v>
      </c>
      <c r="E316" s="66">
        <f>INDEX(UserInput!$C$30:$M$50,MATCH(UserMade_Scenario!B316,UserInput!$A$30:$A$50,0),MATCH(LEFT(IF(RIGHT(C316,2)="H2",UserMade_Scenario!C316,D316),3),UserInput!$C$25:$M$25,0))</f>
        <v>24589</v>
      </c>
      <c r="F316" t="s">
        <v>81</v>
      </c>
      <c r="G316" s="14">
        <f t="shared" si="106"/>
        <v>0.10768227773702438</v>
      </c>
      <c r="H316" s="63">
        <f t="shared" si="91"/>
        <v>1.7813889154510654</v>
      </c>
      <c r="I316" s="63">
        <f t="shared" si="92"/>
        <v>0.86433609651717103</v>
      </c>
      <c r="J316" s="63">
        <f t="shared" si="93"/>
        <v>2.698441704471751</v>
      </c>
      <c r="K316" s="30">
        <f>IF(OR(LEFT($D316,5)="Solar",$D316="Wind"),INDEX(Land_Use[AVG],MATCH(LEFT($D316,5),Land_Use[Tech],0)),0)*$E316</f>
        <v>86061.5</v>
      </c>
      <c r="L316" s="30">
        <f>IF(OR(LEFT($D316,5)="Solar",$D316="Wind"),INDEX(Land_Use[MIN],MATCH(LEFT($D316,5),Land_Use[Tech],0)),0)*$E316</f>
        <v>68849.2</v>
      </c>
      <c r="M316" s="30">
        <f>IF(OR(LEFT($D316,5)="Solar",$D316="Wind"),INDEX(Land_Use[MAX],MATCH(LEFT($D316,5),Land_Use[Tech],0)),0)*$E316</f>
        <v>103273.8</v>
      </c>
      <c r="N316" s="15">
        <f t="shared" si="101"/>
        <v>0</v>
      </c>
      <c r="O316" s="11">
        <f t="shared" si="102"/>
        <v>1204861</v>
      </c>
      <c r="P316" s="11">
        <f t="shared" si="103"/>
        <v>120486.09999999999</v>
      </c>
      <c r="Q316" s="11">
        <f t="shared" si="104"/>
        <v>21515375</v>
      </c>
      <c r="R316" s="11">
        <f t="shared" si="105"/>
        <v>26679.064999999999</v>
      </c>
      <c r="S316" s="30">
        <f t="shared" si="94"/>
        <v>40.516599999999997</v>
      </c>
      <c r="T316" s="30">
        <f t="shared" si="95"/>
        <v>33.022199999999998</v>
      </c>
      <c r="U316" s="30">
        <f t="shared" si="96"/>
        <v>39.111399999999996</v>
      </c>
      <c r="V316" s="30">
        <f t="shared" si="97"/>
        <v>6.5810199999999996</v>
      </c>
      <c r="W316" s="30">
        <f t="shared" si="98"/>
        <v>119.23121999999999</v>
      </c>
      <c r="X316" s="30">
        <f t="shared" si="99"/>
        <v>7153.8731999999991</v>
      </c>
      <c r="Z316" s="23" t="s">
        <v>76</v>
      </c>
      <c r="AA316" s="40">
        <f>IF(C316="Electricity",E316*SUMIFS(Electricity!S:S,Electricity!P:P,UserMade_Scenario!B316,Electricity!M:M,UserMade_Scenario!Z316,Electricity!O:O,UserMade_Scenario!D316),"")</f>
        <v>29913218.138758041</v>
      </c>
      <c r="AB316" s="76">
        <f>1/Assumptions!$B$23/1000000000000</f>
        <v>3.5998225679871703E-9</v>
      </c>
      <c r="AC316" s="67" t="s">
        <v>82</v>
      </c>
      <c r="AD316" s="69">
        <f>INDEX(Table11[AVG
CO2e MT per MWh],MATCH(UserMade_Scenario!$B316,Table11[[Year]:[Year]],0))</f>
        <v>-5.9551897999999888E-2</v>
      </c>
      <c r="AE316" s="69">
        <f>INDEX(Table11[MIN
CO2e MT per MWh],MATCH(UserMade_Scenario!$B316,Table11[[Year]:[Year]],0))</f>
        <v>-2.8894788000000095E-2</v>
      </c>
      <c r="AF316" s="69">
        <f>INDEX(Table11[MAX CO2e MT per MWh],MATCH(UserMade_Scenario!$B316,Table11[[Year]:[Year]],0))</f>
        <v>-9.0209006999999994E-2</v>
      </c>
      <c r="AG316" s="68">
        <f>IFERROR(INDEX(WaterUseH2[Average Direct Water Consumption (Gal/ kg h2)],MATCH(LEFT(D316,3),WaterUseH2[Key],0)),0)</f>
        <v>0</v>
      </c>
      <c r="AH316">
        <v>14</v>
      </c>
      <c r="AI316">
        <v>1.4</v>
      </c>
      <c r="AJ316">
        <v>250</v>
      </c>
      <c r="AK316">
        <v>0.31</v>
      </c>
      <c r="AL316" s="63">
        <f>IFERROR(INDEX(Job_Training[[Solar]:[Wind]],MATCH(AL$1,Job_Training[[`Typical Entry Level Education`]:[`Typical Entry Level Education`]],0),MATCH(LEFT($D316,5),Job_Training[[#Headers],[Solar]:[Wind]],0)),0)</f>
        <v>3.4599999999999999E-2</v>
      </c>
      <c r="AM316" s="63">
        <f>IFERROR(INDEX(Job_Training[[Solar]:[Wind]],MATCH(AM$1,Job_Training[[`Typical Entry Level Education`]:[`Typical Entry Level Education`]],0),MATCH(LEFT($D316,5),Job_Training[[#Headers],[Solar]:[Wind]],0)),0)</f>
        <v>2.8199999999999999E-2</v>
      </c>
      <c r="AN316" s="63">
        <f>IFERROR(INDEX(Job_Training[[Solar]:[Wind]],MATCH(AN$1,Job_Training[[`Typical Entry Level Education`]:[`Typical Entry Level Education`]],0),MATCH(LEFT($D316,5),Job_Training[[#Headers],[Solar]:[Wind]],0)),0)</f>
        <v>3.3399999999999999E-2</v>
      </c>
      <c r="AO316" s="63">
        <f>IFERROR(INDEX(Job_Training[[Solar]:[Wind]],MATCH(AO$1,Job_Training[[`Typical Entry Level Education`]:[`Typical Entry Level Education`]],0),MATCH(LEFT($D316,5),Job_Training[[#Headers],[Solar]:[Wind]],0)),0)</f>
        <v>5.62E-3</v>
      </c>
      <c r="AP316">
        <f t="shared" si="100"/>
        <v>1171</v>
      </c>
      <c r="AQ316" s="63">
        <f>IF(AP316&gt;0,IFERROR(INDEX(Assumptions!$C$165:$D$165,MATCH(LEFT($D316,5),Job_Training[[#Headers],[Solar]:[Wind]],0)),0),0)</f>
        <v>0.10181999999999999</v>
      </c>
      <c r="AR316">
        <f>IF(AP316&gt;0,IFERROR(INDEX(Assumptions!$C$166:$D$166,MATCH(LEFT($D316,5),Job_Training[[#Headers],[Solar]:[Wind]],0)),0),0)</f>
        <v>6.1091999999999995</v>
      </c>
    </row>
    <row r="317" spans="1:44" hidden="1" x14ac:dyDescent="0.35">
      <c r="A317" t="str">
        <f>UserInput!$B$30</f>
        <v>State Policy Aligned</v>
      </c>
      <c r="B317">
        <v>2025</v>
      </c>
      <c r="C317" t="s">
        <v>41</v>
      </c>
      <c r="D317" t="s">
        <v>83</v>
      </c>
      <c r="E317" s="66">
        <f>INDEX(UserInput!$C$30:$M$50,MATCH(UserMade_Scenario!B317,UserInput!$A$30:$A$50,0),MATCH(LEFT(IF(RIGHT(C317,2)="H2",UserMade_Scenario!C317,D317),3),UserInput!$C$25:$M$25,0))</f>
        <v>99</v>
      </c>
      <c r="F317" t="s">
        <v>81</v>
      </c>
      <c r="G317" s="14">
        <f t="shared" si="106"/>
        <v>8.9195705339215775E-4</v>
      </c>
      <c r="H317" s="63">
        <f t="shared" si="91"/>
        <v>3.568756867911406E-2</v>
      </c>
      <c r="I317" s="63">
        <f t="shared" si="92"/>
        <v>3.2719125324186867E-2</v>
      </c>
      <c r="J317" s="63">
        <f t="shared" si="93"/>
        <v>3.8656011786263191E-2</v>
      </c>
      <c r="K317" s="30">
        <f>IF(OR(LEFT($D317,5)="Solar",$D317="Wind"),INDEX(Land_Use[AVG],MATCH(LEFT($D317,5),Land_Use[Tech],0)),0)*$E317</f>
        <v>247.5</v>
      </c>
      <c r="L317" s="30">
        <f>IF(OR(LEFT($D317,5)="Solar",$D317="Wind"),INDEX(Land_Use[MIN],MATCH(LEFT($D317,5),Land_Use[Tech],0)),0)*$E317</f>
        <v>79.2</v>
      </c>
      <c r="M317" s="30">
        <f>IF(OR(LEFT($D317,5)="Solar",$D317="Wind"),INDEX(Land_Use[MAX],MATCH(LEFT($D317,5),Land_Use[Tech],0)),0)*$E317</f>
        <v>415.8</v>
      </c>
      <c r="N317" s="15">
        <f t="shared" si="101"/>
        <v>0</v>
      </c>
      <c r="O317" s="11">
        <f t="shared" si="102"/>
        <v>3465</v>
      </c>
      <c r="P317" s="11">
        <f t="shared" si="103"/>
        <v>346.5</v>
      </c>
      <c r="Q317" s="11">
        <f t="shared" si="104"/>
        <v>61875</v>
      </c>
      <c r="R317" s="11">
        <f t="shared" si="105"/>
        <v>76.724999999999994</v>
      </c>
      <c r="S317" s="30">
        <f t="shared" si="94"/>
        <v>2.3363999999999998</v>
      </c>
      <c r="T317" s="30">
        <f t="shared" si="95"/>
        <v>4.0491000000000001</v>
      </c>
      <c r="U317" s="30">
        <f t="shared" si="96"/>
        <v>1.98</v>
      </c>
      <c r="V317" s="30">
        <f t="shared" si="97"/>
        <v>0.11187</v>
      </c>
      <c r="W317" s="30">
        <f t="shared" si="98"/>
        <v>8.4773700000000005</v>
      </c>
      <c r="X317" s="30">
        <f t="shared" si="99"/>
        <v>67.818960000000004</v>
      </c>
      <c r="Z317" s="23" t="s">
        <v>76</v>
      </c>
      <c r="AA317" s="40">
        <f>IF(C317="Electricity",E317*SUMIFS(Electricity!S:S,Electricity!P:P,UserMade_Scenario!B317,Electricity!M:M,UserMade_Scenario!Z317,Electricity!O:O,UserMade_Scenario!D317),"")</f>
        <v>247778.06032003759</v>
      </c>
      <c r="AB317" s="76">
        <f>1/Assumptions!$B$23/1000000000000</f>
        <v>3.5998225679871703E-9</v>
      </c>
      <c r="AC317" s="67" t="s">
        <v>82</v>
      </c>
      <c r="AD317" s="69">
        <f>INDEX(Table11[AVG
CO2e MT per MWh],MATCH(UserMade_Scenario!$B317,Table11[[Year]:[Year]],0))</f>
        <v>-0.14403038200000001</v>
      </c>
      <c r="AE317" s="69">
        <f>INDEX(Table11[MIN
CO2e MT per MWh],MATCH(UserMade_Scenario!$B317,Table11[[Year]:[Year]],0))</f>
        <v>-0.13205013099999999</v>
      </c>
      <c r="AF317" s="69">
        <f>INDEX(Table11[MAX CO2e MT per MWh],MATCH(UserMade_Scenario!$B317,Table11[[Year]:[Year]],0))</f>
        <v>-0.15601063200000001</v>
      </c>
      <c r="AG317" s="68">
        <f>IFERROR(INDEX(WaterUseH2[Average Direct Water Consumption (Gal/ kg h2)],MATCH(LEFT(D317,3),WaterUseH2[Key],0)),0)</f>
        <v>0</v>
      </c>
      <c r="AH317">
        <v>14</v>
      </c>
      <c r="AI317">
        <v>1.4</v>
      </c>
      <c r="AJ317">
        <v>250</v>
      </c>
      <c r="AK317">
        <v>0.31</v>
      </c>
      <c r="AL317" s="63">
        <f>IFERROR(INDEX(Job_Training[[Solar]:[Wind]],MATCH(AL$1,Job_Training[[`Typical Entry Level Education`]:[`Typical Entry Level Education`]],0),MATCH(LEFT($D317,5),Job_Training[[#Headers],[Solar]:[Wind]],0)),0)</f>
        <v>2.3599999999999999E-2</v>
      </c>
      <c r="AM317" s="63">
        <f>IFERROR(INDEX(Job_Training[[Solar]:[Wind]],MATCH(AM$1,Job_Training[[`Typical Entry Level Education`]:[`Typical Entry Level Education`]],0),MATCH(LEFT($D317,5),Job_Training[[#Headers],[Solar]:[Wind]],0)),0)</f>
        <v>4.0899999999999999E-2</v>
      </c>
      <c r="AN317" s="63">
        <f>IFERROR(INDEX(Job_Training[[Solar]:[Wind]],MATCH(AN$1,Job_Training[[`Typical Entry Level Education`]:[`Typical Entry Level Education`]],0),MATCH(LEFT($D317,5),Job_Training[[#Headers],[Solar]:[Wind]],0)),0)</f>
        <v>0.02</v>
      </c>
      <c r="AO317" s="63">
        <f>IFERROR(INDEX(Job_Training[[Solar]:[Wind]],MATCH(AO$1,Job_Training[[`Typical Entry Level Education`]:[`Typical Entry Level Education`]],0),MATCH(LEFT($D317,5),Job_Training[[#Headers],[Solar]:[Wind]],0)),0)</f>
        <v>1.1299999999999999E-3</v>
      </c>
      <c r="AP317">
        <f t="shared" si="100"/>
        <v>99</v>
      </c>
      <c r="AQ317" s="63">
        <f>IF(AP317&gt;0,IFERROR(INDEX(Assumptions!$C$165:$D$165,MATCH(LEFT($D317,5),Job_Training[[#Headers],[Solar]:[Wind]],0)),0),0)</f>
        <v>8.5630000000000012E-2</v>
      </c>
      <c r="AR317">
        <f>IF(AP317&gt;0,IFERROR(INDEX(Assumptions!$C$166:$D$166,MATCH(LEFT($D317,5),Job_Training[[#Headers],[Solar]:[Wind]],0)),0),0)</f>
        <v>0.68504000000000009</v>
      </c>
    </row>
    <row r="318" spans="1:44" hidden="1" x14ac:dyDescent="0.35">
      <c r="A318" t="str">
        <f>UserInput!$B$30</f>
        <v>State Policy Aligned</v>
      </c>
      <c r="B318">
        <v>2026</v>
      </c>
      <c r="C318" t="s">
        <v>41</v>
      </c>
      <c r="D318" t="s">
        <v>83</v>
      </c>
      <c r="E318" s="66">
        <f>INDEX(UserInput!$C$30:$M$50,MATCH(UserMade_Scenario!B318,UserInput!$A$30:$A$50,0),MATCH(LEFT(IF(RIGHT(C318,2)="H2",UserMade_Scenario!C318,D318),3),UserInput!$C$25:$M$25,0))</f>
        <v>212</v>
      </c>
      <c r="F318" t="s">
        <v>81</v>
      </c>
      <c r="G318" s="14">
        <f t="shared" si="106"/>
        <v>1.8947544793857763E-3</v>
      </c>
      <c r="H318" s="63">
        <f t="shared" si="91"/>
        <v>7.3586657997904037E-2</v>
      </c>
      <c r="I318" s="63">
        <f t="shared" si="92"/>
        <v>6.6789368160184881E-2</v>
      </c>
      <c r="J318" s="63">
        <f t="shared" si="93"/>
        <v>8.038394730927656E-2</v>
      </c>
      <c r="K318" s="30">
        <f>IF(OR(LEFT($D318,5)="Solar",$D318="Wind"),INDEX(Land_Use[AVG],MATCH(LEFT($D318,5),Land_Use[Tech],0)),0)*$E318</f>
        <v>530</v>
      </c>
      <c r="L318" s="30">
        <f>IF(OR(LEFT($D318,5)="Solar",$D318="Wind"),INDEX(Land_Use[MIN],MATCH(LEFT($D318,5),Land_Use[Tech],0)),0)*$E318</f>
        <v>169.60000000000002</v>
      </c>
      <c r="M318" s="30">
        <f>IF(OR(LEFT($D318,5)="Solar",$D318="Wind"),INDEX(Land_Use[MAX],MATCH(LEFT($D318,5),Land_Use[Tech],0)),0)*$E318</f>
        <v>890.40000000000009</v>
      </c>
      <c r="N318" s="15">
        <f t="shared" si="101"/>
        <v>0</v>
      </c>
      <c r="O318" s="11">
        <f t="shared" si="102"/>
        <v>7420</v>
      </c>
      <c r="P318" s="11">
        <f t="shared" si="103"/>
        <v>742</v>
      </c>
      <c r="Q318" s="11">
        <f t="shared" si="104"/>
        <v>132500</v>
      </c>
      <c r="R318" s="11">
        <f t="shared" si="105"/>
        <v>164.3</v>
      </c>
      <c r="S318" s="30">
        <f t="shared" si="94"/>
        <v>2.6667999999999998</v>
      </c>
      <c r="T318" s="30">
        <f t="shared" si="95"/>
        <v>4.6216999999999997</v>
      </c>
      <c r="U318" s="30">
        <f t="shared" si="96"/>
        <v>2.2600000000000002</v>
      </c>
      <c r="V318" s="30">
        <f t="shared" si="97"/>
        <v>0.12769</v>
      </c>
      <c r="W318" s="30">
        <f t="shared" si="98"/>
        <v>9.6761900000000018</v>
      </c>
      <c r="X318" s="30">
        <f t="shared" si="99"/>
        <v>77.409520000000015</v>
      </c>
      <c r="Z318" s="23" t="s">
        <v>76</v>
      </c>
      <c r="AA318" s="40">
        <f>IF(C318="Electricity",E318*SUMIFS(Electricity!S:S,Electricity!P:P,UserMade_Scenario!B318,Electricity!M:M,UserMade_Scenario!Z318,Electricity!O:O,UserMade_Scenario!D318),"")</f>
        <v>526346.63059108006</v>
      </c>
      <c r="AB318" s="76">
        <f>1/Assumptions!$B$23/1000000000000</f>
        <v>3.5998225679871703E-9</v>
      </c>
      <c r="AC318" s="67" t="s">
        <v>82</v>
      </c>
      <c r="AD318" s="69">
        <f>INDEX(Table11[AVG
CO2e MT per MWh],MATCH(UserMade_Scenario!$B318,Table11[[Year]:[Year]],0))</f>
        <v>-0.13980645780000001</v>
      </c>
      <c r="AE318" s="69">
        <f>INDEX(Table11[MIN
CO2e MT per MWh],MATCH(UserMade_Scenario!$B318,Table11[[Year]:[Year]],0))</f>
        <v>-0.12689236385</v>
      </c>
      <c r="AF318" s="69">
        <f>INDEX(Table11[MAX CO2e MT per MWh],MATCH(UserMade_Scenario!$B318,Table11[[Year]:[Year]],0))</f>
        <v>-0.15272055075000002</v>
      </c>
      <c r="AG318" s="68">
        <f>IFERROR(INDEX(WaterUseH2[Average Direct Water Consumption (Gal/ kg h2)],MATCH(LEFT(D318,3),WaterUseH2[Key],0)),0)</f>
        <v>0</v>
      </c>
      <c r="AH318">
        <v>14</v>
      </c>
      <c r="AI318">
        <v>1.4</v>
      </c>
      <c r="AJ318">
        <v>250</v>
      </c>
      <c r="AK318">
        <v>0.31</v>
      </c>
      <c r="AL318" s="63">
        <f>IFERROR(INDEX(Job_Training[[Solar]:[Wind]],MATCH(AL$1,Job_Training[[`Typical Entry Level Education`]:[`Typical Entry Level Education`]],0),MATCH(LEFT($D318,5),Job_Training[[#Headers],[Solar]:[Wind]],0)),0)</f>
        <v>2.3599999999999999E-2</v>
      </c>
      <c r="AM318" s="63">
        <f>IFERROR(INDEX(Job_Training[[Solar]:[Wind]],MATCH(AM$1,Job_Training[[`Typical Entry Level Education`]:[`Typical Entry Level Education`]],0),MATCH(LEFT($D318,5),Job_Training[[#Headers],[Solar]:[Wind]],0)),0)</f>
        <v>4.0899999999999999E-2</v>
      </c>
      <c r="AN318" s="63">
        <f>IFERROR(INDEX(Job_Training[[Solar]:[Wind]],MATCH(AN$1,Job_Training[[`Typical Entry Level Education`]:[`Typical Entry Level Education`]],0),MATCH(LEFT($D318,5),Job_Training[[#Headers],[Solar]:[Wind]],0)),0)</f>
        <v>0.02</v>
      </c>
      <c r="AO318" s="63">
        <f>IFERROR(INDEX(Job_Training[[Solar]:[Wind]],MATCH(AO$1,Job_Training[[`Typical Entry Level Education`]:[`Typical Entry Level Education`]],0),MATCH(LEFT($D318,5),Job_Training[[#Headers],[Solar]:[Wind]],0)),0)</f>
        <v>1.1299999999999999E-3</v>
      </c>
      <c r="AP318">
        <f t="shared" si="100"/>
        <v>113</v>
      </c>
      <c r="AQ318" s="63">
        <f>IF(AP318&gt;0,IFERROR(INDEX(Assumptions!$C$165:$D$165,MATCH(LEFT($D318,5),Job_Training[[#Headers],[Solar]:[Wind]],0)),0),0)</f>
        <v>8.5630000000000012E-2</v>
      </c>
      <c r="AR318">
        <f>IF(AP318&gt;0,IFERROR(INDEX(Assumptions!$C$166:$D$166,MATCH(LEFT($D318,5),Job_Training[[#Headers],[Solar]:[Wind]],0)),0),0)</f>
        <v>0.68504000000000009</v>
      </c>
    </row>
    <row r="319" spans="1:44" hidden="1" x14ac:dyDescent="0.35">
      <c r="A319" t="str">
        <f>UserInput!$B$30</f>
        <v>State Policy Aligned</v>
      </c>
      <c r="B319">
        <v>2027</v>
      </c>
      <c r="C319" t="s">
        <v>41</v>
      </c>
      <c r="D319" t="s">
        <v>83</v>
      </c>
      <c r="E319" s="66">
        <f>INDEX(UserInput!$C$30:$M$50,MATCH(UserMade_Scenario!B319,UserInput!$A$30:$A$50,0),MATCH(LEFT(IF(RIGHT(C319,2)="H2",UserMade_Scenario!C319,D319),3),UserInput!$C$25:$M$25,0))</f>
        <v>325</v>
      </c>
      <c r="F319" t="s">
        <v>81</v>
      </c>
      <c r="G319" s="14">
        <f t="shared" si="106"/>
        <v>2.8812468920218714E-3</v>
      </c>
      <c r="H319" s="63">
        <f t="shared" ref="H319:H382" si="107">IF($C319="Electricity",$AA319/1000000,$G319)*AD319*-1</f>
        <v>0.10851833560393502</v>
      </c>
      <c r="I319" s="63">
        <f t="shared" ref="I319:I382" si="108">IF($C319="Electricity",$AA319/1000000,$G319)*AE319*-1</f>
        <v>9.7434643449532649E-2</v>
      </c>
      <c r="J319" s="63">
        <f t="shared" ref="J319:J382" si="109">IF($C319="Electricity",$AA319/1000000,$G319)*AF319*-1</f>
        <v>0.11960202695795161</v>
      </c>
      <c r="K319" s="30">
        <f>IF(OR(LEFT($D319,5)="Solar",$D319="Wind"),INDEX(Land_Use[AVG],MATCH(LEFT($D319,5),Land_Use[Tech],0)),0)*$E319</f>
        <v>812.5</v>
      </c>
      <c r="L319" s="30">
        <f>IF(OR(LEFT($D319,5)="Solar",$D319="Wind"),INDEX(Land_Use[MIN],MATCH(LEFT($D319,5),Land_Use[Tech],0)),0)*$E319</f>
        <v>260</v>
      </c>
      <c r="M319" s="30">
        <f>IF(OR(LEFT($D319,5)="Solar",$D319="Wind"),INDEX(Land_Use[MAX],MATCH(LEFT($D319,5),Land_Use[Tech],0)),0)*$E319</f>
        <v>1365</v>
      </c>
      <c r="N319" s="15">
        <f t="shared" si="101"/>
        <v>0</v>
      </c>
      <c r="O319" s="11">
        <f t="shared" si="102"/>
        <v>11375</v>
      </c>
      <c r="P319" s="11">
        <f t="shared" si="103"/>
        <v>1137.5</v>
      </c>
      <c r="Q319" s="11">
        <f t="shared" si="104"/>
        <v>203125</v>
      </c>
      <c r="R319" s="11">
        <f t="shared" si="105"/>
        <v>251.875</v>
      </c>
      <c r="S319" s="30">
        <f t="shared" si="94"/>
        <v>2.6667999999999998</v>
      </c>
      <c r="T319" s="30">
        <f t="shared" si="95"/>
        <v>4.6216999999999997</v>
      </c>
      <c r="U319" s="30">
        <f t="shared" si="96"/>
        <v>2.2600000000000002</v>
      </c>
      <c r="V319" s="30">
        <f t="shared" si="97"/>
        <v>0.12769</v>
      </c>
      <c r="W319" s="30">
        <f t="shared" si="98"/>
        <v>9.6761900000000018</v>
      </c>
      <c r="X319" s="30">
        <f t="shared" si="99"/>
        <v>77.409520000000015</v>
      </c>
      <c r="Z319" s="23" t="s">
        <v>76</v>
      </c>
      <c r="AA319" s="40">
        <f>IF(C319="Electricity",E319*SUMIFS(Electricity!S:S,Electricity!P:P,UserMade_Scenario!B319,Electricity!M:M,UserMade_Scenario!Z319,Electricity!O:O,UserMade_Scenario!D319),"")</f>
        <v>800385.80724630319</v>
      </c>
      <c r="AB319" s="76">
        <f>1/Assumptions!$B$23/1000000000000</f>
        <v>3.5998225679871703E-9</v>
      </c>
      <c r="AC319" s="67" t="s">
        <v>82</v>
      </c>
      <c r="AD319" s="69">
        <f>INDEX(Table11[AVG
CO2e MT per MWh],MATCH(UserMade_Scenario!$B319,Table11[[Year]:[Year]],0))</f>
        <v>-0.1355825336</v>
      </c>
      <c r="AE319" s="69">
        <f>INDEX(Table11[MIN
CO2e MT per MWh],MATCH(UserMade_Scenario!$B319,Table11[[Year]:[Year]],0))</f>
        <v>-0.1217345967</v>
      </c>
      <c r="AF319" s="69">
        <f>INDEX(Table11[MAX CO2e MT per MWh],MATCH(UserMade_Scenario!$B319,Table11[[Year]:[Year]],0))</f>
        <v>-0.14943046950000002</v>
      </c>
      <c r="AG319" s="68">
        <f>IFERROR(INDEX(WaterUseH2[Average Direct Water Consumption (Gal/ kg h2)],MATCH(LEFT(D319,3),WaterUseH2[Key],0)),0)</f>
        <v>0</v>
      </c>
      <c r="AH319">
        <v>14</v>
      </c>
      <c r="AI319">
        <v>1.4</v>
      </c>
      <c r="AJ319">
        <v>250</v>
      </c>
      <c r="AK319">
        <v>0.31</v>
      </c>
      <c r="AL319" s="63">
        <f>IFERROR(INDEX(Job_Training[[Solar]:[Wind]],MATCH(AL$1,Job_Training[[`Typical Entry Level Education`]:[`Typical Entry Level Education`]],0),MATCH(LEFT($D319,5),Job_Training[[#Headers],[Solar]:[Wind]],0)),0)</f>
        <v>2.3599999999999999E-2</v>
      </c>
      <c r="AM319" s="63">
        <f>IFERROR(INDEX(Job_Training[[Solar]:[Wind]],MATCH(AM$1,Job_Training[[`Typical Entry Level Education`]:[`Typical Entry Level Education`]],0),MATCH(LEFT($D319,5),Job_Training[[#Headers],[Solar]:[Wind]],0)),0)</f>
        <v>4.0899999999999999E-2</v>
      </c>
      <c r="AN319" s="63">
        <f>IFERROR(INDEX(Job_Training[[Solar]:[Wind]],MATCH(AN$1,Job_Training[[`Typical Entry Level Education`]:[`Typical Entry Level Education`]],0),MATCH(LEFT($D319,5),Job_Training[[#Headers],[Solar]:[Wind]],0)),0)</f>
        <v>0.02</v>
      </c>
      <c r="AO319" s="63">
        <f>IFERROR(INDEX(Job_Training[[Solar]:[Wind]],MATCH(AO$1,Job_Training[[`Typical Entry Level Education`]:[`Typical Entry Level Education`]],0),MATCH(LEFT($D319,5),Job_Training[[#Headers],[Solar]:[Wind]],0)),0)</f>
        <v>1.1299999999999999E-3</v>
      </c>
      <c r="AP319">
        <f t="shared" si="100"/>
        <v>113</v>
      </c>
      <c r="AQ319" s="63">
        <f>IF(AP319&gt;0,IFERROR(INDEX(Assumptions!$C$165:$D$165,MATCH(LEFT($D319,5),Job_Training[[#Headers],[Solar]:[Wind]],0)),0),0)</f>
        <v>8.5630000000000012E-2</v>
      </c>
      <c r="AR319">
        <f>IF(AP319&gt;0,IFERROR(INDEX(Assumptions!$C$166:$D$166,MATCH(LEFT($D319,5),Job_Training[[#Headers],[Solar]:[Wind]],0)),0),0)</f>
        <v>0.68504000000000009</v>
      </c>
    </row>
    <row r="320" spans="1:44" hidden="1" x14ac:dyDescent="0.35">
      <c r="A320" t="str">
        <f>UserInput!$B$30</f>
        <v>State Policy Aligned</v>
      </c>
      <c r="B320">
        <v>2028</v>
      </c>
      <c r="C320" t="s">
        <v>41</v>
      </c>
      <c r="D320" t="s">
        <v>83</v>
      </c>
      <c r="E320" s="66">
        <f>INDEX(UserInput!$C$30:$M$50,MATCH(UserMade_Scenario!B320,UserInput!$A$30:$A$50,0),MATCH(LEFT(IF(RIGHT(C320,2)="H2",UserMade_Scenario!C320,D320),3),UserInput!$C$25:$M$25,0))</f>
        <v>438</v>
      </c>
      <c r="F320" t="s">
        <v>81</v>
      </c>
      <c r="G320" s="14">
        <f t="shared" si="106"/>
        <v>3.8514342913004433E-3</v>
      </c>
      <c r="H320" s="63">
        <f t="shared" si="107"/>
        <v>0.14053999694312261</v>
      </c>
      <c r="I320" s="63">
        <f t="shared" si="108"/>
        <v>0.12472503586503352</v>
      </c>
      <c r="J320" s="63">
        <f t="shared" si="109"/>
        <v>0.15635495695131618</v>
      </c>
      <c r="K320" s="30">
        <f>IF(OR(LEFT($D320,5)="Solar",$D320="Wind"),INDEX(Land_Use[AVG],MATCH(LEFT($D320,5),Land_Use[Tech],0)),0)*$E320</f>
        <v>1095</v>
      </c>
      <c r="L320" s="30">
        <f>IF(OR(LEFT($D320,5)="Solar",$D320="Wind"),INDEX(Land_Use[MIN],MATCH(LEFT($D320,5),Land_Use[Tech],0)),0)*$E320</f>
        <v>350.40000000000003</v>
      </c>
      <c r="M320" s="30">
        <f>IF(OR(LEFT($D320,5)="Solar",$D320="Wind"),INDEX(Land_Use[MAX],MATCH(LEFT($D320,5),Land_Use[Tech],0)),0)*$E320</f>
        <v>1839.6000000000001</v>
      </c>
      <c r="N320" s="15">
        <f t="shared" si="101"/>
        <v>0</v>
      </c>
      <c r="O320" s="11">
        <f t="shared" si="102"/>
        <v>15330</v>
      </c>
      <c r="P320" s="11">
        <f t="shared" si="103"/>
        <v>1533</v>
      </c>
      <c r="Q320" s="11">
        <f t="shared" si="104"/>
        <v>273750</v>
      </c>
      <c r="R320" s="11">
        <f t="shared" si="105"/>
        <v>339.45</v>
      </c>
      <c r="S320" s="30">
        <f t="shared" si="94"/>
        <v>2.6667999999999998</v>
      </c>
      <c r="T320" s="30">
        <f t="shared" si="95"/>
        <v>4.6216999999999997</v>
      </c>
      <c r="U320" s="30">
        <f t="shared" si="96"/>
        <v>2.2600000000000002</v>
      </c>
      <c r="V320" s="30">
        <f t="shared" si="97"/>
        <v>0.12769</v>
      </c>
      <c r="W320" s="30">
        <f t="shared" si="98"/>
        <v>9.6761900000000018</v>
      </c>
      <c r="X320" s="30">
        <f t="shared" si="99"/>
        <v>77.409520000000015</v>
      </c>
      <c r="Z320" s="23" t="s">
        <v>76</v>
      </c>
      <c r="AA320" s="40">
        <f>IF(C320="Electricity",E320*SUMIFS(Electricity!S:S,Electricity!P:P,UserMade_Scenario!B320,Electricity!M:M,UserMade_Scenario!Z320,Electricity!O:O,UserMade_Scenario!D320),"")</f>
        <v>1069895.590285707</v>
      </c>
      <c r="AB320" s="76">
        <f>1/Assumptions!$B$23/1000000000000</f>
        <v>3.5998225679871703E-9</v>
      </c>
      <c r="AC320" s="67" t="s">
        <v>82</v>
      </c>
      <c r="AD320" s="69">
        <f>INDEX(Table11[AVG
CO2e MT per MWh],MATCH(UserMade_Scenario!$B320,Table11[[Year]:[Year]],0))</f>
        <v>-0.13135860939999999</v>
      </c>
      <c r="AE320" s="69">
        <f>INDEX(Table11[MIN
CO2e MT per MWh],MATCH(UserMade_Scenario!$B320,Table11[[Year]:[Year]],0))</f>
        <v>-0.11657682955000001</v>
      </c>
      <c r="AF320" s="69">
        <f>INDEX(Table11[MAX CO2e MT per MWh],MATCH(UserMade_Scenario!$B320,Table11[[Year]:[Year]],0))</f>
        <v>-0.14614038825000003</v>
      </c>
      <c r="AG320" s="68">
        <f>IFERROR(INDEX(WaterUseH2[Average Direct Water Consumption (Gal/ kg h2)],MATCH(LEFT(D320,3),WaterUseH2[Key],0)),0)</f>
        <v>0</v>
      </c>
      <c r="AH320">
        <v>14</v>
      </c>
      <c r="AI320">
        <v>1.4</v>
      </c>
      <c r="AJ320">
        <v>250</v>
      </c>
      <c r="AK320">
        <v>0.31</v>
      </c>
      <c r="AL320" s="63">
        <f>IFERROR(INDEX(Job_Training[[Solar]:[Wind]],MATCH(AL$1,Job_Training[[`Typical Entry Level Education`]:[`Typical Entry Level Education`]],0),MATCH(LEFT($D320,5),Job_Training[[#Headers],[Solar]:[Wind]],0)),0)</f>
        <v>2.3599999999999999E-2</v>
      </c>
      <c r="AM320" s="63">
        <f>IFERROR(INDEX(Job_Training[[Solar]:[Wind]],MATCH(AM$1,Job_Training[[`Typical Entry Level Education`]:[`Typical Entry Level Education`]],0),MATCH(LEFT($D320,5),Job_Training[[#Headers],[Solar]:[Wind]],0)),0)</f>
        <v>4.0899999999999999E-2</v>
      </c>
      <c r="AN320" s="63">
        <f>IFERROR(INDEX(Job_Training[[Solar]:[Wind]],MATCH(AN$1,Job_Training[[`Typical Entry Level Education`]:[`Typical Entry Level Education`]],0),MATCH(LEFT($D320,5),Job_Training[[#Headers],[Solar]:[Wind]],0)),0)</f>
        <v>0.02</v>
      </c>
      <c r="AO320" s="63">
        <f>IFERROR(INDEX(Job_Training[[Solar]:[Wind]],MATCH(AO$1,Job_Training[[`Typical Entry Level Education`]:[`Typical Entry Level Education`]],0),MATCH(LEFT($D320,5),Job_Training[[#Headers],[Solar]:[Wind]],0)),0)</f>
        <v>1.1299999999999999E-3</v>
      </c>
      <c r="AP320">
        <f t="shared" si="100"/>
        <v>113</v>
      </c>
      <c r="AQ320" s="63">
        <f>IF(AP320&gt;0,IFERROR(INDEX(Assumptions!$C$165:$D$165,MATCH(LEFT($D320,5),Job_Training[[#Headers],[Solar]:[Wind]],0)),0),0)</f>
        <v>8.5630000000000012E-2</v>
      </c>
      <c r="AR320">
        <f>IF(AP320&gt;0,IFERROR(INDEX(Assumptions!$C$166:$D$166,MATCH(LEFT($D320,5),Job_Training[[#Headers],[Solar]:[Wind]],0)),0),0)</f>
        <v>0.68504000000000009</v>
      </c>
    </row>
    <row r="321" spans="1:44" hidden="1" x14ac:dyDescent="0.35">
      <c r="A321" t="str">
        <f>UserInput!$B$30</f>
        <v>State Policy Aligned</v>
      </c>
      <c r="B321">
        <v>2029</v>
      </c>
      <c r="C321" t="s">
        <v>41</v>
      </c>
      <c r="D321" t="s">
        <v>83</v>
      </c>
      <c r="E321" s="66">
        <f>INDEX(UserInput!$C$30:$M$50,MATCH(UserMade_Scenario!B321,UserInput!$A$30:$A$50,0),MATCH(LEFT(IF(RIGHT(C321,2)="H2",UserMade_Scenario!C321,D321),3),UserInput!$C$25:$M$25,0))</f>
        <v>551</v>
      </c>
      <c r="F321" t="s">
        <v>81</v>
      </c>
      <c r="G321" s="14">
        <f t="shared" si="106"/>
        <v>4.8053166772214911E-3</v>
      </c>
      <c r="H321" s="63">
        <f t="shared" si="107"/>
        <v>0.16970903746138233</v>
      </c>
      <c r="I321" s="63">
        <f t="shared" si="108"/>
        <v>0.14873063007949069</v>
      </c>
      <c r="J321" s="63">
        <f t="shared" si="109"/>
        <v>0.19068744350839809</v>
      </c>
      <c r="K321" s="30">
        <f>IF(OR(LEFT($D321,5)="Solar",$D321="Wind"),INDEX(Land_Use[AVG],MATCH(LEFT($D321,5),Land_Use[Tech],0)),0)*$E321</f>
        <v>1377.5</v>
      </c>
      <c r="L321" s="30">
        <f>IF(OR(LEFT($D321,5)="Solar",$D321="Wind"),INDEX(Land_Use[MIN],MATCH(LEFT($D321,5),Land_Use[Tech],0)),0)*$E321</f>
        <v>440.8</v>
      </c>
      <c r="M321" s="30">
        <f>IF(OR(LEFT($D321,5)="Solar",$D321="Wind"),INDEX(Land_Use[MAX],MATCH(LEFT($D321,5),Land_Use[Tech],0)),0)*$E321</f>
        <v>2314.2000000000003</v>
      </c>
      <c r="N321" s="15">
        <f t="shared" si="101"/>
        <v>0</v>
      </c>
      <c r="O321" s="11">
        <f t="shared" si="102"/>
        <v>19285</v>
      </c>
      <c r="P321" s="11">
        <f t="shared" si="103"/>
        <v>1928.4999999999998</v>
      </c>
      <c r="Q321" s="11">
        <f t="shared" si="104"/>
        <v>344375</v>
      </c>
      <c r="R321" s="11">
        <f t="shared" si="105"/>
        <v>427.02499999999998</v>
      </c>
      <c r="S321" s="30">
        <f t="shared" si="94"/>
        <v>2.6667999999999998</v>
      </c>
      <c r="T321" s="30">
        <f t="shared" si="95"/>
        <v>4.6216999999999997</v>
      </c>
      <c r="U321" s="30">
        <f t="shared" si="96"/>
        <v>2.2600000000000002</v>
      </c>
      <c r="V321" s="30">
        <f t="shared" si="97"/>
        <v>0.12769</v>
      </c>
      <c r="W321" s="30">
        <f t="shared" si="98"/>
        <v>9.6761900000000018</v>
      </c>
      <c r="X321" s="30">
        <f t="shared" si="99"/>
        <v>77.409520000000015</v>
      </c>
      <c r="Z321" s="23" t="s">
        <v>76</v>
      </c>
      <c r="AA321" s="40">
        <f>IF(C321="Electricity",E321*SUMIFS(Electricity!S:S,Electricity!P:P,UserMade_Scenario!B321,Electricity!M:M,UserMade_Scenario!Z321,Electricity!O:O,UserMade_Scenario!D321),"")</f>
        <v>1334875.9797092914</v>
      </c>
      <c r="AB321" s="76">
        <f>1/Assumptions!$B$23/1000000000000</f>
        <v>3.5998225679871703E-9</v>
      </c>
      <c r="AC321" s="67" t="s">
        <v>82</v>
      </c>
      <c r="AD321" s="69">
        <f>INDEX(Table11[AVG
CO2e MT per MWh],MATCH(UserMade_Scenario!$B321,Table11[[Year]:[Year]],0))</f>
        <v>-0.12713468519999999</v>
      </c>
      <c r="AE321" s="69">
        <f>INDEX(Table11[MIN
CO2e MT per MWh],MATCH(UserMade_Scenario!$B321,Table11[[Year]:[Year]],0))</f>
        <v>-0.11141906240000002</v>
      </c>
      <c r="AF321" s="69">
        <f>INDEX(Table11[MAX CO2e MT per MWh],MATCH(UserMade_Scenario!$B321,Table11[[Year]:[Year]],0))</f>
        <v>-0.14285030700000004</v>
      </c>
      <c r="AG321" s="68">
        <f>IFERROR(INDEX(WaterUseH2[Average Direct Water Consumption (Gal/ kg h2)],MATCH(LEFT(D321,3),WaterUseH2[Key],0)),0)</f>
        <v>0</v>
      </c>
      <c r="AH321">
        <v>14</v>
      </c>
      <c r="AI321">
        <v>1.4</v>
      </c>
      <c r="AJ321">
        <v>250</v>
      </c>
      <c r="AK321">
        <v>0.31</v>
      </c>
      <c r="AL321" s="63">
        <f>IFERROR(INDEX(Job_Training[[Solar]:[Wind]],MATCH(AL$1,Job_Training[[`Typical Entry Level Education`]:[`Typical Entry Level Education`]],0),MATCH(LEFT($D321,5),Job_Training[[#Headers],[Solar]:[Wind]],0)),0)</f>
        <v>2.3599999999999999E-2</v>
      </c>
      <c r="AM321" s="63">
        <f>IFERROR(INDEX(Job_Training[[Solar]:[Wind]],MATCH(AM$1,Job_Training[[`Typical Entry Level Education`]:[`Typical Entry Level Education`]],0),MATCH(LEFT($D321,5),Job_Training[[#Headers],[Solar]:[Wind]],0)),0)</f>
        <v>4.0899999999999999E-2</v>
      </c>
      <c r="AN321" s="63">
        <f>IFERROR(INDEX(Job_Training[[Solar]:[Wind]],MATCH(AN$1,Job_Training[[`Typical Entry Level Education`]:[`Typical Entry Level Education`]],0),MATCH(LEFT($D321,5),Job_Training[[#Headers],[Solar]:[Wind]],0)),0)</f>
        <v>0.02</v>
      </c>
      <c r="AO321" s="63">
        <f>IFERROR(INDEX(Job_Training[[Solar]:[Wind]],MATCH(AO$1,Job_Training[[`Typical Entry Level Education`]:[`Typical Entry Level Education`]],0),MATCH(LEFT($D321,5),Job_Training[[#Headers],[Solar]:[Wind]],0)),0)</f>
        <v>1.1299999999999999E-3</v>
      </c>
      <c r="AP321">
        <f t="shared" si="100"/>
        <v>113</v>
      </c>
      <c r="AQ321" s="63">
        <f>IF(AP321&gt;0,IFERROR(INDEX(Assumptions!$C$165:$D$165,MATCH(LEFT($D321,5),Job_Training[[#Headers],[Solar]:[Wind]],0)),0),0)</f>
        <v>8.5630000000000012E-2</v>
      </c>
      <c r="AR321">
        <f>IF(AP321&gt;0,IFERROR(INDEX(Assumptions!$C$166:$D$166,MATCH(LEFT($D321,5),Job_Training[[#Headers],[Solar]:[Wind]],0)),0),0)</f>
        <v>0.68504000000000009</v>
      </c>
    </row>
    <row r="322" spans="1:44" hidden="1" x14ac:dyDescent="0.35">
      <c r="A322" t="str">
        <f>UserInput!$B$30</f>
        <v>State Policy Aligned</v>
      </c>
      <c r="B322">
        <v>2030</v>
      </c>
      <c r="C322" t="s">
        <v>41</v>
      </c>
      <c r="D322" t="s">
        <v>83</v>
      </c>
      <c r="E322" s="66">
        <f>INDEX(UserInput!$C$30:$M$50,MATCH(UserMade_Scenario!B322,UserInput!$A$30:$A$50,0),MATCH(LEFT(IF(RIGHT(C322,2)="H2",UserMade_Scenario!C322,D322),3),UserInput!$C$25:$M$25,0))</f>
        <v>664</v>
      </c>
      <c r="F322" t="s">
        <v>81</v>
      </c>
      <c r="G322" s="14">
        <f t="shared" si="106"/>
        <v>5.7428940497850156E-3</v>
      </c>
      <c r="H322" s="63">
        <f t="shared" si="107"/>
        <v>0.19608285260462974</v>
      </c>
      <c r="I322" s="63">
        <f t="shared" si="108"/>
        <v>0.16952151076570751</v>
      </c>
      <c r="J322" s="63">
        <f t="shared" si="109"/>
        <v>0.2226441928482252</v>
      </c>
      <c r="K322" s="30">
        <f>IF(OR(LEFT($D322,5)="Solar",$D322="Wind"),INDEX(Land_Use[AVG],MATCH(LEFT($D322,5),Land_Use[Tech],0)),0)*$E322</f>
        <v>1660</v>
      </c>
      <c r="L322" s="30">
        <f>IF(OR(LEFT($D322,5)="Solar",$D322="Wind"),INDEX(Land_Use[MIN],MATCH(LEFT($D322,5),Land_Use[Tech],0)),0)*$E322</f>
        <v>531.20000000000005</v>
      </c>
      <c r="M322" s="30">
        <f>IF(OR(LEFT($D322,5)="Solar",$D322="Wind"),INDEX(Land_Use[MAX],MATCH(LEFT($D322,5),Land_Use[Tech],0)),0)*$E322</f>
        <v>2788.8</v>
      </c>
      <c r="N322" s="15">
        <f t="shared" si="101"/>
        <v>0</v>
      </c>
      <c r="O322" s="11">
        <f t="shared" si="102"/>
        <v>23240</v>
      </c>
      <c r="P322" s="11">
        <f t="shared" si="103"/>
        <v>2324</v>
      </c>
      <c r="Q322" s="11">
        <f t="shared" si="104"/>
        <v>415000</v>
      </c>
      <c r="R322" s="11">
        <f t="shared" si="105"/>
        <v>514.6</v>
      </c>
      <c r="S322" s="30">
        <f t="shared" si="94"/>
        <v>2.6667999999999998</v>
      </c>
      <c r="T322" s="30">
        <f t="shared" si="95"/>
        <v>4.6216999999999997</v>
      </c>
      <c r="U322" s="30">
        <f t="shared" si="96"/>
        <v>2.2600000000000002</v>
      </c>
      <c r="V322" s="30">
        <f t="shared" si="97"/>
        <v>0.12769</v>
      </c>
      <c r="W322" s="30">
        <f t="shared" si="98"/>
        <v>9.6761900000000018</v>
      </c>
      <c r="X322" s="30">
        <f t="shared" si="99"/>
        <v>77.409520000000015</v>
      </c>
      <c r="Z322" s="23" t="s">
        <v>76</v>
      </c>
      <c r="AA322" s="40">
        <f>IF(C322="Electricity",E322*SUMIFS(Electricity!S:S,Electricity!P:P,UserMade_Scenario!B322,Electricity!M:M,UserMade_Scenario!Z322,Electricity!O:O,UserMade_Scenario!D322),"")</f>
        <v>1595326.9755170564</v>
      </c>
      <c r="AB322" s="76">
        <f>1/Assumptions!$B$23/1000000000000</f>
        <v>3.5998225679871703E-9</v>
      </c>
      <c r="AC322" s="67" t="s">
        <v>82</v>
      </c>
      <c r="AD322" s="69">
        <f>INDEX(Table11[AVG
CO2e MT per MWh],MATCH(UserMade_Scenario!$B322,Table11[[Year]:[Year]],0))</f>
        <v>-0.12291076099999998</v>
      </c>
      <c r="AE322" s="69">
        <f>INDEX(Table11[MIN
CO2e MT per MWh],MATCH(UserMade_Scenario!$B322,Table11[[Year]:[Year]],0))</f>
        <v>-0.10626129525000003</v>
      </c>
      <c r="AF322" s="69">
        <f>INDEX(Table11[MAX CO2e MT per MWh],MATCH(UserMade_Scenario!$B322,Table11[[Year]:[Year]],0))</f>
        <v>-0.13956022575000004</v>
      </c>
      <c r="AG322" s="68">
        <f>IFERROR(INDEX(WaterUseH2[Average Direct Water Consumption (Gal/ kg h2)],MATCH(LEFT(D322,3),WaterUseH2[Key],0)),0)</f>
        <v>0</v>
      </c>
      <c r="AH322">
        <v>14</v>
      </c>
      <c r="AI322">
        <v>1.4</v>
      </c>
      <c r="AJ322">
        <v>250</v>
      </c>
      <c r="AK322">
        <v>0.31</v>
      </c>
      <c r="AL322" s="63">
        <f>IFERROR(INDEX(Job_Training[[Solar]:[Wind]],MATCH(AL$1,Job_Training[[`Typical Entry Level Education`]:[`Typical Entry Level Education`]],0),MATCH(LEFT($D322,5),Job_Training[[#Headers],[Solar]:[Wind]],0)),0)</f>
        <v>2.3599999999999999E-2</v>
      </c>
      <c r="AM322" s="63">
        <f>IFERROR(INDEX(Job_Training[[Solar]:[Wind]],MATCH(AM$1,Job_Training[[`Typical Entry Level Education`]:[`Typical Entry Level Education`]],0),MATCH(LEFT($D322,5),Job_Training[[#Headers],[Solar]:[Wind]],0)),0)</f>
        <v>4.0899999999999999E-2</v>
      </c>
      <c r="AN322" s="63">
        <f>IFERROR(INDEX(Job_Training[[Solar]:[Wind]],MATCH(AN$1,Job_Training[[`Typical Entry Level Education`]:[`Typical Entry Level Education`]],0),MATCH(LEFT($D322,5),Job_Training[[#Headers],[Solar]:[Wind]],0)),0)</f>
        <v>0.02</v>
      </c>
      <c r="AO322" s="63">
        <f>IFERROR(INDEX(Job_Training[[Solar]:[Wind]],MATCH(AO$1,Job_Training[[`Typical Entry Level Education`]:[`Typical Entry Level Education`]],0),MATCH(LEFT($D322,5),Job_Training[[#Headers],[Solar]:[Wind]],0)),0)</f>
        <v>1.1299999999999999E-3</v>
      </c>
      <c r="AP322">
        <f t="shared" si="100"/>
        <v>113</v>
      </c>
      <c r="AQ322" s="63">
        <f>IF(AP322&gt;0,IFERROR(INDEX(Assumptions!$C$165:$D$165,MATCH(LEFT($D322,5),Job_Training[[#Headers],[Solar]:[Wind]],0)),0),0)</f>
        <v>8.5630000000000012E-2</v>
      </c>
      <c r="AR322">
        <f>IF(AP322&gt;0,IFERROR(INDEX(Assumptions!$C$166:$D$166,MATCH(LEFT($D322,5),Job_Training[[#Headers],[Solar]:[Wind]],0)),0),0)</f>
        <v>0.68504000000000009</v>
      </c>
    </row>
    <row r="323" spans="1:44" hidden="1" x14ac:dyDescent="0.35">
      <c r="A323" t="str">
        <f>UserInput!$B$30</f>
        <v>State Policy Aligned</v>
      </c>
      <c r="B323">
        <v>2031</v>
      </c>
      <c r="C323" t="s">
        <v>41</v>
      </c>
      <c r="D323" t="s">
        <v>83</v>
      </c>
      <c r="E323" s="66">
        <f>INDEX(UserInput!$C$30:$M$50,MATCH(UserMade_Scenario!B323,UserInput!$A$30:$A$50,0),MATCH(LEFT(IF(RIGHT(C323,2)="H2",UserMade_Scenario!C323,D323),3),UserInput!$C$25:$M$25,0))</f>
        <v>777</v>
      </c>
      <c r="F323" t="s">
        <v>81</v>
      </c>
      <c r="G323" s="14">
        <f t="shared" si="106"/>
        <v>6.6641664089910164E-3</v>
      </c>
      <c r="H323" s="63">
        <f t="shared" si="107"/>
        <v>0.2197188378187804</v>
      </c>
      <c r="I323" s="63">
        <f t="shared" si="108"/>
        <v>0.18716776259648721</v>
      </c>
      <c r="J323" s="63">
        <f t="shared" si="109"/>
        <v>0.25226991118982528</v>
      </c>
      <c r="K323" s="30">
        <f>IF(OR(LEFT($D323,5)="Solar",$D323="Wind"),INDEX(Land_Use[AVG],MATCH(LEFT($D323,5),Land_Use[Tech],0)),0)*$E323</f>
        <v>1942.5</v>
      </c>
      <c r="L323" s="30">
        <f>IF(OR(LEFT($D323,5)="Solar",$D323="Wind"),INDEX(Land_Use[MIN],MATCH(LEFT($D323,5),Land_Use[Tech],0)),0)*$E323</f>
        <v>621.6</v>
      </c>
      <c r="M323" s="30">
        <f>IF(OR(LEFT($D323,5)="Solar",$D323="Wind"),INDEX(Land_Use[MAX],MATCH(LEFT($D323,5),Land_Use[Tech],0)),0)*$E323</f>
        <v>3263.4</v>
      </c>
      <c r="N323" s="15">
        <f t="shared" si="101"/>
        <v>0</v>
      </c>
      <c r="O323" s="11">
        <f t="shared" si="102"/>
        <v>27195</v>
      </c>
      <c r="P323" s="11">
        <f t="shared" si="103"/>
        <v>2719.5</v>
      </c>
      <c r="Q323" s="11">
        <f t="shared" si="104"/>
        <v>485625</v>
      </c>
      <c r="R323" s="11">
        <f t="shared" si="105"/>
        <v>602.17499999999995</v>
      </c>
      <c r="S323" s="30">
        <f t="shared" ref="S323:S386" si="110">MAX($AP323*AL323,0)</f>
        <v>2.6667999999999998</v>
      </c>
      <c r="T323" s="30">
        <f t="shared" ref="T323:T386" si="111">MAX($AP323*AM323,0)</f>
        <v>4.6216999999999997</v>
      </c>
      <c r="U323" s="30">
        <f t="shared" ref="U323:U386" si="112">MAX($AP323*AN323,0)</f>
        <v>2.2600000000000002</v>
      </c>
      <c r="V323" s="30">
        <f t="shared" ref="V323:V386" si="113">MAX($AP323*AO323,0)</f>
        <v>0.12769</v>
      </c>
      <c r="W323" s="30">
        <f t="shared" ref="W323:W386" si="114">$AP323*AQ323</f>
        <v>9.6761900000000018</v>
      </c>
      <c r="X323" s="30">
        <f t="shared" ref="X323:X386" si="115">$AP323*AR323</f>
        <v>77.409520000000015</v>
      </c>
      <c r="Z323" s="23" t="s">
        <v>76</v>
      </c>
      <c r="AA323" s="40">
        <f>IF(C323="Electricity",E323*SUMIFS(Electricity!S:S,Electricity!P:P,UserMade_Scenario!B323,Electricity!M:M,UserMade_Scenario!Z323,Electricity!O:O,UserMade_Scenario!D323),"")</f>
        <v>1851248.5777090022</v>
      </c>
      <c r="AB323" s="76">
        <f>1/Assumptions!$B$23/1000000000000</f>
        <v>3.5998225679871703E-9</v>
      </c>
      <c r="AC323" s="67" t="s">
        <v>82</v>
      </c>
      <c r="AD323" s="69">
        <f>INDEX(Table11[AVG
CO2e MT per MWh],MATCH(UserMade_Scenario!$B323,Table11[[Year]:[Year]],0))</f>
        <v>-0.11868683679999997</v>
      </c>
      <c r="AE323" s="69">
        <f>INDEX(Table11[MIN
CO2e MT per MWh],MATCH(UserMade_Scenario!$B323,Table11[[Year]:[Year]],0))</f>
        <v>-0.10110352810000003</v>
      </c>
      <c r="AF323" s="69">
        <f>INDEX(Table11[MAX CO2e MT per MWh],MATCH(UserMade_Scenario!$B323,Table11[[Year]:[Year]],0))</f>
        <v>-0.13627014450000005</v>
      </c>
      <c r="AG323" s="68">
        <f>IFERROR(INDEX(WaterUseH2[Average Direct Water Consumption (Gal/ kg h2)],MATCH(LEFT(D323,3),WaterUseH2[Key],0)),0)</f>
        <v>0</v>
      </c>
      <c r="AH323">
        <v>14</v>
      </c>
      <c r="AI323">
        <v>1.4</v>
      </c>
      <c r="AJ323">
        <v>250</v>
      </c>
      <c r="AK323">
        <v>0.31</v>
      </c>
      <c r="AL323" s="63">
        <f>IFERROR(INDEX(Job_Training[[Solar]:[Wind]],MATCH(AL$1,Job_Training[[`Typical Entry Level Education`]:[`Typical Entry Level Education`]],0),MATCH(LEFT($D323,5),Job_Training[[#Headers],[Solar]:[Wind]],0)),0)</f>
        <v>2.3599999999999999E-2</v>
      </c>
      <c r="AM323" s="63">
        <f>IFERROR(INDEX(Job_Training[[Solar]:[Wind]],MATCH(AM$1,Job_Training[[`Typical Entry Level Education`]:[`Typical Entry Level Education`]],0),MATCH(LEFT($D323,5),Job_Training[[#Headers],[Solar]:[Wind]],0)),0)</f>
        <v>4.0899999999999999E-2</v>
      </c>
      <c r="AN323" s="63">
        <f>IFERROR(INDEX(Job_Training[[Solar]:[Wind]],MATCH(AN$1,Job_Training[[`Typical Entry Level Education`]:[`Typical Entry Level Education`]],0),MATCH(LEFT($D323,5),Job_Training[[#Headers],[Solar]:[Wind]],0)),0)</f>
        <v>0.02</v>
      </c>
      <c r="AO323" s="63">
        <f>IFERROR(INDEX(Job_Training[[Solar]:[Wind]],MATCH(AO$1,Job_Training[[`Typical Entry Level Education`]:[`Typical Entry Level Education`]],0),MATCH(LEFT($D323,5),Job_Training[[#Headers],[Solar]:[Wind]],0)),0)</f>
        <v>1.1299999999999999E-3</v>
      </c>
      <c r="AP323">
        <f t="shared" ref="AP323:AP386" si="116">IF(OR($C323="Electricity",$D323="Solar (Off-Grid)"),IF($B323=2025,$E323,$E323-$E322),0)</f>
        <v>113</v>
      </c>
      <c r="AQ323" s="63">
        <f>IF(AP323&gt;0,IFERROR(INDEX(Assumptions!$C$165:$D$165,MATCH(LEFT($D323,5),Job_Training[[#Headers],[Solar]:[Wind]],0)),0),0)</f>
        <v>8.5630000000000012E-2</v>
      </c>
      <c r="AR323">
        <f>IF(AP323&gt;0,IFERROR(INDEX(Assumptions!$C$166:$D$166,MATCH(LEFT($D323,5),Job_Training[[#Headers],[Solar]:[Wind]],0)),0),0)</f>
        <v>0.68504000000000009</v>
      </c>
    </row>
    <row r="324" spans="1:44" hidden="1" x14ac:dyDescent="0.35">
      <c r="A324" t="str">
        <f>UserInput!$B$30</f>
        <v>State Policy Aligned</v>
      </c>
      <c r="B324">
        <v>2032</v>
      </c>
      <c r="C324" t="s">
        <v>41</v>
      </c>
      <c r="D324" t="s">
        <v>83</v>
      </c>
      <c r="E324" s="66">
        <f>INDEX(UserInput!$C$30:$M$50,MATCH(UserMade_Scenario!B324,UserInput!$A$30:$A$50,0),MATCH(LEFT(IF(RIGHT(C324,2)="H2",UserMade_Scenario!C324,D324),3),UserInput!$C$25:$M$25,0))</f>
        <v>890</v>
      </c>
      <c r="F324" t="s">
        <v>81</v>
      </c>
      <c r="G324" s="14">
        <f t="shared" si="106"/>
        <v>7.5691337548394943E-3</v>
      </c>
      <c r="H324" s="63">
        <f t="shared" si="107"/>
        <v>0.24067438854974987</v>
      </c>
      <c r="I324" s="63">
        <f t="shared" si="108"/>
        <v>0.20173947024463307</v>
      </c>
      <c r="J324" s="63">
        <f t="shared" si="109"/>
        <v>0.27960930475222628</v>
      </c>
      <c r="K324" s="30">
        <f>IF(OR(LEFT($D324,5)="Solar",$D324="Wind"),INDEX(Land_Use[AVG],MATCH(LEFT($D324,5),Land_Use[Tech],0)),0)*$E324</f>
        <v>2225</v>
      </c>
      <c r="L324" s="30">
        <f>IF(OR(LEFT($D324,5)="Solar",$D324="Wind"),INDEX(Land_Use[MIN],MATCH(LEFT($D324,5),Land_Use[Tech],0)),0)*$E324</f>
        <v>712</v>
      </c>
      <c r="M324" s="30">
        <f>IF(OR(LEFT($D324,5)="Solar",$D324="Wind"),INDEX(Land_Use[MAX],MATCH(LEFT($D324,5),Land_Use[Tech],0)),0)*$E324</f>
        <v>3738</v>
      </c>
      <c r="N324" s="15">
        <f t="shared" si="101"/>
        <v>0</v>
      </c>
      <c r="O324" s="11">
        <f t="shared" si="102"/>
        <v>31150</v>
      </c>
      <c r="P324" s="11">
        <f t="shared" si="103"/>
        <v>3115</v>
      </c>
      <c r="Q324" s="11">
        <f t="shared" si="104"/>
        <v>556250</v>
      </c>
      <c r="R324" s="11">
        <f t="shared" si="105"/>
        <v>689.75</v>
      </c>
      <c r="S324" s="30">
        <f t="shared" si="110"/>
        <v>2.6667999999999998</v>
      </c>
      <c r="T324" s="30">
        <f t="shared" si="111"/>
        <v>4.6216999999999997</v>
      </c>
      <c r="U324" s="30">
        <f t="shared" si="112"/>
        <v>2.2600000000000002</v>
      </c>
      <c r="V324" s="30">
        <f t="shared" si="113"/>
        <v>0.12769</v>
      </c>
      <c r="W324" s="30">
        <f t="shared" si="114"/>
        <v>9.6761900000000018</v>
      </c>
      <c r="X324" s="30">
        <f t="shared" si="115"/>
        <v>77.409520000000015</v>
      </c>
      <c r="Z324" s="23" t="s">
        <v>76</v>
      </c>
      <c r="AA324" s="40">
        <f>IF(C324="Electricity",E324*SUMIFS(Electricity!S:S,Electricity!P:P,UserMade_Scenario!B324,Electricity!M:M,UserMade_Scenario!Z324,Electricity!O:O,UserMade_Scenario!D324),"")</f>
        <v>2102640.7862851284</v>
      </c>
      <c r="AB324" s="76">
        <f>1/Assumptions!$B$23/1000000000000</f>
        <v>3.5998225679871703E-9</v>
      </c>
      <c r="AC324" s="67" t="s">
        <v>82</v>
      </c>
      <c r="AD324" s="69">
        <f>INDEX(Table11[AVG
CO2e MT per MWh],MATCH(UserMade_Scenario!$B324,Table11[[Year]:[Year]],0))</f>
        <v>-0.11446291259999997</v>
      </c>
      <c r="AE324" s="69">
        <f>INDEX(Table11[MIN
CO2e MT per MWh],MATCH(UserMade_Scenario!$B324,Table11[[Year]:[Year]],0))</f>
        <v>-9.5945760950000042E-2</v>
      </c>
      <c r="AF324" s="69">
        <f>INDEX(Table11[MAX CO2e MT per MWh],MATCH(UserMade_Scenario!$B324,Table11[[Year]:[Year]],0))</f>
        <v>-0.13298006325000006</v>
      </c>
      <c r="AG324" s="68">
        <f>IFERROR(INDEX(WaterUseH2[Average Direct Water Consumption (Gal/ kg h2)],MATCH(LEFT(D324,3),WaterUseH2[Key],0)),0)</f>
        <v>0</v>
      </c>
      <c r="AH324">
        <v>14</v>
      </c>
      <c r="AI324">
        <v>1.4</v>
      </c>
      <c r="AJ324">
        <v>250</v>
      </c>
      <c r="AK324">
        <v>0.31</v>
      </c>
      <c r="AL324" s="63">
        <f>IFERROR(INDEX(Job_Training[[Solar]:[Wind]],MATCH(AL$1,Job_Training[[`Typical Entry Level Education`]:[`Typical Entry Level Education`]],0),MATCH(LEFT($D324,5),Job_Training[[#Headers],[Solar]:[Wind]],0)),0)</f>
        <v>2.3599999999999999E-2</v>
      </c>
      <c r="AM324" s="63">
        <f>IFERROR(INDEX(Job_Training[[Solar]:[Wind]],MATCH(AM$1,Job_Training[[`Typical Entry Level Education`]:[`Typical Entry Level Education`]],0),MATCH(LEFT($D324,5),Job_Training[[#Headers],[Solar]:[Wind]],0)),0)</f>
        <v>4.0899999999999999E-2</v>
      </c>
      <c r="AN324" s="63">
        <f>IFERROR(INDEX(Job_Training[[Solar]:[Wind]],MATCH(AN$1,Job_Training[[`Typical Entry Level Education`]:[`Typical Entry Level Education`]],0),MATCH(LEFT($D324,5),Job_Training[[#Headers],[Solar]:[Wind]],0)),0)</f>
        <v>0.02</v>
      </c>
      <c r="AO324" s="63">
        <f>IFERROR(INDEX(Job_Training[[Solar]:[Wind]],MATCH(AO$1,Job_Training[[`Typical Entry Level Education`]:[`Typical Entry Level Education`]],0),MATCH(LEFT($D324,5),Job_Training[[#Headers],[Solar]:[Wind]],0)),0)</f>
        <v>1.1299999999999999E-3</v>
      </c>
      <c r="AP324">
        <f t="shared" si="116"/>
        <v>113</v>
      </c>
      <c r="AQ324" s="63">
        <f>IF(AP324&gt;0,IFERROR(INDEX(Assumptions!$C$165:$D$165,MATCH(LEFT($D324,5),Job_Training[[#Headers],[Solar]:[Wind]],0)),0),0)</f>
        <v>8.5630000000000012E-2</v>
      </c>
      <c r="AR324">
        <f>IF(AP324&gt;0,IFERROR(INDEX(Assumptions!$C$166:$D$166,MATCH(LEFT($D324,5),Job_Training[[#Headers],[Solar]:[Wind]],0)),0),0)</f>
        <v>0.68504000000000009</v>
      </c>
    </row>
    <row r="325" spans="1:44" hidden="1" x14ac:dyDescent="0.35">
      <c r="A325" t="str">
        <f>UserInput!$B$30</f>
        <v>State Policy Aligned</v>
      </c>
      <c r="B325">
        <v>2033</v>
      </c>
      <c r="C325" t="s">
        <v>41</v>
      </c>
      <c r="D325" t="s">
        <v>83</v>
      </c>
      <c r="E325" s="66">
        <f>INDEX(UserInput!$C$30:$M$50,MATCH(UserMade_Scenario!B325,UserInput!$A$30:$A$50,0),MATCH(LEFT(IF(RIGHT(C325,2)="H2",UserMade_Scenario!C325,D325),3),UserInput!$C$25:$M$25,0))</f>
        <v>1003</v>
      </c>
      <c r="F325" t="s">
        <v>81</v>
      </c>
      <c r="G325" s="14">
        <f t="shared" si="106"/>
        <v>8.4577960873304502E-3</v>
      </c>
      <c r="H325" s="63">
        <f t="shared" si="107"/>
        <v>0.25900690024345374</v>
      </c>
      <c r="I325" s="63">
        <f t="shared" si="108"/>
        <v>0.21330671838294843</v>
      </c>
      <c r="J325" s="63">
        <f t="shared" si="109"/>
        <v>0.30470707975445593</v>
      </c>
      <c r="K325" s="30">
        <f>IF(OR(LEFT($D325,5)="Solar",$D325="Wind"),INDEX(Land_Use[AVG],MATCH(LEFT($D325,5),Land_Use[Tech],0)),0)*$E325</f>
        <v>2507.5</v>
      </c>
      <c r="L325" s="30">
        <f>IF(OR(LEFT($D325,5)="Solar",$D325="Wind"),INDEX(Land_Use[MIN],MATCH(LEFT($D325,5),Land_Use[Tech],0)),0)*$E325</f>
        <v>802.40000000000009</v>
      </c>
      <c r="M325" s="30">
        <f>IF(OR(LEFT($D325,5)="Solar",$D325="Wind"),INDEX(Land_Use[MAX],MATCH(LEFT($D325,5),Land_Use[Tech],0)),0)*$E325</f>
        <v>4212.6000000000004</v>
      </c>
      <c r="N325" s="15">
        <f t="shared" si="101"/>
        <v>0</v>
      </c>
      <c r="O325" s="11">
        <f t="shared" si="102"/>
        <v>35105</v>
      </c>
      <c r="P325" s="11">
        <f t="shared" si="103"/>
        <v>3510.5</v>
      </c>
      <c r="Q325" s="11">
        <f t="shared" si="104"/>
        <v>626875</v>
      </c>
      <c r="R325" s="11">
        <f t="shared" si="105"/>
        <v>777.32500000000005</v>
      </c>
      <c r="S325" s="30">
        <f t="shared" si="110"/>
        <v>2.6667999999999998</v>
      </c>
      <c r="T325" s="30">
        <f t="shared" si="111"/>
        <v>4.6216999999999997</v>
      </c>
      <c r="U325" s="30">
        <f t="shared" si="112"/>
        <v>2.2600000000000002</v>
      </c>
      <c r="V325" s="30">
        <f t="shared" si="113"/>
        <v>0.12769</v>
      </c>
      <c r="W325" s="30">
        <f t="shared" si="114"/>
        <v>9.6761900000000018</v>
      </c>
      <c r="X325" s="30">
        <f t="shared" si="115"/>
        <v>77.409520000000015</v>
      </c>
      <c r="Z325" s="23" t="s">
        <v>76</v>
      </c>
      <c r="AA325" s="40">
        <f>IF(C325="Electricity",E325*SUMIFS(Electricity!S:S,Electricity!P:P,UserMade_Scenario!B325,Electricity!M:M,UserMade_Scenario!Z325,Electricity!O:O,UserMade_Scenario!D325),"")</f>
        <v>2349503.6012454359</v>
      </c>
      <c r="AB325" s="76">
        <f>1/Assumptions!$B$23/1000000000000</f>
        <v>3.5998225679871703E-9</v>
      </c>
      <c r="AC325" s="67" t="s">
        <v>82</v>
      </c>
      <c r="AD325" s="69">
        <f>INDEX(Table11[AVG
CO2e MT per MWh],MATCH(UserMade_Scenario!$B325,Table11[[Year]:[Year]],0))</f>
        <v>-0.11023898839999996</v>
      </c>
      <c r="AE325" s="69">
        <f>INDEX(Table11[MIN
CO2e MT per MWh],MATCH(UserMade_Scenario!$B325,Table11[[Year]:[Year]],0))</f>
        <v>-9.078799380000005E-2</v>
      </c>
      <c r="AF325" s="69">
        <f>INDEX(Table11[MAX CO2e MT per MWh],MATCH(UserMade_Scenario!$B325,Table11[[Year]:[Year]],0))</f>
        <v>-0.12968998200000006</v>
      </c>
      <c r="AG325" s="68">
        <f>IFERROR(INDEX(WaterUseH2[Average Direct Water Consumption (Gal/ kg h2)],MATCH(LEFT(D325,3),WaterUseH2[Key],0)),0)</f>
        <v>0</v>
      </c>
      <c r="AH325">
        <v>14</v>
      </c>
      <c r="AI325">
        <v>1.4</v>
      </c>
      <c r="AJ325">
        <v>250</v>
      </c>
      <c r="AK325">
        <v>0.31</v>
      </c>
      <c r="AL325" s="63">
        <f>IFERROR(INDEX(Job_Training[[Solar]:[Wind]],MATCH(AL$1,Job_Training[[`Typical Entry Level Education`]:[`Typical Entry Level Education`]],0),MATCH(LEFT($D325,5),Job_Training[[#Headers],[Solar]:[Wind]],0)),0)</f>
        <v>2.3599999999999999E-2</v>
      </c>
      <c r="AM325" s="63">
        <f>IFERROR(INDEX(Job_Training[[Solar]:[Wind]],MATCH(AM$1,Job_Training[[`Typical Entry Level Education`]:[`Typical Entry Level Education`]],0),MATCH(LEFT($D325,5),Job_Training[[#Headers],[Solar]:[Wind]],0)),0)</f>
        <v>4.0899999999999999E-2</v>
      </c>
      <c r="AN325" s="63">
        <f>IFERROR(INDEX(Job_Training[[Solar]:[Wind]],MATCH(AN$1,Job_Training[[`Typical Entry Level Education`]:[`Typical Entry Level Education`]],0),MATCH(LEFT($D325,5),Job_Training[[#Headers],[Solar]:[Wind]],0)),0)</f>
        <v>0.02</v>
      </c>
      <c r="AO325" s="63">
        <f>IFERROR(INDEX(Job_Training[[Solar]:[Wind]],MATCH(AO$1,Job_Training[[`Typical Entry Level Education`]:[`Typical Entry Level Education`]],0),MATCH(LEFT($D325,5),Job_Training[[#Headers],[Solar]:[Wind]],0)),0)</f>
        <v>1.1299999999999999E-3</v>
      </c>
      <c r="AP325">
        <f t="shared" si="116"/>
        <v>113</v>
      </c>
      <c r="AQ325" s="63">
        <f>IF(AP325&gt;0,IFERROR(INDEX(Assumptions!$C$165:$D$165,MATCH(LEFT($D325,5),Job_Training[[#Headers],[Solar]:[Wind]],0)),0),0)</f>
        <v>8.5630000000000012E-2</v>
      </c>
      <c r="AR325">
        <f>IF(AP325&gt;0,IFERROR(INDEX(Assumptions!$C$166:$D$166,MATCH(LEFT($D325,5),Job_Training[[#Headers],[Solar]:[Wind]],0)),0),0)</f>
        <v>0.68504000000000009</v>
      </c>
    </row>
    <row r="326" spans="1:44" hidden="1" x14ac:dyDescent="0.35">
      <c r="A326" t="str">
        <f>UserInput!$B$30</f>
        <v>State Policy Aligned</v>
      </c>
      <c r="B326">
        <v>2034</v>
      </c>
      <c r="C326" t="s">
        <v>41</v>
      </c>
      <c r="D326" t="s">
        <v>83</v>
      </c>
      <c r="E326" s="66">
        <f>INDEX(UserInput!$C$30:$M$50,MATCH(UserMade_Scenario!B326,UserInput!$A$30:$A$50,0),MATCH(LEFT(IF(RIGHT(C326,2)="H2",UserMade_Scenario!C326,D326),3),UserInput!$C$25:$M$25,0))</f>
        <v>1116</v>
      </c>
      <c r="F326" t="s">
        <v>81</v>
      </c>
      <c r="G326" s="14">
        <f t="shared" si="106"/>
        <v>9.3301534064638789E-3</v>
      </c>
      <c r="H326" s="63">
        <f t="shared" si="107"/>
        <v>0.27477376834580741</v>
      </c>
      <c r="I326" s="63">
        <f t="shared" si="108"/>
        <v>0.22193959168423644</v>
      </c>
      <c r="J326" s="63">
        <f t="shared" si="109"/>
        <v>0.32760794241554198</v>
      </c>
      <c r="K326" s="30">
        <f>IF(OR(LEFT($D326,5)="Solar",$D326="Wind"),INDEX(Land_Use[AVG],MATCH(LEFT($D326,5),Land_Use[Tech],0)),0)*$E326</f>
        <v>2790</v>
      </c>
      <c r="L326" s="30">
        <f>IF(OR(LEFT($D326,5)="Solar",$D326="Wind"),INDEX(Land_Use[MIN],MATCH(LEFT($D326,5),Land_Use[Tech],0)),0)*$E326</f>
        <v>892.80000000000007</v>
      </c>
      <c r="M326" s="30">
        <f>IF(OR(LEFT($D326,5)="Solar",$D326="Wind"),INDEX(Land_Use[MAX],MATCH(LEFT($D326,5),Land_Use[Tech],0)),0)*$E326</f>
        <v>4687.2</v>
      </c>
      <c r="N326" s="15">
        <f t="shared" si="101"/>
        <v>0</v>
      </c>
      <c r="O326" s="11">
        <f t="shared" si="102"/>
        <v>39060</v>
      </c>
      <c r="P326" s="11">
        <f t="shared" si="103"/>
        <v>3905.9999999999995</v>
      </c>
      <c r="Q326" s="11">
        <f t="shared" si="104"/>
        <v>697500</v>
      </c>
      <c r="R326" s="11">
        <f t="shared" si="105"/>
        <v>864.9</v>
      </c>
      <c r="S326" s="30">
        <f t="shared" si="110"/>
        <v>2.6667999999999998</v>
      </c>
      <c r="T326" s="30">
        <f t="shared" si="111"/>
        <v>4.6216999999999997</v>
      </c>
      <c r="U326" s="30">
        <f t="shared" si="112"/>
        <v>2.2600000000000002</v>
      </c>
      <c r="V326" s="30">
        <f t="shared" si="113"/>
        <v>0.12769</v>
      </c>
      <c r="W326" s="30">
        <f t="shared" si="114"/>
        <v>9.6761900000000018</v>
      </c>
      <c r="X326" s="30">
        <f t="shared" si="115"/>
        <v>77.409520000000015</v>
      </c>
      <c r="Z326" s="23" t="s">
        <v>76</v>
      </c>
      <c r="AA326" s="40">
        <f>IF(C326="Electricity",E326*SUMIFS(Electricity!S:S,Electricity!P:P,UserMade_Scenario!B326,Electricity!M:M,UserMade_Scenario!Z326,Electricity!O:O,UserMade_Scenario!D326),"")</f>
        <v>2591837.0225899233</v>
      </c>
      <c r="AB326" s="76">
        <f>1/Assumptions!$B$23/1000000000000</f>
        <v>3.5998225679871703E-9</v>
      </c>
      <c r="AC326" s="67" t="s">
        <v>82</v>
      </c>
      <c r="AD326" s="69">
        <f>INDEX(Table11[AVG
CO2e MT per MWh],MATCH(UserMade_Scenario!$B326,Table11[[Year]:[Year]],0))</f>
        <v>-0.10601506419999995</v>
      </c>
      <c r="AE326" s="69">
        <f>INDEX(Table11[MIN
CO2e MT per MWh],MATCH(UserMade_Scenario!$B326,Table11[[Year]:[Year]],0))</f>
        <v>-8.5630226650000058E-2</v>
      </c>
      <c r="AF326" s="69">
        <f>INDEX(Table11[MAX CO2e MT per MWh],MATCH(UserMade_Scenario!$B326,Table11[[Year]:[Year]],0))</f>
        <v>-0.12639990075000007</v>
      </c>
      <c r="AG326" s="68">
        <f>IFERROR(INDEX(WaterUseH2[Average Direct Water Consumption (Gal/ kg h2)],MATCH(LEFT(D326,3),WaterUseH2[Key],0)),0)</f>
        <v>0</v>
      </c>
      <c r="AH326">
        <v>14</v>
      </c>
      <c r="AI326">
        <v>1.4</v>
      </c>
      <c r="AJ326">
        <v>250</v>
      </c>
      <c r="AK326">
        <v>0.31</v>
      </c>
      <c r="AL326" s="63">
        <f>IFERROR(INDEX(Job_Training[[Solar]:[Wind]],MATCH(AL$1,Job_Training[[`Typical Entry Level Education`]:[`Typical Entry Level Education`]],0),MATCH(LEFT($D326,5),Job_Training[[#Headers],[Solar]:[Wind]],0)),0)</f>
        <v>2.3599999999999999E-2</v>
      </c>
      <c r="AM326" s="63">
        <f>IFERROR(INDEX(Job_Training[[Solar]:[Wind]],MATCH(AM$1,Job_Training[[`Typical Entry Level Education`]:[`Typical Entry Level Education`]],0),MATCH(LEFT($D326,5),Job_Training[[#Headers],[Solar]:[Wind]],0)),0)</f>
        <v>4.0899999999999999E-2</v>
      </c>
      <c r="AN326" s="63">
        <f>IFERROR(INDEX(Job_Training[[Solar]:[Wind]],MATCH(AN$1,Job_Training[[`Typical Entry Level Education`]:[`Typical Entry Level Education`]],0),MATCH(LEFT($D326,5),Job_Training[[#Headers],[Solar]:[Wind]],0)),0)</f>
        <v>0.02</v>
      </c>
      <c r="AO326" s="63">
        <f>IFERROR(INDEX(Job_Training[[Solar]:[Wind]],MATCH(AO$1,Job_Training[[`Typical Entry Level Education`]:[`Typical Entry Level Education`]],0),MATCH(LEFT($D326,5),Job_Training[[#Headers],[Solar]:[Wind]],0)),0)</f>
        <v>1.1299999999999999E-3</v>
      </c>
      <c r="AP326">
        <f t="shared" si="116"/>
        <v>113</v>
      </c>
      <c r="AQ326" s="63">
        <f>IF(AP326&gt;0,IFERROR(INDEX(Assumptions!$C$165:$D$165,MATCH(LEFT($D326,5),Job_Training[[#Headers],[Solar]:[Wind]],0)),0),0)</f>
        <v>8.5630000000000012E-2</v>
      </c>
      <c r="AR326">
        <f>IF(AP326&gt;0,IFERROR(INDEX(Assumptions!$C$166:$D$166,MATCH(LEFT($D326,5),Job_Training[[#Headers],[Solar]:[Wind]],0)),0),0)</f>
        <v>0.68504000000000009</v>
      </c>
    </row>
    <row r="327" spans="1:44" hidden="1" x14ac:dyDescent="0.35">
      <c r="A327" t="str">
        <f>UserInput!$B$30</f>
        <v>State Policy Aligned</v>
      </c>
      <c r="B327">
        <v>2035</v>
      </c>
      <c r="C327" t="s">
        <v>41</v>
      </c>
      <c r="D327" t="s">
        <v>83</v>
      </c>
      <c r="E327" s="66">
        <f>INDEX(UserInput!$C$30:$M$50,MATCH(UserMade_Scenario!B327,UserInput!$A$30:$A$50,0),MATCH(LEFT(IF(RIGHT(C327,2)="H2",UserMade_Scenario!C327,D327),3),UserInput!$C$25:$M$25,0))</f>
        <v>1229</v>
      </c>
      <c r="F327" t="s">
        <v>81</v>
      </c>
      <c r="G327" s="14">
        <f t="shared" si="106"/>
        <v>1.0186205712239787E-2</v>
      </c>
      <c r="H327" s="63">
        <f t="shared" si="107"/>
        <v>0.28803238830272665</v>
      </c>
      <c r="I327" s="63">
        <f t="shared" si="108"/>
        <v>0.22770817482130051</v>
      </c>
      <c r="J327" s="63">
        <f t="shared" si="109"/>
        <v>0.34835659895451243</v>
      </c>
      <c r="K327" s="30">
        <f>IF(OR(LEFT($D327,5)="Solar",$D327="Wind"),INDEX(Land_Use[AVG],MATCH(LEFT($D327,5),Land_Use[Tech],0)),0)*$E327</f>
        <v>3072.5</v>
      </c>
      <c r="L327" s="30">
        <f>IF(OR(LEFT($D327,5)="Solar",$D327="Wind"),INDEX(Land_Use[MIN],MATCH(LEFT($D327,5),Land_Use[Tech],0)),0)*$E327</f>
        <v>983.2</v>
      </c>
      <c r="M327" s="30">
        <f>IF(OR(LEFT($D327,5)="Solar",$D327="Wind"),INDEX(Land_Use[MAX],MATCH(LEFT($D327,5),Land_Use[Tech],0)),0)*$E327</f>
        <v>5161.8</v>
      </c>
      <c r="N327" s="15">
        <f t="shared" si="101"/>
        <v>0</v>
      </c>
      <c r="O327" s="11">
        <f t="shared" si="102"/>
        <v>43015</v>
      </c>
      <c r="P327" s="11">
        <f t="shared" si="103"/>
        <v>4301.5</v>
      </c>
      <c r="Q327" s="11">
        <f t="shared" si="104"/>
        <v>768125</v>
      </c>
      <c r="R327" s="11">
        <f t="shared" si="105"/>
        <v>952.47500000000002</v>
      </c>
      <c r="S327" s="30">
        <f t="shared" si="110"/>
        <v>2.6667999999999998</v>
      </c>
      <c r="T327" s="30">
        <f t="shared" si="111"/>
        <v>4.6216999999999997</v>
      </c>
      <c r="U327" s="30">
        <f t="shared" si="112"/>
        <v>2.2600000000000002</v>
      </c>
      <c r="V327" s="30">
        <f t="shared" si="113"/>
        <v>0.12769</v>
      </c>
      <c r="W327" s="30">
        <f t="shared" si="114"/>
        <v>9.6761900000000018</v>
      </c>
      <c r="X327" s="30">
        <f t="shared" si="115"/>
        <v>77.409520000000015</v>
      </c>
      <c r="Z327" s="23" t="s">
        <v>76</v>
      </c>
      <c r="AA327" s="40">
        <f>IF(C327="Electricity",E327*SUMIFS(Electricity!S:S,Electricity!P:P,UserMade_Scenario!B327,Electricity!M:M,UserMade_Scenario!Z327,Electricity!O:O,UserMade_Scenario!D327),"")</f>
        <v>2829641.0503185918</v>
      </c>
      <c r="AB327" s="76">
        <f>1/Assumptions!$B$23/1000000000000</f>
        <v>3.5998225679871703E-9</v>
      </c>
      <c r="AC327" s="67" t="s">
        <v>82</v>
      </c>
      <c r="AD327" s="69">
        <f>INDEX(Table11[AVG
CO2e MT per MWh],MATCH(UserMade_Scenario!$B327,Table11[[Year]:[Year]],0))</f>
        <v>-0.10179113999999995</v>
      </c>
      <c r="AE327" s="69">
        <f>INDEX(Table11[MIN
CO2e MT per MWh],MATCH(UserMade_Scenario!$B327,Table11[[Year]:[Year]],0))</f>
        <v>-8.0472459500000065E-2</v>
      </c>
      <c r="AF327" s="69">
        <f>INDEX(Table11[MAX CO2e MT per MWh],MATCH(UserMade_Scenario!$B327,Table11[[Year]:[Year]],0))</f>
        <v>-0.12310981950000006</v>
      </c>
      <c r="AG327" s="68">
        <f>IFERROR(INDEX(WaterUseH2[Average Direct Water Consumption (Gal/ kg h2)],MATCH(LEFT(D327,3),WaterUseH2[Key],0)),0)</f>
        <v>0</v>
      </c>
      <c r="AH327">
        <v>14</v>
      </c>
      <c r="AI327">
        <v>1.4</v>
      </c>
      <c r="AJ327">
        <v>250</v>
      </c>
      <c r="AK327">
        <v>0.31</v>
      </c>
      <c r="AL327" s="63">
        <f>IFERROR(INDEX(Job_Training[[Solar]:[Wind]],MATCH(AL$1,Job_Training[[`Typical Entry Level Education`]:[`Typical Entry Level Education`]],0),MATCH(LEFT($D327,5),Job_Training[[#Headers],[Solar]:[Wind]],0)),0)</f>
        <v>2.3599999999999999E-2</v>
      </c>
      <c r="AM327" s="63">
        <f>IFERROR(INDEX(Job_Training[[Solar]:[Wind]],MATCH(AM$1,Job_Training[[`Typical Entry Level Education`]:[`Typical Entry Level Education`]],0),MATCH(LEFT($D327,5),Job_Training[[#Headers],[Solar]:[Wind]],0)),0)</f>
        <v>4.0899999999999999E-2</v>
      </c>
      <c r="AN327" s="63">
        <f>IFERROR(INDEX(Job_Training[[Solar]:[Wind]],MATCH(AN$1,Job_Training[[`Typical Entry Level Education`]:[`Typical Entry Level Education`]],0),MATCH(LEFT($D327,5),Job_Training[[#Headers],[Solar]:[Wind]],0)),0)</f>
        <v>0.02</v>
      </c>
      <c r="AO327" s="63">
        <f>IFERROR(INDEX(Job_Training[[Solar]:[Wind]],MATCH(AO$1,Job_Training[[`Typical Entry Level Education`]:[`Typical Entry Level Education`]],0),MATCH(LEFT($D327,5),Job_Training[[#Headers],[Solar]:[Wind]],0)),0)</f>
        <v>1.1299999999999999E-3</v>
      </c>
      <c r="AP327">
        <f t="shared" si="116"/>
        <v>113</v>
      </c>
      <c r="AQ327" s="63">
        <f>IF(AP327&gt;0,IFERROR(INDEX(Assumptions!$C$165:$D$165,MATCH(LEFT($D327,5),Job_Training[[#Headers],[Solar]:[Wind]],0)),0),0)</f>
        <v>8.5630000000000012E-2</v>
      </c>
      <c r="AR327">
        <f>IF(AP327&gt;0,IFERROR(INDEX(Assumptions!$C$166:$D$166,MATCH(LEFT($D327,5),Job_Training[[#Headers],[Solar]:[Wind]],0)),0),0)</f>
        <v>0.68504000000000009</v>
      </c>
    </row>
    <row r="328" spans="1:44" hidden="1" x14ac:dyDescent="0.35">
      <c r="A328" t="str">
        <f>UserInput!$B$30</f>
        <v>State Policy Aligned</v>
      </c>
      <c r="B328">
        <v>2036</v>
      </c>
      <c r="C328" t="s">
        <v>41</v>
      </c>
      <c r="D328" t="s">
        <v>83</v>
      </c>
      <c r="E328" s="66">
        <f>INDEX(UserInput!$C$30:$M$50,MATCH(UserMade_Scenario!B328,UserInput!$A$30:$A$50,0),MATCH(LEFT(IF(RIGHT(C328,2)="H2",UserMade_Scenario!C328,D328),3),UserInput!$C$25:$M$25,0))</f>
        <v>1342</v>
      </c>
      <c r="F328" t="s">
        <v>81</v>
      </c>
      <c r="G328" s="14">
        <f t="shared" si="106"/>
        <v>1.1025953004658169E-2</v>
      </c>
      <c r="H328" s="63">
        <f t="shared" si="107"/>
        <v>0.29884015556012689</v>
      </c>
      <c r="I328" s="63">
        <f t="shared" si="108"/>
        <v>0.23068255246694386</v>
      </c>
      <c r="J328" s="63">
        <f t="shared" si="109"/>
        <v>0.36699775559039499</v>
      </c>
      <c r="K328" s="30">
        <f>IF(OR(LEFT($D328,5)="Solar",$D328="Wind"),INDEX(Land_Use[AVG],MATCH(LEFT($D328,5),Land_Use[Tech],0)),0)*$E328</f>
        <v>3355</v>
      </c>
      <c r="L328" s="30">
        <f>IF(OR(LEFT($D328,5)="Solar",$D328="Wind"),INDEX(Land_Use[MIN],MATCH(LEFT($D328,5),Land_Use[Tech],0)),0)*$E328</f>
        <v>1073.6000000000001</v>
      </c>
      <c r="M328" s="30">
        <f>IF(OR(LEFT($D328,5)="Solar",$D328="Wind"),INDEX(Land_Use[MAX],MATCH(LEFT($D328,5),Land_Use[Tech],0)),0)*$E328</f>
        <v>5636.4000000000005</v>
      </c>
      <c r="N328" s="15">
        <f t="shared" si="101"/>
        <v>0</v>
      </c>
      <c r="O328" s="11">
        <f t="shared" si="102"/>
        <v>46970</v>
      </c>
      <c r="P328" s="11">
        <f t="shared" si="103"/>
        <v>4697</v>
      </c>
      <c r="Q328" s="11">
        <f t="shared" si="104"/>
        <v>838750</v>
      </c>
      <c r="R328" s="11">
        <f t="shared" si="105"/>
        <v>1040.05</v>
      </c>
      <c r="S328" s="30">
        <f t="shared" si="110"/>
        <v>2.6667999999999998</v>
      </c>
      <c r="T328" s="30">
        <f t="shared" si="111"/>
        <v>4.6216999999999997</v>
      </c>
      <c r="U328" s="30">
        <f t="shared" si="112"/>
        <v>2.2600000000000002</v>
      </c>
      <c r="V328" s="30">
        <f t="shared" si="113"/>
        <v>0.12769</v>
      </c>
      <c r="W328" s="30">
        <f t="shared" si="114"/>
        <v>9.6761900000000018</v>
      </c>
      <c r="X328" s="30">
        <f t="shared" si="115"/>
        <v>77.409520000000015</v>
      </c>
      <c r="Z328" s="23" t="s">
        <v>76</v>
      </c>
      <c r="AA328" s="40">
        <f>IF(C328="Electricity",E328*SUMIFS(Electricity!S:S,Electricity!P:P,UserMade_Scenario!B328,Electricity!M:M,UserMade_Scenario!Z328,Electricity!O:O,UserMade_Scenario!D328),"")</f>
        <v>3062915.6844314407</v>
      </c>
      <c r="AB328" s="76">
        <f>1/Assumptions!$B$23/1000000000000</f>
        <v>3.5998225679871703E-9</v>
      </c>
      <c r="AC328" s="67" t="s">
        <v>82</v>
      </c>
      <c r="AD328" s="69">
        <f>INDEX(Table11[AVG
CO2e MT per MWh],MATCH(UserMade_Scenario!$B328,Table11[[Year]:[Year]],0))</f>
        <v>-9.756721579999994E-2</v>
      </c>
      <c r="AE328" s="69">
        <f>INDEX(Table11[MIN
CO2e MT per MWh],MATCH(UserMade_Scenario!$B328,Table11[[Year]:[Year]],0))</f>
        <v>-7.5314692350000073E-2</v>
      </c>
      <c r="AF328" s="69">
        <f>INDEX(Table11[MAX CO2e MT per MWh],MATCH(UserMade_Scenario!$B328,Table11[[Year]:[Year]],0))</f>
        <v>-0.11981973825000006</v>
      </c>
      <c r="AG328" s="68">
        <f>IFERROR(INDEX(WaterUseH2[Average Direct Water Consumption (Gal/ kg h2)],MATCH(LEFT(D328,3),WaterUseH2[Key],0)),0)</f>
        <v>0</v>
      </c>
      <c r="AH328">
        <v>14</v>
      </c>
      <c r="AI328">
        <v>1.4</v>
      </c>
      <c r="AJ328">
        <v>250</v>
      </c>
      <c r="AK328">
        <v>0.31</v>
      </c>
      <c r="AL328" s="63">
        <f>IFERROR(INDEX(Job_Training[[Solar]:[Wind]],MATCH(AL$1,Job_Training[[`Typical Entry Level Education`]:[`Typical Entry Level Education`]],0),MATCH(LEFT($D328,5),Job_Training[[#Headers],[Solar]:[Wind]],0)),0)</f>
        <v>2.3599999999999999E-2</v>
      </c>
      <c r="AM328" s="63">
        <f>IFERROR(INDEX(Job_Training[[Solar]:[Wind]],MATCH(AM$1,Job_Training[[`Typical Entry Level Education`]:[`Typical Entry Level Education`]],0),MATCH(LEFT($D328,5),Job_Training[[#Headers],[Solar]:[Wind]],0)),0)</f>
        <v>4.0899999999999999E-2</v>
      </c>
      <c r="AN328" s="63">
        <f>IFERROR(INDEX(Job_Training[[Solar]:[Wind]],MATCH(AN$1,Job_Training[[`Typical Entry Level Education`]:[`Typical Entry Level Education`]],0),MATCH(LEFT($D328,5),Job_Training[[#Headers],[Solar]:[Wind]],0)),0)</f>
        <v>0.02</v>
      </c>
      <c r="AO328" s="63">
        <f>IFERROR(INDEX(Job_Training[[Solar]:[Wind]],MATCH(AO$1,Job_Training[[`Typical Entry Level Education`]:[`Typical Entry Level Education`]],0),MATCH(LEFT($D328,5),Job_Training[[#Headers],[Solar]:[Wind]],0)),0)</f>
        <v>1.1299999999999999E-3</v>
      </c>
      <c r="AP328">
        <f t="shared" si="116"/>
        <v>113</v>
      </c>
      <c r="AQ328" s="63">
        <f>IF(AP328&gt;0,IFERROR(INDEX(Assumptions!$C$165:$D$165,MATCH(LEFT($D328,5),Job_Training[[#Headers],[Solar]:[Wind]],0)),0),0)</f>
        <v>8.5630000000000012E-2</v>
      </c>
      <c r="AR328">
        <f>IF(AP328&gt;0,IFERROR(INDEX(Assumptions!$C$166:$D$166,MATCH(LEFT($D328,5),Job_Training[[#Headers],[Solar]:[Wind]],0)),0),0)</f>
        <v>0.68504000000000009</v>
      </c>
    </row>
    <row r="329" spans="1:44" hidden="1" x14ac:dyDescent="0.35">
      <c r="A329" t="str">
        <f>UserInput!$B$30</f>
        <v>State Policy Aligned</v>
      </c>
      <c r="B329">
        <v>2037</v>
      </c>
      <c r="C329" t="s">
        <v>41</v>
      </c>
      <c r="D329" t="s">
        <v>83</v>
      </c>
      <c r="E329" s="66">
        <f>INDEX(UserInput!$C$30:$M$50,MATCH(UserMade_Scenario!B329,UserInput!$A$30:$A$50,0),MATCH(LEFT(IF(RIGHT(C329,2)="H2",UserMade_Scenario!C329,D329),3),UserInput!$C$25:$M$25,0))</f>
        <v>1455</v>
      </c>
      <c r="F329" t="s">
        <v>81</v>
      </c>
      <c r="G329" s="14">
        <f t="shared" si="106"/>
        <v>1.1849395283719031E-2</v>
      </c>
      <c r="H329" s="63">
        <f t="shared" si="107"/>
        <v>0.30725446556392372</v>
      </c>
      <c r="I329" s="63">
        <f t="shared" si="108"/>
        <v>0.23093280929396978</v>
      </c>
      <c r="J329" s="63">
        <f t="shared" si="109"/>
        <v>0.38357611854221757</v>
      </c>
      <c r="K329" s="30">
        <f>IF(OR(LEFT($D329,5)="Solar",$D329="Wind"),INDEX(Land_Use[AVG],MATCH(LEFT($D329,5),Land_Use[Tech],0)),0)*$E329</f>
        <v>3637.5</v>
      </c>
      <c r="L329" s="30">
        <f>IF(OR(LEFT($D329,5)="Solar",$D329="Wind"),INDEX(Land_Use[MIN],MATCH(LEFT($D329,5),Land_Use[Tech],0)),0)*$E329</f>
        <v>1164</v>
      </c>
      <c r="M329" s="30">
        <f>IF(OR(LEFT($D329,5)="Solar",$D329="Wind"),INDEX(Land_Use[MAX],MATCH(LEFT($D329,5),Land_Use[Tech],0)),0)*$E329</f>
        <v>6111</v>
      </c>
      <c r="N329" s="15">
        <f t="shared" si="101"/>
        <v>0</v>
      </c>
      <c r="O329" s="11">
        <f t="shared" si="102"/>
        <v>50925</v>
      </c>
      <c r="P329" s="11">
        <f t="shared" si="103"/>
        <v>5092.5</v>
      </c>
      <c r="Q329" s="11">
        <f t="shared" si="104"/>
        <v>909375</v>
      </c>
      <c r="R329" s="11">
        <f t="shared" si="105"/>
        <v>1127.625</v>
      </c>
      <c r="S329" s="30">
        <f t="shared" si="110"/>
        <v>2.6667999999999998</v>
      </c>
      <c r="T329" s="30">
        <f t="shared" si="111"/>
        <v>4.6216999999999997</v>
      </c>
      <c r="U329" s="30">
        <f t="shared" si="112"/>
        <v>2.2600000000000002</v>
      </c>
      <c r="V329" s="30">
        <f t="shared" si="113"/>
        <v>0.12769</v>
      </c>
      <c r="W329" s="30">
        <f t="shared" si="114"/>
        <v>9.6761900000000018</v>
      </c>
      <c r="X329" s="30">
        <f t="shared" si="115"/>
        <v>77.409520000000015</v>
      </c>
      <c r="Z329" s="23" t="s">
        <v>76</v>
      </c>
      <c r="AA329" s="40">
        <f>IF(C329="Electricity",E329*SUMIFS(Electricity!S:S,Electricity!P:P,UserMade_Scenario!B329,Electricity!M:M,UserMade_Scenario!Z329,Electricity!O:O,UserMade_Scenario!D329),"")</f>
        <v>3291660.9249284705</v>
      </c>
      <c r="AB329" s="76">
        <f>1/Assumptions!$B$23/1000000000000</f>
        <v>3.5998225679871703E-9</v>
      </c>
      <c r="AC329" s="67" t="s">
        <v>82</v>
      </c>
      <c r="AD329" s="69">
        <f>INDEX(Table11[AVG
CO2e MT per MWh],MATCH(UserMade_Scenario!$B329,Table11[[Year]:[Year]],0))</f>
        <v>-9.3343291599999934E-2</v>
      </c>
      <c r="AE329" s="69">
        <f>INDEX(Table11[MIN
CO2e MT per MWh],MATCH(UserMade_Scenario!$B329,Table11[[Year]:[Year]],0))</f>
        <v>-7.0156925200000081E-2</v>
      </c>
      <c r="AF329" s="69">
        <f>INDEX(Table11[MAX CO2e MT per MWh],MATCH(UserMade_Scenario!$B329,Table11[[Year]:[Year]],0))</f>
        <v>-0.11652965700000005</v>
      </c>
      <c r="AG329" s="68">
        <f>IFERROR(INDEX(WaterUseH2[Average Direct Water Consumption (Gal/ kg h2)],MATCH(LEFT(D329,3),WaterUseH2[Key],0)),0)</f>
        <v>0</v>
      </c>
      <c r="AH329">
        <v>14</v>
      </c>
      <c r="AI329">
        <v>1.4</v>
      </c>
      <c r="AJ329">
        <v>250</v>
      </c>
      <c r="AK329">
        <v>0.31</v>
      </c>
      <c r="AL329" s="63">
        <f>IFERROR(INDEX(Job_Training[[Solar]:[Wind]],MATCH(AL$1,Job_Training[[`Typical Entry Level Education`]:[`Typical Entry Level Education`]],0),MATCH(LEFT($D329,5),Job_Training[[#Headers],[Solar]:[Wind]],0)),0)</f>
        <v>2.3599999999999999E-2</v>
      </c>
      <c r="AM329" s="63">
        <f>IFERROR(INDEX(Job_Training[[Solar]:[Wind]],MATCH(AM$1,Job_Training[[`Typical Entry Level Education`]:[`Typical Entry Level Education`]],0),MATCH(LEFT($D329,5),Job_Training[[#Headers],[Solar]:[Wind]],0)),0)</f>
        <v>4.0899999999999999E-2</v>
      </c>
      <c r="AN329" s="63">
        <f>IFERROR(INDEX(Job_Training[[Solar]:[Wind]],MATCH(AN$1,Job_Training[[`Typical Entry Level Education`]:[`Typical Entry Level Education`]],0),MATCH(LEFT($D329,5),Job_Training[[#Headers],[Solar]:[Wind]],0)),0)</f>
        <v>0.02</v>
      </c>
      <c r="AO329" s="63">
        <f>IFERROR(INDEX(Job_Training[[Solar]:[Wind]],MATCH(AO$1,Job_Training[[`Typical Entry Level Education`]:[`Typical Entry Level Education`]],0),MATCH(LEFT($D329,5),Job_Training[[#Headers],[Solar]:[Wind]],0)),0)</f>
        <v>1.1299999999999999E-3</v>
      </c>
      <c r="AP329">
        <f t="shared" si="116"/>
        <v>113</v>
      </c>
      <c r="AQ329" s="63">
        <f>IF(AP329&gt;0,IFERROR(INDEX(Assumptions!$C$165:$D$165,MATCH(LEFT($D329,5),Job_Training[[#Headers],[Solar]:[Wind]],0)),0),0)</f>
        <v>8.5630000000000012E-2</v>
      </c>
      <c r="AR329">
        <f>IF(AP329&gt;0,IFERROR(INDEX(Assumptions!$C$166:$D$166,MATCH(LEFT($D329,5),Job_Training[[#Headers],[Solar]:[Wind]],0)),0),0)</f>
        <v>0.68504000000000009</v>
      </c>
    </row>
    <row r="330" spans="1:44" hidden="1" x14ac:dyDescent="0.35">
      <c r="A330" t="str">
        <f>UserInput!$B$30</f>
        <v>State Policy Aligned</v>
      </c>
      <c r="B330">
        <v>2038</v>
      </c>
      <c r="C330" t="s">
        <v>41</v>
      </c>
      <c r="D330" t="s">
        <v>83</v>
      </c>
      <c r="E330" s="66">
        <f>INDEX(UserInput!$C$30:$M$50,MATCH(UserMade_Scenario!B330,UserInput!$A$30:$A$50,0),MATCH(LEFT(IF(RIGHT(C330,2)="H2",UserMade_Scenario!C330,D330),3),UserInput!$C$25:$M$25,0))</f>
        <v>1568</v>
      </c>
      <c r="F330" t="s">
        <v>81</v>
      </c>
      <c r="G330" s="14">
        <f t="shared" si="106"/>
        <v>1.2656532549422367E-2</v>
      </c>
      <c r="H330" s="63">
        <f t="shared" si="107"/>
        <v>0.31333271376003269</v>
      </c>
      <c r="I330" s="63">
        <f t="shared" si="108"/>
        <v>0.22852902997518157</v>
      </c>
      <c r="J330" s="63">
        <f t="shared" si="109"/>
        <v>0.39813639402900797</v>
      </c>
      <c r="K330" s="30">
        <f>IF(OR(LEFT($D330,5)="Solar",$D330="Wind"),INDEX(Land_Use[AVG],MATCH(LEFT($D330,5),Land_Use[Tech],0)),0)*$E330</f>
        <v>3920</v>
      </c>
      <c r="L330" s="30">
        <f>IF(OR(LEFT($D330,5)="Solar",$D330="Wind"),INDEX(Land_Use[MIN],MATCH(LEFT($D330,5),Land_Use[Tech],0)),0)*$E330</f>
        <v>1254.4000000000001</v>
      </c>
      <c r="M330" s="30">
        <f>IF(OR(LEFT($D330,5)="Solar",$D330="Wind"),INDEX(Land_Use[MAX],MATCH(LEFT($D330,5),Land_Use[Tech],0)),0)*$E330</f>
        <v>6585.6</v>
      </c>
      <c r="N330" s="15">
        <f t="shared" si="101"/>
        <v>0</v>
      </c>
      <c r="O330" s="11">
        <f t="shared" si="102"/>
        <v>54880</v>
      </c>
      <c r="P330" s="11">
        <f t="shared" si="103"/>
        <v>5488</v>
      </c>
      <c r="Q330" s="11">
        <f t="shared" si="104"/>
        <v>980000</v>
      </c>
      <c r="R330" s="11">
        <f t="shared" si="105"/>
        <v>1215.2</v>
      </c>
      <c r="S330" s="30">
        <f t="shared" si="110"/>
        <v>2.6667999999999998</v>
      </c>
      <c r="T330" s="30">
        <f t="shared" si="111"/>
        <v>4.6216999999999997</v>
      </c>
      <c r="U330" s="30">
        <f t="shared" si="112"/>
        <v>2.2600000000000002</v>
      </c>
      <c r="V330" s="30">
        <f t="shared" si="113"/>
        <v>0.12769</v>
      </c>
      <c r="W330" s="30">
        <f t="shared" si="114"/>
        <v>9.6761900000000018</v>
      </c>
      <c r="X330" s="30">
        <f t="shared" si="115"/>
        <v>77.409520000000015</v>
      </c>
      <c r="Z330" s="23" t="s">
        <v>76</v>
      </c>
      <c r="AA330" s="40">
        <f>IF(C330="Electricity",E330*SUMIFS(Electricity!S:S,Electricity!P:P,UserMade_Scenario!B330,Electricity!M:M,UserMade_Scenario!Z330,Electricity!O:O,UserMade_Scenario!D330),"")</f>
        <v>3515876.7718096809</v>
      </c>
      <c r="AB330" s="76">
        <f>1/Assumptions!$B$23/1000000000000</f>
        <v>3.5998225679871703E-9</v>
      </c>
      <c r="AC330" s="67" t="s">
        <v>82</v>
      </c>
      <c r="AD330" s="69">
        <f>INDEX(Table11[AVG
CO2e MT per MWh],MATCH(UserMade_Scenario!$B330,Table11[[Year]:[Year]],0))</f>
        <v>-8.9119367399999927E-2</v>
      </c>
      <c r="AE330" s="69">
        <f>INDEX(Table11[MIN
CO2e MT per MWh],MATCH(UserMade_Scenario!$B330,Table11[[Year]:[Year]],0))</f>
        <v>-6.4999158050000089E-2</v>
      </c>
      <c r="AF330" s="69">
        <f>INDEX(Table11[MAX CO2e MT per MWh],MATCH(UserMade_Scenario!$B330,Table11[[Year]:[Year]],0))</f>
        <v>-0.11323957575000004</v>
      </c>
      <c r="AG330" s="68">
        <f>IFERROR(INDEX(WaterUseH2[Average Direct Water Consumption (Gal/ kg h2)],MATCH(LEFT(D330,3),WaterUseH2[Key],0)),0)</f>
        <v>0</v>
      </c>
      <c r="AH330">
        <v>14</v>
      </c>
      <c r="AI330">
        <v>1.4</v>
      </c>
      <c r="AJ330">
        <v>250</v>
      </c>
      <c r="AK330">
        <v>0.31</v>
      </c>
      <c r="AL330" s="63">
        <f>IFERROR(INDEX(Job_Training[[Solar]:[Wind]],MATCH(AL$1,Job_Training[[`Typical Entry Level Education`]:[`Typical Entry Level Education`]],0),MATCH(LEFT($D330,5),Job_Training[[#Headers],[Solar]:[Wind]],0)),0)</f>
        <v>2.3599999999999999E-2</v>
      </c>
      <c r="AM330" s="63">
        <f>IFERROR(INDEX(Job_Training[[Solar]:[Wind]],MATCH(AM$1,Job_Training[[`Typical Entry Level Education`]:[`Typical Entry Level Education`]],0),MATCH(LEFT($D330,5),Job_Training[[#Headers],[Solar]:[Wind]],0)),0)</f>
        <v>4.0899999999999999E-2</v>
      </c>
      <c r="AN330" s="63">
        <f>IFERROR(INDEX(Job_Training[[Solar]:[Wind]],MATCH(AN$1,Job_Training[[`Typical Entry Level Education`]:[`Typical Entry Level Education`]],0),MATCH(LEFT($D330,5),Job_Training[[#Headers],[Solar]:[Wind]],0)),0)</f>
        <v>0.02</v>
      </c>
      <c r="AO330" s="63">
        <f>IFERROR(INDEX(Job_Training[[Solar]:[Wind]],MATCH(AO$1,Job_Training[[`Typical Entry Level Education`]:[`Typical Entry Level Education`]],0),MATCH(LEFT($D330,5),Job_Training[[#Headers],[Solar]:[Wind]],0)),0)</f>
        <v>1.1299999999999999E-3</v>
      </c>
      <c r="AP330">
        <f t="shared" si="116"/>
        <v>113</v>
      </c>
      <c r="AQ330" s="63">
        <f>IF(AP330&gt;0,IFERROR(INDEX(Assumptions!$C$165:$D$165,MATCH(LEFT($D330,5),Job_Training[[#Headers],[Solar]:[Wind]],0)),0),0)</f>
        <v>8.5630000000000012E-2</v>
      </c>
      <c r="AR330">
        <f>IF(AP330&gt;0,IFERROR(INDEX(Assumptions!$C$166:$D$166,MATCH(LEFT($D330,5),Job_Training[[#Headers],[Solar]:[Wind]],0)),0),0)</f>
        <v>0.68504000000000009</v>
      </c>
    </row>
    <row r="331" spans="1:44" hidden="1" x14ac:dyDescent="0.35">
      <c r="A331" t="str">
        <f>UserInput!$B$30</f>
        <v>State Policy Aligned</v>
      </c>
      <c r="B331">
        <v>2039</v>
      </c>
      <c r="C331" t="s">
        <v>41</v>
      </c>
      <c r="D331" t="s">
        <v>83</v>
      </c>
      <c r="E331" s="66">
        <f>INDEX(UserInput!$C$30:$M$50,MATCH(UserMade_Scenario!B331,UserInput!$A$30:$A$50,0),MATCH(LEFT(IF(RIGHT(C331,2)="H2",UserMade_Scenario!C331,D331),3),UserInput!$C$25:$M$25,0))</f>
        <v>1681</v>
      </c>
      <c r="F331" t="s">
        <v>81</v>
      </c>
      <c r="G331" s="14">
        <f t="shared" si="106"/>
        <v>1.3447364801768181E-2</v>
      </c>
      <c r="H331" s="63">
        <f t="shared" si="107"/>
        <v>0.31713229559436934</v>
      </c>
      <c r="I331" s="63">
        <f t="shared" si="108"/>
        <v>0.22354129918338242</v>
      </c>
      <c r="J331" s="63">
        <f t="shared" si="109"/>
        <v>0.41072328826979404</v>
      </c>
      <c r="K331" s="30">
        <f>IF(OR(LEFT($D331,5)="Solar",$D331="Wind"),INDEX(Land_Use[AVG],MATCH(LEFT($D331,5),Land_Use[Tech],0)),0)*$E331</f>
        <v>4202.5</v>
      </c>
      <c r="L331" s="30">
        <f>IF(OR(LEFT($D331,5)="Solar",$D331="Wind"),INDEX(Land_Use[MIN],MATCH(LEFT($D331,5),Land_Use[Tech],0)),0)*$E331</f>
        <v>1344.8000000000002</v>
      </c>
      <c r="M331" s="30">
        <f>IF(OR(LEFT($D331,5)="Solar",$D331="Wind"),INDEX(Land_Use[MAX],MATCH(LEFT($D331,5),Land_Use[Tech],0)),0)*$E331</f>
        <v>7060.2000000000007</v>
      </c>
      <c r="N331" s="15">
        <f t="shared" si="101"/>
        <v>0</v>
      </c>
      <c r="O331" s="11">
        <f t="shared" si="102"/>
        <v>58835</v>
      </c>
      <c r="P331" s="11">
        <f t="shared" si="103"/>
        <v>5883.5</v>
      </c>
      <c r="Q331" s="11">
        <f t="shared" si="104"/>
        <v>1050625</v>
      </c>
      <c r="R331" s="11">
        <f t="shared" si="105"/>
        <v>1302.7750000000001</v>
      </c>
      <c r="S331" s="30">
        <f t="shared" si="110"/>
        <v>2.6667999999999998</v>
      </c>
      <c r="T331" s="30">
        <f t="shared" si="111"/>
        <v>4.6216999999999997</v>
      </c>
      <c r="U331" s="30">
        <f t="shared" si="112"/>
        <v>2.2600000000000002</v>
      </c>
      <c r="V331" s="30">
        <f t="shared" si="113"/>
        <v>0.12769</v>
      </c>
      <c r="W331" s="30">
        <f t="shared" si="114"/>
        <v>9.6761900000000018</v>
      </c>
      <c r="X331" s="30">
        <f t="shared" si="115"/>
        <v>77.409520000000015</v>
      </c>
      <c r="Z331" s="23" t="s">
        <v>76</v>
      </c>
      <c r="AA331" s="40">
        <f>IF(C331="Electricity",E331*SUMIFS(Electricity!S:S,Electricity!P:P,UserMade_Scenario!B331,Electricity!M:M,UserMade_Scenario!Z331,Electricity!O:O,UserMade_Scenario!D331),"")</f>
        <v>3735563.2250750721</v>
      </c>
      <c r="AB331" s="76">
        <f>1/Assumptions!$B$23/1000000000000</f>
        <v>3.5998225679871703E-9</v>
      </c>
      <c r="AC331" s="67" t="s">
        <v>82</v>
      </c>
      <c r="AD331" s="69">
        <f>INDEX(Table11[AVG
CO2e MT per MWh],MATCH(UserMade_Scenario!$B331,Table11[[Year]:[Year]],0))</f>
        <v>-8.489544319999992E-2</v>
      </c>
      <c r="AE331" s="69">
        <f>INDEX(Table11[MIN
CO2e MT per MWh],MATCH(UserMade_Scenario!$B331,Table11[[Year]:[Year]],0))</f>
        <v>-5.984139090000009E-2</v>
      </c>
      <c r="AF331" s="69">
        <f>INDEX(Table11[MAX CO2e MT per MWh],MATCH(UserMade_Scenario!$B331,Table11[[Year]:[Year]],0))</f>
        <v>-0.10994949450000004</v>
      </c>
      <c r="AG331" s="68">
        <f>IFERROR(INDEX(WaterUseH2[Average Direct Water Consumption (Gal/ kg h2)],MATCH(LEFT(D331,3),WaterUseH2[Key],0)),0)</f>
        <v>0</v>
      </c>
      <c r="AH331">
        <v>14</v>
      </c>
      <c r="AI331">
        <v>1.4</v>
      </c>
      <c r="AJ331">
        <v>250</v>
      </c>
      <c r="AK331">
        <v>0.31</v>
      </c>
      <c r="AL331" s="63">
        <f>IFERROR(INDEX(Job_Training[[Solar]:[Wind]],MATCH(AL$1,Job_Training[[`Typical Entry Level Education`]:[`Typical Entry Level Education`]],0),MATCH(LEFT($D331,5),Job_Training[[#Headers],[Solar]:[Wind]],0)),0)</f>
        <v>2.3599999999999999E-2</v>
      </c>
      <c r="AM331" s="63">
        <f>IFERROR(INDEX(Job_Training[[Solar]:[Wind]],MATCH(AM$1,Job_Training[[`Typical Entry Level Education`]:[`Typical Entry Level Education`]],0),MATCH(LEFT($D331,5),Job_Training[[#Headers],[Solar]:[Wind]],0)),0)</f>
        <v>4.0899999999999999E-2</v>
      </c>
      <c r="AN331" s="63">
        <f>IFERROR(INDEX(Job_Training[[Solar]:[Wind]],MATCH(AN$1,Job_Training[[`Typical Entry Level Education`]:[`Typical Entry Level Education`]],0),MATCH(LEFT($D331,5),Job_Training[[#Headers],[Solar]:[Wind]],0)),0)</f>
        <v>0.02</v>
      </c>
      <c r="AO331" s="63">
        <f>IFERROR(INDEX(Job_Training[[Solar]:[Wind]],MATCH(AO$1,Job_Training[[`Typical Entry Level Education`]:[`Typical Entry Level Education`]],0),MATCH(LEFT($D331,5),Job_Training[[#Headers],[Solar]:[Wind]],0)),0)</f>
        <v>1.1299999999999999E-3</v>
      </c>
      <c r="AP331">
        <f t="shared" si="116"/>
        <v>113</v>
      </c>
      <c r="AQ331" s="63">
        <f>IF(AP331&gt;0,IFERROR(INDEX(Assumptions!$C$165:$D$165,MATCH(LEFT($D331,5),Job_Training[[#Headers],[Solar]:[Wind]],0)),0),0)</f>
        <v>8.5630000000000012E-2</v>
      </c>
      <c r="AR331">
        <f>IF(AP331&gt;0,IFERROR(INDEX(Assumptions!$C$166:$D$166,MATCH(LEFT($D331,5),Job_Training[[#Headers],[Solar]:[Wind]],0)),0),0)</f>
        <v>0.68504000000000009</v>
      </c>
    </row>
    <row r="332" spans="1:44" hidden="1" x14ac:dyDescent="0.35">
      <c r="A332" t="str">
        <f>UserInput!$B$30</f>
        <v>State Policy Aligned</v>
      </c>
      <c r="B332">
        <v>2040</v>
      </c>
      <c r="C332" t="s">
        <v>41</v>
      </c>
      <c r="D332" t="s">
        <v>83</v>
      </c>
      <c r="E332" s="66">
        <f>INDEX(UserInput!$C$30:$M$50,MATCH(UserMade_Scenario!B332,UserInput!$A$30:$A$50,0),MATCH(LEFT(IF(RIGHT(C332,2)="H2",UserMade_Scenario!C332,D332),3),UserInput!$C$25:$M$25,0))</f>
        <v>1794</v>
      </c>
      <c r="F332" t="s">
        <v>81</v>
      </c>
      <c r="G332" s="14">
        <f t="shared" si="106"/>
        <v>1.4221892040756471E-2</v>
      </c>
      <c r="H332" s="63">
        <f t="shared" si="107"/>
        <v>0.31871060651284916</v>
      </c>
      <c r="I332" s="63">
        <f t="shared" si="108"/>
        <v>0.21603970159137564</v>
      </c>
      <c r="J332" s="63">
        <f t="shared" si="109"/>
        <v>0.42138150748360353</v>
      </c>
      <c r="K332" s="30">
        <f>IF(OR(LEFT($D332,5)="Solar",$D332="Wind"),INDEX(Land_Use[AVG],MATCH(LEFT($D332,5),Land_Use[Tech],0)),0)*$E332</f>
        <v>4485</v>
      </c>
      <c r="L332" s="30">
        <f>IF(OR(LEFT($D332,5)="Solar",$D332="Wind"),INDEX(Land_Use[MIN],MATCH(LEFT($D332,5),Land_Use[Tech],0)),0)*$E332</f>
        <v>1435.2</v>
      </c>
      <c r="M332" s="30">
        <f>IF(OR(LEFT($D332,5)="Solar",$D332="Wind"),INDEX(Land_Use[MAX],MATCH(LEFT($D332,5),Land_Use[Tech],0)),0)*$E332</f>
        <v>7534.8</v>
      </c>
      <c r="N332" s="15">
        <f t="shared" si="101"/>
        <v>0</v>
      </c>
      <c r="O332" s="11">
        <f t="shared" si="102"/>
        <v>62790</v>
      </c>
      <c r="P332" s="11">
        <f t="shared" si="103"/>
        <v>6279</v>
      </c>
      <c r="Q332" s="11">
        <f t="shared" si="104"/>
        <v>1121250</v>
      </c>
      <c r="R332" s="11">
        <f t="shared" si="105"/>
        <v>1390.35</v>
      </c>
      <c r="S332" s="30">
        <f t="shared" si="110"/>
        <v>2.6667999999999998</v>
      </c>
      <c r="T332" s="30">
        <f t="shared" si="111"/>
        <v>4.6216999999999997</v>
      </c>
      <c r="U332" s="30">
        <f t="shared" si="112"/>
        <v>2.2600000000000002</v>
      </c>
      <c r="V332" s="30">
        <f t="shared" si="113"/>
        <v>0.12769</v>
      </c>
      <c r="W332" s="30">
        <f t="shared" si="114"/>
        <v>9.6761900000000018</v>
      </c>
      <c r="X332" s="30">
        <f t="shared" si="115"/>
        <v>77.409520000000015</v>
      </c>
      <c r="Z332" s="23" t="s">
        <v>76</v>
      </c>
      <c r="AA332" s="40">
        <f>IF(C332="Electricity",E332*SUMIFS(Electricity!S:S,Electricity!P:P,UserMade_Scenario!B332,Electricity!M:M,UserMade_Scenario!Z332,Electricity!O:O,UserMade_Scenario!D332),"")</f>
        <v>3950720.2847246435</v>
      </c>
      <c r="AB332" s="76">
        <f>1/Assumptions!$B$23/1000000000000</f>
        <v>3.5998225679871703E-9</v>
      </c>
      <c r="AC332" s="67" t="s">
        <v>82</v>
      </c>
      <c r="AD332" s="69">
        <f>INDEX(Table11[AVG
CO2e MT per MWh],MATCH(UserMade_Scenario!$B332,Table11[[Year]:[Year]],0))</f>
        <v>-8.0671518999999914E-2</v>
      </c>
      <c r="AE332" s="69">
        <f>INDEX(Table11[MIN
CO2e MT per MWh],MATCH(UserMade_Scenario!$B332,Table11[[Year]:[Year]],0))</f>
        <v>-5.468362375000009E-2</v>
      </c>
      <c r="AF332" s="69">
        <f>INDEX(Table11[MAX CO2e MT per MWh],MATCH(UserMade_Scenario!$B332,Table11[[Year]:[Year]],0))</f>
        <v>-0.10665941325000003</v>
      </c>
      <c r="AG332" s="68">
        <f>IFERROR(INDEX(WaterUseH2[Average Direct Water Consumption (Gal/ kg h2)],MATCH(LEFT(D332,3),WaterUseH2[Key],0)),0)</f>
        <v>0</v>
      </c>
      <c r="AH332">
        <v>14</v>
      </c>
      <c r="AI332">
        <v>1.4</v>
      </c>
      <c r="AJ332">
        <v>250</v>
      </c>
      <c r="AK332">
        <v>0.31</v>
      </c>
      <c r="AL332" s="63">
        <f>IFERROR(INDEX(Job_Training[[Solar]:[Wind]],MATCH(AL$1,Job_Training[[`Typical Entry Level Education`]:[`Typical Entry Level Education`]],0),MATCH(LEFT($D332,5),Job_Training[[#Headers],[Solar]:[Wind]],0)),0)</f>
        <v>2.3599999999999999E-2</v>
      </c>
      <c r="AM332" s="63">
        <f>IFERROR(INDEX(Job_Training[[Solar]:[Wind]],MATCH(AM$1,Job_Training[[`Typical Entry Level Education`]:[`Typical Entry Level Education`]],0),MATCH(LEFT($D332,5),Job_Training[[#Headers],[Solar]:[Wind]],0)),0)</f>
        <v>4.0899999999999999E-2</v>
      </c>
      <c r="AN332" s="63">
        <f>IFERROR(INDEX(Job_Training[[Solar]:[Wind]],MATCH(AN$1,Job_Training[[`Typical Entry Level Education`]:[`Typical Entry Level Education`]],0),MATCH(LEFT($D332,5),Job_Training[[#Headers],[Solar]:[Wind]],0)),0)</f>
        <v>0.02</v>
      </c>
      <c r="AO332" s="63">
        <f>IFERROR(INDEX(Job_Training[[Solar]:[Wind]],MATCH(AO$1,Job_Training[[`Typical Entry Level Education`]:[`Typical Entry Level Education`]],0),MATCH(LEFT($D332,5),Job_Training[[#Headers],[Solar]:[Wind]],0)),0)</f>
        <v>1.1299999999999999E-3</v>
      </c>
      <c r="AP332">
        <f t="shared" si="116"/>
        <v>113</v>
      </c>
      <c r="AQ332" s="63">
        <f>IF(AP332&gt;0,IFERROR(INDEX(Assumptions!$C$165:$D$165,MATCH(LEFT($D332,5),Job_Training[[#Headers],[Solar]:[Wind]],0)),0),0)</f>
        <v>8.5630000000000012E-2</v>
      </c>
      <c r="AR332">
        <f>IF(AP332&gt;0,IFERROR(INDEX(Assumptions!$C$166:$D$166,MATCH(LEFT($D332,5),Job_Training[[#Headers],[Solar]:[Wind]],0)),0),0)</f>
        <v>0.68504000000000009</v>
      </c>
    </row>
    <row r="333" spans="1:44" hidden="1" x14ac:dyDescent="0.35">
      <c r="A333" t="str">
        <f>UserInput!$B$30</f>
        <v>State Policy Aligned</v>
      </c>
      <c r="B333">
        <v>2041</v>
      </c>
      <c r="C333" t="s">
        <v>41</v>
      </c>
      <c r="D333" t="s">
        <v>83</v>
      </c>
      <c r="E333" s="66">
        <f>INDEX(UserInput!$C$30:$M$50,MATCH(UserMade_Scenario!B333,UserInput!$A$30:$A$50,0),MATCH(LEFT(IF(RIGHT(C333,2)="H2",UserMade_Scenario!C333,D333),3),UserInput!$C$25:$M$25,0))</f>
        <v>1907</v>
      </c>
      <c r="F333" t="s">
        <v>81</v>
      </c>
      <c r="G333" s="14">
        <f t="shared" si="106"/>
        <v>1.4980114266387238E-2</v>
      </c>
      <c r="H333" s="63">
        <f t="shared" si="107"/>
        <v>0.31812504196138786</v>
      </c>
      <c r="I333" s="63">
        <f t="shared" si="108"/>
        <v>0.20609432187196458</v>
      </c>
      <c r="J333" s="63">
        <f t="shared" si="109"/>
        <v>0.43015575788946442</v>
      </c>
      <c r="K333" s="30">
        <f>IF(OR(LEFT($D333,5)="Solar",$D333="Wind"),INDEX(Land_Use[AVG],MATCH(LEFT($D333,5),Land_Use[Tech],0)),0)*$E333</f>
        <v>4767.5</v>
      </c>
      <c r="L333" s="30">
        <f>IF(OR(LEFT($D333,5)="Solar",$D333="Wind"),INDEX(Land_Use[MIN],MATCH(LEFT($D333,5),Land_Use[Tech],0)),0)*$E333</f>
        <v>1525.6000000000001</v>
      </c>
      <c r="M333" s="30">
        <f>IF(OR(LEFT($D333,5)="Solar",$D333="Wind"),INDEX(Land_Use[MAX],MATCH(LEFT($D333,5),Land_Use[Tech],0)),0)*$E333</f>
        <v>8009.4000000000005</v>
      </c>
      <c r="N333" s="15">
        <f t="shared" si="101"/>
        <v>0</v>
      </c>
      <c r="O333" s="11">
        <f t="shared" si="102"/>
        <v>66745</v>
      </c>
      <c r="P333" s="11">
        <f t="shared" si="103"/>
        <v>6674.5</v>
      </c>
      <c r="Q333" s="11">
        <f t="shared" si="104"/>
        <v>1191875</v>
      </c>
      <c r="R333" s="11">
        <f t="shared" si="105"/>
        <v>1477.925</v>
      </c>
      <c r="S333" s="30">
        <f t="shared" si="110"/>
        <v>2.6667999999999998</v>
      </c>
      <c r="T333" s="30">
        <f t="shared" si="111"/>
        <v>4.6216999999999997</v>
      </c>
      <c r="U333" s="30">
        <f t="shared" si="112"/>
        <v>2.2600000000000002</v>
      </c>
      <c r="V333" s="30">
        <f t="shared" si="113"/>
        <v>0.12769</v>
      </c>
      <c r="W333" s="30">
        <f t="shared" si="114"/>
        <v>9.6761900000000018</v>
      </c>
      <c r="X333" s="30">
        <f t="shared" si="115"/>
        <v>77.409520000000015</v>
      </c>
      <c r="Z333" s="23" t="s">
        <v>76</v>
      </c>
      <c r="AA333" s="40">
        <f>IF(C333="Electricity",E333*SUMIFS(Electricity!S:S,Electricity!P:P,UserMade_Scenario!B333,Electricity!M:M,UserMade_Scenario!Z333,Electricity!O:O,UserMade_Scenario!D333),"")</f>
        <v>4161347.9507583962</v>
      </c>
      <c r="AB333" s="76">
        <f>1/Assumptions!$B$23/1000000000000</f>
        <v>3.5998225679871703E-9</v>
      </c>
      <c r="AC333" s="67" t="s">
        <v>82</v>
      </c>
      <c r="AD333" s="69">
        <f>INDEX(Table11[AVG
CO2e MT per MWh],MATCH(UserMade_Scenario!$B333,Table11[[Year]:[Year]],0))</f>
        <v>-7.6447594799999907E-2</v>
      </c>
      <c r="AE333" s="69">
        <f>INDEX(Table11[MIN
CO2e MT per MWh],MATCH(UserMade_Scenario!$B333,Table11[[Year]:[Year]],0))</f>
        <v>-4.9525856600000091E-2</v>
      </c>
      <c r="AF333" s="69">
        <f>INDEX(Table11[MAX CO2e MT per MWh],MATCH(UserMade_Scenario!$B333,Table11[[Year]:[Year]],0))</f>
        <v>-0.10336933200000002</v>
      </c>
      <c r="AG333" s="68">
        <f>IFERROR(INDEX(WaterUseH2[Average Direct Water Consumption (Gal/ kg h2)],MATCH(LEFT(D333,3),WaterUseH2[Key],0)),0)</f>
        <v>0</v>
      </c>
      <c r="AH333">
        <v>14</v>
      </c>
      <c r="AI333">
        <v>1.4</v>
      </c>
      <c r="AJ333">
        <v>250</v>
      </c>
      <c r="AK333">
        <v>0.31</v>
      </c>
      <c r="AL333" s="63">
        <f>IFERROR(INDEX(Job_Training[[Solar]:[Wind]],MATCH(AL$1,Job_Training[[`Typical Entry Level Education`]:[`Typical Entry Level Education`]],0),MATCH(LEFT($D333,5),Job_Training[[#Headers],[Solar]:[Wind]],0)),0)</f>
        <v>2.3599999999999999E-2</v>
      </c>
      <c r="AM333" s="63">
        <f>IFERROR(INDEX(Job_Training[[Solar]:[Wind]],MATCH(AM$1,Job_Training[[`Typical Entry Level Education`]:[`Typical Entry Level Education`]],0),MATCH(LEFT($D333,5),Job_Training[[#Headers],[Solar]:[Wind]],0)),0)</f>
        <v>4.0899999999999999E-2</v>
      </c>
      <c r="AN333" s="63">
        <f>IFERROR(INDEX(Job_Training[[Solar]:[Wind]],MATCH(AN$1,Job_Training[[`Typical Entry Level Education`]:[`Typical Entry Level Education`]],0),MATCH(LEFT($D333,5),Job_Training[[#Headers],[Solar]:[Wind]],0)),0)</f>
        <v>0.02</v>
      </c>
      <c r="AO333" s="63">
        <f>IFERROR(INDEX(Job_Training[[Solar]:[Wind]],MATCH(AO$1,Job_Training[[`Typical Entry Level Education`]:[`Typical Entry Level Education`]],0),MATCH(LEFT($D333,5),Job_Training[[#Headers],[Solar]:[Wind]],0)),0)</f>
        <v>1.1299999999999999E-3</v>
      </c>
      <c r="AP333">
        <f t="shared" si="116"/>
        <v>113</v>
      </c>
      <c r="AQ333" s="63">
        <f>IF(AP333&gt;0,IFERROR(INDEX(Assumptions!$C$165:$D$165,MATCH(LEFT($D333,5),Job_Training[[#Headers],[Solar]:[Wind]],0)),0),0)</f>
        <v>8.5630000000000012E-2</v>
      </c>
      <c r="AR333">
        <f>IF(AP333&gt;0,IFERROR(INDEX(Assumptions!$C$166:$D$166,MATCH(LEFT($D333,5),Job_Training[[#Headers],[Solar]:[Wind]],0)),0),0)</f>
        <v>0.68504000000000009</v>
      </c>
    </row>
    <row r="334" spans="1:44" hidden="1" x14ac:dyDescent="0.35">
      <c r="A334" t="str">
        <f>UserInput!$B$30</f>
        <v>State Policy Aligned</v>
      </c>
      <c r="B334">
        <v>2042</v>
      </c>
      <c r="C334" t="s">
        <v>41</v>
      </c>
      <c r="D334" t="s">
        <v>83</v>
      </c>
      <c r="E334" s="66">
        <f>INDEX(UserInput!$C$30:$M$50,MATCH(UserMade_Scenario!B334,UserInput!$A$30:$A$50,0),MATCH(LEFT(IF(RIGHT(C334,2)="H2",UserMade_Scenario!C334,D334),3),UserInput!$C$25:$M$25,0))</f>
        <v>2020</v>
      </c>
      <c r="F334" t="s">
        <v>81</v>
      </c>
      <c r="G334" s="14">
        <f t="shared" si="106"/>
        <v>1.5722031478660484E-2</v>
      </c>
      <c r="H334" s="63">
        <f t="shared" si="107"/>
        <v>0.31543299738590086</v>
      </c>
      <c r="I334" s="63">
        <f t="shared" si="108"/>
        <v>0.19377524469795243</v>
      </c>
      <c r="J334" s="63">
        <f t="shared" si="109"/>
        <v>0.43709074570640438</v>
      </c>
      <c r="K334" s="30">
        <f>IF(OR(LEFT($D334,5)="Solar",$D334="Wind"),INDEX(Land_Use[AVG],MATCH(LEFT($D334,5),Land_Use[Tech],0)),0)*$E334</f>
        <v>5050</v>
      </c>
      <c r="L334" s="30">
        <f>IF(OR(LEFT($D334,5)="Solar",$D334="Wind"),INDEX(Land_Use[MIN],MATCH(LEFT($D334,5),Land_Use[Tech],0)),0)*$E334</f>
        <v>1616</v>
      </c>
      <c r="M334" s="30">
        <f>IF(OR(LEFT($D334,5)="Solar",$D334="Wind"),INDEX(Land_Use[MAX],MATCH(LEFT($D334,5),Land_Use[Tech],0)),0)*$E334</f>
        <v>8484</v>
      </c>
      <c r="N334" s="15">
        <f t="shared" si="101"/>
        <v>0</v>
      </c>
      <c r="O334" s="11">
        <f t="shared" si="102"/>
        <v>70700</v>
      </c>
      <c r="P334" s="11">
        <f t="shared" si="103"/>
        <v>7070</v>
      </c>
      <c r="Q334" s="11">
        <f t="shared" si="104"/>
        <v>1262500</v>
      </c>
      <c r="R334" s="11">
        <f t="shared" si="105"/>
        <v>1565.5</v>
      </c>
      <c r="S334" s="30">
        <f t="shared" si="110"/>
        <v>2.6667999999999998</v>
      </c>
      <c r="T334" s="30">
        <f t="shared" si="111"/>
        <v>4.6216999999999997</v>
      </c>
      <c r="U334" s="30">
        <f t="shared" si="112"/>
        <v>2.2600000000000002</v>
      </c>
      <c r="V334" s="30">
        <f t="shared" si="113"/>
        <v>0.12769</v>
      </c>
      <c r="W334" s="30">
        <f t="shared" si="114"/>
        <v>9.6761900000000018</v>
      </c>
      <c r="X334" s="30">
        <f t="shared" si="115"/>
        <v>77.409520000000015</v>
      </c>
      <c r="Z334" s="23" t="s">
        <v>76</v>
      </c>
      <c r="AA334" s="40">
        <f>IF(C334="Electricity",E334*SUMIFS(Electricity!S:S,Electricity!P:P,UserMade_Scenario!B334,Electricity!M:M,UserMade_Scenario!Z334,Electricity!O:O,UserMade_Scenario!D334),"")</f>
        <v>4367446.2231763294</v>
      </c>
      <c r="AB334" s="76">
        <f>1/Assumptions!$B$23/1000000000000</f>
        <v>3.5998225679871703E-9</v>
      </c>
      <c r="AC334" s="67" t="s">
        <v>82</v>
      </c>
      <c r="AD334" s="69">
        <f>INDEX(Table11[AVG
CO2e MT per MWh],MATCH(UserMade_Scenario!$B334,Table11[[Year]:[Year]],0))</f>
        <v>-7.2223670599999901E-2</v>
      </c>
      <c r="AE334" s="69">
        <f>INDEX(Table11[MIN
CO2e MT per MWh],MATCH(UserMade_Scenario!$B334,Table11[[Year]:[Year]],0))</f>
        <v>-4.4368089450000092E-2</v>
      </c>
      <c r="AF334" s="69">
        <f>INDEX(Table11[MAX CO2e MT per MWh],MATCH(UserMade_Scenario!$B334,Table11[[Year]:[Year]],0))</f>
        <v>-0.10007925075000002</v>
      </c>
      <c r="AG334" s="68">
        <f>IFERROR(INDEX(WaterUseH2[Average Direct Water Consumption (Gal/ kg h2)],MATCH(LEFT(D334,3),WaterUseH2[Key],0)),0)</f>
        <v>0</v>
      </c>
      <c r="AH334">
        <v>14</v>
      </c>
      <c r="AI334">
        <v>1.4</v>
      </c>
      <c r="AJ334">
        <v>250</v>
      </c>
      <c r="AK334">
        <v>0.31</v>
      </c>
      <c r="AL334" s="63">
        <f>IFERROR(INDEX(Job_Training[[Solar]:[Wind]],MATCH(AL$1,Job_Training[[`Typical Entry Level Education`]:[`Typical Entry Level Education`]],0),MATCH(LEFT($D334,5),Job_Training[[#Headers],[Solar]:[Wind]],0)),0)</f>
        <v>2.3599999999999999E-2</v>
      </c>
      <c r="AM334" s="63">
        <f>IFERROR(INDEX(Job_Training[[Solar]:[Wind]],MATCH(AM$1,Job_Training[[`Typical Entry Level Education`]:[`Typical Entry Level Education`]],0),MATCH(LEFT($D334,5),Job_Training[[#Headers],[Solar]:[Wind]],0)),0)</f>
        <v>4.0899999999999999E-2</v>
      </c>
      <c r="AN334" s="63">
        <f>IFERROR(INDEX(Job_Training[[Solar]:[Wind]],MATCH(AN$1,Job_Training[[`Typical Entry Level Education`]:[`Typical Entry Level Education`]],0),MATCH(LEFT($D334,5),Job_Training[[#Headers],[Solar]:[Wind]],0)),0)</f>
        <v>0.02</v>
      </c>
      <c r="AO334" s="63">
        <f>IFERROR(INDEX(Job_Training[[Solar]:[Wind]],MATCH(AO$1,Job_Training[[`Typical Entry Level Education`]:[`Typical Entry Level Education`]],0),MATCH(LEFT($D334,5),Job_Training[[#Headers],[Solar]:[Wind]],0)),0)</f>
        <v>1.1299999999999999E-3</v>
      </c>
      <c r="AP334">
        <f t="shared" si="116"/>
        <v>113</v>
      </c>
      <c r="AQ334" s="63">
        <f>IF(AP334&gt;0,IFERROR(INDEX(Assumptions!$C$165:$D$165,MATCH(LEFT($D334,5),Job_Training[[#Headers],[Solar]:[Wind]],0)),0),0)</f>
        <v>8.5630000000000012E-2</v>
      </c>
      <c r="AR334">
        <f>IF(AP334&gt;0,IFERROR(INDEX(Assumptions!$C$166:$D$166,MATCH(LEFT($D334,5),Job_Training[[#Headers],[Solar]:[Wind]],0)),0),0)</f>
        <v>0.68504000000000009</v>
      </c>
    </row>
    <row r="335" spans="1:44" hidden="1" x14ac:dyDescent="0.35">
      <c r="A335" t="str">
        <f>UserInput!$B$30</f>
        <v>State Policy Aligned</v>
      </c>
      <c r="B335">
        <v>2043</v>
      </c>
      <c r="C335" t="s">
        <v>41</v>
      </c>
      <c r="D335" t="s">
        <v>83</v>
      </c>
      <c r="E335" s="66">
        <f>INDEX(UserInput!$C$30:$M$50,MATCH(UserMade_Scenario!B335,UserInput!$A$30:$A$50,0),MATCH(LEFT(IF(RIGHT(C335,2)="H2",UserMade_Scenario!C335,D335),3),UserInput!$C$25:$M$25,0))</f>
        <v>2132</v>
      </c>
      <c r="F335" t="s">
        <v>81</v>
      </c>
      <c r="G335" s="14">
        <f t="shared" si="106"/>
        <v>1.6439932639752675E-2</v>
      </c>
      <c r="H335" s="63">
        <f t="shared" si="107"/>
        <v>0.31054620865976162</v>
      </c>
      <c r="I335" s="63">
        <f t="shared" si="108"/>
        <v>0.17906856385853157</v>
      </c>
      <c r="J335" s="63">
        <f t="shared" si="109"/>
        <v>0.44202384889412005</v>
      </c>
      <c r="K335" s="30">
        <f>IF(OR(LEFT($D335,5)="Solar",$D335="Wind"),INDEX(Land_Use[AVG],MATCH(LEFT($D335,5),Land_Use[Tech],0)),0)*$E335</f>
        <v>5330</v>
      </c>
      <c r="L335" s="30">
        <f>IF(OR(LEFT($D335,5)="Solar",$D335="Wind"),INDEX(Land_Use[MIN],MATCH(LEFT($D335,5),Land_Use[Tech],0)),0)*$E335</f>
        <v>1705.6000000000001</v>
      </c>
      <c r="M335" s="30">
        <f>IF(OR(LEFT($D335,5)="Solar",$D335="Wind"),INDEX(Land_Use[MAX],MATCH(LEFT($D335,5),Land_Use[Tech],0)),0)*$E335</f>
        <v>8954.4</v>
      </c>
      <c r="N335" s="15">
        <f t="shared" si="101"/>
        <v>0</v>
      </c>
      <c r="O335" s="11">
        <f t="shared" si="102"/>
        <v>74620</v>
      </c>
      <c r="P335" s="11">
        <f t="shared" si="103"/>
        <v>7461.9999999999991</v>
      </c>
      <c r="Q335" s="11">
        <f t="shared" si="104"/>
        <v>1332500</v>
      </c>
      <c r="R335" s="11">
        <f t="shared" si="105"/>
        <v>1652.3</v>
      </c>
      <c r="S335" s="30">
        <f t="shared" si="110"/>
        <v>2.6431999999999998</v>
      </c>
      <c r="T335" s="30">
        <f t="shared" si="111"/>
        <v>4.5808</v>
      </c>
      <c r="U335" s="30">
        <f t="shared" si="112"/>
        <v>2.2400000000000002</v>
      </c>
      <c r="V335" s="30">
        <f t="shared" si="113"/>
        <v>0.12656000000000001</v>
      </c>
      <c r="W335" s="30">
        <f t="shared" si="114"/>
        <v>9.5905600000000018</v>
      </c>
      <c r="X335" s="30">
        <f t="shared" si="115"/>
        <v>76.724480000000014</v>
      </c>
      <c r="Z335" s="23" t="s">
        <v>76</v>
      </c>
      <c r="AA335" s="40">
        <f>IF(C335="Electricity",E335*SUMIFS(Electricity!S:S,Electricity!P:P,UserMade_Scenario!B335,Electricity!M:M,UserMade_Scenario!Z335,Electricity!O:O,UserMade_Scenario!D335),"")</f>
        <v>4566873.041452433</v>
      </c>
      <c r="AB335" s="76">
        <f>1/Assumptions!$B$23/1000000000000</f>
        <v>3.5998225679871703E-9</v>
      </c>
      <c r="AC335" s="67" t="s">
        <v>82</v>
      </c>
      <c r="AD335" s="69">
        <f>INDEX(Table11[AVG
CO2e MT per MWh],MATCH(UserMade_Scenario!$B335,Table11[[Year]:[Year]],0))</f>
        <v>-6.7999746399999894E-2</v>
      </c>
      <c r="AE335" s="69">
        <f>INDEX(Table11[MIN
CO2e MT per MWh],MATCH(UserMade_Scenario!$B335,Table11[[Year]:[Year]],0))</f>
        <v>-3.9210322300000093E-2</v>
      </c>
      <c r="AF335" s="69">
        <f>INDEX(Table11[MAX CO2e MT per MWh],MATCH(UserMade_Scenario!$B335,Table11[[Year]:[Year]],0))</f>
        <v>-9.6789169500000008E-2</v>
      </c>
      <c r="AG335" s="68">
        <f>IFERROR(INDEX(WaterUseH2[Average Direct Water Consumption (Gal/ kg h2)],MATCH(LEFT(D335,3),WaterUseH2[Key],0)),0)</f>
        <v>0</v>
      </c>
      <c r="AH335">
        <v>14</v>
      </c>
      <c r="AI335">
        <v>1.4</v>
      </c>
      <c r="AJ335">
        <v>250</v>
      </c>
      <c r="AK335">
        <v>0.31</v>
      </c>
      <c r="AL335" s="63">
        <f>IFERROR(INDEX(Job_Training[[Solar]:[Wind]],MATCH(AL$1,Job_Training[[`Typical Entry Level Education`]:[`Typical Entry Level Education`]],0),MATCH(LEFT($D335,5),Job_Training[[#Headers],[Solar]:[Wind]],0)),0)</f>
        <v>2.3599999999999999E-2</v>
      </c>
      <c r="AM335" s="63">
        <f>IFERROR(INDEX(Job_Training[[Solar]:[Wind]],MATCH(AM$1,Job_Training[[`Typical Entry Level Education`]:[`Typical Entry Level Education`]],0),MATCH(LEFT($D335,5),Job_Training[[#Headers],[Solar]:[Wind]],0)),0)</f>
        <v>4.0899999999999999E-2</v>
      </c>
      <c r="AN335" s="63">
        <f>IFERROR(INDEX(Job_Training[[Solar]:[Wind]],MATCH(AN$1,Job_Training[[`Typical Entry Level Education`]:[`Typical Entry Level Education`]],0),MATCH(LEFT($D335,5),Job_Training[[#Headers],[Solar]:[Wind]],0)),0)</f>
        <v>0.02</v>
      </c>
      <c r="AO335" s="63">
        <f>IFERROR(INDEX(Job_Training[[Solar]:[Wind]],MATCH(AO$1,Job_Training[[`Typical Entry Level Education`]:[`Typical Entry Level Education`]],0),MATCH(LEFT($D335,5),Job_Training[[#Headers],[Solar]:[Wind]],0)),0)</f>
        <v>1.1299999999999999E-3</v>
      </c>
      <c r="AP335">
        <f t="shared" si="116"/>
        <v>112</v>
      </c>
      <c r="AQ335" s="63">
        <f>IF(AP335&gt;0,IFERROR(INDEX(Assumptions!$C$165:$D$165,MATCH(LEFT($D335,5),Job_Training[[#Headers],[Solar]:[Wind]],0)),0),0)</f>
        <v>8.5630000000000012E-2</v>
      </c>
      <c r="AR335">
        <f>IF(AP335&gt;0,IFERROR(INDEX(Assumptions!$C$166:$D$166,MATCH(LEFT($D335,5),Job_Training[[#Headers],[Solar]:[Wind]],0)),0),0)</f>
        <v>0.68504000000000009</v>
      </c>
    </row>
    <row r="336" spans="1:44" hidden="1" x14ac:dyDescent="0.35">
      <c r="A336" t="str">
        <f>UserInput!$B$30</f>
        <v>State Policy Aligned</v>
      </c>
      <c r="B336">
        <v>2044</v>
      </c>
      <c r="C336" t="s">
        <v>41</v>
      </c>
      <c r="D336" t="s">
        <v>83</v>
      </c>
      <c r="E336" s="66">
        <f>INDEX(UserInput!$C$30:$M$50,MATCH(UserMade_Scenario!B336,UserInput!$A$30:$A$50,0),MATCH(LEFT(IF(RIGHT(C336,2)="H2",UserMade_Scenario!C336,D336),3),UserInput!$C$25:$M$25,0))</f>
        <v>2245</v>
      </c>
      <c r="F336" t="s">
        <v>81</v>
      </c>
      <c r="G336" s="14">
        <f t="shared" si="106"/>
        <v>1.7149311971387676E-2</v>
      </c>
      <c r="H336" s="63">
        <f t="shared" si="107"/>
        <v>0.30382371644252881</v>
      </c>
      <c r="I336" s="63">
        <f t="shared" si="108"/>
        <v>0.16222407650962781</v>
      </c>
      <c r="J336" s="63">
        <f t="shared" si="109"/>
        <v>0.44542335161149871</v>
      </c>
      <c r="K336" s="30">
        <f>IF(OR(LEFT($D336,5)="Solar",$D336="Wind"),INDEX(Land_Use[AVG],MATCH(LEFT($D336,5),Land_Use[Tech],0)),0)*$E336</f>
        <v>5612.5</v>
      </c>
      <c r="L336" s="30">
        <f>IF(OR(LEFT($D336,5)="Solar",$D336="Wind"),INDEX(Land_Use[MIN],MATCH(LEFT($D336,5),Land_Use[Tech],0)),0)*$E336</f>
        <v>1796</v>
      </c>
      <c r="M336" s="30">
        <f>IF(OR(LEFT($D336,5)="Solar",$D336="Wind"),INDEX(Land_Use[MAX],MATCH(LEFT($D336,5),Land_Use[Tech],0)),0)*$E336</f>
        <v>9429</v>
      </c>
      <c r="N336" s="15">
        <f t="shared" si="101"/>
        <v>0</v>
      </c>
      <c r="O336" s="11">
        <f t="shared" si="102"/>
        <v>78575</v>
      </c>
      <c r="P336" s="11">
        <f t="shared" si="103"/>
        <v>7857.4999999999991</v>
      </c>
      <c r="Q336" s="11">
        <f t="shared" si="104"/>
        <v>1403125</v>
      </c>
      <c r="R336" s="11">
        <f t="shared" si="105"/>
        <v>1739.875</v>
      </c>
      <c r="S336" s="30">
        <f t="shared" si="110"/>
        <v>2.6667999999999998</v>
      </c>
      <c r="T336" s="30">
        <f t="shared" si="111"/>
        <v>4.6216999999999997</v>
      </c>
      <c r="U336" s="30">
        <f t="shared" si="112"/>
        <v>2.2600000000000002</v>
      </c>
      <c r="V336" s="30">
        <f t="shared" si="113"/>
        <v>0.12769</v>
      </c>
      <c r="W336" s="30">
        <f t="shared" si="114"/>
        <v>9.6761900000000018</v>
      </c>
      <c r="X336" s="30">
        <f t="shared" si="115"/>
        <v>77.409520000000015</v>
      </c>
      <c r="Z336" s="23" t="s">
        <v>76</v>
      </c>
      <c r="AA336" s="40">
        <f>IF(C336="Electricity",E336*SUMIFS(Electricity!S:S,Electricity!P:P,UserMade_Scenario!B336,Electricity!M:M,UserMade_Scenario!Z336,Electricity!O:O,UserMade_Scenario!D336),"")</f>
        <v>4763932.568203399</v>
      </c>
      <c r="AB336" s="76">
        <f>1/Assumptions!$B$23/1000000000000</f>
        <v>3.5998225679871703E-9</v>
      </c>
      <c r="AC336" s="67" t="s">
        <v>82</v>
      </c>
      <c r="AD336" s="69">
        <f>INDEX(Table11[AVG
CO2e MT per MWh],MATCH(UserMade_Scenario!$B336,Table11[[Year]:[Year]],0))</f>
        <v>-6.3775822199999888E-2</v>
      </c>
      <c r="AE336" s="69">
        <f>INDEX(Table11[MIN
CO2e MT per MWh],MATCH(UserMade_Scenario!$B336,Table11[[Year]:[Year]],0))</f>
        <v>-3.4052555150000094E-2</v>
      </c>
      <c r="AF336" s="69">
        <f>INDEX(Table11[MAX CO2e MT per MWh],MATCH(UserMade_Scenario!$B336,Table11[[Year]:[Year]],0))</f>
        <v>-9.3499088250000001E-2</v>
      </c>
      <c r="AG336" s="68">
        <f>IFERROR(INDEX(WaterUseH2[Average Direct Water Consumption (Gal/ kg h2)],MATCH(LEFT(D336,3),WaterUseH2[Key],0)),0)</f>
        <v>0</v>
      </c>
      <c r="AH336">
        <v>14</v>
      </c>
      <c r="AI336">
        <v>1.4</v>
      </c>
      <c r="AJ336">
        <v>250</v>
      </c>
      <c r="AK336">
        <v>0.31</v>
      </c>
      <c r="AL336" s="63">
        <f>IFERROR(INDEX(Job_Training[[Solar]:[Wind]],MATCH(AL$1,Job_Training[[`Typical Entry Level Education`]:[`Typical Entry Level Education`]],0),MATCH(LEFT($D336,5),Job_Training[[#Headers],[Solar]:[Wind]],0)),0)</f>
        <v>2.3599999999999999E-2</v>
      </c>
      <c r="AM336" s="63">
        <f>IFERROR(INDEX(Job_Training[[Solar]:[Wind]],MATCH(AM$1,Job_Training[[`Typical Entry Level Education`]:[`Typical Entry Level Education`]],0),MATCH(LEFT($D336,5),Job_Training[[#Headers],[Solar]:[Wind]],0)),0)</f>
        <v>4.0899999999999999E-2</v>
      </c>
      <c r="AN336" s="63">
        <f>IFERROR(INDEX(Job_Training[[Solar]:[Wind]],MATCH(AN$1,Job_Training[[`Typical Entry Level Education`]:[`Typical Entry Level Education`]],0),MATCH(LEFT($D336,5),Job_Training[[#Headers],[Solar]:[Wind]],0)),0)</f>
        <v>0.02</v>
      </c>
      <c r="AO336" s="63">
        <f>IFERROR(INDEX(Job_Training[[Solar]:[Wind]],MATCH(AO$1,Job_Training[[`Typical Entry Level Education`]:[`Typical Entry Level Education`]],0),MATCH(LEFT($D336,5),Job_Training[[#Headers],[Solar]:[Wind]],0)),0)</f>
        <v>1.1299999999999999E-3</v>
      </c>
      <c r="AP336">
        <f t="shared" si="116"/>
        <v>113</v>
      </c>
      <c r="AQ336" s="63">
        <f>IF(AP336&gt;0,IFERROR(INDEX(Assumptions!$C$165:$D$165,MATCH(LEFT($D336,5),Job_Training[[#Headers],[Solar]:[Wind]],0)),0),0)</f>
        <v>8.5630000000000012E-2</v>
      </c>
      <c r="AR336">
        <f>IF(AP336&gt;0,IFERROR(INDEX(Assumptions!$C$166:$D$166,MATCH(LEFT($D336,5),Job_Training[[#Headers],[Solar]:[Wind]],0)),0),0)</f>
        <v>0.68504000000000009</v>
      </c>
    </row>
    <row r="337" spans="1:44" hidden="1" x14ac:dyDescent="0.35">
      <c r="A337" t="str">
        <f>UserInput!$B$30</f>
        <v>State Policy Aligned</v>
      </c>
      <c r="B337">
        <v>2045</v>
      </c>
      <c r="C337" t="s">
        <v>41</v>
      </c>
      <c r="D337" t="s">
        <v>83</v>
      </c>
      <c r="E337" s="66">
        <f>INDEX(UserInput!$C$30:$M$50,MATCH(UserMade_Scenario!B337,UserInput!$A$30:$A$50,0),MATCH(LEFT(IF(RIGHT(C337,2)="H2",UserMade_Scenario!C337,D337),3),UserInput!$C$25:$M$25,0))</f>
        <v>2358</v>
      </c>
      <c r="F337" t="s">
        <v>81</v>
      </c>
      <c r="G337" s="14">
        <f t="shared" si="106"/>
        <v>1.7842386289665155E-2</v>
      </c>
      <c r="H337" s="63">
        <f t="shared" si="107"/>
        <v>0.29516676123091701</v>
      </c>
      <c r="I337" s="63">
        <f t="shared" si="108"/>
        <v>0.14321593898508508</v>
      </c>
      <c r="J337" s="63">
        <f t="shared" si="109"/>
        <v>0.44711757852028783</v>
      </c>
      <c r="K337" s="30">
        <f>IF(OR(LEFT($D337,5)="Solar",$D337="Wind"),INDEX(Land_Use[AVG],MATCH(LEFT($D337,5),Land_Use[Tech],0)),0)*$E337</f>
        <v>5895</v>
      </c>
      <c r="L337" s="30">
        <f>IF(OR(LEFT($D337,5)="Solar",$D337="Wind"),INDEX(Land_Use[MIN],MATCH(LEFT($D337,5),Land_Use[Tech],0)),0)*$E337</f>
        <v>1886.4</v>
      </c>
      <c r="M337" s="30">
        <f>IF(OR(LEFT($D337,5)="Solar",$D337="Wind"),INDEX(Land_Use[MAX],MATCH(LEFT($D337,5),Land_Use[Tech],0)),0)*$E337</f>
        <v>9903.6</v>
      </c>
      <c r="N337" s="15">
        <f t="shared" si="101"/>
        <v>0</v>
      </c>
      <c r="O337" s="11">
        <f t="shared" si="102"/>
        <v>82530</v>
      </c>
      <c r="P337" s="11">
        <f t="shared" si="103"/>
        <v>8253</v>
      </c>
      <c r="Q337" s="11">
        <f t="shared" si="104"/>
        <v>1473750</v>
      </c>
      <c r="R337" s="11">
        <f t="shared" si="105"/>
        <v>1827.45</v>
      </c>
      <c r="S337" s="30">
        <f t="shared" si="110"/>
        <v>2.6667999999999998</v>
      </c>
      <c r="T337" s="30">
        <f t="shared" si="111"/>
        <v>4.6216999999999997</v>
      </c>
      <c r="U337" s="30">
        <f t="shared" si="112"/>
        <v>2.2600000000000002</v>
      </c>
      <c r="V337" s="30">
        <f t="shared" si="113"/>
        <v>0.12769</v>
      </c>
      <c r="W337" s="30">
        <f t="shared" si="114"/>
        <v>9.6761900000000018</v>
      </c>
      <c r="X337" s="30">
        <f t="shared" si="115"/>
        <v>77.409520000000015</v>
      </c>
      <c r="Z337" s="23" t="s">
        <v>76</v>
      </c>
      <c r="AA337" s="40">
        <f>IF(C337="Electricity",E337*SUMIFS(Electricity!S:S,Electricity!P:P,UserMade_Scenario!B337,Electricity!M:M,UserMade_Scenario!Z337,Electricity!O:O,UserMade_Scenario!D337),"")</f>
        <v>4956462.7013385464</v>
      </c>
      <c r="AB337" s="76">
        <f>1/Assumptions!$B$23/1000000000000</f>
        <v>3.5998225679871703E-9</v>
      </c>
      <c r="AC337" s="67" t="s">
        <v>82</v>
      </c>
      <c r="AD337" s="69">
        <f>INDEX(Table11[AVG
CO2e MT per MWh],MATCH(UserMade_Scenario!$B337,Table11[[Year]:[Year]],0))</f>
        <v>-5.9551897999999888E-2</v>
      </c>
      <c r="AE337" s="69">
        <f>INDEX(Table11[MIN
CO2e MT per MWh],MATCH(UserMade_Scenario!$B337,Table11[[Year]:[Year]],0))</f>
        <v>-2.8894788000000095E-2</v>
      </c>
      <c r="AF337" s="69">
        <f>INDEX(Table11[MAX CO2e MT per MWh],MATCH(UserMade_Scenario!$B337,Table11[[Year]:[Year]],0))</f>
        <v>-9.0209006999999994E-2</v>
      </c>
      <c r="AG337" s="68">
        <f>IFERROR(INDEX(WaterUseH2[Average Direct Water Consumption (Gal/ kg h2)],MATCH(LEFT(D337,3),WaterUseH2[Key],0)),0)</f>
        <v>0</v>
      </c>
      <c r="AH337">
        <v>14</v>
      </c>
      <c r="AI337">
        <v>1.4</v>
      </c>
      <c r="AJ337">
        <v>250</v>
      </c>
      <c r="AK337">
        <v>0.31</v>
      </c>
      <c r="AL337" s="63">
        <f>IFERROR(INDEX(Job_Training[[Solar]:[Wind]],MATCH(AL$1,Job_Training[[`Typical Entry Level Education`]:[`Typical Entry Level Education`]],0),MATCH(LEFT($D337,5),Job_Training[[#Headers],[Solar]:[Wind]],0)),0)</f>
        <v>2.3599999999999999E-2</v>
      </c>
      <c r="AM337" s="63">
        <f>IFERROR(INDEX(Job_Training[[Solar]:[Wind]],MATCH(AM$1,Job_Training[[`Typical Entry Level Education`]:[`Typical Entry Level Education`]],0),MATCH(LEFT($D337,5),Job_Training[[#Headers],[Solar]:[Wind]],0)),0)</f>
        <v>4.0899999999999999E-2</v>
      </c>
      <c r="AN337" s="63">
        <f>IFERROR(INDEX(Job_Training[[Solar]:[Wind]],MATCH(AN$1,Job_Training[[`Typical Entry Level Education`]:[`Typical Entry Level Education`]],0),MATCH(LEFT($D337,5),Job_Training[[#Headers],[Solar]:[Wind]],0)),0)</f>
        <v>0.02</v>
      </c>
      <c r="AO337" s="63">
        <f>IFERROR(INDEX(Job_Training[[Solar]:[Wind]],MATCH(AO$1,Job_Training[[`Typical Entry Level Education`]:[`Typical Entry Level Education`]],0),MATCH(LEFT($D337,5),Job_Training[[#Headers],[Solar]:[Wind]],0)),0)</f>
        <v>1.1299999999999999E-3</v>
      </c>
      <c r="AP337">
        <f t="shared" si="116"/>
        <v>113</v>
      </c>
      <c r="AQ337" s="63">
        <f>IF(AP337&gt;0,IFERROR(INDEX(Assumptions!$C$165:$D$165,MATCH(LEFT($D337,5),Job_Training[[#Headers],[Solar]:[Wind]],0)),0),0)</f>
        <v>8.5630000000000012E-2</v>
      </c>
      <c r="AR337">
        <f>IF(AP337&gt;0,IFERROR(INDEX(Assumptions!$C$166:$D$166,MATCH(LEFT($D337,5),Job_Training[[#Headers],[Solar]:[Wind]],0)),0),0)</f>
        <v>0.68504000000000009</v>
      </c>
    </row>
    <row r="338" spans="1:44" hidden="1" x14ac:dyDescent="0.35">
      <c r="A338" t="str">
        <f>UserInput!$B$30</f>
        <v>State Policy Aligned</v>
      </c>
      <c r="B338">
        <v>2025</v>
      </c>
      <c r="C338" t="s">
        <v>41</v>
      </c>
      <c r="D338" t="s">
        <v>84</v>
      </c>
      <c r="E338" s="66">
        <f>INDEX(UserInput!$C$30:$M$50,MATCH(UserMade_Scenario!B338,UserInput!$A$30:$A$50,0),MATCH(LEFT(IF(RIGHT(C338,2)="H2",UserMade_Scenario!C338,D338),3),UserInput!$C$25:$M$25,0))</f>
        <v>0</v>
      </c>
      <c r="F338" t="s">
        <v>81</v>
      </c>
      <c r="G338" s="14">
        <f t="shared" si="106"/>
        <v>0</v>
      </c>
      <c r="H338" s="63">
        <f t="shared" si="107"/>
        <v>0</v>
      </c>
      <c r="I338" s="63">
        <f t="shared" si="108"/>
        <v>0</v>
      </c>
      <c r="J338" s="63">
        <f t="shared" si="109"/>
        <v>0</v>
      </c>
      <c r="K338" s="30">
        <f>IF(OR(LEFT($D338,5)="Solar",$D338="Wind"),INDEX(Land_Use[AVG],MATCH(LEFT($D338,5),Land_Use[Tech],0)),0)*$E338</f>
        <v>0</v>
      </c>
      <c r="L338" s="30">
        <f>IF(OR(LEFT($D338,5)="Solar",$D338="Wind"),INDEX(Land_Use[MIN],MATCH(LEFT($D338,5),Land_Use[Tech],0)),0)*$E338</f>
        <v>0</v>
      </c>
      <c r="M338" s="30">
        <f>IF(OR(LEFT($D338,5)="Solar",$D338="Wind"),INDEX(Land_Use[MAX],MATCH(LEFT($D338,5),Land_Use[Tech],0)),0)*$E338</f>
        <v>0</v>
      </c>
      <c r="N338" s="15">
        <f t="shared" si="101"/>
        <v>0</v>
      </c>
      <c r="O338" s="11">
        <f t="shared" si="102"/>
        <v>0</v>
      </c>
      <c r="P338" s="11">
        <f t="shared" si="103"/>
        <v>0</v>
      </c>
      <c r="Q338" s="11">
        <f t="shared" si="104"/>
        <v>0</v>
      </c>
      <c r="R338" s="11">
        <f t="shared" si="105"/>
        <v>0</v>
      </c>
      <c r="S338" s="30">
        <f t="shared" si="110"/>
        <v>0</v>
      </c>
      <c r="T338" s="30">
        <f t="shared" si="111"/>
        <v>0</v>
      </c>
      <c r="U338" s="30">
        <f t="shared" si="112"/>
        <v>0</v>
      </c>
      <c r="V338" s="30">
        <f t="shared" si="113"/>
        <v>0</v>
      </c>
      <c r="W338" s="30">
        <f t="shared" si="114"/>
        <v>0</v>
      </c>
      <c r="X338" s="30">
        <f t="shared" si="115"/>
        <v>0</v>
      </c>
      <c r="Z338" s="23" t="s">
        <v>76</v>
      </c>
      <c r="AA338" s="40">
        <f>IF(C338="Electricity",E338*SUMIFS(Electricity!S:S,Electricity!P:P,UserMade_Scenario!B338,Electricity!M:M,UserMade_Scenario!Z338,Electricity!O:O,UserMade_Scenario!D338),"")</f>
        <v>0</v>
      </c>
      <c r="AB338" s="76">
        <f>1/Assumptions!$B$23/1000000000000</f>
        <v>3.5998225679871703E-9</v>
      </c>
      <c r="AC338" s="67" t="s">
        <v>82</v>
      </c>
      <c r="AD338" s="69">
        <f>INDEX(Table11[AVG
CO2e MT per MWh],MATCH(UserMade_Scenario!$B338,Table11[[Year]:[Year]],0))</f>
        <v>-0.14403038200000001</v>
      </c>
      <c r="AE338" s="69">
        <f>INDEX(Table11[MIN
CO2e MT per MWh],MATCH(UserMade_Scenario!$B338,Table11[[Year]:[Year]],0))</f>
        <v>-0.13205013099999999</v>
      </c>
      <c r="AF338" s="69">
        <f>INDEX(Table11[MAX CO2e MT per MWh],MATCH(UserMade_Scenario!$B338,Table11[[Year]:[Year]],0))</f>
        <v>-0.15601063200000001</v>
      </c>
      <c r="AG338" s="68">
        <f>IFERROR(INDEX(WaterUseH2[Average Direct Water Consumption (Gal/ kg h2)],MATCH(LEFT(D338,3),WaterUseH2[Key],0)),0)</f>
        <v>4.0999999999999996</v>
      </c>
      <c r="AH338">
        <v>14</v>
      </c>
      <c r="AI338">
        <v>1.4</v>
      </c>
      <c r="AJ338">
        <v>250</v>
      </c>
      <c r="AK338">
        <v>0.31</v>
      </c>
      <c r="AL338" s="63">
        <f>IFERROR(INDEX(Job_Training[[Solar]:[Wind]],MATCH(AL$1,Job_Training[[`Typical Entry Level Education`]:[`Typical Entry Level Education`]],0),MATCH(LEFT($D338,5),Job_Training[[#Headers],[Solar]:[Wind]],0)),0)</f>
        <v>0</v>
      </c>
      <c r="AM338" s="63">
        <f>IFERROR(INDEX(Job_Training[[Solar]:[Wind]],MATCH(AM$1,Job_Training[[`Typical Entry Level Education`]:[`Typical Entry Level Education`]],0),MATCH(LEFT($D338,5),Job_Training[[#Headers],[Solar]:[Wind]],0)),0)</f>
        <v>0</v>
      </c>
      <c r="AN338" s="63">
        <f>IFERROR(INDEX(Job_Training[[Solar]:[Wind]],MATCH(AN$1,Job_Training[[`Typical Entry Level Education`]:[`Typical Entry Level Education`]],0),MATCH(LEFT($D338,5),Job_Training[[#Headers],[Solar]:[Wind]],0)),0)</f>
        <v>0</v>
      </c>
      <c r="AO338" s="63">
        <f>IFERROR(INDEX(Job_Training[[Solar]:[Wind]],MATCH(AO$1,Job_Training[[`Typical Entry Level Education`]:[`Typical Entry Level Education`]],0),MATCH(LEFT($D338,5),Job_Training[[#Headers],[Solar]:[Wind]],0)),0)</f>
        <v>0</v>
      </c>
      <c r="AP338">
        <f t="shared" si="116"/>
        <v>0</v>
      </c>
      <c r="AQ338" s="63">
        <f>IF(AP338&gt;0,IFERROR(INDEX(Assumptions!$C$165:$D$165,MATCH(LEFT($D338,5),Job_Training[[#Headers],[Solar]:[Wind]],0)),0),0)</f>
        <v>0</v>
      </c>
      <c r="AR338">
        <f>IF(AP338&gt;0,IFERROR(INDEX(Assumptions!$C$166:$D$166,MATCH(LEFT($D338,5),Job_Training[[#Headers],[Solar]:[Wind]],0)),0),0)</f>
        <v>0</v>
      </c>
    </row>
    <row r="339" spans="1:44" hidden="1" x14ac:dyDescent="0.35">
      <c r="A339" t="str">
        <f>UserInput!$B$30</f>
        <v>State Policy Aligned</v>
      </c>
      <c r="B339">
        <v>2026</v>
      </c>
      <c r="C339" t="s">
        <v>41</v>
      </c>
      <c r="D339" t="s">
        <v>84</v>
      </c>
      <c r="E339" s="66">
        <f>INDEX(UserInput!$C$30:$M$50,MATCH(UserMade_Scenario!B339,UserInput!$A$30:$A$50,0),MATCH(LEFT(IF(RIGHT(C339,2)="H2",UserMade_Scenario!C339,D339),3),UserInput!$C$25:$M$25,0))</f>
        <v>5</v>
      </c>
      <c r="F339" t="s">
        <v>81</v>
      </c>
      <c r="G339" s="14">
        <f t="shared" si="106"/>
        <v>1.0784054976135365E-4</v>
      </c>
      <c r="H339" s="63">
        <f t="shared" si="107"/>
        <v>4.1882078865263742E-3</v>
      </c>
      <c r="I339" s="63">
        <f t="shared" si="108"/>
        <v>3.8013379880978866E-3</v>
      </c>
      <c r="J339" s="63">
        <f t="shared" si="109"/>
        <v>4.5750777549976767E-3</v>
      </c>
      <c r="K339" s="30">
        <f>IF(OR(LEFT($D339,5)="Solar",$D339="Wind"),INDEX(Land_Use[AVG],MATCH(LEFT($D339,5),Land_Use[Tech],0)),0)*$E339</f>
        <v>0</v>
      </c>
      <c r="L339" s="30">
        <f>IF(OR(LEFT($D339,5)="Solar",$D339="Wind"),INDEX(Land_Use[MIN],MATCH(LEFT($D339,5),Land_Use[Tech],0)),0)*$E339</f>
        <v>0</v>
      </c>
      <c r="M339" s="30">
        <f>IF(OR(LEFT($D339,5)="Solar",$D339="Wind"),INDEX(Land_Use[MAX],MATCH(LEFT($D339,5),Land_Use[Tech],0)),0)*$E339</f>
        <v>0</v>
      </c>
      <c r="N339" s="15">
        <f t="shared" si="101"/>
        <v>2.0500000000000001E-2</v>
      </c>
      <c r="O339" s="11">
        <f t="shared" si="102"/>
        <v>0</v>
      </c>
      <c r="P339" s="11">
        <f t="shared" si="103"/>
        <v>0</v>
      </c>
      <c r="Q339" s="11">
        <f t="shared" si="104"/>
        <v>0</v>
      </c>
      <c r="R339" s="11">
        <f t="shared" si="105"/>
        <v>0</v>
      </c>
      <c r="S339" s="30">
        <f t="shared" si="110"/>
        <v>0</v>
      </c>
      <c r="T339" s="30">
        <f t="shared" si="111"/>
        <v>0</v>
      </c>
      <c r="U339" s="30">
        <f t="shared" si="112"/>
        <v>0</v>
      </c>
      <c r="V339" s="30">
        <f t="shared" si="113"/>
        <v>0</v>
      </c>
      <c r="W339" s="30">
        <f t="shared" si="114"/>
        <v>0</v>
      </c>
      <c r="X339" s="30">
        <f t="shared" si="115"/>
        <v>0</v>
      </c>
      <c r="Z339" s="23" t="s">
        <v>76</v>
      </c>
      <c r="AA339" s="40">
        <f>IF(C339="Electricity",E339*SUMIFS(Electricity!S:S,Electricity!P:P,UserMade_Scenario!B339,Electricity!M:M,UserMade_Scenario!Z339,Electricity!O:O,UserMade_Scenario!D339),"")</f>
        <v>29957.184756928829</v>
      </c>
      <c r="AB339" s="76">
        <f>1/Assumptions!$B$23/1000000000000</f>
        <v>3.5998225679871703E-9</v>
      </c>
      <c r="AC339" s="67" t="s">
        <v>82</v>
      </c>
      <c r="AD339" s="69">
        <f>INDEX(Table11[AVG
CO2e MT per MWh],MATCH(UserMade_Scenario!$B339,Table11[[Year]:[Year]],0))</f>
        <v>-0.13980645780000001</v>
      </c>
      <c r="AE339" s="69">
        <f>INDEX(Table11[MIN
CO2e MT per MWh],MATCH(UserMade_Scenario!$B339,Table11[[Year]:[Year]],0))</f>
        <v>-0.12689236385</v>
      </c>
      <c r="AF339" s="69">
        <f>INDEX(Table11[MAX CO2e MT per MWh],MATCH(UserMade_Scenario!$B339,Table11[[Year]:[Year]],0))</f>
        <v>-0.15272055075000002</v>
      </c>
      <c r="AG339" s="68">
        <f>IFERROR(INDEX(WaterUseH2[Average Direct Water Consumption (Gal/ kg h2)],MATCH(LEFT(D339,3),WaterUseH2[Key],0)),0)</f>
        <v>4.0999999999999996</v>
      </c>
      <c r="AH339">
        <v>14</v>
      </c>
      <c r="AI339">
        <v>1.4</v>
      </c>
      <c r="AJ339">
        <v>250</v>
      </c>
      <c r="AK339">
        <v>0.31</v>
      </c>
      <c r="AL339" s="63">
        <f>IFERROR(INDEX(Job_Training[[Solar]:[Wind]],MATCH(AL$1,Job_Training[[`Typical Entry Level Education`]:[`Typical Entry Level Education`]],0),MATCH(LEFT($D339,5),Job_Training[[#Headers],[Solar]:[Wind]],0)),0)</f>
        <v>0</v>
      </c>
      <c r="AM339" s="63">
        <f>IFERROR(INDEX(Job_Training[[Solar]:[Wind]],MATCH(AM$1,Job_Training[[`Typical Entry Level Education`]:[`Typical Entry Level Education`]],0),MATCH(LEFT($D339,5),Job_Training[[#Headers],[Solar]:[Wind]],0)),0)</f>
        <v>0</v>
      </c>
      <c r="AN339" s="63">
        <f>IFERROR(INDEX(Job_Training[[Solar]:[Wind]],MATCH(AN$1,Job_Training[[`Typical Entry Level Education`]:[`Typical Entry Level Education`]],0),MATCH(LEFT($D339,5),Job_Training[[#Headers],[Solar]:[Wind]],0)),0)</f>
        <v>0</v>
      </c>
      <c r="AO339" s="63">
        <f>IFERROR(INDEX(Job_Training[[Solar]:[Wind]],MATCH(AO$1,Job_Training[[`Typical Entry Level Education`]:[`Typical Entry Level Education`]],0),MATCH(LEFT($D339,5),Job_Training[[#Headers],[Solar]:[Wind]],0)),0)</f>
        <v>0</v>
      </c>
      <c r="AP339">
        <f t="shared" si="116"/>
        <v>5</v>
      </c>
      <c r="AQ339" s="63">
        <f>IF(AP339&gt;0,IFERROR(INDEX(Assumptions!$C$165:$D$165,MATCH(LEFT($D339,5),Job_Training[[#Headers],[Solar]:[Wind]],0)),0),0)</f>
        <v>0</v>
      </c>
      <c r="AR339">
        <f>IF(AP339&gt;0,IFERROR(INDEX(Assumptions!$C$166:$D$166,MATCH(LEFT($D339,5),Job_Training[[#Headers],[Solar]:[Wind]],0)),0),0)</f>
        <v>0</v>
      </c>
    </row>
    <row r="340" spans="1:44" hidden="1" x14ac:dyDescent="0.35">
      <c r="A340" t="str">
        <f>UserInput!$B$30</f>
        <v>State Policy Aligned</v>
      </c>
      <c r="B340">
        <v>2027</v>
      </c>
      <c r="C340" t="s">
        <v>41</v>
      </c>
      <c r="D340" t="s">
        <v>84</v>
      </c>
      <c r="E340" s="66">
        <f>INDEX(UserInput!$C$30:$M$50,MATCH(UserMade_Scenario!B340,UserInput!$A$30:$A$50,0),MATCH(LEFT(IF(RIGHT(C340,2)="H2",UserMade_Scenario!C340,D340),3),UserInput!$C$25:$M$25,0))</f>
        <v>5</v>
      </c>
      <c r="F340" t="s">
        <v>81</v>
      </c>
      <c r="G340" s="14">
        <f t="shared" si="106"/>
        <v>1.0705490865668688E-4</v>
      </c>
      <c r="H340" s="63">
        <f t="shared" si="107"/>
        <v>4.0320808806157552E-3</v>
      </c>
      <c r="I340" s="63">
        <f t="shared" si="108"/>
        <v>3.6202579110347871E-3</v>
      </c>
      <c r="J340" s="63">
        <f t="shared" si="109"/>
        <v>4.4439038204577841E-3</v>
      </c>
      <c r="K340" s="30">
        <f>IF(OR(LEFT($D340,5)="Solar",$D340="Wind"),INDEX(Land_Use[AVG],MATCH(LEFT($D340,5),Land_Use[Tech],0)),0)*$E340</f>
        <v>0</v>
      </c>
      <c r="L340" s="30">
        <f>IF(OR(LEFT($D340,5)="Solar",$D340="Wind"),INDEX(Land_Use[MIN],MATCH(LEFT($D340,5),Land_Use[Tech],0)),0)*$E340</f>
        <v>0</v>
      </c>
      <c r="M340" s="30">
        <f>IF(OR(LEFT($D340,5)="Solar",$D340="Wind"),INDEX(Land_Use[MAX],MATCH(LEFT($D340,5),Land_Use[Tech],0)),0)*$E340</f>
        <v>0</v>
      </c>
      <c r="N340" s="15">
        <f t="shared" si="101"/>
        <v>2.0500000000000001E-2</v>
      </c>
      <c r="O340" s="11">
        <f t="shared" si="102"/>
        <v>0</v>
      </c>
      <c r="P340" s="11">
        <f t="shared" si="103"/>
        <v>0</v>
      </c>
      <c r="Q340" s="11">
        <f t="shared" si="104"/>
        <v>0</v>
      </c>
      <c r="R340" s="11">
        <f t="shared" si="105"/>
        <v>0</v>
      </c>
      <c r="S340" s="30">
        <f t="shared" si="110"/>
        <v>0</v>
      </c>
      <c r="T340" s="30">
        <f t="shared" si="111"/>
        <v>0</v>
      </c>
      <c r="U340" s="30">
        <f t="shared" si="112"/>
        <v>0</v>
      </c>
      <c r="V340" s="30">
        <f t="shared" si="113"/>
        <v>0</v>
      </c>
      <c r="W340" s="30">
        <f t="shared" si="114"/>
        <v>0</v>
      </c>
      <c r="X340" s="30">
        <f t="shared" si="115"/>
        <v>0</v>
      </c>
      <c r="Z340" s="23" t="s">
        <v>76</v>
      </c>
      <c r="AA340" s="40">
        <f>IF(C340="Electricity",E340*SUMIFS(Electricity!S:S,Electricity!P:P,UserMade_Scenario!B340,Electricity!M:M,UserMade_Scenario!Z340,Electricity!O:O,UserMade_Scenario!D340),"")</f>
        <v>29738.940360204004</v>
      </c>
      <c r="AB340" s="76">
        <f>1/Assumptions!$B$23/1000000000000</f>
        <v>3.5998225679871703E-9</v>
      </c>
      <c r="AC340" s="67" t="s">
        <v>82</v>
      </c>
      <c r="AD340" s="69">
        <f>INDEX(Table11[AVG
CO2e MT per MWh],MATCH(UserMade_Scenario!$B340,Table11[[Year]:[Year]],0))</f>
        <v>-0.1355825336</v>
      </c>
      <c r="AE340" s="69">
        <f>INDEX(Table11[MIN
CO2e MT per MWh],MATCH(UserMade_Scenario!$B340,Table11[[Year]:[Year]],0))</f>
        <v>-0.1217345967</v>
      </c>
      <c r="AF340" s="69">
        <f>INDEX(Table11[MAX CO2e MT per MWh],MATCH(UserMade_Scenario!$B340,Table11[[Year]:[Year]],0))</f>
        <v>-0.14943046950000002</v>
      </c>
      <c r="AG340" s="68">
        <f>IFERROR(INDEX(WaterUseH2[Average Direct Water Consumption (Gal/ kg h2)],MATCH(LEFT(D340,3),WaterUseH2[Key],0)),0)</f>
        <v>4.0999999999999996</v>
      </c>
      <c r="AH340">
        <v>14</v>
      </c>
      <c r="AI340">
        <v>1.4</v>
      </c>
      <c r="AJ340">
        <v>250</v>
      </c>
      <c r="AK340">
        <v>0.31</v>
      </c>
      <c r="AL340" s="63">
        <f>IFERROR(INDEX(Job_Training[[Solar]:[Wind]],MATCH(AL$1,Job_Training[[`Typical Entry Level Education`]:[`Typical Entry Level Education`]],0),MATCH(LEFT($D340,5),Job_Training[[#Headers],[Solar]:[Wind]],0)),0)</f>
        <v>0</v>
      </c>
      <c r="AM340" s="63">
        <f>IFERROR(INDEX(Job_Training[[Solar]:[Wind]],MATCH(AM$1,Job_Training[[`Typical Entry Level Education`]:[`Typical Entry Level Education`]],0),MATCH(LEFT($D340,5),Job_Training[[#Headers],[Solar]:[Wind]],0)),0)</f>
        <v>0</v>
      </c>
      <c r="AN340" s="63">
        <f>IFERROR(INDEX(Job_Training[[Solar]:[Wind]],MATCH(AN$1,Job_Training[[`Typical Entry Level Education`]:[`Typical Entry Level Education`]],0),MATCH(LEFT($D340,5),Job_Training[[#Headers],[Solar]:[Wind]],0)),0)</f>
        <v>0</v>
      </c>
      <c r="AO340" s="63">
        <f>IFERROR(INDEX(Job_Training[[Solar]:[Wind]],MATCH(AO$1,Job_Training[[`Typical Entry Level Education`]:[`Typical Entry Level Education`]],0),MATCH(LEFT($D340,5),Job_Training[[#Headers],[Solar]:[Wind]],0)),0)</f>
        <v>0</v>
      </c>
      <c r="AP340">
        <f t="shared" si="116"/>
        <v>0</v>
      </c>
      <c r="AQ340" s="63">
        <f>IF(AP340&gt;0,IFERROR(INDEX(Assumptions!$C$165:$D$165,MATCH(LEFT($D340,5),Job_Training[[#Headers],[Solar]:[Wind]],0)),0),0)</f>
        <v>0</v>
      </c>
      <c r="AR340">
        <f>IF(AP340&gt;0,IFERROR(INDEX(Assumptions!$C$166:$D$166,MATCH(LEFT($D340,5),Job_Training[[#Headers],[Solar]:[Wind]],0)),0),0)</f>
        <v>0</v>
      </c>
    </row>
    <row r="341" spans="1:44" hidden="1" x14ac:dyDescent="0.35">
      <c r="A341" t="str">
        <f>UserInput!$B$30</f>
        <v>State Policy Aligned</v>
      </c>
      <c r="B341">
        <v>2028</v>
      </c>
      <c r="C341" t="s">
        <v>41</v>
      </c>
      <c r="D341" t="s">
        <v>84</v>
      </c>
      <c r="E341" s="66">
        <f>INDEX(UserInput!$C$30:$M$50,MATCH(UserMade_Scenario!B341,UserInput!$A$30:$A$50,0),MATCH(LEFT(IF(RIGHT(C341,2)="H2",UserMade_Scenario!C341,D341),3),UserInput!$C$25:$M$25,0))</f>
        <v>5</v>
      </c>
      <c r="F341" t="s">
        <v>81</v>
      </c>
      <c r="G341" s="14">
        <f t="shared" si="106"/>
        <v>1.0626926755202014E-4</v>
      </c>
      <c r="H341" s="63">
        <f t="shared" si="107"/>
        <v>3.8777975702828189E-3</v>
      </c>
      <c r="I341" s="63">
        <f t="shared" si="108"/>
        <v>3.4414291415318862E-3</v>
      </c>
      <c r="J341" s="63">
        <f t="shared" si="109"/>
        <v>4.3141659695130567E-3</v>
      </c>
      <c r="K341" s="30">
        <f>IF(OR(LEFT($D341,5)="Solar",$D341="Wind"),INDEX(Land_Use[AVG],MATCH(LEFT($D341,5),Land_Use[Tech],0)),0)*$E341</f>
        <v>0</v>
      </c>
      <c r="L341" s="30">
        <f>IF(OR(LEFT($D341,5)="Solar",$D341="Wind"),INDEX(Land_Use[MIN],MATCH(LEFT($D341,5),Land_Use[Tech],0)),0)*$E341</f>
        <v>0</v>
      </c>
      <c r="M341" s="30">
        <f>IF(OR(LEFT($D341,5)="Solar",$D341="Wind"),INDEX(Land_Use[MAX],MATCH(LEFT($D341,5),Land_Use[Tech],0)),0)*$E341</f>
        <v>0</v>
      </c>
      <c r="N341" s="15">
        <f t="shared" si="101"/>
        <v>2.0500000000000001E-2</v>
      </c>
      <c r="O341" s="11">
        <f t="shared" si="102"/>
        <v>0</v>
      </c>
      <c r="P341" s="11">
        <f t="shared" si="103"/>
        <v>0</v>
      </c>
      <c r="Q341" s="11">
        <f t="shared" si="104"/>
        <v>0</v>
      </c>
      <c r="R341" s="11">
        <f t="shared" si="105"/>
        <v>0</v>
      </c>
      <c r="S341" s="30">
        <f t="shared" si="110"/>
        <v>0</v>
      </c>
      <c r="T341" s="30">
        <f t="shared" si="111"/>
        <v>0</v>
      </c>
      <c r="U341" s="30">
        <f t="shared" si="112"/>
        <v>0</v>
      </c>
      <c r="V341" s="30">
        <f t="shared" si="113"/>
        <v>0</v>
      </c>
      <c r="W341" s="30">
        <f t="shared" si="114"/>
        <v>0</v>
      </c>
      <c r="X341" s="30">
        <f t="shared" si="115"/>
        <v>0</v>
      </c>
      <c r="Z341" s="23" t="s">
        <v>76</v>
      </c>
      <c r="AA341" s="40">
        <f>IF(C341="Electricity",E341*SUMIFS(Electricity!S:S,Electricity!P:P,UserMade_Scenario!B341,Electricity!M:M,UserMade_Scenario!Z341,Electricity!O:O,UserMade_Scenario!D341),"")</f>
        <v>29520.695963479186</v>
      </c>
      <c r="AB341" s="76">
        <f>1/Assumptions!$B$23/1000000000000</f>
        <v>3.5998225679871703E-9</v>
      </c>
      <c r="AC341" s="67" t="s">
        <v>82</v>
      </c>
      <c r="AD341" s="69">
        <f>INDEX(Table11[AVG
CO2e MT per MWh],MATCH(UserMade_Scenario!$B341,Table11[[Year]:[Year]],0))</f>
        <v>-0.13135860939999999</v>
      </c>
      <c r="AE341" s="69">
        <f>INDEX(Table11[MIN
CO2e MT per MWh],MATCH(UserMade_Scenario!$B341,Table11[[Year]:[Year]],0))</f>
        <v>-0.11657682955000001</v>
      </c>
      <c r="AF341" s="69">
        <f>INDEX(Table11[MAX CO2e MT per MWh],MATCH(UserMade_Scenario!$B341,Table11[[Year]:[Year]],0))</f>
        <v>-0.14614038825000003</v>
      </c>
      <c r="AG341" s="68">
        <f>IFERROR(INDEX(WaterUseH2[Average Direct Water Consumption (Gal/ kg h2)],MATCH(LEFT(D341,3),WaterUseH2[Key],0)),0)</f>
        <v>4.0999999999999996</v>
      </c>
      <c r="AH341">
        <v>14</v>
      </c>
      <c r="AI341">
        <v>1.4</v>
      </c>
      <c r="AJ341">
        <v>250</v>
      </c>
      <c r="AK341">
        <v>0.31</v>
      </c>
      <c r="AL341" s="63">
        <f>IFERROR(INDEX(Job_Training[[Solar]:[Wind]],MATCH(AL$1,Job_Training[[`Typical Entry Level Education`]:[`Typical Entry Level Education`]],0),MATCH(LEFT($D341,5),Job_Training[[#Headers],[Solar]:[Wind]],0)),0)</f>
        <v>0</v>
      </c>
      <c r="AM341" s="63">
        <f>IFERROR(INDEX(Job_Training[[Solar]:[Wind]],MATCH(AM$1,Job_Training[[`Typical Entry Level Education`]:[`Typical Entry Level Education`]],0),MATCH(LEFT($D341,5),Job_Training[[#Headers],[Solar]:[Wind]],0)),0)</f>
        <v>0</v>
      </c>
      <c r="AN341" s="63">
        <f>IFERROR(INDEX(Job_Training[[Solar]:[Wind]],MATCH(AN$1,Job_Training[[`Typical Entry Level Education`]:[`Typical Entry Level Education`]],0),MATCH(LEFT($D341,5),Job_Training[[#Headers],[Solar]:[Wind]],0)),0)</f>
        <v>0</v>
      </c>
      <c r="AO341" s="63">
        <f>IFERROR(INDEX(Job_Training[[Solar]:[Wind]],MATCH(AO$1,Job_Training[[`Typical Entry Level Education`]:[`Typical Entry Level Education`]],0),MATCH(LEFT($D341,5),Job_Training[[#Headers],[Solar]:[Wind]],0)),0)</f>
        <v>0</v>
      </c>
      <c r="AP341">
        <f t="shared" si="116"/>
        <v>0</v>
      </c>
      <c r="AQ341" s="63">
        <f>IF(AP341&gt;0,IFERROR(INDEX(Assumptions!$C$165:$D$165,MATCH(LEFT($D341,5),Job_Training[[#Headers],[Solar]:[Wind]],0)),0),0)</f>
        <v>0</v>
      </c>
      <c r="AR341">
        <f>IF(AP341&gt;0,IFERROR(INDEX(Assumptions!$C$166:$D$166,MATCH(LEFT($D341,5),Job_Training[[#Headers],[Solar]:[Wind]],0)),0),0)</f>
        <v>0</v>
      </c>
    </row>
    <row r="342" spans="1:44" hidden="1" x14ac:dyDescent="0.35">
      <c r="A342" t="str">
        <f>UserInput!$B$30</f>
        <v>State Policy Aligned</v>
      </c>
      <c r="B342">
        <v>2029</v>
      </c>
      <c r="C342" t="s">
        <v>41</v>
      </c>
      <c r="D342" t="s">
        <v>84</v>
      </c>
      <c r="E342" s="66">
        <f>INDEX(UserInput!$C$30:$M$50,MATCH(UserMade_Scenario!B342,UserInput!$A$30:$A$50,0),MATCH(LEFT(IF(RIGHT(C342,2)="H2",UserMade_Scenario!C342,D342),3),UserInput!$C$25:$M$25,0))</f>
        <v>5</v>
      </c>
      <c r="F342" t="s">
        <v>81</v>
      </c>
      <c r="G342" s="14">
        <f t="shared" si="106"/>
        <v>1.0548362644735336E-4</v>
      </c>
      <c r="H342" s="63">
        <f t="shared" si="107"/>
        <v>3.7253579555275619E-3</v>
      </c>
      <c r="I342" s="63">
        <f t="shared" si="108"/>
        <v>3.2648516795891823E-3</v>
      </c>
      <c r="J342" s="63">
        <f t="shared" si="109"/>
        <v>4.1858642021634926E-3</v>
      </c>
      <c r="K342" s="30">
        <f>IF(OR(LEFT($D342,5)="Solar",$D342="Wind"),INDEX(Land_Use[AVG],MATCH(LEFT($D342,5),Land_Use[Tech],0)),0)*$E342</f>
        <v>0</v>
      </c>
      <c r="L342" s="30">
        <f>IF(OR(LEFT($D342,5)="Solar",$D342="Wind"),INDEX(Land_Use[MIN],MATCH(LEFT($D342,5),Land_Use[Tech],0)),0)*$E342</f>
        <v>0</v>
      </c>
      <c r="M342" s="30">
        <f>IF(OR(LEFT($D342,5)="Solar",$D342="Wind"),INDEX(Land_Use[MAX],MATCH(LEFT($D342,5),Land_Use[Tech],0)),0)*$E342</f>
        <v>0</v>
      </c>
      <c r="N342" s="15">
        <f t="shared" si="101"/>
        <v>2.0500000000000001E-2</v>
      </c>
      <c r="O342" s="11">
        <f t="shared" si="102"/>
        <v>0</v>
      </c>
      <c r="P342" s="11">
        <f t="shared" si="103"/>
        <v>0</v>
      </c>
      <c r="Q342" s="11">
        <f t="shared" si="104"/>
        <v>0</v>
      </c>
      <c r="R342" s="11">
        <f t="shared" si="105"/>
        <v>0</v>
      </c>
      <c r="S342" s="30">
        <f t="shared" si="110"/>
        <v>0</v>
      </c>
      <c r="T342" s="30">
        <f t="shared" si="111"/>
        <v>0</v>
      </c>
      <c r="U342" s="30">
        <f t="shared" si="112"/>
        <v>0</v>
      </c>
      <c r="V342" s="30">
        <f t="shared" si="113"/>
        <v>0</v>
      </c>
      <c r="W342" s="30">
        <f t="shared" si="114"/>
        <v>0</v>
      </c>
      <c r="X342" s="30">
        <f t="shared" si="115"/>
        <v>0</v>
      </c>
      <c r="Z342" s="23" t="s">
        <v>76</v>
      </c>
      <c r="AA342" s="40">
        <f>IF(C342="Electricity",E342*SUMIFS(Electricity!S:S,Electricity!P:P,UserMade_Scenario!B342,Electricity!M:M,UserMade_Scenario!Z342,Electricity!O:O,UserMade_Scenario!D342),"")</f>
        <v>29302.45156675436</v>
      </c>
      <c r="AB342" s="76">
        <f>1/Assumptions!$B$23/1000000000000</f>
        <v>3.5998225679871703E-9</v>
      </c>
      <c r="AC342" s="67" t="s">
        <v>82</v>
      </c>
      <c r="AD342" s="69">
        <f>INDEX(Table11[AVG
CO2e MT per MWh],MATCH(UserMade_Scenario!$B342,Table11[[Year]:[Year]],0))</f>
        <v>-0.12713468519999999</v>
      </c>
      <c r="AE342" s="69">
        <f>INDEX(Table11[MIN
CO2e MT per MWh],MATCH(UserMade_Scenario!$B342,Table11[[Year]:[Year]],0))</f>
        <v>-0.11141906240000002</v>
      </c>
      <c r="AF342" s="69">
        <f>INDEX(Table11[MAX CO2e MT per MWh],MATCH(UserMade_Scenario!$B342,Table11[[Year]:[Year]],0))</f>
        <v>-0.14285030700000004</v>
      </c>
      <c r="AG342" s="68">
        <f>IFERROR(INDEX(WaterUseH2[Average Direct Water Consumption (Gal/ kg h2)],MATCH(LEFT(D342,3),WaterUseH2[Key],0)),0)</f>
        <v>4.0999999999999996</v>
      </c>
      <c r="AH342">
        <v>14</v>
      </c>
      <c r="AI342">
        <v>1.4</v>
      </c>
      <c r="AJ342">
        <v>250</v>
      </c>
      <c r="AK342">
        <v>0.31</v>
      </c>
      <c r="AL342" s="63">
        <f>IFERROR(INDEX(Job_Training[[Solar]:[Wind]],MATCH(AL$1,Job_Training[[`Typical Entry Level Education`]:[`Typical Entry Level Education`]],0),MATCH(LEFT($D342,5),Job_Training[[#Headers],[Solar]:[Wind]],0)),0)</f>
        <v>0</v>
      </c>
      <c r="AM342" s="63">
        <f>IFERROR(INDEX(Job_Training[[Solar]:[Wind]],MATCH(AM$1,Job_Training[[`Typical Entry Level Education`]:[`Typical Entry Level Education`]],0),MATCH(LEFT($D342,5),Job_Training[[#Headers],[Solar]:[Wind]],0)),0)</f>
        <v>0</v>
      </c>
      <c r="AN342" s="63">
        <f>IFERROR(INDEX(Job_Training[[Solar]:[Wind]],MATCH(AN$1,Job_Training[[`Typical Entry Level Education`]:[`Typical Entry Level Education`]],0),MATCH(LEFT($D342,5),Job_Training[[#Headers],[Solar]:[Wind]],0)),0)</f>
        <v>0</v>
      </c>
      <c r="AO342" s="63">
        <f>IFERROR(INDEX(Job_Training[[Solar]:[Wind]],MATCH(AO$1,Job_Training[[`Typical Entry Level Education`]:[`Typical Entry Level Education`]],0),MATCH(LEFT($D342,5),Job_Training[[#Headers],[Solar]:[Wind]],0)),0)</f>
        <v>0</v>
      </c>
      <c r="AP342">
        <f t="shared" si="116"/>
        <v>0</v>
      </c>
      <c r="AQ342" s="63">
        <f>IF(AP342&gt;0,IFERROR(INDEX(Assumptions!$C$165:$D$165,MATCH(LEFT($D342,5),Job_Training[[#Headers],[Solar]:[Wind]],0)),0),0)</f>
        <v>0</v>
      </c>
      <c r="AR342">
        <f>IF(AP342&gt;0,IFERROR(INDEX(Assumptions!$C$166:$D$166,MATCH(LEFT($D342,5),Job_Training[[#Headers],[Solar]:[Wind]],0)),0),0)</f>
        <v>0</v>
      </c>
    </row>
    <row r="343" spans="1:44" hidden="1" x14ac:dyDescent="0.35">
      <c r="A343" t="str">
        <f>UserInput!$B$30</f>
        <v>State Policy Aligned</v>
      </c>
      <c r="B343">
        <v>2030</v>
      </c>
      <c r="C343" t="s">
        <v>41</v>
      </c>
      <c r="D343" t="s">
        <v>84</v>
      </c>
      <c r="E343" s="66">
        <f>INDEX(UserInput!$C$30:$M$50,MATCH(UserMade_Scenario!B343,UserInput!$A$30:$A$50,0),MATCH(LEFT(IF(RIGHT(C343,2)="H2",UserMade_Scenario!C343,D343),3),UserInput!$C$25:$M$25,0))</f>
        <v>10</v>
      </c>
      <c r="F343" t="s">
        <v>81</v>
      </c>
      <c r="G343" s="14">
        <f t="shared" si="106"/>
        <v>2.0939597068537322E-4</v>
      </c>
      <c r="H343" s="63">
        <f t="shared" si="107"/>
        <v>7.1495240726999736E-3</v>
      </c>
      <c r="I343" s="63">
        <f t="shared" si="108"/>
        <v>6.181051050413354E-3</v>
      </c>
      <c r="J343" s="63">
        <f t="shared" si="109"/>
        <v>8.1179970368181857E-3</v>
      </c>
      <c r="K343" s="30">
        <f>IF(OR(LEFT($D343,5)="Solar",$D343="Wind"),INDEX(Land_Use[AVG],MATCH(LEFT($D343,5),Land_Use[Tech],0)),0)*$E343</f>
        <v>0</v>
      </c>
      <c r="L343" s="30">
        <f>IF(OR(LEFT($D343,5)="Solar",$D343="Wind"),INDEX(Land_Use[MIN],MATCH(LEFT($D343,5),Land_Use[Tech],0)),0)*$E343</f>
        <v>0</v>
      </c>
      <c r="M343" s="30">
        <f>IF(OR(LEFT($D343,5)="Solar",$D343="Wind"),INDEX(Land_Use[MAX],MATCH(LEFT($D343,5),Land_Use[Tech],0)),0)*$E343</f>
        <v>0</v>
      </c>
      <c r="N343" s="15">
        <f t="shared" si="101"/>
        <v>4.1000000000000002E-2</v>
      </c>
      <c r="O343" s="11">
        <f t="shared" si="102"/>
        <v>0</v>
      </c>
      <c r="P343" s="11">
        <f t="shared" si="103"/>
        <v>0</v>
      </c>
      <c r="Q343" s="11">
        <f t="shared" si="104"/>
        <v>0</v>
      </c>
      <c r="R343" s="11">
        <f t="shared" si="105"/>
        <v>0</v>
      </c>
      <c r="S343" s="30">
        <f t="shared" si="110"/>
        <v>0</v>
      </c>
      <c r="T343" s="30">
        <f t="shared" si="111"/>
        <v>0</v>
      </c>
      <c r="U343" s="30">
        <f t="shared" si="112"/>
        <v>0</v>
      </c>
      <c r="V343" s="30">
        <f t="shared" si="113"/>
        <v>0</v>
      </c>
      <c r="W343" s="30">
        <f t="shared" si="114"/>
        <v>0</v>
      </c>
      <c r="X343" s="30">
        <f t="shared" si="115"/>
        <v>0</v>
      </c>
      <c r="Z343" s="23" t="s">
        <v>76</v>
      </c>
      <c r="AA343" s="40">
        <f>IF(C343="Electricity",E343*SUMIFS(Electricity!S:S,Electricity!P:P,UserMade_Scenario!B343,Electricity!M:M,UserMade_Scenario!Z343,Electricity!O:O,UserMade_Scenario!D343),"")</f>
        <v>58168.414340059084</v>
      </c>
      <c r="AB343" s="76">
        <f>1/Assumptions!$B$23/1000000000000</f>
        <v>3.5998225679871703E-9</v>
      </c>
      <c r="AC343" s="67" t="s">
        <v>82</v>
      </c>
      <c r="AD343" s="69">
        <f>INDEX(Table11[AVG
CO2e MT per MWh],MATCH(UserMade_Scenario!$B343,Table11[[Year]:[Year]],0))</f>
        <v>-0.12291076099999998</v>
      </c>
      <c r="AE343" s="69">
        <f>INDEX(Table11[MIN
CO2e MT per MWh],MATCH(UserMade_Scenario!$B343,Table11[[Year]:[Year]],0))</f>
        <v>-0.10626129525000003</v>
      </c>
      <c r="AF343" s="69">
        <f>INDEX(Table11[MAX CO2e MT per MWh],MATCH(UserMade_Scenario!$B343,Table11[[Year]:[Year]],0))</f>
        <v>-0.13956022575000004</v>
      </c>
      <c r="AG343" s="68">
        <f>IFERROR(INDEX(WaterUseH2[Average Direct Water Consumption (Gal/ kg h2)],MATCH(LEFT(D343,3),WaterUseH2[Key],0)),0)</f>
        <v>4.0999999999999996</v>
      </c>
      <c r="AH343">
        <v>14</v>
      </c>
      <c r="AI343">
        <v>1.4</v>
      </c>
      <c r="AJ343">
        <v>250</v>
      </c>
      <c r="AK343">
        <v>0.31</v>
      </c>
      <c r="AL343" s="63">
        <f>IFERROR(INDEX(Job_Training[[Solar]:[Wind]],MATCH(AL$1,Job_Training[[`Typical Entry Level Education`]:[`Typical Entry Level Education`]],0),MATCH(LEFT($D343,5),Job_Training[[#Headers],[Solar]:[Wind]],0)),0)</f>
        <v>0</v>
      </c>
      <c r="AM343" s="63">
        <f>IFERROR(INDEX(Job_Training[[Solar]:[Wind]],MATCH(AM$1,Job_Training[[`Typical Entry Level Education`]:[`Typical Entry Level Education`]],0),MATCH(LEFT($D343,5),Job_Training[[#Headers],[Solar]:[Wind]],0)),0)</f>
        <v>0</v>
      </c>
      <c r="AN343" s="63">
        <f>IFERROR(INDEX(Job_Training[[Solar]:[Wind]],MATCH(AN$1,Job_Training[[`Typical Entry Level Education`]:[`Typical Entry Level Education`]],0),MATCH(LEFT($D343,5),Job_Training[[#Headers],[Solar]:[Wind]],0)),0)</f>
        <v>0</v>
      </c>
      <c r="AO343" s="63">
        <f>IFERROR(INDEX(Job_Training[[Solar]:[Wind]],MATCH(AO$1,Job_Training[[`Typical Entry Level Education`]:[`Typical Entry Level Education`]],0),MATCH(LEFT($D343,5),Job_Training[[#Headers],[Solar]:[Wind]],0)),0)</f>
        <v>0</v>
      </c>
      <c r="AP343">
        <f t="shared" si="116"/>
        <v>5</v>
      </c>
      <c r="AQ343" s="63">
        <f>IF(AP343&gt;0,IFERROR(INDEX(Assumptions!$C$165:$D$165,MATCH(LEFT($D343,5),Job_Training[[#Headers],[Solar]:[Wind]],0)),0),0)</f>
        <v>0</v>
      </c>
      <c r="AR343">
        <f>IF(AP343&gt;0,IFERROR(INDEX(Assumptions!$C$166:$D$166,MATCH(LEFT($D343,5),Job_Training[[#Headers],[Solar]:[Wind]],0)),0),0)</f>
        <v>0</v>
      </c>
    </row>
    <row r="344" spans="1:44" hidden="1" x14ac:dyDescent="0.35">
      <c r="A344" t="str">
        <f>UserInput!$B$30</f>
        <v>State Policy Aligned</v>
      </c>
      <c r="B344">
        <v>2031</v>
      </c>
      <c r="C344" t="s">
        <v>41</v>
      </c>
      <c r="D344" t="s">
        <v>84</v>
      </c>
      <c r="E344" s="66">
        <f>INDEX(UserInput!$C$30:$M$50,MATCH(UserMade_Scenario!B344,UserInput!$A$30:$A$50,0),MATCH(LEFT(IF(RIGHT(C344,2)="H2",UserMade_Scenario!C344,D344),3),UserInput!$C$25:$M$25,0))</f>
        <v>10</v>
      </c>
      <c r="F344" t="s">
        <v>81</v>
      </c>
      <c r="G344" s="14">
        <f t="shared" si="106"/>
        <v>2.078246884760397E-4</v>
      </c>
      <c r="H344" s="63">
        <f t="shared" si="107"/>
        <v>6.8520196255001829E-3</v>
      </c>
      <c r="I344" s="63">
        <f t="shared" si="108"/>
        <v>5.8369013567687372E-3</v>
      </c>
      <c r="J344" s="63">
        <f t="shared" si="109"/>
        <v>7.8671378364997113E-3</v>
      </c>
      <c r="K344" s="30">
        <f>IF(OR(LEFT($D344,5)="Solar",$D344="Wind"),INDEX(Land_Use[AVG],MATCH(LEFT($D344,5),Land_Use[Tech],0)),0)*$E344</f>
        <v>0</v>
      </c>
      <c r="L344" s="30">
        <f>IF(OR(LEFT($D344,5)="Solar",$D344="Wind"),INDEX(Land_Use[MIN],MATCH(LEFT($D344,5),Land_Use[Tech],0)),0)*$E344</f>
        <v>0</v>
      </c>
      <c r="M344" s="30">
        <f>IF(OR(LEFT($D344,5)="Solar",$D344="Wind"),INDEX(Land_Use[MAX],MATCH(LEFT($D344,5),Land_Use[Tech],0)),0)*$E344</f>
        <v>0</v>
      </c>
      <c r="N344" s="15">
        <f t="shared" si="101"/>
        <v>4.1000000000000002E-2</v>
      </c>
      <c r="O344" s="11">
        <f t="shared" si="102"/>
        <v>0</v>
      </c>
      <c r="P344" s="11">
        <f t="shared" si="103"/>
        <v>0</v>
      </c>
      <c r="Q344" s="11">
        <f t="shared" si="104"/>
        <v>0</v>
      </c>
      <c r="R344" s="11">
        <f t="shared" si="105"/>
        <v>0</v>
      </c>
      <c r="S344" s="30">
        <f t="shared" si="110"/>
        <v>0</v>
      </c>
      <c r="T344" s="30">
        <f t="shared" si="111"/>
        <v>0</v>
      </c>
      <c r="U344" s="30">
        <f t="shared" si="112"/>
        <v>0</v>
      </c>
      <c r="V344" s="30">
        <f t="shared" si="113"/>
        <v>0</v>
      </c>
      <c r="W344" s="30">
        <f t="shared" si="114"/>
        <v>0</v>
      </c>
      <c r="X344" s="30">
        <f t="shared" si="115"/>
        <v>0</v>
      </c>
      <c r="Z344" s="23" t="s">
        <v>76</v>
      </c>
      <c r="AA344" s="40">
        <f>IF(C344="Electricity",E344*SUMIFS(Electricity!S:S,Electricity!P:P,UserMade_Scenario!B344,Electricity!M:M,UserMade_Scenario!Z344,Electricity!O:O,UserMade_Scenario!D344),"")</f>
        <v>57731.925546609433</v>
      </c>
      <c r="AB344" s="76">
        <f>1/Assumptions!$B$23/1000000000000</f>
        <v>3.5998225679871703E-9</v>
      </c>
      <c r="AC344" s="67" t="s">
        <v>82</v>
      </c>
      <c r="AD344" s="69">
        <f>INDEX(Table11[AVG
CO2e MT per MWh],MATCH(UserMade_Scenario!$B344,Table11[[Year]:[Year]],0))</f>
        <v>-0.11868683679999997</v>
      </c>
      <c r="AE344" s="69">
        <f>INDEX(Table11[MIN
CO2e MT per MWh],MATCH(UserMade_Scenario!$B344,Table11[[Year]:[Year]],0))</f>
        <v>-0.10110352810000003</v>
      </c>
      <c r="AF344" s="69">
        <f>INDEX(Table11[MAX CO2e MT per MWh],MATCH(UserMade_Scenario!$B344,Table11[[Year]:[Year]],0))</f>
        <v>-0.13627014450000005</v>
      </c>
      <c r="AG344" s="68">
        <f>IFERROR(INDEX(WaterUseH2[Average Direct Water Consumption (Gal/ kg h2)],MATCH(LEFT(D344,3),WaterUseH2[Key],0)),0)</f>
        <v>4.0999999999999996</v>
      </c>
      <c r="AH344">
        <v>14</v>
      </c>
      <c r="AI344">
        <v>1.4</v>
      </c>
      <c r="AJ344">
        <v>250</v>
      </c>
      <c r="AK344">
        <v>0.31</v>
      </c>
      <c r="AL344" s="63">
        <f>IFERROR(INDEX(Job_Training[[Solar]:[Wind]],MATCH(AL$1,Job_Training[[`Typical Entry Level Education`]:[`Typical Entry Level Education`]],0),MATCH(LEFT($D344,5),Job_Training[[#Headers],[Solar]:[Wind]],0)),0)</f>
        <v>0</v>
      </c>
      <c r="AM344" s="63">
        <f>IFERROR(INDEX(Job_Training[[Solar]:[Wind]],MATCH(AM$1,Job_Training[[`Typical Entry Level Education`]:[`Typical Entry Level Education`]],0),MATCH(LEFT($D344,5),Job_Training[[#Headers],[Solar]:[Wind]],0)),0)</f>
        <v>0</v>
      </c>
      <c r="AN344" s="63">
        <f>IFERROR(INDEX(Job_Training[[Solar]:[Wind]],MATCH(AN$1,Job_Training[[`Typical Entry Level Education`]:[`Typical Entry Level Education`]],0),MATCH(LEFT($D344,5),Job_Training[[#Headers],[Solar]:[Wind]],0)),0)</f>
        <v>0</v>
      </c>
      <c r="AO344" s="63">
        <f>IFERROR(INDEX(Job_Training[[Solar]:[Wind]],MATCH(AO$1,Job_Training[[`Typical Entry Level Education`]:[`Typical Entry Level Education`]],0),MATCH(LEFT($D344,5),Job_Training[[#Headers],[Solar]:[Wind]],0)),0)</f>
        <v>0</v>
      </c>
      <c r="AP344">
        <f t="shared" si="116"/>
        <v>0</v>
      </c>
      <c r="AQ344" s="63">
        <f>IF(AP344&gt;0,IFERROR(INDEX(Assumptions!$C$165:$D$165,MATCH(LEFT($D344,5),Job_Training[[#Headers],[Solar]:[Wind]],0)),0),0)</f>
        <v>0</v>
      </c>
      <c r="AR344">
        <f>IF(AP344&gt;0,IFERROR(INDEX(Assumptions!$C$166:$D$166,MATCH(LEFT($D344,5),Job_Training[[#Headers],[Solar]:[Wind]],0)),0),0)</f>
        <v>0</v>
      </c>
    </row>
    <row r="345" spans="1:44" hidden="1" x14ac:dyDescent="0.35">
      <c r="A345" t="str">
        <f>UserInput!$B$30</f>
        <v>State Policy Aligned</v>
      </c>
      <c r="B345">
        <v>2032</v>
      </c>
      <c r="C345" t="s">
        <v>41</v>
      </c>
      <c r="D345" t="s">
        <v>84</v>
      </c>
      <c r="E345" s="66">
        <f>INDEX(UserInput!$C$30:$M$50,MATCH(UserMade_Scenario!B345,UserInput!$A$30:$A$50,0),MATCH(LEFT(IF(RIGHT(C345,2)="H2",UserMade_Scenario!C345,D345),3),UserInput!$C$25:$M$25,0))</f>
        <v>15</v>
      </c>
      <c r="F345" t="s">
        <v>81</v>
      </c>
      <c r="G345" s="14">
        <f t="shared" si="106"/>
        <v>3.0938010940005932E-4</v>
      </c>
      <c r="H345" s="63">
        <f t="shared" si="107"/>
        <v>9.8373038541836339E-3</v>
      </c>
      <c r="I345" s="63">
        <f t="shared" si="108"/>
        <v>8.2458814173667749E-3</v>
      </c>
      <c r="J345" s="63">
        <f t="shared" si="109"/>
        <v>1.1428726205057351E-2</v>
      </c>
      <c r="K345" s="30">
        <f>IF(OR(LEFT($D345,5)="Solar",$D345="Wind"),INDEX(Land_Use[AVG],MATCH(LEFT($D345,5),Land_Use[Tech],0)),0)*$E345</f>
        <v>0</v>
      </c>
      <c r="L345" s="30">
        <f>IF(OR(LEFT($D345,5)="Solar",$D345="Wind"),INDEX(Land_Use[MIN],MATCH(LEFT($D345,5),Land_Use[Tech],0)),0)*$E345</f>
        <v>0</v>
      </c>
      <c r="M345" s="30">
        <f>IF(OR(LEFT($D345,5)="Solar",$D345="Wind"),INDEX(Land_Use[MAX],MATCH(LEFT($D345,5),Land_Use[Tech],0)),0)*$E345</f>
        <v>0</v>
      </c>
      <c r="N345" s="15">
        <f t="shared" si="101"/>
        <v>6.1499999999999992E-2</v>
      </c>
      <c r="O345" s="11">
        <f t="shared" si="102"/>
        <v>0</v>
      </c>
      <c r="P345" s="11">
        <f t="shared" si="103"/>
        <v>0</v>
      </c>
      <c r="Q345" s="11">
        <f t="shared" si="104"/>
        <v>0</v>
      </c>
      <c r="R345" s="11">
        <f t="shared" si="105"/>
        <v>0</v>
      </c>
      <c r="S345" s="30">
        <f t="shared" si="110"/>
        <v>0</v>
      </c>
      <c r="T345" s="30">
        <f t="shared" si="111"/>
        <v>0</v>
      </c>
      <c r="U345" s="30">
        <f t="shared" si="112"/>
        <v>0</v>
      </c>
      <c r="V345" s="30">
        <f t="shared" si="113"/>
        <v>0</v>
      </c>
      <c r="W345" s="30">
        <f t="shared" si="114"/>
        <v>0</v>
      </c>
      <c r="X345" s="30">
        <f t="shared" si="115"/>
        <v>0</v>
      </c>
      <c r="Z345" s="23" t="s">
        <v>76</v>
      </c>
      <c r="AA345" s="40">
        <f>IF(C345="Electricity",E345*SUMIFS(Electricity!S:S,Electricity!P:P,UserMade_Scenario!B345,Electricity!M:M,UserMade_Scenario!Z345,Electricity!O:O,UserMade_Scenario!D345),"")</f>
        <v>85943.155129739695</v>
      </c>
      <c r="AB345" s="76">
        <f>1/Assumptions!$B$23/1000000000000</f>
        <v>3.5998225679871703E-9</v>
      </c>
      <c r="AC345" s="67" t="s">
        <v>82</v>
      </c>
      <c r="AD345" s="69">
        <f>INDEX(Table11[AVG
CO2e MT per MWh],MATCH(UserMade_Scenario!$B345,Table11[[Year]:[Year]],0))</f>
        <v>-0.11446291259999997</v>
      </c>
      <c r="AE345" s="69">
        <f>INDEX(Table11[MIN
CO2e MT per MWh],MATCH(UserMade_Scenario!$B345,Table11[[Year]:[Year]],0))</f>
        <v>-9.5945760950000042E-2</v>
      </c>
      <c r="AF345" s="69">
        <f>INDEX(Table11[MAX CO2e MT per MWh],MATCH(UserMade_Scenario!$B345,Table11[[Year]:[Year]],0))</f>
        <v>-0.13298006325000006</v>
      </c>
      <c r="AG345" s="68">
        <f>IFERROR(INDEX(WaterUseH2[Average Direct Water Consumption (Gal/ kg h2)],MATCH(LEFT(D345,3),WaterUseH2[Key],0)),0)</f>
        <v>4.0999999999999996</v>
      </c>
      <c r="AH345">
        <v>14</v>
      </c>
      <c r="AI345">
        <v>1.4</v>
      </c>
      <c r="AJ345">
        <v>250</v>
      </c>
      <c r="AK345">
        <v>0.31</v>
      </c>
      <c r="AL345" s="63">
        <f>IFERROR(INDEX(Job_Training[[Solar]:[Wind]],MATCH(AL$1,Job_Training[[`Typical Entry Level Education`]:[`Typical Entry Level Education`]],0),MATCH(LEFT($D345,5),Job_Training[[#Headers],[Solar]:[Wind]],0)),0)</f>
        <v>0</v>
      </c>
      <c r="AM345" s="63">
        <f>IFERROR(INDEX(Job_Training[[Solar]:[Wind]],MATCH(AM$1,Job_Training[[`Typical Entry Level Education`]:[`Typical Entry Level Education`]],0),MATCH(LEFT($D345,5),Job_Training[[#Headers],[Solar]:[Wind]],0)),0)</f>
        <v>0</v>
      </c>
      <c r="AN345" s="63">
        <f>IFERROR(INDEX(Job_Training[[Solar]:[Wind]],MATCH(AN$1,Job_Training[[`Typical Entry Level Education`]:[`Typical Entry Level Education`]],0),MATCH(LEFT($D345,5),Job_Training[[#Headers],[Solar]:[Wind]],0)),0)</f>
        <v>0</v>
      </c>
      <c r="AO345" s="63">
        <f>IFERROR(INDEX(Job_Training[[Solar]:[Wind]],MATCH(AO$1,Job_Training[[`Typical Entry Level Education`]:[`Typical Entry Level Education`]],0),MATCH(LEFT($D345,5),Job_Training[[#Headers],[Solar]:[Wind]],0)),0)</f>
        <v>0</v>
      </c>
      <c r="AP345">
        <f t="shared" si="116"/>
        <v>5</v>
      </c>
      <c r="AQ345" s="63">
        <f>IF(AP345&gt;0,IFERROR(INDEX(Assumptions!$C$165:$D$165,MATCH(LEFT($D345,5),Job_Training[[#Headers],[Solar]:[Wind]],0)),0),0)</f>
        <v>0</v>
      </c>
      <c r="AR345">
        <f>IF(AP345&gt;0,IFERROR(INDEX(Assumptions!$C$166:$D$166,MATCH(LEFT($D345,5),Job_Training[[#Headers],[Solar]:[Wind]],0)),0),0)</f>
        <v>0</v>
      </c>
    </row>
    <row r="346" spans="1:44" hidden="1" x14ac:dyDescent="0.35">
      <c r="A346" t="str">
        <f>UserInput!$B$30</f>
        <v>State Policy Aligned</v>
      </c>
      <c r="B346">
        <v>2033</v>
      </c>
      <c r="C346" t="s">
        <v>41</v>
      </c>
      <c r="D346" t="s">
        <v>84</v>
      </c>
      <c r="E346" s="66">
        <f>INDEX(UserInput!$C$30:$M$50,MATCH(UserMade_Scenario!B346,UserInput!$A$30:$A$50,0),MATCH(LEFT(IF(RIGHT(C346,2)="H2",UserMade_Scenario!C346,D346),3),UserInput!$C$25:$M$25,0))</f>
        <v>15</v>
      </c>
      <c r="F346" t="s">
        <v>81</v>
      </c>
      <c r="G346" s="14">
        <f t="shared" si="106"/>
        <v>3.0702318608605896E-4</v>
      </c>
      <c r="H346" s="63">
        <f t="shared" si="107"/>
        <v>9.4021093568500327E-3</v>
      </c>
      <c r="I346" s="63">
        <f t="shared" si="108"/>
        <v>7.7431647222610351E-3</v>
      </c>
      <c r="J346" s="63">
        <f t="shared" si="109"/>
        <v>1.1061053906150625E-2</v>
      </c>
      <c r="K346" s="30">
        <f>IF(OR(LEFT($D346,5)="Solar",$D346="Wind"),INDEX(Land_Use[AVG],MATCH(LEFT($D346,5),Land_Use[Tech],0)),0)*$E346</f>
        <v>0</v>
      </c>
      <c r="L346" s="30">
        <f>IF(OR(LEFT($D346,5)="Solar",$D346="Wind"),INDEX(Land_Use[MIN],MATCH(LEFT($D346,5),Land_Use[Tech],0)),0)*$E346</f>
        <v>0</v>
      </c>
      <c r="M346" s="30">
        <f>IF(OR(LEFT($D346,5)="Solar",$D346="Wind"),INDEX(Land_Use[MAX],MATCH(LEFT($D346,5),Land_Use[Tech],0)),0)*$E346</f>
        <v>0</v>
      </c>
      <c r="N346" s="15">
        <f t="shared" si="101"/>
        <v>6.1499999999999992E-2</v>
      </c>
      <c r="O346" s="11">
        <f t="shared" si="102"/>
        <v>0</v>
      </c>
      <c r="P346" s="11">
        <f t="shared" si="103"/>
        <v>0</v>
      </c>
      <c r="Q346" s="11">
        <f t="shared" si="104"/>
        <v>0</v>
      </c>
      <c r="R346" s="11">
        <f t="shared" si="105"/>
        <v>0</v>
      </c>
      <c r="S346" s="30">
        <f t="shared" si="110"/>
        <v>0</v>
      </c>
      <c r="T346" s="30">
        <f t="shared" si="111"/>
        <v>0</v>
      </c>
      <c r="U346" s="30">
        <f t="shared" si="112"/>
        <v>0</v>
      </c>
      <c r="V346" s="30">
        <f t="shared" si="113"/>
        <v>0</v>
      </c>
      <c r="W346" s="30">
        <f t="shared" si="114"/>
        <v>0</v>
      </c>
      <c r="X346" s="30">
        <f t="shared" si="115"/>
        <v>0</v>
      </c>
      <c r="Z346" s="23" t="s">
        <v>76</v>
      </c>
      <c r="AA346" s="40">
        <f>IF(C346="Electricity",E346*SUMIFS(Electricity!S:S,Electricity!P:P,UserMade_Scenario!B346,Electricity!M:M,UserMade_Scenario!Z346,Electricity!O:O,UserMade_Scenario!D346),"")</f>
        <v>85288.421939565218</v>
      </c>
      <c r="AB346" s="76">
        <f>1/Assumptions!$B$23/1000000000000</f>
        <v>3.5998225679871703E-9</v>
      </c>
      <c r="AC346" s="67" t="s">
        <v>82</v>
      </c>
      <c r="AD346" s="69">
        <f>INDEX(Table11[AVG
CO2e MT per MWh],MATCH(UserMade_Scenario!$B346,Table11[[Year]:[Year]],0))</f>
        <v>-0.11023898839999996</v>
      </c>
      <c r="AE346" s="69">
        <f>INDEX(Table11[MIN
CO2e MT per MWh],MATCH(UserMade_Scenario!$B346,Table11[[Year]:[Year]],0))</f>
        <v>-9.078799380000005E-2</v>
      </c>
      <c r="AF346" s="69">
        <f>INDEX(Table11[MAX CO2e MT per MWh],MATCH(UserMade_Scenario!$B346,Table11[[Year]:[Year]],0))</f>
        <v>-0.12968998200000006</v>
      </c>
      <c r="AG346" s="68">
        <f>IFERROR(INDEX(WaterUseH2[Average Direct Water Consumption (Gal/ kg h2)],MATCH(LEFT(D346,3),WaterUseH2[Key],0)),0)</f>
        <v>4.0999999999999996</v>
      </c>
      <c r="AH346">
        <v>14</v>
      </c>
      <c r="AI346">
        <v>1.4</v>
      </c>
      <c r="AJ346">
        <v>250</v>
      </c>
      <c r="AK346">
        <v>0.31</v>
      </c>
      <c r="AL346" s="63">
        <f>IFERROR(INDEX(Job_Training[[Solar]:[Wind]],MATCH(AL$1,Job_Training[[`Typical Entry Level Education`]:[`Typical Entry Level Education`]],0),MATCH(LEFT($D346,5),Job_Training[[#Headers],[Solar]:[Wind]],0)),0)</f>
        <v>0</v>
      </c>
      <c r="AM346" s="63">
        <f>IFERROR(INDEX(Job_Training[[Solar]:[Wind]],MATCH(AM$1,Job_Training[[`Typical Entry Level Education`]:[`Typical Entry Level Education`]],0),MATCH(LEFT($D346,5),Job_Training[[#Headers],[Solar]:[Wind]],0)),0)</f>
        <v>0</v>
      </c>
      <c r="AN346" s="63">
        <f>IFERROR(INDEX(Job_Training[[Solar]:[Wind]],MATCH(AN$1,Job_Training[[`Typical Entry Level Education`]:[`Typical Entry Level Education`]],0),MATCH(LEFT($D346,5),Job_Training[[#Headers],[Solar]:[Wind]],0)),0)</f>
        <v>0</v>
      </c>
      <c r="AO346" s="63">
        <f>IFERROR(INDEX(Job_Training[[Solar]:[Wind]],MATCH(AO$1,Job_Training[[`Typical Entry Level Education`]:[`Typical Entry Level Education`]],0),MATCH(LEFT($D346,5),Job_Training[[#Headers],[Solar]:[Wind]],0)),0)</f>
        <v>0</v>
      </c>
      <c r="AP346">
        <f t="shared" si="116"/>
        <v>0</v>
      </c>
      <c r="AQ346" s="63">
        <f>IF(AP346&gt;0,IFERROR(INDEX(Assumptions!$C$165:$D$165,MATCH(LEFT($D346,5),Job_Training[[#Headers],[Solar]:[Wind]],0)),0),0)</f>
        <v>0</v>
      </c>
      <c r="AR346">
        <f>IF(AP346&gt;0,IFERROR(INDEX(Assumptions!$C$166:$D$166,MATCH(LEFT($D346,5),Job_Training[[#Headers],[Solar]:[Wind]],0)),0),0)</f>
        <v>0</v>
      </c>
    </row>
    <row r="347" spans="1:44" hidden="1" x14ac:dyDescent="0.35">
      <c r="A347" t="str">
        <f>UserInput!$B$30</f>
        <v>State Policy Aligned</v>
      </c>
      <c r="B347">
        <v>2034</v>
      </c>
      <c r="C347" t="s">
        <v>41</v>
      </c>
      <c r="D347" t="s">
        <v>84</v>
      </c>
      <c r="E347" s="66">
        <f>INDEX(UserInput!$C$30:$M$50,MATCH(UserMade_Scenario!B347,UserInput!$A$30:$A$50,0),MATCH(LEFT(IF(RIGHT(C347,2)="H2",UserMade_Scenario!C347,D347),3),UserInput!$C$25:$M$25,0))</f>
        <v>15</v>
      </c>
      <c r="F347" t="s">
        <v>81</v>
      </c>
      <c r="G347" s="14">
        <f t="shared" si="106"/>
        <v>3.0466626277205871E-4</v>
      </c>
      <c r="H347" s="63">
        <f t="shared" si="107"/>
        <v>8.9724459462494754E-3</v>
      </c>
      <c r="I347" s="63">
        <f t="shared" si="108"/>
        <v>7.2472019498358905E-3</v>
      </c>
      <c r="J347" s="63">
        <f t="shared" si="109"/>
        <v>1.0697689858029389E-2</v>
      </c>
      <c r="K347" s="30">
        <f>IF(OR(LEFT($D347,5)="Solar",$D347="Wind"),INDEX(Land_Use[AVG],MATCH(LEFT($D347,5),Land_Use[Tech],0)),0)*$E347</f>
        <v>0</v>
      </c>
      <c r="L347" s="30">
        <f>IF(OR(LEFT($D347,5)="Solar",$D347="Wind"),INDEX(Land_Use[MIN],MATCH(LEFT($D347,5),Land_Use[Tech],0)),0)*$E347</f>
        <v>0</v>
      </c>
      <c r="M347" s="30">
        <f>IF(OR(LEFT($D347,5)="Solar",$D347="Wind"),INDEX(Land_Use[MAX],MATCH(LEFT($D347,5),Land_Use[Tech],0)),0)*$E347</f>
        <v>0</v>
      </c>
      <c r="N347" s="15">
        <f t="shared" si="101"/>
        <v>6.1499999999999992E-2</v>
      </c>
      <c r="O347" s="11">
        <f t="shared" si="102"/>
        <v>0</v>
      </c>
      <c r="P347" s="11">
        <f t="shared" si="103"/>
        <v>0</v>
      </c>
      <c r="Q347" s="11">
        <f t="shared" si="104"/>
        <v>0</v>
      </c>
      <c r="R347" s="11">
        <f t="shared" si="105"/>
        <v>0</v>
      </c>
      <c r="S347" s="30">
        <f t="shared" si="110"/>
        <v>0</v>
      </c>
      <c r="T347" s="30">
        <f t="shared" si="111"/>
        <v>0</v>
      </c>
      <c r="U347" s="30">
        <f t="shared" si="112"/>
        <v>0</v>
      </c>
      <c r="V347" s="30">
        <f t="shared" si="113"/>
        <v>0</v>
      </c>
      <c r="W347" s="30">
        <f t="shared" si="114"/>
        <v>0</v>
      </c>
      <c r="X347" s="30">
        <f t="shared" si="115"/>
        <v>0</v>
      </c>
      <c r="Z347" s="23" t="s">
        <v>76</v>
      </c>
      <c r="AA347" s="40">
        <f>IF(C347="Electricity",E347*SUMIFS(Electricity!S:S,Electricity!P:P,UserMade_Scenario!B347,Electricity!M:M,UserMade_Scenario!Z347,Electricity!O:O,UserMade_Scenario!D347),"")</f>
        <v>84633.688749390756</v>
      </c>
      <c r="AB347" s="76">
        <f>1/Assumptions!$B$23/1000000000000</f>
        <v>3.5998225679871703E-9</v>
      </c>
      <c r="AC347" s="67" t="s">
        <v>82</v>
      </c>
      <c r="AD347" s="69">
        <f>INDEX(Table11[AVG
CO2e MT per MWh],MATCH(UserMade_Scenario!$B347,Table11[[Year]:[Year]],0))</f>
        <v>-0.10601506419999995</v>
      </c>
      <c r="AE347" s="69">
        <f>INDEX(Table11[MIN
CO2e MT per MWh],MATCH(UserMade_Scenario!$B347,Table11[[Year]:[Year]],0))</f>
        <v>-8.5630226650000058E-2</v>
      </c>
      <c r="AF347" s="69">
        <f>INDEX(Table11[MAX CO2e MT per MWh],MATCH(UserMade_Scenario!$B347,Table11[[Year]:[Year]],0))</f>
        <v>-0.12639990075000007</v>
      </c>
      <c r="AG347" s="68">
        <f>IFERROR(INDEX(WaterUseH2[Average Direct Water Consumption (Gal/ kg h2)],MATCH(LEFT(D347,3),WaterUseH2[Key],0)),0)</f>
        <v>4.0999999999999996</v>
      </c>
      <c r="AH347">
        <v>14</v>
      </c>
      <c r="AI347">
        <v>1.4</v>
      </c>
      <c r="AJ347">
        <v>250</v>
      </c>
      <c r="AK347">
        <v>0.31</v>
      </c>
      <c r="AL347" s="63">
        <f>IFERROR(INDEX(Job_Training[[Solar]:[Wind]],MATCH(AL$1,Job_Training[[`Typical Entry Level Education`]:[`Typical Entry Level Education`]],0),MATCH(LEFT($D347,5),Job_Training[[#Headers],[Solar]:[Wind]],0)),0)</f>
        <v>0</v>
      </c>
      <c r="AM347" s="63">
        <f>IFERROR(INDEX(Job_Training[[Solar]:[Wind]],MATCH(AM$1,Job_Training[[`Typical Entry Level Education`]:[`Typical Entry Level Education`]],0),MATCH(LEFT($D347,5),Job_Training[[#Headers],[Solar]:[Wind]],0)),0)</f>
        <v>0</v>
      </c>
      <c r="AN347" s="63">
        <f>IFERROR(INDEX(Job_Training[[Solar]:[Wind]],MATCH(AN$1,Job_Training[[`Typical Entry Level Education`]:[`Typical Entry Level Education`]],0),MATCH(LEFT($D347,5),Job_Training[[#Headers],[Solar]:[Wind]],0)),0)</f>
        <v>0</v>
      </c>
      <c r="AO347" s="63">
        <f>IFERROR(INDEX(Job_Training[[Solar]:[Wind]],MATCH(AO$1,Job_Training[[`Typical Entry Level Education`]:[`Typical Entry Level Education`]],0),MATCH(LEFT($D347,5),Job_Training[[#Headers],[Solar]:[Wind]],0)),0)</f>
        <v>0</v>
      </c>
      <c r="AP347">
        <f t="shared" si="116"/>
        <v>0</v>
      </c>
      <c r="AQ347" s="63">
        <f>IF(AP347&gt;0,IFERROR(INDEX(Assumptions!$C$165:$D$165,MATCH(LEFT($D347,5),Job_Training[[#Headers],[Solar]:[Wind]],0)),0),0)</f>
        <v>0</v>
      </c>
      <c r="AR347">
        <f>IF(AP347&gt;0,IFERROR(INDEX(Assumptions!$C$166:$D$166,MATCH(LEFT($D347,5),Job_Training[[#Headers],[Solar]:[Wind]],0)),0),0)</f>
        <v>0</v>
      </c>
    </row>
    <row r="348" spans="1:44" hidden="1" x14ac:dyDescent="0.35">
      <c r="A348" t="str">
        <f>UserInput!$B$30</f>
        <v>State Policy Aligned</v>
      </c>
      <c r="B348">
        <v>2035</v>
      </c>
      <c r="C348" t="s">
        <v>41</v>
      </c>
      <c r="D348" t="s">
        <v>84</v>
      </c>
      <c r="E348" s="66">
        <f>INDEX(UserInput!$C$30:$M$50,MATCH(UserMade_Scenario!B348,UserInput!$A$30:$A$50,0),MATCH(LEFT(IF(RIGHT(C348,2)="H2",UserMade_Scenario!C348,D348),3),UserInput!$C$25:$M$25,0))</f>
        <v>15</v>
      </c>
      <c r="F348" t="s">
        <v>81</v>
      </c>
      <c r="G348" s="14">
        <f t="shared" si="106"/>
        <v>3.0230933945805846E-4</v>
      </c>
      <c r="H348" s="63">
        <f t="shared" si="107"/>
        <v>8.5483136223819586E-3</v>
      </c>
      <c r="I348" s="63">
        <f t="shared" si="108"/>
        <v>6.7579931000913383E-3</v>
      </c>
      <c r="J348" s="63">
        <f t="shared" si="109"/>
        <v>1.0338634060693644E-2</v>
      </c>
      <c r="K348" s="30">
        <f>IF(OR(LEFT($D348,5)="Solar",$D348="Wind"),INDEX(Land_Use[AVG],MATCH(LEFT($D348,5),Land_Use[Tech],0)),0)*$E348</f>
        <v>0</v>
      </c>
      <c r="L348" s="30">
        <f>IF(OR(LEFT($D348,5)="Solar",$D348="Wind"),INDEX(Land_Use[MIN],MATCH(LEFT($D348,5),Land_Use[Tech],0)),0)*$E348</f>
        <v>0</v>
      </c>
      <c r="M348" s="30">
        <f>IF(OR(LEFT($D348,5)="Solar",$D348="Wind"),INDEX(Land_Use[MAX],MATCH(LEFT($D348,5),Land_Use[Tech],0)),0)*$E348</f>
        <v>0</v>
      </c>
      <c r="N348" s="15">
        <f t="shared" si="101"/>
        <v>6.1499999999999992E-2</v>
      </c>
      <c r="O348" s="11">
        <f t="shared" si="102"/>
        <v>0</v>
      </c>
      <c r="P348" s="11">
        <f t="shared" si="103"/>
        <v>0</v>
      </c>
      <c r="Q348" s="11">
        <f t="shared" si="104"/>
        <v>0</v>
      </c>
      <c r="R348" s="11">
        <f t="shared" si="105"/>
        <v>0</v>
      </c>
      <c r="S348" s="30">
        <f t="shared" si="110"/>
        <v>0</v>
      </c>
      <c r="T348" s="30">
        <f t="shared" si="111"/>
        <v>0</v>
      </c>
      <c r="U348" s="30">
        <f t="shared" si="112"/>
        <v>0</v>
      </c>
      <c r="V348" s="30">
        <f t="shared" si="113"/>
        <v>0</v>
      </c>
      <c r="W348" s="30">
        <f t="shared" si="114"/>
        <v>0</v>
      </c>
      <c r="X348" s="30">
        <f t="shared" si="115"/>
        <v>0</v>
      </c>
      <c r="Z348" s="23" t="s">
        <v>76</v>
      </c>
      <c r="AA348" s="40">
        <f>IF(C348="Electricity",E348*SUMIFS(Electricity!S:S,Electricity!P:P,UserMade_Scenario!B348,Electricity!M:M,UserMade_Scenario!Z348,Electricity!O:O,UserMade_Scenario!D348),"")</f>
        <v>83978.955559216294</v>
      </c>
      <c r="AB348" s="76">
        <f>1/Assumptions!$B$23/1000000000000</f>
        <v>3.5998225679871703E-9</v>
      </c>
      <c r="AC348" s="67" t="s">
        <v>82</v>
      </c>
      <c r="AD348" s="69">
        <f>INDEX(Table11[AVG
CO2e MT per MWh],MATCH(UserMade_Scenario!$B348,Table11[[Year]:[Year]],0))</f>
        <v>-0.10179113999999995</v>
      </c>
      <c r="AE348" s="69">
        <f>INDEX(Table11[MIN
CO2e MT per MWh],MATCH(UserMade_Scenario!$B348,Table11[[Year]:[Year]],0))</f>
        <v>-8.0472459500000065E-2</v>
      </c>
      <c r="AF348" s="69">
        <f>INDEX(Table11[MAX CO2e MT per MWh],MATCH(UserMade_Scenario!$B348,Table11[[Year]:[Year]],0))</f>
        <v>-0.12310981950000006</v>
      </c>
      <c r="AG348" s="68">
        <f>IFERROR(INDEX(WaterUseH2[Average Direct Water Consumption (Gal/ kg h2)],MATCH(LEFT(D348,3),WaterUseH2[Key],0)),0)</f>
        <v>4.0999999999999996</v>
      </c>
      <c r="AH348">
        <v>14</v>
      </c>
      <c r="AI348">
        <v>1.4</v>
      </c>
      <c r="AJ348">
        <v>250</v>
      </c>
      <c r="AK348">
        <v>0.31</v>
      </c>
      <c r="AL348" s="63">
        <f>IFERROR(INDEX(Job_Training[[Solar]:[Wind]],MATCH(AL$1,Job_Training[[`Typical Entry Level Education`]:[`Typical Entry Level Education`]],0),MATCH(LEFT($D348,5),Job_Training[[#Headers],[Solar]:[Wind]],0)),0)</f>
        <v>0</v>
      </c>
      <c r="AM348" s="63">
        <f>IFERROR(INDEX(Job_Training[[Solar]:[Wind]],MATCH(AM$1,Job_Training[[`Typical Entry Level Education`]:[`Typical Entry Level Education`]],0),MATCH(LEFT($D348,5),Job_Training[[#Headers],[Solar]:[Wind]],0)),0)</f>
        <v>0</v>
      </c>
      <c r="AN348" s="63">
        <f>IFERROR(INDEX(Job_Training[[Solar]:[Wind]],MATCH(AN$1,Job_Training[[`Typical Entry Level Education`]:[`Typical Entry Level Education`]],0),MATCH(LEFT($D348,5),Job_Training[[#Headers],[Solar]:[Wind]],0)),0)</f>
        <v>0</v>
      </c>
      <c r="AO348" s="63">
        <f>IFERROR(INDEX(Job_Training[[Solar]:[Wind]],MATCH(AO$1,Job_Training[[`Typical Entry Level Education`]:[`Typical Entry Level Education`]],0),MATCH(LEFT($D348,5),Job_Training[[#Headers],[Solar]:[Wind]],0)),0)</f>
        <v>0</v>
      </c>
      <c r="AP348">
        <f t="shared" si="116"/>
        <v>0</v>
      </c>
      <c r="AQ348" s="63">
        <f>IF(AP348&gt;0,IFERROR(INDEX(Assumptions!$C$165:$D$165,MATCH(LEFT($D348,5),Job_Training[[#Headers],[Solar]:[Wind]],0)),0),0)</f>
        <v>0</v>
      </c>
      <c r="AR348">
        <f>IF(AP348&gt;0,IFERROR(INDEX(Assumptions!$C$166:$D$166,MATCH(LEFT($D348,5),Job_Training[[#Headers],[Solar]:[Wind]],0)),0),0)</f>
        <v>0</v>
      </c>
    </row>
    <row r="349" spans="1:44" hidden="1" x14ac:dyDescent="0.35">
      <c r="A349" t="str">
        <f>UserInput!$B$30</f>
        <v>State Policy Aligned</v>
      </c>
      <c r="B349">
        <v>2036</v>
      </c>
      <c r="C349" t="s">
        <v>41</v>
      </c>
      <c r="D349" t="s">
        <v>84</v>
      </c>
      <c r="E349" s="66">
        <f>INDEX(UserInput!$C$30:$M$50,MATCH(UserMade_Scenario!B349,UserInput!$A$30:$A$50,0),MATCH(LEFT(IF(RIGHT(C349,2)="H2",UserMade_Scenario!C349,D349),3),UserInput!$C$25:$M$25,0))</f>
        <v>15</v>
      </c>
      <c r="F349" t="s">
        <v>81</v>
      </c>
      <c r="G349" s="14">
        <f t="shared" si="106"/>
        <v>2.9995241614405821E-4</v>
      </c>
      <c r="H349" s="63">
        <f t="shared" si="107"/>
        <v>8.1297123852474857E-3</v>
      </c>
      <c r="I349" s="63">
        <f t="shared" si="108"/>
        <v>6.2755381730273795E-3</v>
      </c>
      <c r="J349" s="63">
        <f t="shared" si="109"/>
        <v>9.9838865141433919E-3</v>
      </c>
      <c r="K349" s="30">
        <f>IF(OR(LEFT($D349,5)="Solar",$D349="Wind"),INDEX(Land_Use[AVG],MATCH(LEFT($D349,5),Land_Use[Tech],0)),0)*$E349</f>
        <v>0</v>
      </c>
      <c r="L349" s="30">
        <f>IF(OR(LEFT($D349,5)="Solar",$D349="Wind"),INDEX(Land_Use[MIN],MATCH(LEFT($D349,5),Land_Use[Tech],0)),0)*$E349</f>
        <v>0</v>
      </c>
      <c r="M349" s="30">
        <f>IF(OR(LEFT($D349,5)="Solar",$D349="Wind"),INDEX(Land_Use[MAX],MATCH(LEFT($D349,5),Land_Use[Tech],0)),0)*$E349</f>
        <v>0</v>
      </c>
      <c r="N349" s="15">
        <f t="shared" si="101"/>
        <v>6.1499999999999992E-2</v>
      </c>
      <c r="O349" s="11">
        <f t="shared" si="102"/>
        <v>0</v>
      </c>
      <c r="P349" s="11">
        <f t="shared" si="103"/>
        <v>0</v>
      </c>
      <c r="Q349" s="11">
        <f t="shared" si="104"/>
        <v>0</v>
      </c>
      <c r="R349" s="11">
        <f t="shared" si="105"/>
        <v>0</v>
      </c>
      <c r="S349" s="30">
        <f t="shared" si="110"/>
        <v>0</v>
      </c>
      <c r="T349" s="30">
        <f t="shared" si="111"/>
        <v>0</v>
      </c>
      <c r="U349" s="30">
        <f t="shared" si="112"/>
        <v>0</v>
      </c>
      <c r="V349" s="30">
        <f t="shared" si="113"/>
        <v>0</v>
      </c>
      <c r="W349" s="30">
        <f t="shared" si="114"/>
        <v>0</v>
      </c>
      <c r="X349" s="30">
        <f t="shared" si="115"/>
        <v>0</v>
      </c>
      <c r="Z349" s="23" t="s">
        <v>76</v>
      </c>
      <c r="AA349" s="40">
        <f>IF(C349="Electricity",E349*SUMIFS(Electricity!S:S,Electricity!P:P,UserMade_Scenario!B349,Electricity!M:M,UserMade_Scenario!Z349,Electricity!O:O,UserMade_Scenario!D349),"")</f>
        <v>83324.222369041832</v>
      </c>
      <c r="AB349" s="76">
        <f>1/Assumptions!$B$23/1000000000000</f>
        <v>3.5998225679871703E-9</v>
      </c>
      <c r="AC349" s="67" t="s">
        <v>82</v>
      </c>
      <c r="AD349" s="69">
        <f>INDEX(Table11[AVG
CO2e MT per MWh],MATCH(UserMade_Scenario!$B349,Table11[[Year]:[Year]],0))</f>
        <v>-9.756721579999994E-2</v>
      </c>
      <c r="AE349" s="69">
        <f>INDEX(Table11[MIN
CO2e MT per MWh],MATCH(UserMade_Scenario!$B349,Table11[[Year]:[Year]],0))</f>
        <v>-7.5314692350000073E-2</v>
      </c>
      <c r="AF349" s="69">
        <f>INDEX(Table11[MAX CO2e MT per MWh],MATCH(UserMade_Scenario!$B349,Table11[[Year]:[Year]],0))</f>
        <v>-0.11981973825000006</v>
      </c>
      <c r="AG349" s="68">
        <f>IFERROR(INDEX(WaterUseH2[Average Direct Water Consumption (Gal/ kg h2)],MATCH(LEFT(D349,3),WaterUseH2[Key],0)),0)</f>
        <v>4.0999999999999996</v>
      </c>
      <c r="AH349">
        <v>14</v>
      </c>
      <c r="AI349">
        <v>1.4</v>
      </c>
      <c r="AJ349">
        <v>250</v>
      </c>
      <c r="AK349">
        <v>0.31</v>
      </c>
      <c r="AL349" s="63">
        <f>IFERROR(INDEX(Job_Training[[Solar]:[Wind]],MATCH(AL$1,Job_Training[[`Typical Entry Level Education`]:[`Typical Entry Level Education`]],0),MATCH(LEFT($D349,5),Job_Training[[#Headers],[Solar]:[Wind]],0)),0)</f>
        <v>0</v>
      </c>
      <c r="AM349" s="63">
        <f>IFERROR(INDEX(Job_Training[[Solar]:[Wind]],MATCH(AM$1,Job_Training[[`Typical Entry Level Education`]:[`Typical Entry Level Education`]],0),MATCH(LEFT($D349,5),Job_Training[[#Headers],[Solar]:[Wind]],0)),0)</f>
        <v>0</v>
      </c>
      <c r="AN349" s="63">
        <f>IFERROR(INDEX(Job_Training[[Solar]:[Wind]],MATCH(AN$1,Job_Training[[`Typical Entry Level Education`]:[`Typical Entry Level Education`]],0),MATCH(LEFT($D349,5),Job_Training[[#Headers],[Solar]:[Wind]],0)),0)</f>
        <v>0</v>
      </c>
      <c r="AO349" s="63">
        <f>IFERROR(INDEX(Job_Training[[Solar]:[Wind]],MATCH(AO$1,Job_Training[[`Typical Entry Level Education`]:[`Typical Entry Level Education`]],0),MATCH(LEFT($D349,5),Job_Training[[#Headers],[Solar]:[Wind]],0)),0)</f>
        <v>0</v>
      </c>
      <c r="AP349">
        <f t="shared" si="116"/>
        <v>0</v>
      </c>
      <c r="AQ349" s="63">
        <f>IF(AP349&gt;0,IFERROR(INDEX(Assumptions!$C$165:$D$165,MATCH(LEFT($D349,5),Job_Training[[#Headers],[Solar]:[Wind]],0)),0),0)</f>
        <v>0</v>
      </c>
      <c r="AR349">
        <f>IF(AP349&gt;0,IFERROR(INDEX(Assumptions!$C$166:$D$166,MATCH(LEFT($D349,5),Job_Training[[#Headers],[Solar]:[Wind]],0)),0),0)</f>
        <v>0</v>
      </c>
    </row>
    <row r="350" spans="1:44" hidden="1" x14ac:dyDescent="0.35">
      <c r="A350" t="str">
        <f>UserInput!$B$30</f>
        <v>State Policy Aligned</v>
      </c>
      <c r="B350">
        <v>2037</v>
      </c>
      <c r="C350" t="s">
        <v>41</v>
      </c>
      <c r="D350" t="s">
        <v>84</v>
      </c>
      <c r="E350" s="66">
        <f>INDEX(UserInput!$C$30:$M$50,MATCH(UserMade_Scenario!B350,UserInput!$A$30:$A$50,0),MATCH(LEFT(IF(RIGHT(C350,2)="H2",UserMade_Scenario!C350,D350),3),UserInput!$C$25:$M$25,0))</f>
        <v>15</v>
      </c>
      <c r="F350" t="s">
        <v>81</v>
      </c>
      <c r="G350" s="14">
        <f t="shared" si="106"/>
        <v>2.9759549283005785E-4</v>
      </c>
      <c r="H350" s="63">
        <f t="shared" si="107"/>
        <v>7.7166422348460542E-3</v>
      </c>
      <c r="I350" s="63">
        <f t="shared" si="108"/>
        <v>5.7998371686440132E-3</v>
      </c>
      <c r="J350" s="63">
        <f t="shared" si="109"/>
        <v>9.6334472183786275E-3</v>
      </c>
      <c r="K350" s="30">
        <f>IF(OR(LEFT($D350,5)="Solar",$D350="Wind"),INDEX(Land_Use[AVG],MATCH(LEFT($D350,5),Land_Use[Tech],0)),0)*$E350</f>
        <v>0</v>
      </c>
      <c r="L350" s="30">
        <f>IF(OR(LEFT($D350,5)="Solar",$D350="Wind"),INDEX(Land_Use[MIN],MATCH(LEFT($D350,5),Land_Use[Tech],0)),0)*$E350</f>
        <v>0</v>
      </c>
      <c r="M350" s="30">
        <f>IF(OR(LEFT($D350,5)="Solar",$D350="Wind"),INDEX(Land_Use[MAX],MATCH(LEFT($D350,5),Land_Use[Tech],0)),0)*$E350</f>
        <v>0</v>
      </c>
      <c r="N350" s="15">
        <f t="shared" si="101"/>
        <v>6.1499999999999992E-2</v>
      </c>
      <c r="O350" s="11">
        <f t="shared" si="102"/>
        <v>0</v>
      </c>
      <c r="P350" s="11">
        <f t="shared" si="103"/>
        <v>0</v>
      </c>
      <c r="Q350" s="11">
        <f t="shared" si="104"/>
        <v>0</v>
      </c>
      <c r="R350" s="11">
        <f t="shared" si="105"/>
        <v>0</v>
      </c>
      <c r="S350" s="30">
        <f t="shared" si="110"/>
        <v>0</v>
      </c>
      <c r="T350" s="30">
        <f t="shared" si="111"/>
        <v>0</v>
      </c>
      <c r="U350" s="30">
        <f t="shared" si="112"/>
        <v>0</v>
      </c>
      <c r="V350" s="30">
        <f t="shared" si="113"/>
        <v>0</v>
      </c>
      <c r="W350" s="30">
        <f t="shared" si="114"/>
        <v>0</v>
      </c>
      <c r="X350" s="30">
        <f t="shared" si="115"/>
        <v>0</v>
      </c>
      <c r="Z350" s="23" t="s">
        <v>76</v>
      </c>
      <c r="AA350" s="40">
        <f>IF(C350="Electricity",E350*SUMIFS(Electricity!S:S,Electricity!P:P,UserMade_Scenario!B350,Electricity!M:M,UserMade_Scenario!Z350,Electricity!O:O,UserMade_Scenario!D350),"")</f>
        <v>82669.489178867356</v>
      </c>
      <c r="AB350" s="76">
        <f>1/Assumptions!$B$23/1000000000000</f>
        <v>3.5998225679871703E-9</v>
      </c>
      <c r="AC350" s="67" t="s">
        <v>82</v>
      </c>
      <c r="AD350" s="69">
        <f>INDEX(Table11[AVG
CO2e MT per MWh],MATCH(UserMade_Scenario!$B350,Table11[[Year]:[Year]],0))</f>
        <v>-9.3343291599999934E-2</v>
      </c>
      <c r="AE350" s="69">
        <f>INDEX(Table11[MIN
CO2e MT per MWh],MATCH(UserMade_Scenario!$B350,Table11[[Year]:[Year]],0))</f>
        <v>-7.0156925200000081E-2</v>
      </c>
      <c r="AF350" s="69">
        <f>INDEX(Table11[MAX CO2e MT per MWh],MATCH(UserMade_Scenario!$B350,Table11[[Year]:[Year]],0))</f>
        <v>-0.11652965700000005</v>
      </c>
      <c r="AG350" s="68">
        <f>IFERROR(INDEX(WaterUseH2[Average Direct Water Consumption (Gal/ kg h2)],MATCH(LEFT(D350,3),WaterUseH2[Key],0)),0)</f>
        <v>4.0999999999999996</v>
      </c>
      <c r="AH350">
        <v>14</v>
      </c>
      <c r="AI350">
        <v>1.4</v>
      </c>
      <c r="AJ350">
        <v>250</v>
      </c>
      <c r="AK350">
        <v>0.31</v>
      </c>
      <c r="AL350" s="63">
        <f>IFERROR(INDEX(Job_Training[[Solar]:[Wind]],MATCH(AL$1,Job_Training[[`Typical Entry Level Education`]:[`Typical Entry Level Education`]],0),MATCH(LEFT($D350,5),Job_Training[[#Headers],[Solar]:[Wind]],0)),0)</f>
        <v>0</v>
      </c>
      <c r="AM350" s="63">
        <f>IFERROR(INDEX(Job_Training[[Solar]:[Wind]],MATCH(AM$1,Job_Training[[`Typical Entry Level Education`]:[`Typical Entry Level Education`]],0),MATCH(LEFT($D350,5),Job_Training[[#Headers],[Solar]:[Wind]],0)),0)</f>
        <v>0</v>
      </c>
      <c r="AN350" s="63">
        <f>IFERROR(INDEX(Job_Training[[Solar]:[Wind]],MATCH(AN$1,Job_Training[[`Typical Entry Level Education`]:[`Typical Entry Level Education`]],0),MATCH(LEFT($D350,5),Job_Training[[#Headers],[Solar]:[Wind]],0)),0)</f>
        <v>0</v>
      </c>
      <c r="AO350" s="63">
        <f>IFERROR(INDEX(Job_Training[[Solar]:[Wind]],MATCH(AO$1,Job_Training[[`Typical Entry Level Education`]:[`Typical Entry Level Education`]],0),MATCH(LEFT($D350,5),Job_Training[[#Headers],[Solar]:[Wind]],0)),0)</f>
        <v>0</v>
      </c>
      <c r="AP350">
        <f t="shared" si="116"/>
        <v>0</v>
      </c>
      <c r="AQ350" s="63">
        <f>IF(AP350&gt;0,IFERROR(INDEX(Assumptions!$C$165:$D$165,MATCH(LEFT($D350,5),Job_Training[[#Headers],[Solar]:[Wind]],0)),0),0)</f>
        <v>0</v>
      </c>
      <c r="AR350">
        <f>IF(AP350&gt;0,IFERROR(INDEX(Assumptions!$C$166:$D$166,MATCH(LEFT($D350,5),Job_Training[[#Headers],[Solar]:[Wind]],0)),0),0)</f>
        <v>0</v>
      </c>
    </row>
    <row r="351" spans="1:44" hidden="1" x14ac:dyDescent="0.35">
      <c r="A351" t="str">
        <f>UserInput!$B$30</f>
        <v>State Policy Aligned</v>
      </c>
      <c r="B351">
        <v>2038</v>
      </c>
      <c r="C351" t="s">
        <v>41</v>
      </c>
      <c r="D351" t="s">
        <v>84</v>
      </c>
      <c r="E351" s="66">
        <f>INDEX(UserInput!$C$30:$M$50,MATCH(UserMade_Scenario!B351,UserInput!$A$30:$A$50,0),MATCH(LEFT(IF(RIGHT(C351,2)="H2",UserMade_Scenario!C351,D351),3),UserInput!$C$25:$M$25,0))</f>
        <v>15</v>
      </c>
      <c r="F351" t="s">
        <v>81</v>
      </c>
      <c r="G351" s="14">
        <f t="shared" si="106"/>
        <v>2.952385695160576E-4</v>
      </c>
      <c r="H351" s="63">
        <f t="shared" si="107"/>
        <v>7.3091031711776666E-3</v>
      </c>
      <c r="I351" s="63">
        <f t="shared" si="108"/>
        <v>5.3308900869412411E-3</v>
      </c>
      <c r="J351" s="63">
        <f t="shared" si="109"/>
        <v>9.2873161733993594E-3</v>
      </c>
      <c r="K351" s="30">
        <f>IF(OR(LEFT($D351,5)="Solar",$D351="Wind"),INDEX(Land_Use[AVG],MATCH(LEFT($D351,5),Land_Use[Tech],0)),0)*$E351</f>
        <v>0</v>
      </c>
      <c r="L351" s="30">
        <f>IF(OR(LEFT($D351,5)="Solar",$D351="Wind"),INDEX(Land_Use[MIN],MATCH(LEFT($D351,5),Land_Use[Tech],0)),0)*$E351</f>
        <v>0</v>
      </c>
      <c r="M351" s="30">
        <f>IF(OR(LEFT($D351,5)="Solar",$D351="Wind"),INDEX(Land_Use[MAX],MATCH(LEFT($D351,5),Land_Use[Tech],0)),0)*$E351</f>
        <v>0</v>
      </c>
      <c r="N351" s="15">
        <f t="shared" si="101"/>
        <v>6.1499999999999992E-2</v>
      </c>
      <c r="O351" s="11">
        <f t="shared" si="102"/>
        <v>0</v>
      </c>
      <c r="P351" s="11">
        <f t="shared" si="103"/>
        <v>0</v>
      </c>
      <c r="Q351" s="11">
        <f t="shared" si="104"/>
        <v>0</v>
      </c>
      <c r="R351" s="11">
        <f t="shared" si="105"/>
        <v>0</v>
      </c>
      <c r="S351" s="30">
        <f t="shared" si="110"/>
        <v>0</v>
      </c>
      <c r="T351" s="30">
        <f t="shared" si="111"/>
        <v>0</v>
      </c>
      <c r="U351" s="30">
        <f t="shared" si="112"/>
        <v>0</v>
      </c>
      <c r="V351" s="30">
        <f t="shared" si="113"/>
        <v>0</v>
      </c>
      <c r="W351" s="30">
        <f t="shared" si="114"/>
        <v>0</v>
      </c>
      <c r="X351" s="30">
        <f t="shared" si="115"/>
        <v>0</v>
      </c>
      <c r="Z351" s="23" t="s">
        <v>76</v>
      </c>
      <c r="AA351" s="40">
        <f>IF(C351="Electricity",E351*SUMIFS(Electricity!S:S,Electricity!P:P,UserMade_Scenario!B351,Electricity!M:M,UserMade_Scenario!Z351,Electricity!O:O,UserMade_Scenario!D351),"")</f>
        <v>82014.755988692894</v>
      </c>
      <c r="AB351" s="76">
        <f>1/Assumptions!$B$23/1000000000000</f>
        <v>3.5998225679871703E-9</v>
      </c>
      <c r="AC351" s="67" t="s">
        <v>82</v>
      </c>
      <c r="AD351" s="69">
        <f>INDEX(Table11[AVG
CO2e MT per MWh],MATCH(UserMade_Scenario!$B351,Table11[[Year]:[Year]],0))</f>
        <v>-8.9119367399999927E-2</v>
      </c>
      <c r="AE351" s="69">
        <f>INDEX(Table11[MIN
CO2e MT per MWh],MATCH(UserMade_Scenario!$B351,Table11[[Year]:[Year]],0))</f>
        <v>-6.4999158050000089E-2</v>
      </c>
      <c r="AF351" s="69">
        <f>INDEX(Table11[MAX CO2e MT per MWh],MATCH(UserMade_Scenario!$B351,Table11[[Year]:[Year]],0))</f>
        <v>-0.11323957575000004</v>
      </c>
      <c r="AG351" s="68">
        <f>IFERROR(INDEX(WaterUseH2[Average Direct Water Consumption (Gal/ kg h2)],MATCH(LEFT(D351,3),WaterUseH2[Key],0)),0)</f>
        <v>4.0999999999999996</v>
      </c>
      <c r="AH351">
        <v>14</v>
      </c>
      <c r="AI351">
        <v>1.4</v>
      </c>
      <c r="AJ351">
        <v>250</v>
      </c>
      <c r="AK351">
        <v>0.31</v>
      </c>
      <c r="AL351" s="63">
        <f>IFERROR(INDEX(Job_Training[[Solar]:[Wind]],MATCH(AL$1,Job_Training[[`Typical Entry Level Education`]:[`Typical Entry Level Education`]],0),MATCH(LEFT($D351,5),Job_Training[[#Headers],[Solar]:[Wind]],0)),0)</f>
        <v>0</v>
      </c>
      <c r="AM351" s="63">
        <f>IFERROR(INDEX(Job_Training[[Solar]:[Wind]],MATCH(AM$1,Job_Training[[`Typical Entry Level Education`]:[`Typical Entry Level Education`]],0),MATCH(LEFT($D351,5),Job_Training[[#Headers],[Solar]:[Wind]],0)),0)</f>
        <v>0</v>
      </c>
      <c r="AN351" s="63">
        <f>IFERROR(INDEX(Job_Training[[Solar]:[Wind]],MATCH(AN$1,Job_Training[[`Typical Entry Level Education`]:[`Typical Entry Level Education`]],0),MATCH(LEFT($D351,5),Job_Training[[#Headers],[Solar]:[Wind]],0)),0)</f>
        <v>0</v>
      </c>
      <c r="AO351" s="63">
        <f>IFERROR(INDEX(Job_Training[[Solar]:[Wind]],MATCH(AO$1,Job_Training[[`Typical Entry Level Education`]:[`Typical Entry Level Education`]],0),MATCH(LEFT($D351,5),Job_Training[[#Headers],[Solar]:[Wind]],0)),0)</f>
        <v>0</v>
      </c>
      <c r="AP351">
        <f t="shared" si="116"/>
        <v>0</v>
      </c>
      <c r="AQ351" s="63">
        <f>IF(AP351&gt;0,IFERROR(INDEX(Assumptions!$C$165:$D$165,MATCH(LEFT($D351,5),Job_Training[[#Headers],[Solar]:[Wind]],0)),0),0)</f>
        <v>0</v>
      </c>
      <c r="AR351">
        <f>IF(AP351&gt;0,IFERROR(INDEX(Assumptions!$C$166:$D$166,MATCH(LEFT($D351,5),Job_Training[[#Headers],[Solar]:[Wind]],0)),0),0)</f>
        <v>0</v>
      </c>
    </row>
    <row r="352" spans="1:44" hidden="1" x14ac:dyDescent="0.35">
      <c r="A352" t="str">
        <f>UserInput!$B$30</f>
        <v>State Policy Aligned</v>
      </c>
      <c r="B352">
        <v>2039</v>
      </c>
      <c r="C352" t="s">
        <v>41</v>
      </c>
      <c r="D352" t="s">
        <v>84</v>
      </c>
      <c r="E352" s="66">
        <f>INDEX(UserInput!$C$30:$M$50,MATCH(UserMade_Scenario!B352,UserInput!$A$30:$A$50,0),MATCH(LEFT(IF(RIGHT(C352,2)="H2",UserMade_Scenario!C352,D352),3),UserInput!$C$25:$M$25,0))</f>
        <v>15</v>
      </c>
      <c r="F352" t="s">
        <v>81</v>
      </c>
      <c r="G352" s="14">
        <f t="shared" si="106"/>
        <v>2.9288164620205735E-4</v>
      </c>
      <c r="H352" s="63">
        <f t="shared" si="107"/>
        <v>6.9070951942423204E-3</v>
      </c>
      <c r="I352" s="63">
        <f t="shared" si="108"/>
        <v>4.8686969279190606E-3</v>
      </c>
      <c r="J352" s="63">
        <f t="shared" si="109"/>
        <v>8.9454933792055807E-3</v>
      </c>
      <c r="K352" s="30">
        <f>IF(OR(LEFT($D352,5)="Solar",$D352="Wind"),INDEX(Land_Use[AVG],MATCH(LEFT($D352,5),Land_Use[Tech],0)),0)*$E352</f>
        <v>0</v>
      </c>
      <c r="L352" s="30">
        <f>IF(OR(LEFT($D352,5)="Solar",$D352="Wind"),INDEX(Land_Use[MIN],MATCH(LEFT($D352,5),Land_Use[Tech],0)),0)*$E352</f>
        <v>0</v>
      </c>
      <c r="M352" s="30">
        <f>IF(OR(LEFT($D352,5)="Solar",$D352="Wind"),INDEX(Land_Use[MAX],MATCH(LEFT($D352,5),Land_Use[Tech],0)),0)*$E352</f>
        <v>0</v>
      </c>
      <c r="N352" s="15">
        <f t="shared" si="101"/>
        <v>6.1499999999999992E-2</v>
      </c>
      <c r="O352" s="11">
        <f t="shared" si="102"/>
        <v>0</v>
      </c>
      <c r="P352" s="11">
        <f t="shared" si="103"/>
        <v>0</v>
      </c>
      <c r="Q352" s="11">
        <f t="shared" si="104"/>
        <v>0</v>
      </c>
      <c r="R352" s="11">
        <f t="shared" si="105"/>
        <v>0</v>
      </c>
      <c r="S352" s="30">
        <f t="shared" si="110"/>
        <v>0</v>
      </c>
      <c r="T352" s="30">
        <f t="shared" si="111"/>
        <v>0</v>
      </c>
      <c r="U352" s="30">
        <f t="shared" si="112"/>
        <v>0</v>
      </c>
      <c r="V352" s="30">
        <f t="shared" si="113"/>
        <v>0</v>
      </c>
      <c r="W352" s="30">
        <f t="shared" si="114"/>
        <v>0</v>
      </c>
      <c r="X352" s="30">
        <f t="shared" si="115"/>
        <v>0</v>
      </c>
      <c r="Z352" s="23" t="s">
        <v>76</v>
      </c>
      <c r="AA352" s="40">
        <f>IF(C352="Electricity",E352*SUMIFS(Electricity!S:S,Electricity!P:P,UserMade_Scenario!B352,Electricity!M:M,UserMade_Scenario!Z352,Electricity!O:O,UserMade_Scenario!D352),"")</f>
        <v>81360.022798518432</v>
      </c>
      <c r="AB352" s="76">
        <f>1/Assumptions!$B$23/1000000000000</f>
        <v>3.5998225679871703E-9</v>
      </c>
      <c r="AC352" s="67" t="s">
        <v>82</v>
      </c>
      <c r="AD352" s="69">
        <f>INDEX(Table11[AVG
CO2e MT per MWh],MATCH(UserMade_Scenario!$B352,Table11[[Year]:[Year]],0))</f>
        <v>-8.489544319999992E-2</v>
      </c>
      <c r="AE352" s="69">
        <f>INDEX(Table11[MIN
CO2e MT per MWh],MATCH(UserMade_Scenario!$B352,Table11[[Year]:[Year]],0))</f>
        <v>-5.984139090000009E-2</v>
      </c>
      <c r="AF352" s="69">
        <f>INDEX(Table11[MAX CO2e MT per MWh],MATCH(UserMade_Scenario!$B352,Table11[[Year]:[Year]],0))</f>
        <v>-0.10994949450000004</v>
      </c>
      <c r="AG352" s="68">
        <f>IFERROR(INDEX(WaterUseH2[Average Direct Water Consumption (Gal/ kg h2)],MATCH(LEFT(D352,3),WaterUseH2[Key],0)),0)</f>
        <v>4.0999999999999996</v>
      </c>
      <c r="AH352">
        <v>14</v>
      </c>
      <c r="AI352">
        <v>1.4</v>
      </c>
      <c r="AJ352">
        <v>250</v>
      </c>
      <c r="AK352">
        <v>0.31</v>
      </c>
      <c r="AL352" s="63">
        <f>IFERROR(INDEX(Job_Training[[Solar]:[Wind]],MATCH(AL$1,Job_Training[[`Typical Entry Level Education`]:[`Typical Entry Level Education`]],0),MATCH(LEFT($D352,5),Job_Training[[#Headers],[Solar]:[Wind]],0)),0)</f>
        <v>0</v>
      </c>
      <c r="AM352" s="63">
        <f>IFERROR(INDEX(Job_Training[[Solar]:[Wind]],MATCH(AM$1,Job_Training[[`Typical Entry Level Education`]:[`Typical Entry Level Education`]],0),MATCH(LEFT($D352,5),Job_Training[[#Headers],[Solar]:[Wind]],0)),0)</f>
        <v>0</v>
      </c>
      <c r="AN352" s="63">
        <f>IFERROR(INDEX(Job_Training[[Solar]:[Wind]],MATCH(AN$1,Job_Training[[`Typical Entry Level Education`]:[`Typical Entry Level Education`]],0),MATCH(LEFT($D352,5),Job_Training[[#Headers],[Solar]:[Wind]],0)),0)</f>
        <v>0</v>
      </c>
      <c r="AO352" s="63">
        <f>IFERROR(INDEX(Job_Training[[Solar]:[Wind]],MATCH(AO$1,Job_Training[[`Typical Entry Level Education`]:[`Typical Entry Level Education`]],0),MATCH(LEFT($D352,5),Job_Training[[#Headers],[Solar]:[Wind]],0)),0)</f>
        <v>0</v>
      </c>
      <c r="AP352">
        <f t="shared" si="116"/>
        <v>0</v>
      </c>
      <c r="AQ352" s="63">
        <f>IF(AP352&gt;0,IFERROR(INDEX(Assumptions!$C$165:$D$165,MATCH(LEFT($D352,5),Job_Training[[#Headers],[Solar]:[Wind]],0)),0),0)</f>
        <v>0</v>
      </c>
      <c r="AR352">
        <f>IF(AP352&gt;0,IFERROR(INDEX(Assumptions!$C$166:$D$166,MATCH(LEFT($D352,5),Job_Training[[#Headers],[Solar]:[Wind]],0)),0),0)</f>
        <v>0</v>
      </c>
    </row>
    <row r="353" spans="1:44" hidden="1" x14ac:dyDescent="0.35">
      <c r="A353" t="str">
        <f>UserInput!$B$30</f>
        <v>State Policy Aligned</v>
      </c>
      <c r="B353">
        <v>2040</v>
      </c>
      <c r="C353" t="s">
        <v>41</v>
      </c>
      <c r="D353" t="s">
        <v>84</v>
      </c>
      <c r="E353" s="66">
        <f>INDEX(UserInput!$C$30:$M$50,MATCH(UserMade_Scenario!B353,UserInput!$A$30:$A$50,0),MATCH(LEFT(IF(RIGHT(C353,2)="H2",UserMade_Scenario!C353,D353),3),UserInput!$C$25:$M$25,0))</f>
        <v>15</v>
      </c>
      <c r="F353" t="s">
        <v>81</v>
      </c>
      <c r="G353" s="14">
        <f t="shared" si="106"/>
        <v>2.905247228880571E-4</v>
      </c>
      <c r="H353" s="63">
        <f t="shared" si="107"/>
        <v>6.5106183040400164E-3</v>
      </c>
      <c r="I353" s="63">
        <f t="shared" si="108"/>
        <v>4.4132576915774735E-3</v>
      </c>
      <c r="J353" s="63">
        <f t="shared" si="109"/>
        <v>8.607978835797293E-3</v>
      </c>
      <c r="K353" s="30">
        <f>IF(OR(LEFT($D353,5)="Solar",$D353="Wind"),INDEX(Land_Use[AVG],MATCH(LEFT($D353,5),Land_Use[Tech],0)),0)*$E353</f>
        <v>0</v>
      </c>
      <c r="L353" s="30">
        <f>IF(OR(LEFT($D353,5)="Solar",$D353="Wind"),INDEX(Land_Use[MIN],MATCH(LEFT($D353,5),Land_Use[Tech],0)),0)*$E353</f>
        <v>0</v>
      </c>
      <c r="M353" s="30">
        <f>IF(OR(LEFT($D353,5)="Solar",$D353="Wind"),INDEX(Land_Use[MAX],MATCH(LEFT($D353,5),Land_Use[Tech],0)),0)*$E353</f>
        <v>0</v>
      </c>
      <c r="N353" s="15">
        <f t="shared" si="101"/>
        <v>6.1499999999999992E-2</v>
      </c>
      <c r="O353" s="11">
        <f t="shared" si="102"/>
        <v>0</v>
      </c>
      <c r="P353" s="11">
        <f t="shared" si="103"/>
        <v>0</v>
      </c>
      <c r="Q353" s="11">
        <f t="shared" si="104"/>
        <v>0</v>
      </c>
      <c r="R353" s="11">
        <f t="shared" si="105"/>
        <v>0</v>
      </c>
      <c r="S353" s="30">
        <f t="shared" si="110"/>
        <v>0</v>
      </c>
      <c r="T353" s="30">
        <f t="shared" si="111"/>
        <v>0</v>
      </c>
      <c r="U353" s="30">
        <f t="shared" si="112"/>
        <v>0</v>
      </c>
      <c r="V353" s="30">
        <f t="shared" si="113"/>
        <v>0</v>
      </c>
      <c r="W353" s="30">
        <f t="shared" si="114"/>
        <v>0</v>
      </c>
      <c r="X353" s="30">
        <f t="shared" si="115"/>
        <v>0</v>
      </c>
      <c r="Z353" s="23" t="s">
        <v>76</v>
      </c>
      <c r="AA353" s="40">
        <f>IF(C353="Electricity",E353*SUMIFS(Electricity!S:S,Electricity!P:P,UserMade_Scenario!B353,Electricity!M:M,UserMade_Scenario!Z353,Electricity!O:O,UserMade_Scenario!D353),"")</f>
        <v>80705.28960834397</v>
      </c>
      <c r="AB353" s="76">
        <f>1/Assumptions!$B$23/1000000000000</f>
        <v>3.5998225679871703E-9</v>
      </c>
      <c r="AC353" s="67" t="s">
        <v>82</v>
      </c>
      <c r="AD353" s="69">
        <f>INDEX(Table11[AVG
CO2e MT per MWh],MATCH(UserMade_Scenario!$B353,Table11[[Year]:[Year]],0))</f>
        <v>-8.0671518999999914E-2</v>
      </c>
      <c r="AE353" s="69">
        <f>INDEX(Table11[MIN
CO2e MT per MWh],MATCH(UserMade_Scenario!$B353,Table11[[Year]:[Year]],0))</f>
        <v>-5.468362375000009E-2</v>
      </c>
      <c r="AF353" s="69">
        <f>INDEX(Table11[MAX CO2e MT per MWh],MATCH(UserMade_Scenario!$B353,Table11[[Year]:[Year]],0))</f>
        <v>-0.10665941325000003</v>
      </c>
      <c r="AG353" s="68">
        <f>IFERROR(INDEX(WaterUseH2[Average Direct Water Consumption (Gal/ kg h2)],MATCH(LEFT(D353,3),WaterUseH2[Key],0)),0)</f>
        <v>4.0999999999999996</v>
      </c>
      <c r="AH353">
        <v>14</v>
      </c>
      <c r="AI353">
        <v>1.4</v>
      </c>
      <c r="AJ353">
        <v>250</v>
      </c>
      <c r="AK353">
        <v>0.31</v>
      </c>
      <c r="AL353" s="63">
        <f>IFERROR(INDEX(Job_Training[[Solar]:[Wind]],MATCH(AL$1,Job_Training[[`Typical Entry Level Education`]:[`Typical Entry Level Education`]],0),MATCH(LEFT($D353,5),Job_Training[[#Headers],[Solar]:[Wind]],0)),0)</f>
        <v>0</v>
      </c>
      <c r="AM353" s="63">
        <f>IFERROR(INDEX(Job_Training[[Solar]:[Wind]],MATCH(AM$1,Job_Training[[`Typical Entry Level Education`]:[`Typical Entry Level Education`]],0),MATCH(LEFT($D353,5),Job_Training[[#Headers],[Solar]:[Wind]],0)),0)</f>
        <v>0</v>
      </c>
      <c r="AN353" s="63">
        <f>IFERROR(INDEX(Job_Training[[Solar]:[Wind]],MATCH(AN$1,Job_Training[[`Typical Entry Level Education`]:[`Typical Entry Level Education`]],0),MATCH(LEFT($D353,5),Job_Training[[#Headers],[Solar]:[Wind]],0)),0)</f>
        <v>0</v>
      </c>
      <c r="AO353" s="63">
        <f>IFERROR(INDEX(Job_Training[[Solar]:[Wind]],MATCH(AO$1,Job_Training[[`Typical Entry Level Education`]:[`Typical Entry Level Education`]],0),MATCH(LEFT($D353,5),Job_Training[[#Headers],[Solar]:[Wind]],0)),0)</f>
        <v>0</v>
      </c>
      <c r="AP353">
        <f t="shared" si="116"/>
        <v>0</v>
      </c>
      <c r="AQ353" s="63">
        <f>IF(AP353&gt;0,IFERROR(INDEX(Assumptions!$C$165:$D$165,MATCH(LEFT($D353,5),Job_Training[[#Headers],[Solar]:[Wind]],0)),0),0)</f>
        <v>0</v>
      </c>
      <c r="AR353">
        <f>IF(AP353&gt;0,IFERROR(INDEX(Assumptions!$C$166:$D$166,MATCH(LEFT($D353,5),Job_Training[[#Headers],[Solar]:[Wind]],0)),0),0)</f>
        <v>0</v>
      </c>
    </row>
    <row r="354" spans="1:44" hidden="1" x14ac:dyDescent="0.35">
      <c r="A354" t="str">
        <f>UserInput!$B$30</f>
        <v>State Policy Aligned</v>
      </c>
      <c r="B354">
        <v>2041</v>
      </c>
      <c r="C354" t="s">
        <v>41</v>
      </c>
      <c r="D354" t="s">
        <v>84</v>
      </c>
      <c r="E354" s="66">
        <f>INDEX(UserInput!$C$30:$M$50,MATCH(UserMade_Scenario!B354,UserInput!$A$30:$A$50,0),MATCH(LEFT(IF(RIGHT(C354,2)="H2",UserMade_Scenario!C354,D354),3),UserInput!$C$25:$M$25,0))</f>
        <v>15</v>
      </c>
      <c r="F354" t="s">
        <v>81</v>
      </c>
      <c r="G354" s="14">
        <f t="shared" si="106"/>
        <v>2.8816779957405674E-4</v>
      </c>
      <c r="H354" s="63">
        <f t="shared" si="107"/>
        <v>6.1196725005707537E-3</v>
      </c>
      <c r="I354" s="63">
        <f t="shared" si="108"/>
        <v>3.9645723779164789E-3</v>
      </c>
      <c r="J354" s="63">
        <f t="shared" si="109"/>
        <v>8.2747725431744946E-3</v>
      </c>
      <c r="K354" s="30">
        <f>IF(OR(LEFT($D354,5)="Solar",$D354="Wind"),INDEX(Land_Use[AVG],MATCH(LEFT($D354,5),Land_Use[Tech],0)),0)*$E354</f>
        <v>0</v>
      </c>
      <c r="L354" s="30">
        <f>IF(OR(LEFT($D354,5)="Solar",$D354="Wind"),INDEX(Land_Use[MIN],MATCH(LEFT($D354,5),Land_Use[Tech],0)),0)*$E354</f>
        <v>0</v>
      </c>
      <c r="M354" s="30">
        <f>IF(OR(LEFT($D354,5)="Solar",$D354="Wind"),INDEX(Land_Use[MAX],MATCH(LEFT($D354,5),Land_Use[Tech],0)),0)*$E354</f>
        <v>0</v>
      </c>
      <c r="N354" s="15">
        <f t="shared" si="101"/>
        <v>6.1499999999999992E-2</v>
      </c>
      <c r="O354" s="11">
        <f t="shared" si="102"/>
        <v>0</v>
      </c>
      <c r="P354" s="11">
        <f t="shared" si="103"/>
        <v>0</v>
      </c>
      <c r="Q354" s="11">
        <f t="shared" si="104"/>
        <v>0</v>
      </c>
      <c r="R354" s="11">
        <f t="shared" si="105"/>
        <v>0</v>
      </c>
      <c r="S354" s="30">
        <f t="shared" si="110"/>
        <v>0</v>
      </c>
      <c r="T354" s="30">
        <f t="shared" si="111"/>
        <v>0</v>
      </c>
      <c r="U354" s="30">
        <f t="shared" si="112"/>
        <v>0</v>
      </c>
      <c r="V354" s="30">
        <f t="shared" si="113"/>
        <v>0</v>
      </c>
      <c r="W354" s="30">
        <f t="shared" si="114"/>
        <v>0</v>
      </c>
      <c r="X354" s="30">
        <f t="shared" si="115"/>
        <v>0</v>
      </c>
      <c r="Z354" s="23" t="s">
        <v>76</v>
      </c>
      <c r="AA354" s="40">
        <f>IF(C354="Electricity",E354*SUMIFS(Electricity!S:S,Electricity!P:P,UserMade_Scenario!B354,Electricity!M:M,UserMade_Scenario!Z354,Electricity!O:O,UserMade_Scenario!D354),"")</f>
        <v>80050.556418169494</v>
      </c>
      <c r="AB354" s="76">
        <f>1/Assumptions!$B$23/1000000000000</f>
        <v>3.5998225679871703E-9</v>
      </c>
      <c r="AC354" s="67" t="s">
        <v>82</v>
      </c>
      <c r="AD354" s="69">
        <f>INDEX(Table11[AVG
CO2e MT per MWh],MATCH(UserMade_Scenario!$B354,Table11[[Year]:[Year]],0))</f>
        <v>-7.6447594799999907E-2</v>
      </c>
      <c r="AE354" s="69">
        <f>INDEX(Table11[MIN
CO2e MT per MWh],MATCH(UserMade_Scenario!$B354,Table11[[Year]:[Year]],0))</f>
        <v>-4.9525856600000091E-2</v>
      </c>
      <c r="AF354" s="69">
        <f>INDEX(Table11[MAX CO2e MT per MWh],MATCH(UserMade_Scenario!$B354,Table11[[Year]:[Year]],0))</f>
        <v>-0.10336933200000002</v>
      </c>
      <c r="AG354" s="68">
        <f>IFERROR(INDEX(WaterUseH2[Average Direct Water Consumption (Gal/ kg h2)],MATCH(LEFT(D354,3),WaterUseH2[Key],0)),0)</f>
        <v>4.0999999999999996</v>
      </c>
      <c r="AH354">
        <v>14</v>
      </c>
      <c r="AI354">
        <v>1.4</v>
      </c>
      <c r="AJ354">
        <v>250</v>
      </c>
      <c r="AK354">
        <v>0.31</v>
      </c>
      <c r="AL354" s="63">
        <f>IFERROR(INDEX(Job_Training[[Solar]:[Wind]],MATCH(AL$1,Job_Training[[`Typical Entry Level Education`]:[`Typical Entry Level Education`]],0),MATCH(LEFT($D354,5),Job_Training[[#Headers],[Solar]:[Wind]],0)),0)</f>
        <v>0</v>
      </c>
      <c r="AM354" s="63">
        <f>IFERROR(INDEX(Job_Training[[Solar]:[Wind]],MATCH(AM$1,Job_Training[[`Typical Entry Level Education`]:[`Typical Entry Level Education`]],0),MATCH(LEFT($D354,5),Job_Training[[#Headers],[Solar]:[Wind]],0)),0)</f>
        <v>0</v>
      </c>
      <c r="AN354" s="63">
        <f>IFERROR(INDEX(Job_Training[[Solar]:[Wind]],MATCH(AN$1,Job_Training[[`Typical Entry Level Education`]:[`Typical Entry Level Education`]],0),MATCH(LEFT($D354,5),Job_Training[[#Headers],[Solar]:[Wind]],0)),0)</f>
        <v>0</v>
      </c>
      <c r="AO354" s="63">
        <f>IFERROR(INDEX(Job_Training[[Solar]:[Wind]],MATCH(AO$1,Job_Training[[`Typical Entry Level Education`]:[`Typical Entry Level Education`]],0),MATCH(LEFT($D354,5),Job_Training[[#Headers],[Solar]:[Wind]],0)),0)</f>
        <v>0</v>
      </c>
      <c r="AP354">
        <f t="shared" si="116"/>
        <v>0</v>
      </c>
      <c r="AQ354" s="63">
        <f>IF(AP354&gt;0,IFERROR(INDEX(Assumptions!$C$165:$D$165,MATCH(LEFT($D354,5),Job_Training[[#Headers],[Solar]:[Wind]],0)),0),0)</f>
        <v>0</v>
      </c>
      <c r="AR354">
        <f>IF(AP354&gt;0,IFERROR(INDEX(Assumptions!$C$166:$D$166,MATCH(LEFT($D354,5),Job_Training[[#Headers],[Solar]:[Wind]],0)),0),0)</f>
        <v>0</v>
      </c>
    </row>
    <row r="355" spans="1:44" hidden="1" x14ac:dyDescent="0.35">
      <c r="A355" t="str">
        <f>UserInput!$B$30</f>
        <v>State Policy Aligned</v>
      </c>
      <c r="B355">
        <v>2042</v>
      </c>
      <c r="C355" t="s">
        <v>41</v>
      </c>
      <c r="D355" t="s">
        <v>84</v>
      </c>
      <c r="E355" s="66">
        <f>INDEX(UserInput!$C$30:$M$50,MATCH(UserMade_Scenario!B355,UserInput!$A$30:$A$50,0),MATCH(LEFT(IF(RIGHT(C355,2)="H2",UserMade_Scenario!C355,D355),3),UserInput!$C$25:$M$25,0))</f>
        <v>15</v>
      </c>
      <c r="F355" t="s">
        <v>81</v>
      </c>
      <c r="G355" s="14">
        <f t="shared" si="106"/>
        <v>2.8581087626005649E-4</v>
      </c>
      <c r="H355" s="63">
        <f t="shared" si="107"/>
        <v>5.7342577838345342E-3</v>
      </c>
      <c r="I355" s="63">
        <f t="shared" si="108"/>
        <v>3.5226409869360785E-3</v>
      </c>
      <c r="J355" s="63">
        <f t="shared" si="109"/>
        <v>7.9458745013371909E-3</v>
      </c>
      <c r="K355" s="30">
        <f>IF(OR(LEFT($D355,5)="Solar",$D355="Wind"),INDEX(Land_Use[AVG],MATCH(LEFT($D355,5),Land_Use[Tech],0)),0)*$E355</f>
        <v>0</v>
      </c>
      <c r="L355" s="30">
        <f>IF(OR(LEFT($D355,5)="Solar",$D355="Wind"),INDEX(Land_Use[MIN],MATCH(LEFT($D355,5),Land_Use[Tech],0)),0)*$E355</f>
        <v>0</v>
      </c>
      <c r="M355" s="30">
        <f>IF(OR(LEFT($D355,5)="Solar",$D355="Wind"),INDEX(Land_Use[MAX],MATCH(LEFT($D355,5),Land_Use[Tech],0)),0)*$E355</f>
        <v>0</v>
      </c>
      <c r="N355" s="15">
        <f t="shared" si="101"/>
        <v>6.1499999999999992E-2</v>
      </c>
      <c r="O355" s="11">
        <f t="shared" si="102"/>
        <v>0</v>
      </c>
      <c r="P355" s="11">
        <f t="shared" si="103"/>
        <v>0</v>
      </c>
      <c r="Q355" s="11">
        <f t="shared" si="104"/>
        <v>0</v>
      </c>
      <c r="R355" s="11">
        <f t="shared" si="105"/>
        <v>0</v>
      </c>
      <c r="S355" s="30">
        <f t="shared" si="110"/>
        <v>0</v>
      </c>
      <c r="T355" s="30">
        <f t="shared" si="111"/>
        <v>0</v>
      </c>
      <c r="U355" s="30">
        <f t="shared" si="112"/>
        <v>0</v>
      </c>
      <c r="V355" s="30">
        <f t="shared" si="113"/>
        <v>0</v>
      </c>
      <c r="W355" s="30">
        <f t="shared" si="114"/>
        <v>0</v>
      </c>
      <c r="X355" s="30">
        <f t="shared" si="115"/>
        <v>0</v>
      </c>
      <c r="Z355" s="23" t="s">
        <v>76</v>
      </c>
      <c r="AA355" s="40">
        <f>IF(C355="Electricity",E355*SUMIFS(Electricity!S:S,Electricity!P:P,UserMade_Scenario!B355,Electricity!M:M,UserMade_Scenario!Z355,Electricity!O:O,UserMade_Scenario!D355),"")</f>
        <v>79395.823227995032</v>
      </c>
      <c r="AB355" s="76">
        <f>1/Assumptions!$B$23/1000000000000</f>
        <v>3.5998225679871703E-9</v>
      </c>
      <c r="AC355" s="67" t="s">
        <v>82</v>
      </c>
      <c r="AD355" s="69">
        <f>INDEX(Table11[AVG
CO2e MT per MWh],MATCH(UserMade_Scenario!$B355,Table11[[Year]:[Year]],0))</f>
        <v>-7.2223670599999901E-2</v>
      </c>
      <c r="AE355" s="69">
        <f>INDEX(Table11[MIN
CO2e MT per MWh],MATCH(UserMade_Scenario!$B355,Table11[[Year]:[Year]],0))</f>
        <v>-4.4368089450000092E-2</v>
      </c>
      <c r="AF355" s="69">
        <f>INDEX(Table11[MAX CO2e MT per MWh],MATCH(UserMade_Scenario!$B355,Table11[[Year]:[Year]],0))</f>
        <v>-0.10007925075000002</v>
      </c>
      <c r="AG355" s="68">
        <f>IFERROR(INDEX(WaterUseH2[Average Direct Water Consumption (Gal/ kg h2)],MATCH(LEFT(D355,3),WaterUseH2[Key],0)),0)</f>
        <v>4.0999999999999996</v>
      </c>
      <c r="AH355">
        <v>14</v>
      </c>
      <c r="AI355">
        <v>1.4</v>
      </c>
      <c r="AJ355">
        <v>250</v>
      </c>
      <c r="AK355">
        <v>0.31</v>
      </c>
      <c r="AL355" s="63">
        <f>IFERROR(INDEX(Job_Training[[Solar]:[Wind]],MATCH(AL$1,Job_Training[[`Typical Entry Level Education`]:[`Typical Entry Level Education`]],0),MATCH(LEFT($D355,5),Job_Training[[#Headers],[Solar]:[Wind]],0)),0)</f>
        <v>0</v>
      </c>
      <c r="AM355" s="63">
        <f>IFERROR(INDEX(Job_Training[[Solar]:[Wind]],MATCH(AM$1,Job_Training[[`Typical Entry Level Education`]:[`Typical Entry Level Education`]],0),MATCH(LEFT($D355,5),Job_Training[[#Headers],[Solar]:[Wind]],0)),0)</f>
        <v>0</v>
      </c>
      <c r="AN355" s="63">
        <f>IFERROR(INDEX(Job_Training[[Solar]:[Wind]],MATCH(AN$1,Job_Training[[`Typical Entry Level Education`]:[`Typical Entry Level Education`]],0),MATCH(LEFT($D355,5),Job_Training[[#Headers],[Solar]:[Wind]],0)),0)</f>
        <v>0</v>
      </c>
      <c r="AO355" s="63">
        <f>IFERROR(INDEX(Job_Training[[Solar]:[Wind]],MATCH(AO$1,Job_Training[[`Typical Entry Level Education`]:[`Typical Entry Level Education`]],0),MATCH(LEFT($D355,5),Job_Training[[#Headers],[Solar]:[Wind]],0)),0)</f>
        <v>0</v>
      </c>
      <c r="AP355">
        <f t="shared" si="116"/>
        <v>0</v>
      </c>
      <c r="AQ355" s="63">
        <f>IF(AP355&gt;0,IFERROR(INDEX(Assumptions!$C$165:$D$165,MATCH(LEFT($D355,5),Job_Training[[#Headers],[Solar]:[Wind]],0)),0),0)</f>
        <v>0</v>
      </c>
      <c r="AR355">
        <f>IF(AP355&gt;0,IFERROR(INDEX(Assumptions!$C$166:$D$166,MATCH(LEFT($D355,5),Job_Training[[#Headers],[Solar]:[Wind]],0)),0),0)</f>
        <v>0</v>
      </c>
    </row>
    <row r="356" spans="1:44" hidden="1" x14ac:dyDescent="0.35">
      <c r="A356" t="str">
        <f>UserInput!$B$30</f>
        <v>State Policy Aligned</v>
      </c>
      <c r="B356">
        <v>2043</v>
      </c>
      <c r="C356" t="s">
        <v>41</v>
      </c>
      <c r="D356" t="s">
        <v>84</v>
      </c>
      <c r="E356" s="66">
        <f>INDEX(UserInput!$C$30:$M$50,MATCH(UserMade_Scenario!B356,UserInput!$A$30:$A$50,0),MATCH(LEFT(IF(RIGHT(C356,2)="H2",UserMade_Scenario!C356,D356),3),UserInput!$C$25:$M$25,0))</f>
        <v>15</v>
      </c>
      <c r="F356" t="s">
        <v>81</v>
      </c>
      <c r="G356" s="14">
        <f t="shared" si="106"/>
        <v>2.8345395294605624E-4</v>
      </c>
      <c r="H356" s="63">
        <f t="shared" si="107"/>
        <v>5.3543741538313568E-3</v>
      </c>
      <c r="I356" s="63">
        <f t="shared" si="108"/>
        <v>3.087463518636271E-3</v>
      </c>
      <c r="J356" s="63">
        <f t="shared" si="109"/>
        <v>7.6212847102853764E-3</v>
      </c>
      <c r="K356" s="30">
        <f>IF(OR(LEFT($D356,5)="Solar",$D356="Wind"),INDEX(Land_Use[AVG],MATCH(LEFT($D356,5),Land_Use[Tech],0)),0)*$E356</f>
        <v>0</v>
      </c>
      <c r="L356" s="30">
        <f>IF(OR(LEFT($D356,5)="Solar",$D356="Wind"),INDEX(Land_Use[MIN],MATCH(LEFT($D356,5),Land_Use[Tech],0)),0)*$E356</f>
        <v>0</v>
      </c>
      <c r="M356" s="30">
        <f>IF(OR(LEFT($D356,5)="Solar",$D356="Wind"),INDEX(Land_Use[MAX],MATCH(LEFT($D356,5),Land_Use[Tech],0)),0)*$E356</f>
        <v>0</v>
      </c>
      <c r="N356" s="15">
        <f t="shared" si="101"/>
        <v>6.1499999999999992E-2</v>
      </c>
      <c r="O356" s="11">
        <f t="shared" si="102"/>
        <v>0</v>
      </c>
      <c r="P356" s="11">
        <f t="shared" si="103"/>
        <v>0</v>
      </c>
      <c r="Q356" s="11">
        <f t="shared" si="104"/>
        <v>0</v>
      </c>
      <c r="R356" s="11">
        <f t="shared" si="105"/>
        <v>0</v>
      </c>
      <c r="S356" s="30">
        <f t="shared" si="110"/>
        <v>0</v>
      </c>
      <c r="T356" s="30">
        <f t="shared" si="111"/>
        <v>0</v>
      </c>
      <c r="U356" s="30">
        <f t="shared" si="112"/>
        <v>0</v>
      </c>
      <c r="V356" s="30">
        <f t="shared" si="113"/>
        <v>0</v>
      </c>
      <c r="W356" s="30">
        <f t="shared" si="114"/>
        <v>0</v>
      </c>
      <c r="X356" s="30">
        <f t="shared" si="115"/>
        <v>0</v>
      </c>
      <c r="Z356" s="23" t="s">
        <v>76</v>
      </c>
      <c r="AA356" s="40">
        <f>IF(C356="Electricity",E356*SUMIFS(Electricity!S:S,Electricity!P:P,UserMade_Scenario!B356,Electricity!M:M,UserMade_Scenario!Z356,Electricity!O:O,UserMade_Scenario!D356),"")</f>
        <v>78741.09003782057</v>
      </c>
      <c r="AB356" s="76">
        <f>1/Assumptions!$B$23/1000000000000</f>
        <v>3.5998225679871703E-9</v>
      </c>
      <c r="AC356" s="67" t="s">
        <v>82</v>
      </c>
      <c r="AD356" s="69">
        <f>INDEX(Table11[AVG
CO2e MT per MWh],MATCH(UserMade_Scenario!$B356,Table11[[Year]:[Year]],0))</f>
        <v>-6.7999746399999894E-2</v>
      </c>
      <c r="AE356" s="69">
        <f>INDEX(Table11[MIN
CO2e MT per MWh],MATCH(UserMade_Scenario!$B356,Table11[[Year]:[Year]],0))</f>
        <v>-3.9210322300000093E-2</v>
      </c>
      <c r="AF356" s="69">
        <f>INDEX(Table11[MAX CO2e MT per MWh],MATCH(UserMade_Scenario!$B356,Table11[[Year]:[Year]],0))</f>
        <v>-9.6789169500000008E-2</v>
      </c>
      <c r="AG356" s="68">
        <f>IFERROR(INDEX(WaterUseH2[Average Direct Water Consumption (Gal/ kg h2)],MATCH(LEFT(D356,3),WaterUseH2[Key],0)),0)</f>
        <v>4.0999999999999996</v>
      </c>
      <c r="AH356">
        <v>14</v>
      </c>
      <c r="AI356">
        <v>1.4</v>
      </c>
      <c r="AJ356">
        <v>250</v>
      </c>
      <c r="AK356">
        <v>0.31</v>
      </c>
      <c r="AL356" s="63">
        <f>IFERROR(INDEX(Job_Training[[Solar]:[Wind]],MATCH(AL$1,Job_Training[[`Typical Entry Level Education`]:[`Typical Entry Level Education`]],0),MATCH(LEFT($D356,5),Job_Training[[#Headers],[Solar]:[Wind]],0)),0)</f>
        <v>0</v>
      </c>
      <c r="AM356" s="63">
        <f>IFERROR(INDEX(Job_Training[[Solar]:[Wind]],MATCH(AM$1,Job_Training[[`Typical Entry Level Education`]:[`Typical Entry Level Education`]],0),MATCH(LEFT($D356,5),Job_Training[[#Headers],[Solar]:[Wind]],0)),0)</f>
        <v>0</v>
      </c>
      <c r="AN356" s="63">
        <f>IFERROR(INDEX(Job_Training[[Solar]:[Wind]],MATCH(AN$1,Job_Training[[`Typical Entry Level Education`]:[`Typical Entry Level Education`]],0),MATCH(LEFT($D356,5),Job_Training[[#Headers],[Solar]:[Wind]],0)),0)</f>
        <v>0</v>
      </c>
      <c r="AO356" s="63">
        <f>IFERROR(INDEX(Job_Training[[Solar]:[Wind]],MATCH(AO$1,Job_Training[[`Typical Entry Level Education`]:[`Typical Entry Level Education`]],0),MATCH(LEFT($D356,5),Job_Training[[#Headers],[Solar]:[Wind]],0)),0)</f>
        <v>0</v>
      </c>
      <c r="AP356">
        <f t="shared" si="116"/>
        <v>0</v>
      </c>
      <c r="AQ356" s="63">
        <f>IF(AP356&gt;0,IFERROR(INDEX(Assumptions!$C$165:$D$165,MATCH(LEFT($D356,5),Job_Training[[#Headers],[Solar]:[Wind]],0)),0),0)</f>
        <v>0</v>
      </c>
      <c r="AR356">
        <f>IF(AP356&gt;0,IFERROR(INDEX(Assumptions!$C$166:$D$166,MATCH(LEFT($D356,5),Job_Training[[#Headers],[Solar]:[Wind]],0)),0),0)</f>
        <v>0</v>
      </c>
    </row>
    <row r="357" spans="1:44" hidden="1" x14ac:dyDescent="0.35">
      <c r="A357" t="str">
        <f>UserInput!$B$30</f>
        <v>State Policy Aligned</v>
      </c>
      <c r="B357">
        <v>2044</v>
      </c>
      <c r="C357" t="s">
        <v>41</v>
      </c>
      <c r="D357" t="s">
        <v>84</v>
      </c>
      <c r="E357" s="66">
        <f>INDEX(UserInput!$C$30:$M$50,MATCH(UserMade_Scenario!B357,UserInput!$A$30:$A$50,0),MATCH(LEFT(IF(RIGHT(C357,2)="H2",UserMade_Scenario!C357,D357),3),UserInput!$C$25:$M$25,0))</f>
        <v>15</v>
      </c>
      <c r="F357" t="s">
        <v>81</v>
      </c>
      <c r="G357" s="14">
        <f t="shared" si="106"/>
        <v>2.8109702963205599E-4</v>
      </c>
      <c r="H357" s="63">
        <f t="shared" si="107"/>
        <v>4.9800216105612216E-3</v>
      </c>
      <c r="I357" s="63">
        <f t="shared" si="108"/>
        <v>2.6590399730170564E-3</v>
      </c>
      <c r="J357" s="63">
        <f t="shared" si="109"/>
        <v>7.3010031700190547E-3</v>
      </c>
      <c r="K357" s="30">
        <f>IF(OR(LEFT($D357,5)="Solar",$D357="Wind"),INDEX(Land_Use[AVG],MATCH(LEFT($D357,5),Land_Use[Tech],0)),0)*$E357</f>
        <v>0</v>
      </c>
      <c r="L357" s="30">
        <f>IF(OR(LEFT($D357,5)="Solar",$D357="Wind"),INDEX(Land_Use[MIN],MATCH(LEFT($D357,5),Land_Use[Tech],0)),0)*$E357</f>
        <v>0</v>
      </c>
      <c r="M357" s="30">
        <f>IF(OR(LEFT($D357,5)="Solar",$D357="Wind"),INDEX(Land_Use[MAX],MATCH(LEFT($D357,5),Land_Use[Tech],0)),0)*$E357</f>
        <v>0</v>
      </c>
      <c r="N357" s="15">
        <f t="shared" si="101"/>
        <v>6.1499999999999992E-2</v>
      </c>
      <c r="O357" s="11">
        <f t="shared" si="102"/>
        <v>0</v>
      </c>
      <c r="P357" s="11">
        <f t="shared" si="103"/>
        <v>0</v>
      </c>
      <c r="Q357" s="11">
        <f t="shared" si="104"/>
        <v>0</v>
      </c>
      <c r="R357" s="11">
        <f t="shared" si="105"/>
        <v>0</v>
      </c>
      <c r="S357" s="30">
        <f t="shared" si="110"/>
        <v>0</v>
      </c>
      <c r="T357" s="30">
        <f t="shared" si="111"/>
        <v>0</v>
      </c>
      <c r="U357" s="30">
        <f t="shared" si="112"/>
        <v>0</v>
      </c>
      <c r="V357" s="30">
        <f t="shared" si="113"/>
        <v>0</v>
      </c>
      <c r="W357" s="30">
        <f t="shared" si="114"/>
        <v>0</v>
      </c>
      <c r="X357" s="30">
        <f t="shared" si="115"/>
        <v>0</v>
      </c>
      <c r="Z357" s="23" t="s">
        <v>76</v>
      </c>
      <c r="AA357" s="40">
        <f>IF(C357="Electricity",E357*SUMIFS(Electricity!S:S,Electricity!P:P,UserMade_Scenario!B357,Electricity!M:M,UserMade_Scenario!Z357,Electricity!O:O,UserMade_Scenario!D357),"")</f>
        <v>78086.356847646108</v>
      </c>
      <c r="AB357" s="76">
        <f>1/Assumptions!$B$23/1000000000000</f>
        <v>3.5998225679871703E-9</v>
      </c>
      <c r="AC357" s="67" t="s">
        <v>82</v>
      </c>
      <c r="AD357" s="69">
        <f>INDEX(Table11[AVG
CO2e MT per MWh],MATCH(UserMade_Scenario!$B357,Table11[[Year]:[Year]],0))</f>
        <v>-6.3775822199999888E-2</v>
      </c>
      <c r="AE357" s="69">
        <f>INDEX(Table11[MIN
CO2e MT per MWh],MATCH(UserMade_Scenario!$B357,Table11[[Year]:[Year]],0))</f>
        <v>-3.4052555150000094E-2</v>
      </c>
      <c r="AF357" s="69">
        <f>INDEX(Table11[MAX CO2e MT per MWh],MATCH(UserMade_Scenario!$B357,Table11[[Year]:[Year]],0))</f>
        <v>-9.3499088250000001E-2</v>
      </c>
      <c r="AG357" s="68">
        <f>IFERROR(INDEX(WaterUseH2[Average Direct Water Consumption (Gal/ kg h2)],MATCH(LEFT(D357,3),WaterUseH2[Key],0)),0)</f>
        <v>4.0999999999999996</v>
      </c>
      <c r="AH357">
        <v>14</v>
      </c>
      <c r="AI357">
        <v>1.4</v>
      </c>
      <c r="AJ357">
        <v>250</v>
      </c>
      <c r="AK357">
        <v>0.31</v>
      </c>
      <c r="AL357" s="63">
        <f>IFERROR(INDEX(Job_Training[[Solar]:[Wind]],MATCH(AL$1,Job_Training[[`Typical Entry Level Education`]:[`Typical Entry Level Education`]],0),MATCH(LEFT($D357,5),Job_Training[[#Headers],[Solar]:[Wind]],0)),0)</f>
        <v>0</v>
      </c>
      <c r="AM357" s="63">
        <f>IFERROR(INDEX(Job_Training[[Solar]:[Wind]],MATCH(AM$1,Job_Training[[`Typical Entry Level Education`]:[`Typical Entry Level Education`]],0),MATCH(LEFT($D357,5),Job_Training[[#Headers],[Solar]:[Wind]],0)),0)</f>
        <v>0</v>
      </c>
      <c r="AN357" s="63">
        <f>IFERROR(INDEX(Job_Training[[Solar]:[Wind]],MATCH(AN$1,Job_Training[[`Typical Entry Level Education`]:[`Typical Entry Level Education`]],0),MATCH(LEFT($D357,5),Job_Training[[#Headers],[Solar]:[Wind]],0)),0)</f>
        <v>0</v>
      </c>
      <c r="AO357" s="63">
        <f>IFERROR(INDEX(Job_Training[[Solar]:[Wind]],MATCH(AO$1,Job_Training[[`Typical Entry Level Education`]:[`Typical Entry Level Education`]],0),MATCH(LEFT($D357,5),Job_Training[[#Headers],[Solar]:[Wind]],0)),0)</f>
        <v>0</v>
      </c>
      <c r="AP357">
        <f t="shared" si="116"/>
        <v>0</v>
      </c>
      <c r="AQ357" s="63">
        <f>IF(AP357&gt;0,IFERROR(INDEX(Assumptions!$C$165:$D$165,MATCH(LEFT($D357,5),Job_Training[[#Headers],[Solar]:[Wind]],0)),0),0)</f>
        <v>0</v>
      </c>
      <c r="AR357">
        <f>IF(AP357&gt;0,IFERROR(INDEX(Assumptions!$C$166:$D$166,MATCH(LEFT($D357,5),Job_Training[[#Headers],[Solar]:[Wind]],0)),0),0)</f>
        <v>0</v>
      </c>
    </row>
    <row r="358" spans="1:44" hidden="1" x14ac:dyDescent="0.35">
      <c r="A358" t="str">
        <f>UserInput!$B$30</f>
        <v>State Policy Aligned</v>
      </c>
      <c r="B358">
        <v>2045</v>
      </c>
      <c r="C358" t="s">
        <v>41</v>
      </c>
      <c r="D358" t="s">
        <v>84</v>
      </c>
      <c r="E358" s="66">
        <f>INDEX(UserInput!$C$30:$M$50,MATCH(UserMade_Scenario!B358,UserInput!$A$30:$A$50,0),MATCH(LEFT(IF(RIGHT(C358,2)="H2",UserMade_Scenario!C358,D358),3),UserInput!$C$25:$M$25,0))</f>
        <v>15</v>
      </c>
      <c r="F358" t="s">
        <v>81</v>
      </c>
      <c r="G358" s="14">
        <f t="shared" si="106"/>
        <v>2.7874010631805568E-4</v>
      </c>
      <c r="H358" s="63">
        <f t="shared" si="107"/>
        <v>4.6112001540241296E-3</v>
      </c>
      <c r="I358" s="63">
        <f t="shared" si="108"/>
        <v>2.2373703500784348E-3</v>
      </c>
      <c r="J358" s="63">
        <f t="shared" si="109"/>
        <v>6.9850298805382242E-3</v>
      </c>
      <c r="K358" s="30">
        <f>IF(OR(LEFT($D358,5)="Solar",$D358="Wind"),INDEX(Land_Use[AVG],MATCH(LEFT($D358,5),Land_Use[Tech],0)),0)*$E358</f>
        <v>0</v>
      </c>
      <c r="L358" s="30">
        <f>IF(OR(LEFT($D358,5)="Solar",$D358="Wind"),INDEX(Land_Use[MIN],MATCH(LEFT($D358,5),Land_Use[Tech],0)),0)*$E358</f>
        <v>0</v>
      </c>
      <c r="M358" s="30">
        <f>IF(OR(LEFT($D358,5)="Solar",$D358="Wind"),INDEX(Land_Use[MAX],MATCH(LEFT($D358,5),Land_Use[Tech],0)),0)*$E358</f>
        <v>0</v>
      </c>
      <c r="N358" s="15">
        <f t="shared" si="101"/>
        <v>6.1499999999999992E-2</v>
      </c>
      <c r="O358" s="11">
        <f t="shared" si="102"/>
        <v>0</v>
      </c>
      <c r="P358" s="11">
        <f t="shared" si="103"/>
        <v>0</v>
      </c>
      <c r="Q358" s="11">
        <f t="shared" si="104"/>
        <v>0</v>
      </c>
      <c r="R358" s="11">
        <f t="shared" si="105"/>
        <v>0</v>
      </c>
      <c r="S358" s="30">
        <f t="shared" si="110"/>
        <v>0</v>
      </c>
      <c r="T358" s="30">
        <f t="shared" si="111"/>
        <v>0</v>
      </c>
      <c r="U358" s="30">
        <f t="shared" si="112"/>
        <v>0</v>
      </c>
      <c r="V358" s="30">
        <f t="shared" si="113"/>
        <v>0</v>
      </c>
      <c r="W358" s="30">
        <f t="shared" si="114"/>
        <v>0</v>
      </c>
      <c r="X358" s="30">
        <f t="shared" si="115"/>
        <v>0</v>
      </c>
      <c r="Z358" s="23" t="s">
        <v>76</v>
      </c>
      <c r="AA358" s="40">
        <f>IF(C358="Electricity",E358*SUMIFS(Electricity!S:S,Electricity!P:P,UserMade_Scenario!B358,Electricity!M:M,UserMade_Scenario!Z358,Electricity!O:O,UserMade_Scenario!D358),"")</f>
        <v>77431.623657471631</v>
      </c>
      <c r="AB358" s="76">
        <f>1/Assumptions!$B$23/1000000000000</f>
        <v>3.5998225679871703E-9</v>
      </c>
      <c r="AC358" s="67" t="s">
        <v>82</v>
      </c>
      <c r="AD358" s="69">
        <f>INDEX(Table11[AVG
CO2e MT per MWh],MATCH(UserMade_Scenario!$B358,Table11[[Year]:[Year]],0))</f>
        <v>-5.9551897999999888E-2</v>
      </c>
      <c r="AE358" s="69">
        <f>INDEX(Table11[MIN
CO2e MT per MWh],MATCH(UserMade_Scenario!$B358,Table11[[Year]:[Year]],0))</f>
        <v>-2.8894788000000095E-2</v>
      </c>
      <c r="AF358" s="69">
        <f>INDEX(Table11[MAX CO2e MT per MWh],MATCH(UserMade_Scenario!$B358,Table11[[Year]:[Year]],0))</f>
        <v>-9.0209006999999994E-2</v>
      </c>
      <c r="AG358" s="68">
        <f>IFERROR(INDEX(WaterUseH2[Average Direct Water Consumption (Gal/ kg h2)],MATCH(LEFT(D358,3),WaterUseH2[Key],0)),0)</f>
        <v>4.0999999999999996</v>
      </c>
      <c r="AH358">
        <v>14</v>
      </c>
      <c r="AI358">
        <v>1.4</v>
      </c>
      <c r="AJ358">
        <v>250</v>
      </c>
      <c r="AK358">
        <v>0.31</v>
      </c>
      <c r="AL358" s="63">
        <f>IFERROR(INDEX(Job_Training[[Solar]:[Wind]],MATCH(AL$1,Job_Training[[`Typical Entry Level Education`]:[`Typical Entry Level Education`]],0),MATCH(LEFT($D358,5),Job_Training[[#Headers],[Solar]:[Wind]],0)),0)</f>
        <v>0</v>
      </c>
      <c r="AM358" s="63">
        <f>IFERROR(INDEX(Job_Training[[Solar]:[Wind]],MATCH(AM$1,Job_Training[[`Typical Entry Level Education`]:[`Typical Entry Level Education`]],0),MATCH(LEFT($D358,5),Job_Training[[#Headers],[Solar]:[Wind]],0)),0)</f>
        <v>0</v>
      </c>
      <c r="AN358" s="63">
        <f>IFERROR(INDEX(Job_Training[[Solar]:[Wind]],MATCH(AN$1,Job_Training[[`Typical Entry Level Education`]:[`Typical Entry Level Education`]],0),MATCH(LEFT($D358,5),Job_Training[[#Headers],[Solar]:[Wind]],0)),0)</f>
        <v>0</v>
      </c>
      <c r="AO358" s="63">
        <f>IFERROR(INDEX(Job_Training[[Solar]:[Wind]],MATCH(AO$1,Job_Training[[`Typical Entry Level Education`]:[`Typical Entry Level Education`]],0),MATCH(LEFT($D358,5),Job_Training[[#Headers],[Solar]:[Wind]],0)),0)</f>
        <v>0</v>
      </c>
      <c r="AP358">
        <f t="shared" si="116"/>
        <v>0</v>
      </c>
      <c r="AQ358" s="63">
        <f>IF(AP358&gt;0,IFERROR(INDEX(Assumptions!$C$165:$D$165,MATCH(LEFT($D358,5),Job_Training[[#Headers],[Solar]:[Wind]],0)),0),0)</f>
        <v>0</v>
      </c>
      <c r="AR358">
        <f>IF(AP358&gt;0,IFERROR(INDEX(Assumptions!$C$166:$D$166,MATCH(LEFT($D358,5),Job_Training[[#Headers],[Solar]:[Wind]],0)),0),0)</f>
        <v>0</v>
      </c>
    </row>
    <row r="359" spans="1:44" hidden="1" x14ac:dyDescent="0.35">
      <c r="A359" t="str">
        <f>UserInput!$B$30</f>
        <v>State Policy Aligned</v>
      </c>
      <c r="B359">
        <v>2025</v>
      </c>
      <c r="C359" t="s">
        <v>41</v>
      </c>
      <c r="D359" t="s">
        <v>85</v>
      </c>
      <c r="E359" s="66">
        <f>INDEX(UserInput!$C$30:$M$50,MATCH(UserMade_Scenario!B359,UserInput!$A$30:$A$50,0),MATCH(LEFT(IF(RIGHT(C359,2)="H2",UserMade_Scenario!C359,D359),3),UserInput!$C$25:$M$25,0))</f>
        <v>588</v>
      </c>
      <c r="F359" t="s">
        <v>81</v>
      </c>
      <c r="G359" s="14">
        <f t="shared" si="106"/>
        <v>2.4788587405349559E-3</v>
      </c>
      <c r="H359" s="63">
        <f t="shared" si="107"/>
        <v>9.9180158071768915E-2</v>
      </c>
      <c r="I359" s="63">
        <f t="shared" si="108"/>
        <v>9.0930487610438954E-2</v>
      </c>
      <c r="J359" s="63">
        <f t="shared" si="109"/>
        <v>0.10742982784449304</v>
      </c>
      <c r="K359" s="30">
        <f>IF(OR(LEFT($D359,5)="Solar",$D359="Wind"),INDEX(Land_Use[AVG],MATCH(LEFT($D359,5),Land_Use[Tech],0)),0)*$E359</f>
        <v>0</v>
      </c>
      <c r="L359" s="30">
        <f>IF(OR(LEFT($D359,5)="Solar",$D359="Wind"),INDEX(Land_Use[MIN],MATCH(LEFT($D359,5),Land_Use[Tech],0)),0)*$E359</f>
        <v>0</v>
      </c>
      <c r="M359" s="30">
        <f>IF(OR(LEFT($D359,5)="Solar",$D359="Wind"),INDEX(Land_Use[MAX],MATCH(LEFT($D359,5),Land_Use[Tech],0)),0)*$E359</f>
        <v>0</v>
      </c>
      <c r="N359" s="15">
        <f t="shared" si="101"/>
        <v>0</v>
      </c>
      <c r="O359" s="11">
        <f t="shared" si="102"/>
        <v>0</v>
      </c>
      <c r="P359" s="11">
        <f t="shared" si="103"/>
        <v>0</v>
      </c>
      <c r="Q359" s="11">
        <f t="shared" si="104"/>
        <v>0</v>
      </c>
      <c r="R359" s="11">
        <f t="shared" si="105"/>
        <v>0</v>
      </c>
      <c r="S359" s="30">
        <f t="shared" si="110"/>
        <v>0</v>
      </c>
      <c r="T359" s="30">
        <f t="shared" si="111"/>
        <v>0</v>
      </c>
      <c r="U359" s="30">
        <f t="shared" si="112"/>
        <v>0</v>
      </c>
      <c r="V359" s="30">
        <f t="shared" si="113"/>
        <v>0</v>
      </c>
      <c r="W359" s="30">
        <f t="shared" si="114"/>
        <v>0</v>
      </c>
      <c r="X359" s="30">
        <f t="shared" si="115"/>
        <v>0</v>
      </c>
      <c r="Z359" s="23" t="s">
        <v>76</v>
      </c>
      <c r="AA359" s="40">
        <f>IF(C359="Electricity",E359*SUMIFS(Electricity!S:S,Electricity!P:P,UserMade_Scenario!B359,Electricity!M:M,UserMade_Scenario!Z359,Electricity!O:O,UserMade_Scenario!D359),"")</f>
        <v>688605.81145836925</v>
      </c>
      <c r="AB359" s="76">
        <f>1/Assumptions!$B$23/1000000000000</f>
        <v>3.5998225679871703E-9</v>
      </c>
      <c r="AC359" s="67" t="s">
        <v>82</v>
      </c>
      <c r="AD359" s="69">
        <f>INDEX(Table11[AVG
CO2e MT per MWh],MATCH(UserMade_Scenario!$B359,Table11[[Year]:[Year]],0))</f>
        <v>-0.14403038200000001</v>
      </c>
      <c r="AE359" s="69">
        <f>INDEX(Table11[MIN
CO2e MT per MWh],MATCH(UserMade_Scenario!$B359,Table11[[Year]:[Year]],0))</f>
        <v>-0.13205013099999999</v>
      </c>
      <c r="AF359" s="69">
        <f>INDEX(Table11[MAX CO2e MT per MWh],MATCH(UserMade_Scenario!$B359,Table11[[Year]:[Year]],0))</f>
        <v>-0.15601063200000001</v>
      </c>
      <c r="AG359" s="68">
        <f>IFERROR(INDEX(WaterUseH2[Average Direct Water Consumption (Gal/ kg h2)],MATCH(LEFT(D359,3),WaterUseH2[Key],0)),0)</f>
        <v>0</v>
      </c>
      <c r="AH359">
        <v>14</v>
      </c>
      <c r="AI359">
        <v>1.4</v>
      </c>
      <c r="AJ359">
        <v>250</v>
      </c>
      <c r="AK359">
        <v>0.31</v>
      </c>
      <c r="AL359" s="63">
        <f>IFERROR(INDEX(Job_Training[[Solar]:[Wind]],MATCH(AL$1,Job_Training[[`Typical Entry Level Education`]:[`Typical Entry Level Education`]],0),MATCH(LEFT($D359,5),Job_Training[[#Headers],[Solar]:[Wind]],0)),0)</f>
        <v>0</v>
      </c>
      <c r="AM359" s="63">
        <f>IFERROR(INDEX(Job_Training[[Solar]:[Wind]],MATCH(AM$1,Job_Training[[`Typical Entry Level Education`]:[`Typical Entry Level Education`]],0),MATCH(LEFT($D359,5),Job_Training[[#Headers],[Solar]:[Wind]],0)),0)</f>
        <v>0</v>
      </c>
      <c r="AN359" s="63">
        <f>IFERROR(INDEX(Job_Training[[Solar]:[Wind]],MATCH(AN$1,Job_Training[[`Typical Entry Level Education`]:[`Typical Entry Level Education`]],0),MATCH(LEFT($D359,5),Job_Training[[#Headers],[Solar]:[Wind]],0)),0)</f>
        <v>0</v>
      </c>
      <c r="AO359" s="63">
        <f>IFERROR(INDEX(Job_Training[[Solar]:[Wind]],MATCH(AO$1,Job_Training[[`Typical Entry Level Education`]:[`Typical Entry Level Education`]],0),MATCH(LEFT($D359,5),Job_Training[[#Headers],[Solar]:[Wind]],0)),0)</f>
        <v>0</v>
      </c>
      <c r="AP359">
        <f t="shared" si="116"/>
        <v>588</v>
      </c>
      <c r="AQ359" s="63">
        <f>IF(AP359&gt;0,IFERROR(INDEX(Assumptions!$C$165:$D$165,MATCH(LEFT($D359,5),Job_Training[[#Headers],[Solar]:[Wind]],0)),0),0)</f>
        <v>0</v>
      </c>
      <c r="AR359">
        <f>IF(AP359&gt;0,IFERROR(INDEX(Assumptions!$C$166:$D$166,MATCH(LEFT($D359,5),Job_Training[[#Headers],[Solar]:[Wind]],0)),0),0)</f>
        <v>0</v>
      </c>
    </row>
    <row r="360" spans="1:44" hidden="1" x14ac:dyDescent="0.35">
      <c r="A360" t="str">
        <f>UserInput!$B$30</f>
        <v>State Policy Aligned</v>
      </c>
      <c r="B360">
        <v>2026</v>
      </c>
      <c r="C360" t="s">
        <v>41</v>
      </c>
      <c r="D360" t="s">
        <v>85</v>
      </c>
      <c r="E360" s="66">
        <f>INDEX(UserInput!$C$30:$M$50,MATCH(UserMade_Scenario!B360,UserInput!$A$30:$A$50,0),MATCH(LEFT(IF(RIGHT(C360,2)="H2",UserMade_Scenario!C360,D360),3),UserInput!$C$25:$M$25,0))</f>
        <v>1176</v>
      </c>
      <c r="F360" t="s">
        <v>81</v>
      </c>
      <c r="G360" s="14">
        <f t="shared" si="106"/>
        <v>4.9577174810699117E-3</v>
      </c>
      <c r="H360" s="63">
        <f t="shared" si="107"/>
        <v>0.19254307864097853</v>
      </c>
      <c r="I360" s="63">
        <f t="shared" si="108"/>
        <v>0.17475763835359978</v>
      </c>
      <c r="J360" s="63">
        <f t="shared" si="109"/>
        <v>0.21032851755114568</v>
      </c>
      <c r="K360" s="30">
        <f>IF(OR(LEFT($D360,5)="Solar",$D360="Wind"),INDEX(Land_Use[AVG],MATCH(LEFT($D360,5),Land_Use[Tech],0)),0)*$E360</f>
        <v>0</v>
      </c>
      <c r="L360" s="30">
        <f>IF(OR(LEFT($D360,5)="Solar",$D360="Wind"),INDEX(Land_Use[MIN],MATCH(LEFT($D360,5),Land_Use[Tech],0)),0)*$E360</f>
        <v>0</v>
      </c>
      <c r="M360" s="30">
        <f>IF(OR(LEFT($D360,5)="Solar",$D360="Wind"),INDEX(Land_Use[MAX],MATCH(LEFT($D360,5),Land_Use[Tech],0)),0)*$E360</f>
        <v>0</v>
      </c>
      <c r="N360" s="15">
        <f t="shared" si="101"/>
        <v>0</v>
      </c>
      <c r="O360" s="11">
        <f t="shared" si="102"/>
        <v>0</v>
      </c>
      <c r="P360" s="11">
        <f t="shared" si="103"/>
        <v>0</v>
      </c>
      <c r="Q360" s="11">
        <f t="shared" si="104"/>
        <v>0</v>
      </c>
      <c r="R360" s="11">
        <f t="shared" si="105"/>
        <v>0</v>
      </c>
      <c r="S360" s="30">
        <f t="shared" si="110"/>
        <v>0</v>
      </c>
      <c r="T360" s="30">
        <f t="shared" si="111"/>
        <v>0</v>
      </c>
      <c r="U360" s="30">
        <f t="shared" si="112"/>
        <v>0</v>
      </c>
      <c r="V360" s="30">
        <f t="shared" si="113"/>
        <v>0</v>
      </c>
      <c r="W360" s="30">
        <f t="shared" si="114"/>
        <v>0</v>
      </c>
      <c r="X360" s="30">
        <f t="shared" si="115"/>
        <v>0</v>
      </c>
      <c r="Z360" s="23" t="s">
        <v>76</v>
      </c>
      <c r="AA360" s="40">
        <f>IF(C360="Electricity",E360*SUMIFS(Electricity!S:S,Electricity!P:P,UserMade_Scenario!B360,Electricity!M:M,UserMade_Scenario!Z360,Electricity!O:O,UserMade_Scenario!D360),"")</f>
        <v>1377211.6229167385</v>
      </c>
      <c r="AB360" s="76">
        <f>1/Assumptions!$B$23/1000000000000</f>
        <v>3.5998225679871703E-9</v>
      </c>
      <c r="AC360" s="67" t="s">
        <v>82</v>
      </c>
      <c r="AD360" s="69">
        <f>INDEX(Table11[AVG
CO2e MT per MWh],MATCH(UserMade_Scenario!$B360,Table11[[Year]:[Year]],0))</f>
        <v>-0.13980645780000001</v>
      </c>
      <c r="AE360" s="69">
        <f>INDEX(Table11[MIN
CO2e MT per MWh],MATCH(UserMade_Scenario!$B360,Table11[[Year]:[Year]],0))</f>
        <v>-0.12689236385</v>
      </c>
      <c r="AF360" s="69">
        <f>INDEX(Table11[MAX CO2e MT per MWh],MATCH(UserMade_Scenario!$B360,Table11[[Year]:[Year]],0))</f>
        <v>-0.15272055075000002</v>
      </c>
      <c r="AG360" s="68">
        <f>IFERROR(INDEX(WaterUseH2[Average Direct Water Consumption (Gal/ kg h2)],MATCH(LEFT(D360,3),WaterUseH2[Key],0)),0)</f>
        <v>0</v>
      </c>
      <c r="AH360">
        <v>14</v>
      </c>
      <c r="AI360">
        <v>1.4</v>
      </c>
      <c r="AJ360">
        <v>250</v>
      </c>
      <c r="AK360">
        <v>0.31</v>
      </c>
      <c r="AL360" s="63">
        <f>IFERROR(INDEX(Job_Training[[Solar]:[Wind]],MATCH(AL$1,Job_Training[[`Typical Entry Level Education`]:[`Typical Entry Level Education`]],0),MATCH(LEFT($D360,5),Job_Training[[#Headers],[Solar]:[Wind]],0)),0)</f>
        <v>0</v>
      </c>
      <c r="AM360" s="63">
        <f>IFERROR(INDEX(Job_Training[[Solar]:[Wind]],MATCH(AM$1,Job_Training[[`Typical Entry Level Education`]:[`Typical Entry Level Education`]],0),MATCH(LEFT($D360,5),Job_Training[[#Headers],[Solar]:[Wind]],0)),0)</f>
        <v>0</v>
      </c>
      <c r="AN360" s="63">
        <f>IFERROR(INDEX(Job_Training[[Solar]:[Wind]],MATCH(AN$1,Job_Training[[`Typical Entry Level Education`]:[`Typical Entry Level Education`]],0),MATCH(LEFT($D360,5),Job_Training[[#Headers],[Solar]:[Wind]],0)),0)</f>
        <v>0</v>
      </c>
      <c r="AO360" s="63">
        <f>IFERROR(INDEX(Job_Training[[Solar]:[Wind]],MATCH(AO$1,Job_Training[[`Typical Entry Level Education`]:[`Typical Entry Level Education`]],0),MATCH(LEFT($D360,5),Job_Training[[#Headers],[Solar]:[Wind]],0)),0)</f>
        <v>0</v>
      </c>
      <c r="AP360">
        <f t="shared" si="116"/>
        <v>588</v>
      </c>
      <c r="AQ360" s="63">
        <f>IF(AP360&gt;0,IFERROR(INDEX(Assumptions!$C$165:$D$165,MATCH(LEFT($D360,5),Job_Training[[#Headers],[Solar]:[Wind]],0)),0),0)</f>
        <v>0</v>
      </c>
      <c r="AR360">
        <f>IF(AP360&gt;0,IFERROR(INDEX(Assumptions!$C$166:$D$166,MATCH(LEFT($D360,5),Job_Training[[#Headers],[Solar]:[Wind]],0)),0),0)</f>
        <v>0</v>
      </c>
    </row>
    <row r="361" spans="1:44" hidden="1" x14ac:dyDescent="0.35">
      <c r="A361" t="str">
        <f>UserInput!$B$30</f>
        <v>State Policy Aligned</v>
      </c>
      <c r="B361">
        <v>2027</v>
      </c>
      <c r="C361" t="s">
        <v>41</v>
      </c>
      <c r="D361" t="s">
        <v>85</v>
      </c>
      <c r="E361" s="66">
        <f>INDEX(UserInput!$C$30:$M$50,MATCH(UserMade_Scenario!B361,UserInput!$A$30:$A$50,0),MATCH(LEFT(IF(RIGHT(C361,2)="H2",UserMade_Scenario!C361,D361),3),UserInput!$C$25:$M$25,0))</f>
        <v>1764</v>
      </c>
      <c r="F361" t="s">
        <v>81</v>
      </c>
      <c r="G361" s="14">
        <f t="shared" ref="G361:G400" si="117">AA361*AB361</f>
        <v>7.4365762216048693E-3</v>
      </c>
      <c r="H361" s="63">
        <f t="shared" si="107"/>
        <v>0.28008876170762886</v>
      </c>
      <c r="I361" s="63">
        <f t="shared" si="108"/>
        <v>0.25148145222948248</v>
      </c>
      <c r="J361" s="63">
        <f t="shared" si="109"/>
        <v>0.30869606911995784</v>
      </c>
      <c r="K361" s="30">
        <f>IF(OR(LEFT($D361,5)="Solar",$D361="Wind"),INDEX(Land_Use[AVG],MATCH(LEFT($D361,5),Land_Use[Tech],0)),0)*$E361</f>
        <v>0</v>
      </c>
      <c r="L361" s="30">
        <f>IF(OR(LEFT($D361,5)="Solar",$D361="Wind"),INDEX(Land_Use[MIN],MATCH(LEFT($D361,5),Land_Use[Tech],0)),0)*$E361</f>
        <v>0</v>
      </c>
      <c r="M361" s="30">
        <f>IF(OR(LEFT($D361,5)="Solar",$D361="Wind"),INDEX(Land_Use[MAX],MATCH(LEFT($D361,5),Land_Use[Tech],0)),0)*$E361</f>
        <v>0</v>
      </c>
      <c r="N361" s="15">
        <f t="shared" si="101"/>
        <v>0</v>
      </c>
      <c r="O361" s="11">
        <f t="shared" si="102"/>
        <v>0</v>
      </c>
      <c r="P361" s="11">
        <f t="shared" si="103"/>
        <v>0</v>
      </c>
      <c r="Q361" s="11">
        <f t="shared" si="104"/>
        <v>0</v>
      </c>
      <c r="R361" s="11">
        <f t="shared" si="105"/>
        <v>0</v>
      </c>
      <c r="S361" s="30">
        <f t="shared" si="110"/>
        <v>0</v>
      </c>
      <c r="T361" s="30">
        <f t="shared" si="111"/>
        <v>0</v>
      </c>
      <c r="U361" s="30">
        <f t="shared" si="112"/>
        <v>0</v>
      </c>
      <c r="V361" s="30">
        <f t="shared" si="113"/>
        <v>0</v>
      </c>
      <c r="W361" s="30">
        <f t="shared" si="114"/>
        <v>0</v>
      </c>
      <c r="X361" s="30">
        <f t="shared" si="115"/>
        <v>0</v>
      </c>
      <c r="Z361" s="23" t="s">
        <v>76</v>
      </c>
      <c r="AA361" s="40">
        <f>IF(C361="Electricity",E361*SUMIFS(Electricity!S:S,Electricity!P:P,UserMade_Scenario!B361,Electricity!M:M,UserMade_Scenario!Z361,Electricity!O:O,UserMade_Scenario!D361),"")</f>
        <v>2065817.434375108</v>
      </c>
      <c r="AB361" s="76">
        <f>1/Assumptions!$B$23/1000000000000</f>
        <v>3.5998225679871703E-9</v>
      </c>
      <c r="AC361" s="67" t="s">
        <v>82</v>
      </c>
      <c r="AD361" s="69">
        <f>INDEX(Table11[AVG
CO2e MT per MWh],MATCH(UserMade_Scenario!$B361,Table11[[Year]:[Year]],0))</f>
        <v>-0.1355825336</v>
      </c>
      <c r="AE361" s="69">
        <f>INDEX(Table11[MIN
CO2e MT per MWh],MATCH(UserMade_Scenario!$B361,Table11[[Year]:[Year]],0))</f>
        <v>-0.1217345967</v>
      </c>
      <c r="AF361" s="69">
        <f>INDEX(Table11[MAX CO2e MT per MWh],MATCH(UserMade_Scenario!$B361,Table11[[Year]:[Year]],0))</f>
        <v>-0.14943046950000002</v>
      </c>
      <c r="AG361" s="68">
        <f>IFERROR(INDEX(WaterUseH2[Average Direct Water Consumption (Gal/ kg h2)],MATCH(LEFT(D361,3),WaterUseH2[Key],0)),0)</f>
        <v>0</v>
      </c>
      <c r="AH361">
        <v>14</v>
      </c>
      <c r="AI361">
        <v>1.4</v>
      </c>
      <c r="AJ361">
        <v>250</v>
      </c>
      <c r="AK361">
        <v>0.31</v>
      </c>
      <c r="AL361" s="63">
        <f>IFERROR(INDEX(Job_Training[[Solar]:[Wind]],MATCH(AL$1,Job_Training[[`Typical Entry Level Education`]:[`Typical Entry Level Education`]],0),MATCH(LEFT($D361,5),Job_Training[[#Headers],[Solar]:[Wind]],0)),0)</f>
        <v>0</v>
      </c>
      <c r="AM361" s="63">
        <f>IFERROR(INDEX(Job_Training[[Solar]:[Wind]],MATCH(AM$1,Job_Training[[`Typical Entry Level Education`]:[`Typical Entry Level Education`]],0),MATCH(LEFT($D361,5),Job_Training[[#Headers],[Solar]:[Wind]],0)),0)</f>
        <v>0</v>
      </c>
      <c r="AN361" s="63">
        <f>IFERROR(INDEX(Job_Training[[Solar]:[Wind]],MATCH(AN$1,Job_Training[[`Typical Entry Level Education`]:[`Typical Entry Level Education`]],0),MATCH(LEFT($D361,5),Job_Training[[#Headers],[Solar]:[Wind]],0)),0)</f>
        <v>0</v>
      </c>
      <c r="AO361" s="63">
        <f>IFERROR(INDEX(Job_Training[[Solar]:[Wind]],MATCH(AO$1,Job_Training[[`Typical Entry Level Education`]:[`Typical Entry Level Education`]],0),MATCH(LEFT($D361,5),Job_Training[[#Headers],[Solar]:[Wind]],0)),0)</f>
        <v>0</v>
      </c>
      <c r="AP361">
        <f t="shared" si="116"/>
        <v>588</v>
      </c>
      <c r="AQ361" s="63">
        <f>IF(AP361&gt;0,IFERROR(INDEX(Assumptions!$C$165:$D$165,MATCH(LEFT($D361,5),Job_Training[[#Headers],[Solar]:[Wind]],0)),0),0)</f>
        <v>0</v>
      </c>
      <c r="AR361">
        <f>IF(AP361&gt;0,IFERROR(INDEX(Assumptions!$C$166:$D$166,MATCH(LEFT($D361,5),Job_Training[[#Headers],[Solar]:[Wind]],0)),0),0)</f>
        <v>0</v>
      </c>
    </row>
    <row r="362" spans="1:44" hidden="1" x14ac:dyDescent="0.35">
      <c r="A362" t="str">
        <f>UserInput!$B$30</f>
        <v>State Policy Aligned</v>
      </c>
      <c r="B362">
        <v>2028</v>
      </c>
      <c r="C362" t="s">
        <v>41</v>
      </c>
      <c r="D362" t="s">
        <v>85</v>
      </c>
      <c r="E362" s="66">
        <f>INDEX(UserInput!$C$30:$M$50,MATCH(UserMade_Scenario!B362,UserInput!$A$30:$A$50,0),MATCH(LEFT(IF(RIGHT(C362,2)="H2",UserMade_Scenario!C362,D362),3),UserInput!$C$25:$M$25,0))</f>
        <v>2353</v>
      </c>
      <c r="F362" t="s">
        <v>81</v>
      </c>
      <c r="G362" s="14">
        <f t="shared" si="117"/>
        <v>9.9196507082971973E-3</v>
      </c>
      <c r="H362" s="63">
        <f t="shared" si="107"/>
        <v>0.36197104111834899</v>
      </c>
      <c r="I362" s="63">
        <f t="shared" si="108"/>
        <v>0.32123845216718488</v>
      </c>
      <c r="J362" s="63">
        <f t="shared" si="109"/>
        <v>0.40270362731391895</v>
      </c>
      <c r="K362" s="30">
        <f>IF(OR(LEFT($D362,5)="Solar",$D362="Wind"),INDEX(Land_Use[AVG],MATCH(LEFT($D362,5),Land_Use[Tech],0)),0)*$E362</f>
        <v>0</v>
      </c>
      <c r="L362" s="30">
        <f>IF(OR(LEFT($D362,5)="Solar",$D362="Wind"),INDEX(Land_Use[MIN],MATCH(LEFT($D362,5),Land_Use[Tech],0)),0)*$E362</f>
        <v>0</v>
      </c>
      <c r="M362" s="30">
        <f>IF(OR(LEFT($D362,5)="Solar",$D362="Wind"),INDEX(Land_Use[MAX],MATCH(LEFT($D362,5),Land_Use[Tech],0)),0)*$E362</f>
        <v>0</v>
      </c>
      <c r="N362" s="15">
        <f t="shared" si="101"/>
        <v>0</v>
      </c>
      <c r="O362" s="11">
        <f t="shared" si="102"/>
        <v>0</v>
      </c>
      <c r="P362" s="11">
        <f t="shared" si="103"/>
        <v>0</v>
      </c>
      <c r="Q362" s="11">
        <f t="shared" si="104"/>
        <v>0</v>
      </c>
      <c r="R362" s="11">
        <f t="shared" si="105"/>
        <v>0</v>
      </c>
      <c r="S362" s="30">
        <f t="shared" si="110"/>
        <v>0</v>
      </c>
      <c r="T362" s="30">
        <f t="shared" si="111"/>
        <v>0</v>
      </c>
      <c r="U362" s="30">
        <f t="shared" si="112"/>
        <v>0</v>
      </c>
      <c r="V362" s="30">
        <f t="shared" si="113"/>
        <v>0</v>
      </c>
      <c r="W362" s="30">
        <f t="shared" si="114"/>
        <v>0</v>
      </c>
      <c r="X362" s="30">
        <f t="shared" si="115"/>
        <v>0</v>
      </c>
      <c r="Z362" s="23" t="s">
        <v>76</v>
      </c>
      <c r="AA362" s="40">
        <f>IF(C362="Electricity",E362*SUMIFS(Electricity!S:S,Electricity!P:P,UserMade_Scenario!B362,Electricity!M:M,UserMade_Scenario!Z362,Electricity!O:O,UserMade_Scenario!D362),"")</f>
        <v>2755594.3441522839</v>
      </c>
      <c r="AB362" s="76">
        <f>1/Assumptions!$B$23/1000000000000</f>
        <v>3.5998225679871703E-9</v>
      </c>
      <c r="AC362" s="67" t="s">
        <v>82</v>
      </c>
      <c r="AD362" s="69">
        <f>INDEX(Table11[AVG
CO2e MT per MWh],MATCH(UserMade_Scenario!$B362,Table11[[Year]:[Year]],0))</f>
        <v>-0.13135860939999999</v>
      </c>
      <c r="AE362" s="69">
        <f>INDEX(Table11[MIN
CO2e MT per MWh],MATCH(UserMade_Scenario!$B362,Table11[[Year]:[Year]],0))</f>
        <v>-0.11657682955000001</v>
      </c>
      <c r="AF362" s="69">
        <f>INDEX(Table11[MAX CO2e MT per MWh],MATCH(UserMade_Scenario!$B362,Table11[[Year]:[Year]],0))</f>
        <v>-0.14614038825000003</v>
      </c>
      <c r="AG362" s="68">
        <f>IFERROR(INDEX(WaterUseH2[Average Direct Water Consumption (Gal/ kg h2)],MATCH(LEFT(D362,3),WaterUseH2[Key],0)),0)</f>
        <v>0</v>
      </c>
      <c r="AH362">
        <v>14</v>
      </c>
      <c r="AI362">
        <v>1.4</v>
      </c>
      <c r="AJ362">
        <v>250</v>
      </c>
      <c r="AK362">
        <v>0.31</v>
      </c>
      <c r="AL362" s="63">
        <f>IFERROR(INDEX(Job_Training[[Solar]:[Wind]],MATCH(AL$1,Job_Training[[`Typical Entry Level Education`]:[`Typical Entry Level Education`]],0),MATCH(LEFT($D362,5),Job_Training[[#Headers],[Solar]:[Wind]],0)),0)</f>
        <v>0</v>
      </c>
      <c r="AM362" s="63">
        <f>IFERROR(INDEX(Job_Training[[Solar]:[Wind]],MATCH(AM$1,Job_Training[[`Typical Entry Level Education`]:[`Typical Entry Level Education`]],0),MATCH(LEFT($D362,5),Job_Training[[#Headers],[Solar]:[Wind]],0)),0)</f>
        <v>0</v>
      </c>
      <c r="AN362" s="63">
        <f>IFERROR(INDEX(Job_Training[[Solar]:[Wind]],MATCH(AN$1,Job_Training[[`Typical Entry Level Education`]:[`Typical Entry Level Education`]],0),MATCH(LEFT($D362,5),Job_Training[[#Headers],[Solar]:[Wind]],0)),0)</f>
        <v>0</v>
      </c>
      <c r="AO362" s="63">
        <f>IFERROR(INDEX(Job_Training[[Solar]:[Wind]],MATCH(AO$1,Job_Training[[`Typical Entry Level Education`]:[`Typical Entry Level Education`]],0),MATCH(LEFT($D362,5),Job_Training[[#Headers],[Solar]:[Wind]],0)),0)</f>
        <v>0</v>
      </c>
      <c r="AP362">
        <f t="shared" si="116"/>
        <v>589</v>
      </c>
      <c r="AQ362" s="63">
        <f>IF(AP362&gt;0,IFERROR(INDEX(Assumptions!$C$165:$D$165,MATCH(LEFT($D362,5),Job_Training[[#Headers],[Solar]:[Wind]],0)),0),0)</f>
        <v>0</v>
      </c>
      <c r="AR362">
        <f>IF(AP362&gt;0,IFERROR(INDEX(Assumptions!$C$166:$D$166,MATCH(LEFT($D362,5),Job_Training[[#Headers],[Solar]:[Wind]],0)),0),0)</f>
        <v>0</v>
      </c>
    </row>
    <row r="363" spans="1:44" hidden="1" x14ac:dyDescent="0.35">
      <c r="A363" t="str">
        <f>UserInput!$B$30</f>
        <v>State Policy Aligned</v>
      </c>
      <c r="B363">
        <v>2029</v>
      </c>
      <c r="C363" t="s">
        <v>41</v>
      </c>
      <c r="D363" t="s">
        <v>85</v>
      </c>
      <c r="E363" s="66">
        <f>INDEX(UserInput!$C$30:$M$50,MATCH(UserMade_Scenario!B363,UserInput!$A$30:$A$50,0),MATCH(LEFT(IF(RIGHT(C363,2)="H2",UserMade_Scenario!C363,D363),3),UserInput!$C$25:$M$25,0))</f>
        <v>2941</v>
      </c>
      <c r="F363" t="s">
        <v>81</v>
      </c>
      <c r="G363" s="14">
        <f t="shared" si="117"/>
        <v>1.2398509448832152E-2</v>
      </c>
      <c r="H363" s="63">
        <f t="shared" si="107"/>
        <v>0.43787730254935137</v>
      </c>
      <c r="I363" s="63">
        <f t="shared" si="108"/>
        <v>0.38374955205607314</v>
      </c>
      <c r="J363" s="63">
        <f t="shared" si="109"/>
        <v>0.49200504959842972</v>
      </c>
      <c r="K363" s="30">
        <f>IF(OR(LEFT($D363,5)="Solar",$D363="Wind"),INDEX(Land_Use[AVG],MATCH(LEFT($D363,5),Land_Use[Tech],0)),0)*$E363</f>
        <v>0</v>
      </c>
      <c r="L363" s="30">
        <f>IF(OR(LEFT($D363,5)="Solar",$D363="Wind"),INDEX(Land_Use[MIN],MATCH(LEFT($D363,5),Land_Use[Tech],0)),0)*$E363</f>
        <v>0</v>
      </c>
      <c r="M363" s="30">
        <f>IF(OR(LEFT($D363,5)="Solar",$D363="Wind"),INDEX(Land_Use[MAX],MATCH(LEFT($D363,5),Land_Use[Tech],0)),0)*$E363</f>
        <v>0</v>
      </c>
      <c r="N363" s="15">
        <f t="shared" ref="N363:N426" si="118">E363*AG363*1000/1000000</f>
        <v>0</v>
      </c>
      <c r="O363" s="11">
        <f t="shared" ref="O363:O426" si="119">$K363*AH$2</f>
        <v>0</v>
      </c>
      <c r="P363" s="11">
        <f t="shared" ref="P363:P426" si="120">$K363*AI$2</f>
        <v>0</v>
      </c>
      <c r="Q363" s="11">
        <f t="shared" ref="Q363:Q426" si="121">$K363*AJ$2</f>
        <v>0</v>
      </c>
      <c r="R363" s="11">
        <f t="shared" ref="R363:R426" si="122">$K363*AK$2</f>
        <v>0</v>
      </c>
      <c r="S363" s="30">
        <f t="shared" si="110"/>
        <v>0</v>
      </c>
      <c r="T363" s="30">
        <f t="shared" si="111"/>
        <v>0</v>
      </c>
      <c r="U363" s="30">
        <f t="shared" si="112"/>
        <v>0</v>
      </c>
      <c r="V363" s="30">
        <f t="shared" si="113"/>
        <v>0</v>
      </c>
      <c r="W363" s="30">
        <f t="shared" si="114"/>
        <v>0</v>
      </c>
      <c r="X363" s="30">
        <f t="shared" si="115"/>
        <v>0</v>
      </c>
      <c r="Z363" s="23" t="s">
        <v>76</v>
      </c>
      <c r="AA363" s="40">
        <f>IF(C363="Electricity",E363*SUMIFS(Electricity!S:S,Electricity!P:P,UserMade_Scenario!B363,Electricity!M:M,UserMade_Scenario!Z363,Electricity!O:O,UserMade_Scenario!D363),"")</f>
        <v>3444200.1556106531</v>
      </c>
      <c r="AB363" s="76">
        <f>1/Assumptions!$B$23/1000000000000</f>
        <v>3.5998225679871703E-9</v>
      </c>
      <c r="AC363" s="67" t="s">
        <v>82</v>
      </c>
      <c r="AD363" s="69">
        <f>INDEX(Table11[AVG
CO2e MT per MWh],MATCH(UserMade_Scenario!$B363,Table11[[Year]:[Year]],0))</f>
        <v>-0.12713468519999999</v>
      </c>
      <c r="AE363" s="69">
        <f>INDEX(Table11[MIN
CO2e MT per MWh],MATCH(UserMade_Scenario!$B363,Table11[[Year]:[Year]],0))</f>
        <v>-0.11141906240000002</v>
      </c>
      <c r="AF363" s="69">
        <f>INDEX(Table11[MAX CO2e MT per MWh],MATCH(UserMade_Scenario!$B363,Table11[[Year]:[Year]],0))</f>
        <v>-0.14285030700000004</v>
      </c>
      <c r="AG363" s="68">
        <f>IFERROR(INDEX(WaterUseH2[Average Direct Water Consumption (Gal/ kg h2)],MATCH(LEFT(D363,3),WaterUseH2[Key],0)),0)</f>
        <v>0</v>
      </c>
      <c r="AH363">
        <v>14</v>
      </c>
      <c r="AI363">
        <v>1.4</v>
      </c>
      <c r="AJ363">
        <v>250</v>
      </c>
      <c r="AK363">
        <v>0.31</v>
      </c>
      <c r="AL363" s="63">
        <f>IFERROR(INDEX(Job_Training[[Solar]:[Wind]],MATCH(AL$1,Job_Training[[`Typical Entry Level Education`]:[`Typical Entry Level Education`]],0),MATCH(LEFT($D363,5),Job_Training[[#Headers],[Solar]:[Wind]],0)),0)</f>
        <v>0</v>
      </c>
      <c r="AM363" s="63">
        <f>IFERROR(INDEX(Job_Training[[Solar]:[Wind]],MATCH(AM$1,Job_Training[[`Typical Entry Level Education`]:[`Typical Entry Level Education`]],0),MATCH(LEFT($D363,5),Job_Training[[#Headers],[Solar]:[Wind]],0)),0)</f>
        <v>0</v>
      </c>
      <c r="AN363" s="63">
        <f>IFERROR(INDEX(Job_Training[[Solar]:[Wind]],MATCH(AN$1,Job_Training[[`Typical Entry Level Education`]:[`Typical Entry Level Education`]],0),MATCH(LEFT($D363,5),Job_Training[[#Headers],[Solar]:[Wind]],0)),0)</f>
        <v>0</v>
      </c>
      <c r="AO363" s="63">
        <f>IFERROR(INDEX(Job_Training[[Solar]:[Wind]],MATCH(AO$1,Job_Training[[`Typical Entry Level Education`]:[`Typical Entry Level Education`]],0),MATCH(LEFT($D363,5),Job_Training[[#Headers],[Solar]:[Wind]],0)),0)</f>
        <v>0</v>
      </c>
      <c r="AP363">
        <f t="shared" si="116"/>
        <v>588</v>
      </c>
      <c r="AQ363" s="63">
        <f>IF(AP363&gt;0,IFERROR(INDEX(Assumptions!$C$165:$D$165,MATCH(LEFT($D363,5),Job_Training[[#Headers],[Solar]:[Wind]],0)),0),0)</f>
        <v>0</v>
      </c>
      <c r="AR363">
        <f>IF(AP363&gt;0,IFERROR(INDEX(Assumptions!$C$166:$D$166,MATCH(LEFT($D363,5),Job_Training[[#Headers],[Solar]:[Wind]],0)),0),0)</f>
        <v>0</v>
      </c>
    </row>
    <row r="364" spans="1:44" hidden="1" x14ac:dyDescent="0.35">
      <c r="A364" t="str">
        <f>UserInput!$B$30</f>
        <v>State Policy Aligned</v>
      </c>
      <c r="B364">
        <v>2030</v>
      </c>
      <c r="C364" t="s">
        <v>41</v>
      </c>
      <c r="D364" t="s">
        <v>85</v>
      </c>
      <c r="E364" s="66">
        <f>INDEX(UserInput!$C$30:$M$50,MATCH(UserMade_Scenario!B364,UserInput!$A$30:$A$50,0),MATCH(LEFT(IF(RIGHT(C364,2)="H2",UserMade_Scenario!C364,D364),3),UserInput!$C$25:$M$25,0))</f>
        <v>3529</v>
      </c>
      <c r="F364" t="s">
        <v>81</v>
      </c>
      <c r="G364" s="14">
        <f t="shared" si="117"/>
        <v>1.4877368189367109E-2</v>
      </c>
      <c r="H364" s="63">
        <f t="shared" si="107"/>
        <v>0.50796632647779438</v>
      </c>
      <c r="I364" s="63">
        <f t="shared" si="108"/>
        <v>0.4391573150776833</v>
      </c>
      <c r="J364" s="63">
        <f t="shared" si="109"/>
        <v>0.57677533374510004</v>
      </c>
      <c r="K364" s="30">
        <f>IF(OR(LEFT($D364,5)="Solar",$D364="Wind"),INDEX(Land_Use[AVG],MATCH(LEFT($D364,5),Land_Use[Tech],0)),0)*$E364</f>
        <v>0</v>
      </c>
      <c r="L364" s="30">
        <f>IF(OR(LEFT($D364,5)="Solar",$D364="Wind"),INDEX(Land_Use[MIN],MATCH(LEFT($D364,5),Land_Use[Tech],0)),0)*$E364</f>
        <v>0</v>
      </c>
      <c r="M364" s="30">
        <f>IF(OR(LEFT($D364,5)="Solar",$D364="Wind"),INDEX(Land_Use[MAX],MATCH(LEFT($D364,5),Land_Use[Tech],0)),0)*$E364</f>
        <v>0</v>
      </c>
      <c r="N364" s="15">
        <f t="shared" si="118"/>
        <v>0</v>
      </c>
      <c r="O364" s="11">
        <f t="shared" si="119"/>
        <v>0</v>
      </c>
      <c r="P364" s="11">
        <f t="shared" si="120"/>
        <v>0</v>
      </c>
      <c r="Q364" s="11">
        <f t="shared" si="121"/>
        <v>0</v>
      </c>
      <c r="R364" s="11">
        <f t="shared" si="122"/>
        <v>0</v>
      </c>
      <c r="S364" s="30">
        <f t="shared" si="110"/>
        <v>0</v>
      </c>
      <c r="T364" s="30">
        <f t="shared" si="111"/>
        <v>0</v>
      </c>
      <c r="U364" s="30">
        <f t="shared" si="112"/>
        <v>0</v>
      </c>
      <c r="V364" s="30">
        <f t="shared" si="113"/>
        <v>0</v>
      </c>
      <c r="W364" s="30">
        <f t="shared" si="114"/>
        <v>0</v>
      </c>
      <c r="X364" s="30">
        <f t="shared" si="115"/>
        <v>0</v>
      </c>
      <c r="Z364" s="23" t="s">
        <v>76</v>
      </c>
      <c r="AA364" s="40">
        <f>IF(C364="Electricity",E364*SUMIFS(Electricity!S:S,Electricity!P:P,UserMade_Scenario!B364,Electricity!M:M,UserMade_Scenario!Z364,Electricity!O:O,UserMade_Scenario!D364),"")</f>
        <v>4132805.9670690224</v>
      </c>
      <c r="AB364" s="76">
        <f>1/Assumptions!$B$23/1000000000000</f>
        <v>3.5998225679871703E-9</v>
      </c>
      <c r="AC364" s="67" t="s">
        <v>82</v>
      </c>
      <c r="AD364" s="69">
        <f>INDEX(Table11[AVG
CO2e MT per MWh],MATCH(UserMade_Scenario!$B364,Table11[[Year]:[Year]],0))</f>
        <v>-0.12291076099999998</v>
      </c>
      <c r="AE364" s="69">
        <f>INDEX(Table11[MIN
CO2e MT per MWh],MATCH(UserMade_Scenario!$B364,Table11[[Year]:[Year]],0))</f>
        <v>-0.10626129525000003</v>
      </c>
      <c r="AF364" s="69">
        <f>INDEX(Table11[MAX CO2e MT per MWh],MATCH(UserMade_Scenario!$B364,Table11[[Year]:[Year]],0))</f>
        <v>-0.13956022575000004</v>
      </c>
      <c r="AG364" s="68">
        <f>IFERROR(INDEX(WaterUseH2[Average Direct Water Consumption (Gal/ kg h2)],MATCH(LEFT(D364,3),WaterUseH2[Key],0)),0)</f>
        <v>0</v>
      </c>
      <c r="AH364">
        <v>14</v>
      </c>
      <c r="AI364">
        <v>1.4</v>
      </c>
      <c r="AJ364">
        <v>250</v>
      </c>
      <c r="AK364">
        <v>0.31</v>
      </c>
      <c r="AL364" s="63">
        <f>IFERROR(INDEX(Job_Training[[Solar]:[Wind]],MATCH(AL$1,Job_Training[[`Typical Entry Level Education`]:[`Typical Entry Level Education`]],0),MATCH(LEFT($D364,5),Job_Training[[#Headers],[Solar]:[Wind]],0)),0)</f>
        <v>0</v>
      </c>
      <c r="AM364" s="63">
        <f>IFERROR(INDEX(Job_Training[[Solar]:[Wind]],MATCH(AM$1,Job_Training[[`Typical Entry Level Education`]:[`Typical Entry Level Education`]],0),MATCH(LEFT($D364,5),Job_Training[[#Headers],[Solar]:[Wind]],0)),0)</f>
        <v>0</v>
      </c>
      <c r="AN364" s="63">
        <f>IFERROR(INDEX(Job_Training[[Solar]:[Wind]],MATCH(AN$1,Job_Training[[`Typical Entry Level Education`]:[`Typical Entry Level Education`]],0),MATCH(LEFT($D364,5),Job_Training[[#Headers],[Solar]:[Wind]],0)),0)</f>
        <v>0</v>
      </c>
      <c r="AO364" s="63">
        <f>IFERROR(INDEX(Job_Training[[Solar]:[Wind]],MATCH(AO$1,Job_Training[[`Typical Entry Level Education`]:[`Typical Entry Level Education`]],0),MATCH(LEFT($D364,5),Job_Training[[#Headers],[Solar]:[Wind]],0)),0)</f>
        <v>0</v>
      </c>
      <c r="AP364">
        <f t="shared" si="116"/>
        <v>588</v>
      </c>
      <c r="AQ364" s="63">
        <f>IF(AP364&gt;0,IFERROR(INDEX(Assumptions!$C$165:$D$165,MATCH(LEFT($D364,5),Job_Training[[#Headers],[Solar]:[Wind]],0)),0),0)</f>
        <v>0</v>
      </c>
      <c r="AR364">
        <f>IF(AP364&gt;0,IFERROR(INDEX(Assumptions!$C$166:$D$166,MATCH(LEFT($D364,5),Job_Training[[#Headers],[Solar]:[Wind]],0)),0),0)</f>
        <v>0</v>
      </c>
    </row>
    <row r="365" spans="1:44" hidden="1" x14ac:dyDescent="0.35">
      <c r="A365" t="str">
        <f>UserInput!$B$30</f>
        <v>State Policy Aligned</v>
      </c>
      <c r="B365">
        <v>2031</v>
      </c>
      <c r="C365" t="s">
        <v>41</v>
      </c>
      <c r="D365" t="s">
        <v>85</v>
      </c>
      <c r="E365" s="66">
        <f>INDEX(UserInput!$C$30:$M$50,MATCH(UserMade_Scenario!B365,UserInput!$A$30:$A$50,0),MATCH(LEFT(IF(RIGHT(C365,2)="H2",UserMade_Scenario!C365,D365),3),UserInput!$C$25:$M$25,0))</f>
        <v>4117</v>
      </c>
      <c r="F365" t="s">
        <v>81</v>
      </c>
      <c r="G365" s="14">
        <f t="shared" si="117"/>
        <v>1.7356226929902067E-2</v>
      </c>
      <c r="H365" s="63">
        <f t="shared" si="107"/>
        <v>0.57223811290367821</v>
      </c>
      <c r="I365" s="63">
        <f t="shared" si="108"/>
        <v>0.48746174123201536</v>
      </c>
      <c r="J365" s="63">
        <f t="shared" si="109"/>
        <v>0.65701447975393001</v>
      </c>
      <c r="K365" s="30">
        <f>IF(OR(LEFT($D365,5)="Solar",$D365="Wind"),INDEX(Land_Use[AVG],MATCH(LEFT($D365,5),Land_Use[Tech],0)),0)*$E365</f>
        <v>0</v>
      </c>
      <c r="L365" s="30">
        <f>IF(OR(LEFT($D365,5)="Solar",$D365="Wind"),INDEX(Land_Use[MIN],MATCH(LEFT($D365,5),Land_Use[Tech],0)),0)*$E365</f>
        <v>0</v>
      </c>
      <c r="M365" s="30">
        <f>IF(OR(LEFT($D365,5)="Solar",$D365="Wind"),INDEX(Land_Use[MAX],MATCH(LEFT($D365,5),Land_Use[Tech],0)),0)*$E365</f>
        <v>0</v>
      </c>
      <c r="N365" s="15">
        <f t="shared" si="118"/>
        <v>0</v>
      </c>
      <c r="O365" s="11">
        <f t="shared" si="119"/>
        <v>0</v>
      </c>
      <c r="P365" s="11">
        <f t="shared" si="120"/>
        <v>0</v>
      </c>
      <c r="Q365" s="11">
        <f t="shared" si="121"/>
        <v>0</v>
      </c>
      <c r="R365" s="11">
        <f t="shared" si="122"/>
        <v>0</v>
      </c>
      <c r="S365" s="30">
        <f t="shared" si="110"/>
        <v>0</v>
      </c>
      <c r="T365" s="30">
        <f t="shared" si="111"/>
        <v>0</v>
      </c>
      <c r="U365" s="30">
        <f t="shared" si="112"/>
        <v>0</v>
      </c>
      <c r="V365" s="30">
        <f t="shared" si="113"/>
        <v>0</v>
      </c>
      <c r="W365" s="30">
        <f t="shared" si="114"/>
        <v>0</v>
      </c>
      <c r="X365" s="30">
        <f t="shared" si="115"/>
        <v>0</v>
      </c>
      <c r="Z365" s="23" t="s">
        <v>76</v>
      </c>
      <c r="AA365" s="40">
        <f>IF(C365="Electricity",E365*SUMIFS(Electricity!S:S,Electricity!P:P,UserMade_Scenario!B365,Electricity!M:M,UserMade_Scenario!Z365,Electricity!O:O,UserMade_Scenario!D365),"")</f>
        <v>4821411.7785273921</v>
      </c>
      <c r="AB365" s="76">
        <f>1/Assumptions!$B$23/1000000000000</f>
        <v>3.5998225679871703E-9</v>
      </c>
      <c r="AC365" s="67" t="s">
        <v>82</v>
      </c>
      <c r="AD365" s="69">
        <f>INDEX(Table11[AVG
CO2e MT per MWh],MATCH(UserMade_Scenario!$B365,Table11[[Year]:[Year]],0))</f>
        <v>-0.11868683679999997</v>
      </c>
      <c r="AE365" s="69">
        <f>INDEX(Table11[MIN
CO2e MT per MWh],MATCH(UserMade_Scenario!$B365,Table11[[Year]:[Year]],0))</f>
        <v>-0.10110352810000003</v>
      </c>
      <c r="AF365" s="69">
        <f>INDEX(Table11[MAX CO2e MT per MWh],MATCH(UserMade_Scenario!$B365,Table11[[Year]:[Year]],0))</f>
        <v>-0.13627014450000005</v>
      </c>
      <c r="AG365" s="68">
        <f>IFERROR(INDEX(WaterUseH2[Average Direct Water Consumption (Gal/ kg h2)],MATCH(LEFT(D365,3),WaterUseH2[Key],0)),0)</f>
        <v>0</v>
      </c>
      <c r="AH365">
        <v>14</v>
      </c>
      <c r="AI365">
        <v>1.4</v>
      </c>
      <c r="AJ365">
        <v>250</v>
      </c>
      <c r="AK365">
        <v>0.31</v>
      </c>
      <c r="AL365" s="63">
        <f>IFERROR(INDEX(Job_Training[[Solar]:[Wind]],MATCH(AL$1,Job_Training[[`Typical Entry Level Education`]:[`Typical Entry Level Education`]],0),MATCH(LEFT($D365,5),Job_Training[[#Headers],[Solar]:[Wind]],0)),0)</f>
        <v>0</v>
      </c>
      <c r="AM365" s="63">
        <f>IFERROR(INDEX(Job_Training[[Solar]:[Wind]],MATCH(AM$1,Job_Training[[`Typical Entry Level Education`]:[`Typical Entry Level Education`]],0),MATCH(LEFT($D365,5),Job_Training[[#Headers],[Solar]:[Wind]],0)),0)</f>
        <v>0</v>
      </c>
      <c r="AN365" s="63">
        <f>IFERROR(INDEX(Job_Training[[Solar]:[Wind]],MATCH(AN$1,Job_Training[[`Typical Entry Level Education`]:[`Typical Entry Level Education`]],0),MATCH(LEFT($D365,5),Job_Training[[#Headers],[Solar]:[Wind]],0)),0)</f>
        <v>0</v>
      </c>
      <c r="AO365" s="63">
        <f>IFERROR(INDEX(Job_Training[[Solar]:[Wind]],MATCH(AO$1,Job_Training[[`Typical Entry Level Education`]:[`Typical Entry Level Education`]],0),MATCH(LEFT($D365,5),Job_Training[[#Headers],[Solar]:[Wind]],0)),0)</f>
        <v>0</v>
      </c>
      <c r="AP365">
        <f t="shared" si="116"/>
        <v>588</v>
      </c>
      <c r="AQ365" s="63">
        <f>IF(AP365&gt;0,IFERROR(INDEX(Assumptions!$C$165:$D$165,MATCH(LEFT($D365,5),Job_Training[[#Headers],[Solar]:[Wind]],0)),0),0)</f>
        <v>0</v>
      </c>
      <c r="AR365">
        <f>IF(AP365&gt;0,IFERROR(INDEX(Assumptions!$C$166:$D$166,MATCH(LEFT($D365,5),Job_Training[[#Headers],[Solar]:[Wind]],0)),0),0)</f>
        <v>0</v>
      </c>
    </row>
    <row r="366" spans="1:44" hidden="1" x14ac:dyDescent="0.35">
      <c r="A366" t="str">
        <f>UserInput!$B$30</f>
        <v>State Policy Aligned</v>
      </c>
      <c r="B366">
        <v>2032</v>
      </c>
      <c r="C366" t="s">
        <v>41</v>
      </c>
      <c r="D366" t="s">
        <v>85</v>
      </c>
      <c r="E366" s="66">
        <f>INDEX(UserInput!$C$30:$M$50,MATCH(UserMade_Scenario!B366,UserInput!$A$30:$A$50,0),MATCH(LEFT(IF(RIGHT(C366,2)="H2",UserMade_Scenario!C366,D366),3),UserInput!$C$25:$M$25,0))</f>
        <v>4705</v>
      </c>
      <c r="F366" t="s">
        <v>81</v>
      </c>
      <c r="G366" s="14">
        <f t="shared" si="117"/>
        <v>1.9835085670437021E-2</v>
      </c>
      <c r="H366" s="63">
        <f t="shared" si="107"/>
        <v>0.63069266182700257</v>
      </c>
      <c r="I366" s="63">
        <f t="shared" si="108"/>
        <v>0.52866283051906915</v>
      </c>
      <c r="J366" s="63">
        <f t="shared" si="109"/>
        <v>0.73272248762491943</v>
      </c>
      <c r="K366" s="30">
        <f>IF(OR(LEFT($D366,5)="Solar",$D366="Wind"),INDEX(Land_Use[AVG],MATCH(LEFT($D366,5),Land_Use[Tech],0)),0)*$E366</f>
        <v>0</v>
      </c>
      <c r="L366" s="30">
        <f>IF(OR(LEFT($D366,5)="Solar",$D366="Wind"),INDEX(Land_Use[MIN],MATCH(LEFT($D366,5),Land_Use[Tech],0)),0)*$E366</f>
        <v>0</v>
      </c>
      <c r="M366" s="30">
        <f>IF(OR(LEFT($D366,5)="Solar",$D366="Wind"),INDEX(Land_Use[MAX],MATCH(LEFT($D366,5),Land_Use[Tech],0)),0)*$E366</f>
        <v>0</v>
      </c>
      <c r="N366" s="15">
        <f t="shared" si="118"/>
        <v>0</v>
      </c>
      <c r="O366" s="11">
        <f t="shared" si="119"/>
        <v>0</v>
      </c>
      <c r="P366" s="11">
        <f t="shared" si="120"/>
        <v>0</v>
      </c>
      <c r="Q366" s="11">
        <f t="shared" si="121"/>
        <v>0</v>
      </c>
      <c r="R366" s="11">
        <f t="shared" si="122"/>
        <v>0</v>
      </c>
      <c r="S366" s="30">
        <f t="shared" si="110"/>
        <v>0</v>
      </c>
      <c r="T366" s="30">
        <f t="shared" si="111"/>
        <v>0</v>
      </c>
      <c r="U366" s="30">
        <f t="shared" si="112"/>
        <v>0</v>
      </c>
      <c r="V366" s="30">
        <f t="shared" si="113"/>
        <v>0</v>
      </c>
      <c r="W366" s="30">
        <f t="shared" si="114"/>
        <v>0</v>
      </c>
      <c r="X366" s="30">
        <f t="shared" si="115"/>
        <v>0</v>
      </c>
      <c r="Z366" s="23" t="s">
        <v>76</v>
      </c>
      <c r="AA366" s="40">
        <f>IF(C366="Electricity",E366*SUMIFS(Electricity!S:S,Electricity!P:P,UserMade_Scenario!B366,Electricity!M:M,UserMade_Scenario!Z366,Electricity!O:O,UserMade_Scenario!D366),"")</f>
        <v>5510017.5899857609</v>
      </c>
      <c r="AB366" s="76">
        <f>1/Assumptions!$B$23/1000000000000</f>
        <v>3.5998225679871703E-9</v>
      </c>
      <c r="AC366" s="67" t="s">
        <v>82</v>
      </c>
      <c r="AD366" s="69">
        <f>INDEX(Table11[AVG
CO2e MT per MWh],MATCH(UserMade_Scenario!$B366,Table11[[Year]:[Year]],0))</f>
        <v>-0.11446291259999997</v>
      </c>
      <c r="AE366" s="69">
        <f>INDEX(Table11[MIN
CO2e MT per MWh],MATCH(UserMade_Scenario!$B366,Table11[[Year]:[Year]],0))</f>
        <v>-9.5945760950000042E-2</v>
      </c>
      <c r="AF366" s="69">
        <f>INDEX(Table11[MAX CO2e MT per MWh],MATCH(UserMade_Scenario!$B366,Table11[[Year]:[Year]],0))</f>
        <v>-0.13298006325000006</v>
      </c>
      <c r="AG366" s="68">
        <f>IFERROR(INDEX(WaterUseH2[Average Direct Water Consumption (Gal/ kg h2)],MATCH(LEFT(D366,3),WaterUseH2[Key],0)),0)</f>
        <v>0</v>
      </c>
      <c r="AH366">
        <v>14</v>
      </c>
      <c r="AI366">
        <v>1.4</v>
      </c>
      <c r="AJ366">
        <v>250</v>
      </c>
      <c r="AK366">
        <v>0.31</v>
      </c>
      <c r="AL366" s="63">
        <f>IFERROR(INDEX(Job_Training[[Solar]:[Wind]],MATCH(AL$1,Job_Training[[`Typical Entry Level Education`]:[`Typical Entry Level Education`]],0),MATCH(LEFT($D366,5),Job_Training[[#Headers],[Solar]:[Wind]],0)),0)</f>
        <v>0</v>
      </c>
      <c r="AM366" s="63">
        <f>IFERROR(INDEX(Job_Training[[Solar]:[Wind]],MATCH(AM$1,Job_Training[[`Typical Entry Level Education`]:[`Typical Entry Level Education`]],0),MATCH(LEFT($D366,5),Job_Training[[#Headers],[Solar]:[Wind]],0)),0)</f>
        <v>0</v>
      </c>
      <c r="AN366" s="63">
        <f>IFERROR(INDEX(Job_Training[[Solar]:[Wind]],MATCH(AN$1,Job_Training[[`Typical Entry Level Education`]:[`Typical Entry Level Education`]],0),MATCH(LEFT($D366,5),Job_Training[[#Headers],[Solar]:[Wind]],0)),0)</f>
        <v>0</v>
      </c>
      <c r="AO366" s="63">
        <f>IFERROR(INDEX(Job_Training[[Solar]:[Wind]],MATCH(AO$1,Job_Training[[`Typical Entry Level Education`]:[`Typical Entry Level Education`]],0),MATCH(LEFT($D366,5),Job_Training[[#Headers],[Solar]:[Wind]],0)),0)</f>
        <v>0</v>
      </c>
      <c r="AP366">
        <f t="shared" si="116"/>
        <v>588</v>
      </c>
      <c r="AQ366" s="63">
        <f>IF(AP366&gt;0,IFERROR(INDEX(Assumptions!$C$165:$D$165,MATCH(LEFT($D366,5),Job_Training[[#Headers],[Solar]:[Wind]],0)),0),0)</f>
        <v>0</v>
      </c>
      <c r="AR366">
        <f>IF(AP366&gt;0,IFERROR(INDEX(Assumptions!$C$166:$D$166,MATCH(LEFT($D366,5),Job_Training[[#Headers],[Solar]:[Wind]],0)),0),0)</f>
        <v>0</v>
      </c>
    </row>
    <row r="367" spans="1:44" hidden="1" x14ac:dyDescent="0.35">
      <c r="A367" t="str">
        <f>UserInput!$B$30</f>
        <v>State Policy Aligned</v>
      </c>
      <c r="B367">
        <v>2033</v>
      </c>
      <c r="C367" t="s">
        <v>41</v>
      </c>
      <c r="D367" t="s">
        <v>85</v>
      </c>
      <c r="E367" s="66">
        <f>INDEX(UserInput!$C$30:$M$50,MATCH(UserMade_Scenario!B367,UserInput!$A$30:$A$50,0),MATCH(LEFT(IF(RIGHT(C367,2)="H2",UserMade_Scenario!C367,D367),3),UserInput!$C$25:$M$25,0))</f>
        <v>5293</v>
      </c>
      <c r="F367" t="s">
        <v>81</v>
      </c>
      <c r="G367" s="14">
        <f t="shared" si="117"/>
        <v>2.2313944410971977E-2</v>
      </c>
      <c r="H367" s="63">
        <f t="shared" si="107"/>
        <v>0.68332997324776779</v>
      </c>
      <c r="I367" s="63">
        <f t="shared" si="108"/>
        <v>0.56276058293884501</v>
      </c>
      <c r="J367" s="63">
        <f t="shared" si="109"/>
        <v>0.8038993573580685</v>
      </c>
      <c r="K367" s="30">
        <f>IF(OR(LEFT($D367,5)="Solar",$D367="Wind"),INDEX(Land_Use[AVG],MATCH(LEFT($D367,5),Land_Use[Tech],0)),0)*$E367</f>
        <v>0</v>
      </c>
      <c r="L367" s="30">
        <f>IF(OR(LEFT($D367,5)="Solar",$D367="Wind"),INDEX(Land_Use[MIN],MATCH(LEFT($D367,5),Land_Use[Tech],0)),0)*$E367</f>
        <v>0</v>
      </c>
      <c r="M367" s="30">
        <f>IF(OR(LEFT($D367,5)="Solar",$D367="Wind"),INDEX(Land_Use[MAX],MATCH(LEFT($D367,5),Land_Use[Tech],0)),0)*$E367</f>
        <v>0</v>
      </c>
      <c r="N367" s="15">
        <f t="shared" si="118"/>
        <v>0</v>
      </c>
      <c r="O367" s="11">
        <f t="shared" si="119"/>
        <v>0</v>
      </c>
      <c r="P367" s="11">
        <f t="shared" si="120"/>
        <v>0</v>
      </c>
      <c r="Q367" s="11">
        <f t="shared" si="121"/>
        <v>0</v>
      </c>
      <c r="R367" s="11">
        <f t="shared" si="122"/>
        <v>0</v>
      </c>
      <c r="S367" s="30">
        <f t="shared" si="110"/>
        <v>0</v>
      </c>
      <c r="T367" s="30">
        <f t="shared" si="111"/>
        <v>0</v>
      </c>
      <c r="U367" s="30">
        <f t="shared" si="112"/>
        <v>0</v>
      </c>
      <c r="V367" s="30">
        <f t="shared" si="113"/>
        <v>0</v>
      </c>
      <c r="W367" s="30">
        <f t="shared" si="114"/>
        <v>0</v>
      </c>
      <c r="X367" s="30">
        <f t="shared" si="115"/>
        <v>0</v>
      </c>
      <c r="Z367" s="23" t="s">
        <v>76</v>
      </c>
      <c r="AA367" s="40">
        <f>IF(C367="Electricity",E367*SUMIFS(Electricity!S:S,Electricity!P:P,UserMade_Scenario!B367,Electricity!M:M,UserMade_Scenario!Z367,Electricity!O:O,UserMade_Scenario!D367),"")</f>
        <v>6198623.4014441306</v>
      </c>
      <c r="AB367" s="76">
        <f>1/Assumptions!$B$23/1000000000000</f>
        <v>3.5998225679871703E-9</v>
      </c>
      <c r="AC367" s="67" t="s">
        <v>82</v>
      </c>
      <c r="AD367" s="69">
        <f>INDEX(Table11[AVG
CO2e MT per MWh],MATCH(UserMade_Scenario!$B367,Table11[[Year]:[Year]],0))</f>
        <v>-0.11023898839999996</v>
      </c>
      <c r="AE367" s="69">
        <f>INDEX(Table11[MIN
CO2e MT per MWh],MATCH(UserMade_Scenario!$B367,Table11[[Year]:[Year]],0))</f>
        <v>-9.078799380000005E-2</v>
      </c>
      <c r="AF367" s="69">
        <f>INDEX(Table11[MAX CO2e MT per MWh],MATCH(UserMade_Scenario!$B367,Table11[[Year]:[Year]],0))</f>
        <v>-0.12968998200000006</v>
      </c>
      <c r="AG367" s="68">
        <f>IFERROR(INDEX(WaterUseH2[Average Direct Water Consumption (Gal/ kg h2)],MATCH(LEFT(D367,3),WaterUseH2[Key],0)),0)</f>
        <v>0</v>
      </c>
      <c r="AH367">
        <v>14</v>
      </c>
      <c r="AI367">
        <v>1.4</v>
      </c>
      <c r="AJ367">
        <v>250</v>
      </c>
      <c r="AK367">
        <v>0.31</v>
      </c>
      <c r="AL367" s="63">
        <f>IFERROR(INDEX(Job_Training[[Solar]:[Wind]],MATCH(AL$1,Job_Training[[`Typical Entry Level Education`]:[`Typical Entry Level Education`]],0),MATCH(LEFT($D367,5),Job_Training[[#Headers],[Solar]:[Wind]],0)),0)</f>
        <v>0</v>
      </c>
      <c r="AM367" s="63">
        <f>IFERROR(INDEX(Job_Training[[Solar]:[Wind]],MATCH(AM$1,Job_Training[[`Typical Entry Level Education`]:[`Typical Entry Level Education`]],0),MATCH(LEFT($D367,5),Job_Training[[#Headers],[Solar]:[Wind]],0)),0)</f>
        <v>0</v>
      </c>
      <c r="AN367" s="63">
        <f>IFERROR(INDEX(Job_Training[[Solar]:[Wind]],MATCH(AN$1,Job_Training[[`Typical Entry Level Education`]:[`Typical Entry Level Education`]],0),MATCH(LEFT($D367,5),Job_Training[[#Headers],[Solar]:[Wind]],0)),0)</f>
        <v>0</v>
      </c>
      <c r="AO367" s="63">
        <f>IFERROR(INDEX(Job_Training[[Solar]:[Wind]],MATCH(AO$1,Job_Training[[`Typical Entry Level Education`]:[`Typical Entry Level Education`]],0),MATCH(LEFT($D367,5),Job_Training[[#Headers],[Solar]:[Wind]],0)),0)</f>
        <v>0</v>
      </c>
      <c r="AP367">
        <f t="shared" si="116"/>
        <v>588</v>
      </c>
      <c r="AQ367" s="63">
        <f>IF(AP367&gt;0,IFERROR(INDEX(Assumptions!$C$165:$D$165,MATCH(LEFT($D367,5),Job_Training[[#Headers],[Solar]:[Wind]],0)),0),0)</f>
        <v>0</v>
      </c>
      <c r="AR367">
        <f>IF(AP367&gt;0,IFERROR(INDEX(Assumptions!$C$166:$D$166,MATCH(LEFT($D367,5),Job_Training[[#Headers],[Solar]:[Wind]],0)),0),0)</f>
        <v>0</v>
      </c>
    </row>
    <row r="368" spans="1:44" hidden="1" x14ac:dyDescent="0.35">
      <c r="A368" t="str">
        <f>UserInput!$B$30</f>
        <v>State Policy Aligned</v>
      </c>
      <c r="B368">
        <v>2034</v>
      </c>
      <c r="C368" t="s">
        <v>41</v>
      </c>
      <c r="D368" t="s">
        <v>85</v>
      </c>
      <c r="E368" s="66">
        <f>INDEX(UserInput!$C$30:$M$50,MATCH(UserMade_Scenario!B368,UserInput!$A$30:$A$50,0),MATCH(LEFT(IF(RIGHT(C368,2)="H2",UserMade_Scenario!C368,D368),3),UserInput!$C$25:$M$25,0))</f>
        <v>5881</v>
      </c>
      <c r="F368" t="s">
        <v>81</v>
      </c>
      <c r="G368" s="14">
        <f t="shared" si="117"/>
        <v>2.4792803151506934E-2</v>
      </c>
      <c r="H368" s="63">
        <f t="shared" si="107"/>
        <v>0.73015004716597365</v>
      </c>
      <c r="I368" s="63">
        <f t="shared" si="108"/>
        <v>0.5897549984913425</v>
      </c>
      <c r="J368" s="63">
        <f t="shared" si="109"/>
        <v>0.87054508895337712</v>
      </c>
      <c r="K368" s="30">
        <f>IF(OR(LEFT($D368,5)="Solar",$D368="Wind"),INDEX(Land_Use[AVG],MATCH(LEFT($D368,5),Land_Use[Tech],0)),0)*$E368</f>
        <v>0</v>
      </c>
      <c r="L368" s="30">
        <f>IF(OR(LEFT($D368,5)="Solar",$D368="Wind"),INDEX(Land_Use[MIN],MATCH(LEFT($D368,5),Land_Use[Tech],0)),0)*$E368</f>
        <v>0</v>
      </c>
      <c r="M368" s="30">
        <f>IF(OR(LEFT($D368,5)="Solar",$D368="Wind"),INDEX(Land_Use[MAX],MATCH(LEFT($D368,5),Land_Use[Tech],0)),0)*$E368</f>
        <v>0</v>
      </c>
      <c r="N368" s="15">
        <f t="shared" si="118"/>
        <v>0</v>
      </c>
      <c r="O368" s="11">
        <f t="shared" si="119"/>
        <v>0</v>
      </c>
      <c r="P368" s="11">
        <f t="shared" si="120"/>
        <v>0</v>
      </c>
      <c r="Q368" s="11">
        <f t="shared" si="121"/>
        <v>0</v>
      </c>
      <c r="R368" s="11">
        <f t="shared" si="122"/>
        <v>0</v>
      </c>
      <c r="S368" s="30">
        <f t="shared" si="110"/>
        <v>0</v>
      </c>
      <c r="T368" s="30">
        <f t="shared" si="111"/>
        <v>0</v>
      </c>
      <c r="U368" s="30">
        <f t="shared" si="112"/>
        <v>0</v>
      </c>
      <c r="V368" s="30">
        <f t="shared" si="113"/>
        <v>0</v>
      </c>
      <c r="W368" s="30">
        <f t="shared" si="114"/>
        <v>0</v>
      </c>
      <c r="X368" s="30">
        <f t="shared" si="115"/>
        <v>0</v>
      </c>
      <c r="Z368" s="23" t="s">
        <v>76</v>
      </c>
      <c r="AA368" s="40">
        <f>IF(C368="Electricity",E368*SUMIFS(Electricity!S:S,Electricity!P:P,UserMade_Scenario!B368,Electricity!M:M,UserMade_Scenario!Z368,Electricity!O:O,UserMade_Scenario!D368),"")</f>
        <v>6887229.2129024994</v>
      </c>
      <c r="AB368" s="76">
        <f>1/Assumptions!$B$23/1000000000000</f>
        <v>3.5998225679871703E-9</v>
      </c>
      <c r="AC368" s="67" t="s">
        <v>82</v>
      </c>
      <c r="AD368" s="69">
        <f>INDEX(Table11[AVG
CO2e MT per MWh],MATCH(UserMade_Scenario!$B368,Table11[[Year]:[Year]],0))</f>
        <v>-0.10601506419999995</v>
      </c>
      <c r="AE368" s="69">
        <f>INDEX(Table11[MIN
CO2e MT per MWh],MATCH(UserMade_Scenario!$B368,Table11[[Year]:[Year]],0))</f>
        <v>-8.5630226650000058E-2</v>
      </c>
      <c r="AF368" s="69">
        <f>INDEX(Table11[MAX CO2e MT per MWh],MATCH(UserMade_Scenario!$B368,Table11[[Year]:[Year]],0))</f>
        <v>-0.12639990075000007</v>
      </c>
      <c r="AG368" s="68">
        <f>IFERROR(INDEX(WaterUseH2[Average Direct Water Consumption (Gal/ kg h2)],MATCH(LEFT(D368,3),WaterUseH2[Key],0)),0)</f>
        <v>0</v>
      </c>
      <c r="AH368">
        <v>14</v>
      </c>
      <c r="AI368">
        <v>1.4</v>
      </c>
      <c r="AJ368">
        <v>250</v>
      </c>
      <c r="AK368">
        <v>0.31</v>
      </c>
      <c r="AL368" s="63">
        <f>IFERROR(INDEX(Job_Training[[Solar]:[Wind]],MATCH(AL$1,Job_Training[[`Typical Entry Level Education`]:[`Typical Entry Level Education`]],0),MATCH(LEFT($D368,5),Job_Training[[#Headers],[Solar]:[Wind]],0)),0)</f>
        <v>0</v>
      </c>
      <c r="AM368" s="63">
        <f>IFERROR(INDEX(Job_Training[[Solar]:[Wind]],MATCH(AM$1,Job_Training[[`Typical Entry Level Education`]:[`Typical Entry Level Education`]],0),MATCH(LEFT($D368,5),Job_Training[[#Headers],[Solar]:[Wind]],0)),0)</f>
        <v>0</v>
      </c>
      <c r="AN368" s="63">
        <f>IFERROR(INDEX(Job_Training[[Solar]:[Wind]],MATCH(AN$1,Job_Training[[`Typical Entry Level Education`]:[`Typical Entry Level Education`]],0),MATCH(LEFT($D368,5),Job_Training[[#Headers],[Solar]:[Wind]],0)),0)</f>
        <v>0</v>
      </c>
      <c r="AO368" s="63">
        <f>IFERROR(INDEX(Job_Training[[Solar]:[Wind]],MATCH(AO$1,Job_Training[[`Typical Entry Level Education`]:[`Typical Entry Level Education`]],0),MATCH(LEFT($D368,5),Job_Training[[#Headers],[Solar]:[Wind]],0)),0)</f>
        <v>0</v>
      </c>
      <c r="AP368">
        <f t="shared" si="116"/>
        <v>588</v>
      </c>
      <c r="AQ368" s="63">
        <f>IF(AP368&gt;0,IFERROR(INDEX(Assumptions!$C$165:$D$165,MATCH(LEFT($D368,5),Job_Training[[#Headers],[Solar]:[Wind]],0)),0),0)</f>
        <v>0</v>
      </c>
      <c r="AR368">
        <f>IF(AP368&gt;0,IFERROR(INDEX(Assumptions!$C$166:$D$166,MATCH(LEFT($D368,5),Job_Training[[#Headers],[Solar]:[Wind]],0)),0),0)</f>
        <v>0</v>
      </c>
    </row>
    <row r="369" spans="1:44" hidden="1" x14ac:dyDescent="0.35">
      <c r="A369" t="str">
        <f>UserInput!$B$30</f>
        <v>State Policy Aligned</v>
      </c>
      <c r="B369">
        <v>2035</v>
      </c>
      <c r="C369" t="s">
        <v>41</v>
      </c>
      <c r="D369" t="s">
        <v>85</v>
      </c>
      <c r="E369" s="66">
        <f>INDEX(UserInput!$C$30:$M$50,MATCH(UserMade_Scenario!B369,UserInput!$A$30:$A$50,0),MATCH(LEFT(IF(RIGHT(C369,2)="H2",UserMade_Scenario!C369,D369),3),UserInput!$C$25:$M$25,0))</f>
        <v>6470</v>
      </c>
      <c r="F369" t="s">
        <v>81</v>
      </c>
      <c r="G369" s="14">
        <f t="shared" si="117"/>
        <v>2.7275877638199265E-2</v>
      </c>
      <c r="H369" s="63">
        <f t="shared" si="107"/>
        <v>0.77127209101454364</v>
      </c>
      <c r="I369" s="63">
        <f t="shared" si="108"/>
        <v>0.60974031833859277</v>
      </c>
      <c r="J369" s="63">
        <f t="shared" si="109"/>
        <v>0.93280385611349026</v>
      </c>
      <c r="K369" s="30">
        <f>IF(OR(LEFT($D369,5)="Solar",$D369="Wind"),INDEX(Land_Use[AVG],MATCH(LEFT($D369,5),Land_Use[Tech],0)),0)*$E369</f>
        <v>0</v>
      </c>
      <c r="L369" s="30">
        <f>IF(OR(LEFT($D369,5)="Solar",$D369="Wind"),INDEX(Land_Use[MIN],MATCH(LEFT($D369,5),Land_Use[Tech],0)),0)*$E369</f>
        <v>0</v>
      </c>
      <c r="M369" s="30">
        <f>IF(OR(LEFT($D369,5)="Solar",$D369="Wind"),INDEX(Land_Use[MAX],MATCH(LEFT($D369,5),Land_Use[Tech],0)),0)*$E369</f>
        <v>0</v>
      </c>
      <c r="N369" s="15">
        <f t="shared" si="118"/>
        <v>0</v>
      </c>
      <c r="O369" s="11">
        <f t="shared" si="119"/>
        <v>0</v>
      </c>
      <c r="P369" s="11">
        <f t="shared" si="120"/>
        <v>0</v>
      </c>
      <c r="Q369" s="11">
        <f t="shared" si="121"/>
        <v>0</v>
      </c>
      <c r="R369" s="11">
        <f t="shared" si="122"/>
        <v>0</v>
      </c>
      <c r="S369" s="30">
        <f t="shared" si="110"/>
        <v>0</v>
      </c>
      <c r="T369" s="30">
        <f t="shared" si="111"/>
        <v>0</v>
      </c>
      <c r="U369" s="30">
        <f t="shared" si="112"/>
        <v>0</v>
      </c>
      <c r="V369" s="30">
        <f t="shared" si="113"/>
        <v>0</v>
      </c>
      <c r="W369" s="30">
        <f t="shared" si="114"/>
        <v>0</v>
      </c>
      <c r="X369" s="30">
        <f t="shared" si="115"/>
        <v>0</v>
      </c>
      <c r="Z369" s="23" t="s">
        <v>76</v>
      </c>
      <c r="AA369" s="40">
        <f>IF(C369="Electricity",E369*SUMIFS(Electricity!S:S,Electricity!P:P,UserMade_Scenario!B369,Electricity!M:M,UserMade_Scenario!Z369,Electricity!O:O,UserMade_Scenario!D369),"")</f>
        <v>7577006.1226796759</v>
      </c>
      <c r="AB369" s="76">
        <f>1/Assumptions!$B$23/1000000000000</f>
        <v>3.5998225679871703E-9</v>
      </c>
      <c r="AC369" s="67" t="s">
        <v>82</v>
      </c>
      <c r="AD369" s="69">
        <f>INDEX(Table11[AVG
CO2e MT per MWh],MATCH(UserMade_Scenario!$B369,Table11[[Year]:[Year]],0))</f>
        <v>-0.10179113999999995</v>
      </c>
      <c r="AE369" s="69">
        <f>INDEX(Table11[MIN
CO2e MT per MWh],MATCH(UserMade_Scenario!$B369,Table11[[Year]:[Year]],0))</f>
        <v>-8.0472459500000065E-2</v>
      </c>
      <c r="AF369" s="69">
        <f>INDEX(Table11[MAX CO2e MT per MWh],MATCH(UserMade_Scenario!$B369,Table11[[Year]:[Year]],0))</f>
        <v>-0.12310981950000006</v>
      </c>
      <c r="AG369" s="68">
        <f>IFERROR(INDEX(WaterUseH2[Average Direct Water Consumption (Gal/ kg h2)],MATCH(LEFT(D369,3),WaterUseH2[Key],0)),0)</f>
        <v>0</v>
      </c>
      <c r="AH369">
        <v>14</v>
      </c>
      <c r="AI369">
        <v>1.4</v>
      </c>
      <c r="AJ369">
        <v>250</v>
      </c>
      <c r="AK369">
        <v>0.31</v>
      </c>
      <c r="AL369" s="63">
        <f>IFERROR(INDEX(Job_Training[[Solar]:[Wind]],MATCH(AL$1,Job_Training[[`Typical Entry Level Education`]:[`Typical Entry Level Education`]],0),MATCH(LEFT($D369,5),Job_Training[[#Headers],[Solar]:[Wind]],0)),0)</f>
        <v>0</v>
      </c>
      <c r="AM369" s="63">
        <f>IFERROR(INDEX(Job_Training[[Solar]:[Wind]],MATCH(AM$1,Job_Training[[`Typical Entry Level Education`]:[`Typical Entry Level Education`]],0),MATCH(LEFT($D369,5),Job_Training[[#Headers],[Solar]:[Wind]],0)),0)</f>
        <v>0</v>
      </c>
      <c r="AN369" s="63">
        <f>IFERROR(INDEX(Job_Training[[Solar]:[Wind]],MATCH(AN$1,Job_Training[[`Typical Entry Level Education`]:[`Typical Entry Level Education`]],0),MATCH(LEFT($D369,5),Job_Training[[#Headers],[Solar]:[Wind]],0)),0)</f>
        <v>0</v>
      </c>
      <c r="AO369" s="63">
        <f>IFERROR(INDEX(Job_Training[[Solar]:[Wind]],MATCH(AO$1,Job_Training[[`Typical Entry Level Education`]:[`Typical Entry Level Education`]],0),MATCH(LEFT($D369,5),Job_Training[[#Headers],[Solar]:[Wind]],0)),0)</f>
        <v>0</v>
      </c>
      <c r="AP369">
        <f t="shared" si="116"/>
        <v>589</v>
      </c>
      <c r="AQ369" s="63">
        <f>IF(AP369&gt;0,IFERROR(INDEX(Assumptions!$C$165:$D$165,MATCH(LEFT($D369,5),Job_Training[[#Headers],[Solar]:[Wind]],0)),0),0)</f>
        <v>0</v>
      </c>
      <c r="AR369">
        <f>IF(AP369&gt;0,IFERROR(INDEX(Assumptions!$C$166:$D$166,MATCH(LEFT($D369,5),Job_Training[[#Headers],[Solar]:[Wind]],0)),0),0)</f>
        <v>0</v>
      </c>
    </row>
    <row r="370" spans="1:44" hidden="1" x14ac:dyDescent="0.35">
      <c r="A370" t="str">
        <f>UserInput!$B$30</f>
        <v>State Policy Aligned</v>
      </c>
      <c r="B370">
        <v>2036</v>
      </c>
      <c r="C370" t="s">
        <v>41</v>
      </c>
      <c r="D370" t="s">
        <v>85</v>
      </c>
      <c r="E370" s="66">
        <f>INDEX(UserInput!$C$30:$M$50,MATCH(UserMade_Scenario!B370,UserInput!$A$30:$A$50,0),MATCH(LEFT(IF(RIGHT(C370,2)="H2",UserMade_Scenario!C370,D370),3),UserInput!$C$25:$M$25,0))</f>
        <v>7058</v>
      </c>
      <c r="F370" t="s">
        <v>81</v>
      </c>
      <c r="G370" s="14">
        <f t="shared" si="117"/>
        <v>2.9754736378734218E-2</v>
      </c>
      <c r="H370" s="63">
        <f t="shared" si="107"/>
        <v>0.80645274329710148</v>
      </c>
      <c r="I370" s="63">
        <f t="shared" si="108"/>
        <v>0.62252201990409595</v>
      </c>
      <c r="J370" s="63">
        <f t="shared" si="109"/>
        <v>0.99038345842449726</v>
      </c>
      <c r="K370" s="30">
        <f>IF(OR(LEFT($D370,5)="Solar",$D370="Wind"),INDEX(Land_Use[AVG],MATCH(LEFT($D370,5),Land_Use[Tech],0)),0)*$E370</f>
        <v>0</v>
      </c>
      <c r="L370" s="30">
        <f>IF(OR(LEFT($D370,5)="Solar",$D370="Wind"),INDEX(Land_Use[MIN],MATCH(LEFT($D370,5),Land_Use[Tech],0)),0)*$E370</f>
        <v>0</v>
      </c>
      <c r="M370" s="30">
        <f>IF(OR(LEFT($D370,5)="Solar",$D370="Wind"),INDEX(Land_Use[MAX],MATCH(LEFT($D370,5),Land_Use[Tech],0)),0)*$E370</f>
        <v>0</v>
      </c>
      <c r="N370" s="15">
        <f t="shared" si="118"/>
        <v>0</v>
      </c>
      <c r="O370" s="11">
        <f t="shared" si="119"/>
        <v>0</v>
      </c>
      <c r="P370" s="11">
        <f t="shared" si="120"/>
        <v>0</v>
      </c>
      <c r="Q370" s="11">
        <f t="shared" si="121"/>
        <v>0</v>
      </c>
      <c r="R370" s="11">
        <f t="shared" si="122"/>
        <v>0</v>
      </c>
      <c r="S370" s="30">
        <f t="shared" si="110"/>
        <v>0</v>
      </c>
      <c r="T370" s="30">
        <f t="shared" si="111"/>
        <v>0</v>
      </c>
      <c r="U370" s="30">
        <f t="shared" si="112"/>
        <v>0</v>
      </c>
      <c r="V370" s="30">
        <f t="shared" si="113"/>
        <v>0</v>
      </c>
      <c r="W370" s="30">
        <f t="shared" si="114"/>
        <v>0</v>
      </c>
      <c r="X370" s="30">
        <f t="shared" si="115"/>
        <v>0</v>
      </c>
      <c r="Z370" s="23" t="s">
        <v>76</v>
      </c>
      <c r="AA370" s="40">
        <f>IF(C370="Electricity",E370*SUMIFS(Electricity!S:S,Electricity!P:P,UserMade_Scenario!B370,Electricity!M:M,UserMade_Scenario!Z370,Electricity!O:O,UserMade_Scenario!D370),"")</f>
        <v>8265611.9341380447</v>
      </c>
      <c r="AB370" s="76">
        <f>1/Assumptions!$B$23/1000000000000</f>
        <v>3.5998225679871703E-9</v>
      </c>
      <c r="AC370" s="67" t="s">
        <v>82</v>
      </c>
      <c r="AD370" s="69">
        <f>INDEX(Table11[AVG
CO2e MT per MWh],MATCH(UserMade_Scenario!$B370,Table11[[Year]:[Year]],0))</f>
        <v>-9.756721579999994E-2</v>
      </c>
      <c r="AE370" s="69">
        <f>INDEX(Table11[MIN
CO2e MT per MWh],MATCH(UserMade_Scenario!$B370,Table11[[Year]:[Year]],0))</f>
        <v>-7.5314692350000073E-2</v>
      </c>
      <c r="AF370" s="69">
        <f>INDEX(Table11[MAX CO2e MT per MWh],MATCH(UserMade_Scenario!$B370,Table11[[Year]:[Year]],0))</f>
        <v>-0.11981973825000006</v>
      </c>
      <c r="AG370" s="68">
        <f>IFERROR(INDEX(WaterUseH2[Average Direct Water Consumption (Gal/ kg h2)],MATCH(LEFT(D370,3),WaterUseH2[Key],0)),0)</f>
        <v>0</v>
      </c>
      <c r="AH370">
        <v>14</v>
      </c>
      <c r="AI370">
        <v>1.4</v>
      </c>
      <c r="AJ370">
        <v>250</v>
      </c>
      <c r="AK370">
        <v>0.31</v>
      </c>
      <c r="AL370" s="63">
        <f>IFERROR(INDEX(Job_Training[[Solar]:[Wind]],MATCH(AL$1,Job_Training[[`Typical Entry Level Education`]:[`Typical Entry Level Education`]],0),MATCH(LEFT($D370,5),Job_Training[[#Headers],[Solar]:[Wind]],0)),0)</f>
        <v>0</v>
      </c>
      <c r="AM370" s="63">
        <f>IFERROR(INDEX(Job_Training[[Solar]:[Wind]],MATCH(AM$1,Job_Training[[`Typical Entry Level Education`]:[`Typical Entry Level Education`]],0),MATCH(LEFT($D370,5),Job_Training[[#Headers],[Solar]:[Wind]],0)),0)</f>
        <v>0</v>
      </c>
      <c r="AN370" s="63">
        <f>IFERROR(INDEX(Job_Training[[Solar]:[Wind]],MATCH(AN$1,Job_Training[[`Typical Entry Level Education`]:[`Typical Entry Level Education`]],0),MATCH(LEFT($D370,5),Job_Training[[#Headers],[Solar]:[Wind]],0)),0)</f>
        <v>0</v>
      </c>
      <c r="AO370" s="63">
        <f>IFERROR(INDEX(Job_Training[[Solar]:[Wind]],MATCH(AO$1,Job_Training[[`Typical Entry Level Education`]:[`Typical Entry Level Education`]],0),MATCH(LEFT($D370,5),Job_Training[[#Headers],[Solar]:[Wind]],0)),0)</f>
        <v>0</v>
      </c>
      <c r="AP370">
        <f t="shared" si="116"/>
        <v>588</v>
      </c>
      <c r="AQ370" s="63">
        <f>IF(AP370&gt;0,IFERROR(INDEX(Assumptions!$C$165:$D$165,MATCH(LEFT($D370,5),Job_Training[[#Headers],[Solar]:[Wind]],0)),0),0)</f>
        <v>0</v>
      </c>
      <c r="AR370">
        <f>IF(AP370&gt;0,IFERROR(INDEX(Assumptions!$C$166:$D$166,MATCH(LEFT($D370,5),Job_Training[[#Headers],[Solar]:[Wind]],0)),0),0)</f>
        <v>0</v>
      </c>
    </row>
    <row r="371" spans="1:44" hidden="1" x14ac:dyDescent="0.35">
      <c r="A371" t="str">
        <f>UserInput!$B$30</f>
        <v>State Policy Aligned</v>
      </c>
      <c r="B371">
        <v>2037</v>
      </c>
      <c r="C371" t="s">
        <v>41</v>
      </c>
      <c r="D371" t="s">
        <v>85</v>
      </c>
      <c r="E371" s="66">
        <f>INDEX(UserInput!$C$30:$M$50,MATCH(UserMade_Scenario!B371,UserInput!$A$30:$A$50,0),MATCH(LEFT(IF(RIGHT(C371,2)="H2",UserMade_Scenario!C371,D371),3),UserInput!$C$25:$M$25,0))</f>
        <v>7646</v>
      </c>
      <c r="F371" t="s">
        <v>81</v>
      </c>
      <c r="G371" s="14">
        <f t="shared" si="117"/>
        <v>3.2233595119269175E-2</v>
      </c>
      <c r="H371" s="63">
        <f t="shared" si="107"/>
        <v>0.83581615807710019</v>
      </c>
      <c r="I371" s="63">
        <f t="shared" si="108"/>
        <v>0.62820038460232097</v>
      </c>
      <c r="J371" s="63">
        <f t="shared" si="109"/>
        <v>1.0434319225976638</v>
      </c>
      <c r="K371" s="30">
        <f>IF(OR(LEFT($D371,5)="Solar",$D371="Wind"),INDEX(Land_Use[AVG],MATCH(LEFT($D371,5),Land_Use[Tech],0)),0)*$E371</f>
        <v>0</v>
      </c>
      <c r="L371" s="30">
        <f>IF(OR(LEFT($D371,5)="Solar",$D371="Wind"),INDEX(Land_Use[MIN],MATCH(LEFT($D371,5),Land_Use[Tech],0)),0)*$E371</f>
        <v>0</v>
      </c>
      <c r="M371" s="30">
        <f>IF(OR(LEFT($D371,5)="Solar",$D371="Wind"),INDEX(Land_Use[MAX],MATCH(LEFT($D371,5),Land_Use[Tech],0)),0)*$E371</f>
        <v>0</v>
      </c>
      <c r="N371" s="15">
        <f t="shared" si="118"/>
        <v>0</v>
      </c>
      <c r="O371" s="11">
        <f t="shared" si="119"/>
        <v>0</v>
      </c>
      <c r="P371" s="11">
        <f t="shared" si="120"/>
        <v>0</v>
      </c>
      <c r="Q371" s="11">
        <f t="shared" si="121"/>
        <v>0</v>
      </c>
      <c r="R371" s="11">
        <f t="shared" si="122"/>
        <v>0</v>
      </c>
      <c r="S371" s="30">
        <f t="shared" si="110"/>
        <v>0</v>
      </c>
      <c r="T371" s="30">
        <f t="shared" si="111"/>
        <v>0</v>
      </c>
      <c r="U371" s="30">
        <f t="shared" si="112"/>
        <v>0</v>
      </c>
      <c r="V371" s="30">
        <f t="shared" si="113"/>
        <v>0</v>
      </c>
      <c r="W371" s="30">
        <f t="shared" si="114"/>
        <v>0</v>
      </c>
      <c r="X371" s="30">
        <f t="shared" si="115"/>
        <v>0</v>
      </c>
      <c r="Z371" s="23" t="s">
        <v>76</v>
      </c>
      <c r="AA371" s="40">
        <f>IF(C371="Electricity",E371*SUMIFS(Electricity!S:S,Electricity!P:P,UserMade_Scenario!B371,Electricity!M:M,UserMade_Scenario!Z371,Electricity!O:O,UserMade_Scenario!D371),"")</f>
        <v>8954217.7455964144</v>
      </c>
      <c r="AB371" s="76">
        <f>1/Assumptions!$B$23/1000000000000</f>
        <v>3.5998225679871703E-9</v>
      </c>
      <c r="AC371" s="67" t="s">
        <v>82</v>
      </c>
      <c r="AD371" s="69">
        <f>INDEX(Table11[AVG
CO2e MT per MWh],MATCH(UserMade_Scenario!$B371,Table11[[Year]:[Year]],0))</f>
        <v>-9.3343291599999934E-2</v>
      </c>
      <c r="AE371" s="69">
        <f>INDEX(Table11[MIN
CO2e MT per MWh],MATCH(UserMade_Scenario!$B371,Table11[[Year]:[Year]],0))</f>
        <v>-7.0156925200000081E-2</v>
      </c>
      <c r="AF371" s="69">
        <f>INDEX(Table11[MAX CO2e MT per MWh],MATCH(UserMade_Scenario!$B371,Table11[[Year]:[Year]],0))</f>
        <v>-0.11652965700000005</v>
      </c>
      <c r="AG371" s="68">
        <f>IFERROR(INDEX(WaterUseH2[Average Direct Water Consumption (Gal/ kg h2)],MATCH(LEFT(D371,3),WaterUseH2[Key],0)),0)</f>
        <v>0</v>
      </c>
      <c r="AH371">
        <v>14</v>
      </c>
      <c r="AI371">
        <v>1.4</v>
      </c>
      <c r="AJ371">
        <v>250</v>
      </c>
      <c r="AK371">
        <v>0.31</v>
      </c>
      <c r="AL371" s="63">
        <f>IFERROR(INDEX(Job_Training[[Solar]:[Wind]],MATCH(AL$1,Job_Training[[`Typical Entry Level Education`]:[`Typical Entry Level Education`]],0),MATCH(LEFT($D371,5),Job_Training[[#Headers],[Solar]:[Wind]],0)),0)</f>
        <v>0</v>
      </c>
      <c r="AM371" s="63">
        <f>IFERROR(INDEX(Job_Training[[Solar]:[Wind]],MATCH(AM$1,Job_Training[[`Typical Entry Level Education`]:[`Typical Entry Level Education`]],0),MATCH(LEFT($D371,5),Job_Training[[#Headers],[Solar]:[Wind]],0)),0)</f>
        <v>0</v>
      </c>
      <c r="AN371" s="63">
        <f>IFERROR(INDEX(Job_Training[[Solar]:[Wind]],MATCH(AN$1,Job_Training[[`Typical Entry Level Education`]:[`Typical Entry Level Education`]],0),MATCH(LEFT($D371,5),Job_Training[[#Headers],[Solar]:[Wind]],0)),0)</f>
        <v>0</v>
      </c>
      <c r="AO371" s="63">
        <f>IFERROR(INDEX(Job_Training[[Solar]:[Wind]],MATCH(AO$1,Job_Training[[`Typical Entry Level Education`]:[`Typical Entry Level Education`]],0),MATCH(LEFT($D371,5),Job_Training[[#Headers],[Solar]:[Wind]],0)),0)</f>
        <v>0</v>
      </c>
      <c r="AP371">
        <f t="shared" si="116"/>
        <v>588</v>
      </c>
      <c r="AQ371" s="63">
        <f>IF(AP371&gt;0,IFERROR(INDEX(Assumptions!$C$165:$D$165,MATCH(LEFT($D371,5),Job_Training[[#Headers],[Solar]:[Wind]],0)),0),0)</f>
        <v>0</v>
      </c>
      <c r="AR371">
        <f>IF(AP371&gt;0,IFERROR(INDEX(Assumptions!$C$166:$D$166,MATCH(LEFT($D371,5),Job_Training[[#Headers],[Solar]:[Wind]],0)),0),0)</f>
        <v>0</v>
      </c>
    </row>
    <row r="372" spans="1:44" hidden="1" x14ac:dyDescent="0.35">
      <c r="A372" t="str">
        <f>UserInput!$B$30</f>
        <v>State Policy Aligned</v>
      </c>
      <c r="B372">
        <v>2038</v>
      </c>
      <c r="C372" t="s">
        <v>41</v>
      </c>
      <c r="D372" t="s">
        <v>85</v>
      </c>
      <c r="E372" s="66">
        <f>INDEX(UserInput!$C$30:$M$50,MATCH(UserMade_Scenario!B372,UserInput!$A$30:$A$50,0),MATCH(LEFT(IF(RIGHT(C372,2)="H2",UserMade_Scenario!C372,D372),3),UserInput!$C$25:$M$25,0))</f>
        <v>8234</v>
      </c>
      <c r="F372" t="s">
        <v>81</v>
      </c>
      <c r="G372" s="14">
        <f t="shared" si="117"/>
        <v>3.4712453859804135E-2</v>
      </c>
      <c r="H372" s="63">
        <f t="shared" si="107"/>
        <v>0.85936233535453954</v>
      </c>
      <c r="I372" s="63">
        <f t="shared" si="108"/>
        <v>0.62677541243326795</v>
      </c>
      <c r="J372" s="63">
        <f t="shared" si="109"/>
        <v>1.09194924863299</v>
      </c>
      <c r="K372" s="30">
        <f>IF(OR(LEFT($D372,5)="Solar",$D372="Wind"),INDEX(Land_Use[AVG],MATCH(LEFT($D372,5),Land_Use[Tech],0)),0)*$E372</f>
        <v>0</v>
      </c>
      <c r="L372" s="30">
        <f>IF(OR(LEFT($D372,5)="Solar",$D372="Wind"),INDEX(Land_Use[MIN],MATCH(LEFT($D372,5),Land_Use[Tech],0)),0)*$E372</f>
        <v>0</v>
      </c>
      <c r="M372" s="30">
        <f>IF(OR(LEFT($D372,5)="Solar",$D372="Wind"),INDEX(Land_Use[MAX],MATCH(LEFT($D372,5),Land_Use[Tech],0)),0)*$E372</f>
        <v>0</v>
      </c>
      <c r="N372" s="15">
        <f t="shared" si="118"/>
        <v>0</v>
      </c>
      <c r="O372" s="11">
        <f t="shared" si="119"/>
        <v>0</v>
      </c>
      <c r="P372" s="11">
        <f t="shared" si="120"/>
        <v>0</v>
      </c>
      <c r="Q372" s="11">
        <f t="shared" si="121"/>
        <v>0</v>
      </c>
      <c r="R372" s="11">
        <f t="shared" si="122"/>
        <v>0</v>
      </c>
      <c r="S372" s="30">
        <f t="shared" si="110"/>
        <v>0</v>
      </c>
      <c r="T372" s="30">
        <f t="shared" si="111"/>
        <v>0</v>
      </c>
      <c r="U372" s="30">
        <f t="shared" si="112"/>
        <v>0</v>
      </c>
      <c r="V372" s="30">
        <f t="shared" si="113"/>
        <v>0</v>
      </c>
      <c r="W372" s="30">
        <f t="shared" si="114"/>
        <v>0</v>
      </c>
      <c r="X372" s="30">
        <f t="shared" si="115"/>
        <v>0</v>
      </c>
      <c r="Z372" s="23" t="s">
        <v>76</v>
      </c>
      <c r="AA372" s="40">
        <f>IF(C372="Electricity",E372*SUMIFS(Electricity!S:S,Electricity!P:P,UserMade_Scenario!B372,Electricity!M:M,UserMade_Scenario!Z372,Electricity!O:O,UserMade_Scenario!D372),"")</f>
        <v>9642823.5570547841</v>
      </c>
      <c r="AB372" s="76">
        <f>1/Assumptions!$B$23/1000000000000</f>
        <v>3.5998225679871703E-9</v>
      </c>
      <c r="AC372" s="67" t="s">
        <v>82</v>
      </c>
      <c r="AD372" s="69">
        <f>INDEX(Table11[AVG
CO2e MT per MWh],MATCH(UserMade_Scenario!$B372,Table11[[Year]:[Year]],0))</f>
        <v>-8.9119367399999927E-2</v>
      </c>
      <c r="AE372" s="69">
        <f>INDEX(Table11[MIN
CO2e MT per MWh],MATCH(UserMade_Scenario!$B372,Table11[[Year]:[Year]],0))</f>
        <v>-6.4999158050000089E-2</v>
      </c>
      <c r="AF372" s="69">
        <f>INDEX(Table11[MAX CO2e MT per MWh],MATCH(UserMade_Scenario!$B372,Table11[[Year]:[Year]],0))</f>
        <v>-0.11323957575000004</v>
      </c>
      <c r="AG372" s="68">
        <f>IFERROR(INDEX(WaterUseH2[Average Direct Water Consumption (Gal/ kg h2)],MATCH(LEFT(D372,3),WaterUseH2[Key],0)),0)</f>
        <v>0</v>
      </c>
      <c r="AH372">
        <v>14</v>
      </c>
      <c r="AI372">
        <v>1.4</v>
      </c>
      <c r="AJ372">
        <v>250</v>
      </c>
      <c r="AK372">
        <v>0.31</v>
      </c>
      <c r="AL372" s="63">
        <f>IFERROR(INDEX(Job_Training[[Solar]:[Wind]],MATCH(AL$1,Job_Training[[`Typical Entry Level Education`]:[`Typical Entry Level Education`]],0),MATCH(LEFT($D372,5),Job_Training[[#Headers],[Solar]:[Wind]],0)),0)</f>
        <v>0</v>
      </c>
      <c r="AM372" s="63">
        <f>IFERROR(INDEX(Job_Training[[Solar]:[Wind]],MATCH(AM$1,Job_Training[[`Typical Entry Level Education`]:[`Typical Entry Level Education`]],0),MATCH(LEFT($D372,5),Job_Training[[#Headers],[Solar]:[Wind]],0)),0)</f>
        <v>0</v>
      </c>
      <c r="AN372" s="63">
        <f>IFERROR(INDEX(Job_Training[[Solar]:[Wind]],MATCH(AN$1,Job_Training[[`Typical Entry Level Education`]:[`Typical Entry Level Education`]],0),MATCH(LEFT($D372,5),Job_Training[[#Headers],[Solar]:[Wind]],0)),0)</f>
        <v>0</v>
      </c>
      <c r="AO372" s="63">
        <f>IFERROR(INDEX(Job_Training[[Solar]:[Wind]],MATCH(AO$1,Job_Training[[`Typical Entry Level Education`]:[`Typical Entry Level Education`]],0),MATCH(LEFT($D372,5),Job_Training[[#Headers],[Solar]:[Wind]],0)),0)</f>
        <v>0</v>
      </c>
      <c r="AP372">
        <f t="shared" si="116"/>
        <v>588</v>
      </c>
      <c r="AQ372" s="63">
        <f>IF(AP372&gt;0,IFERROR(INDEX(Assumptions!$C$165:$D$165,MATCH(LEFT($D372,5),Job_Training[[#Headers],[Solar]:[Wind]],0)),0),0)</f>
        <v>0</v>
      </c>
      <c r="AR372">
        <f>IF(AP372&gt;0,IFERROR(INDEX(Assumptions!$C$166:$D$166,MATCH(LEFT($D372,5),Job_Training[[#Headers],[Solar]:[Wind]],0)),0),0)</f>
        <v>0</v>
      </c>
    </row>
    <row r="373" spans="1:44" hidden="1" x14ac:dyDescent="0.35">
      <c r="A373" t="str">
        <f>UserInput!$B$30</f>
        <v>State Policy Aligned</v>
      </c>
      <c r="B373">
        <v>2039</v>
      </c>
      <c r="C373" t="s">
        <v>41</v>
      </c>
      <c r="D373" t="s">
        <v>85</v>
      </c>
      <c r="E373" s="66">
        <f>INDEX(UserInput!$C$30:$M$50,MATCH(UserMade_Scenario!B373,UserInput!$A$30:$A$50,0),MATCH(LEFT(IF(RIGHT(C373,2)="H2",UserMade_Scenario!C373,D373),3),UserInput!$C$25:$M$25,0))</f>
        <v>8822</v>
      </c>
      <c r="F373" t="s">
        <v>81</v>
      </c>
      <c r="G373" s="14">
        <f t="shared" si="117"/>
        <v>3.7191312600339088E-2</v>
      </c>
      <c r="H373" s="63">
        <f t="shared" si="107"/>
        <v>0.87709127512941953</v>
      </c>
      <c r="I373" s="63">
        <f t="shared" si="108"/>
        <v>0.61824710339693678</v>
      </c>
      <c r="J373" s="63">
        <f t="shared" si="109"/>
        <v>1.1359354365304759</v>
      </c>
      <c r="K373" s="30">
        <f>IF(OR(LEFT($D373,5)="Solar",$D373="Wind"),INDEX(Land_Use[AVG],MATCH(LEFT($D373,5),Land_Use[Tech],0)),0)*$E373</f>
        <v>0</v>
      </c>
      <c r="L373" s="30">
        <f>IF(OR(LEFT($D373,5)="Solar",$D373="Wind"),INDEX(Land_Use[MIN],MATCH(LEFT($D373,5),Land_Use[Tech],0)),0)*$E373</f>
        <v>0</v>
      </c>
      <c r="M373" s="30">
        <f>IF(OR(LEFT($D373,5)="Solar",$D373="Wind"),INDEX(Land_Use[MAX],MATCH(LEFT($D373,5),Land_Use[Tech],0)),0)*$E373</f>
        <v>0</v>
      </c>
      <c r="N373" s="15">
        <f t="shared" si="118"/>
        <v>0</v>
      </c>
      <c r="O373" s="11">
        <f t="shared" si="119"/>
        <v>0</v>
      </c>
      <c r="P373" s="11">
        <f t="shared" si="120"/>
        <v>0</v>
      </c>
      <c r="Q373" s="11">
        <f t="shared" si="121"/>
        <v>0</v>
      </c>
      <c r="R373" s="11">
        <f t="shared" si="122"/>
        <v>0</v>
      </c>
      <c r="S373" s="30">
        <f t="shared" si="110"/>
        <v>0</v>
      </c>
      <c r="T373" s="30">
        <f t="shared" si="111"/>
        <v>0</v>
      </c>
      <c r="U373" s="30">
        <f t="shared" si="112"/>
        <v>0</v>
      </c>
      <c r="V373" s="30">
        <f t="shared" si="113"/>
        <v>0</v>
      </c>
      <c r="W373" s="30">
        <f t="shared" si="114"/>
        <v>0</v>
      </c>
      <c r="X373" s="30">
        <f t="shared" si="115"/>
        <v>0</v>
      </c>
      <c r="Z373" s="23" t="s">
        <v>76</v>
      </c>
      <c r="AA373" s="40">
        <f>IF(C373="Electricity",E373*SUMIFS(Electricity!S:S,Electricity!P:P,UserMade_Scenario!B373,Electricity!M:M,UserMade_Scenario!Z373,Electricity!O:O,UserMade_Scenario!D373),"")</f>
        <v>10331429.368513154</v>
      </c>
      <c r="AB373" s="76">
        <f>1/Assumptions!$B$23/1000000000000</f>
        <v>3.5998225679871703E-9</v>
      </c>
      <c r="AC373" s="67" t="s">
        <v>82</v>
      </c>
      <c r="AD373" s="69">
        <f>INDEX(Table11[AVG
CO2e MT per MWh],MATCH(UserMade_Scenario!$B373,Table11[[Year]:[Year]],0))</f>
        <v>-8.489544319999992E-2</v>
      </c>
      <c r="AE373" s="69">
        <f>INDEX(Table11[MIN
CO2e MT per MWh],MATCH(UserMade_Scenario!$B373,Table11[[Year]:[Year]],0))</f>
        <v>-5.984139090000009E-2</v>
      </c>
      <c r="AF373" s="69">
        <f>INDEX(Table11[MAX CO2e MT per MWh],MATCH(UserMade_Scenario!$B373,Table11[[Year]:[Year]],0))</f>
        <v>-0.10994949450000004</v>
      </c>
      <c r="AG373" s="68">
        <f>IFERROR(INDEX(WaterUseH2[Average Direct Water Consumption (Gal/ kg h2)],MATCH(LEFT(D373,3),WaterUseH2[Key],0)),0)</f>
        <v>0</v>
      </c>
      <c r="AH373">
        <v>14</v>
      </c>
      <c r="AI373">
        <v>1.4</v>
      </c>
      <c r="AJ373">
        <v>250</v>
      </c>
      <c r="AK373">
        <v>0.31</v>
      </c>
      <c r="AL373" s="63">
        <f>IFERROR(INDEX(Job_Training[[Solar]:[Wind]],MATCH(AL$1,Job_Training[[`Typical Entry Level Education`]:[`Typical Entry Level Education`]],0),MATCH(LEFT($D373,5),Job_Training[[#Headers],[Solar]:[Wind]],0)),0)</f>
        <v>0</v>
      </c>
      <c r="AM373" s="63">
        <f>IFERROR(INDEX(Job_Training[[Solar]:[Wind]],MATCH(AM$1,Job_Training[[`Typical Entry Level Education`]:[`Typical Entry Level Education`]],0),MATCH(LEFT($D373,5),Job_Training[[#Headers],[Solar]:[Wind]],0)),0)</f>
        <v>0</v>
      </c>
      <c r="AN373" s="63">
        <f>IFERROR(INDEX(Job_Training[[Solar]:[Wind]],MATCH(AN$1,Job_Training[[`Typical Entry Level Education`]:[`Typical Entry Level Education`]],0),MATCH(LEFT($D373,5),Job_Training[[#Headers],[Solar]:[Wind]],0)),0)</f>
        <v>0</v>
      </c>
      <c r="AO373" s="63">
        <f>IFERROR(INDEX(Job_Training[[Solar]:[Wind]],MATCH(AO$1,Job_Training[[`Typical Entry Level Education`]:[`Typical Entry Level Education`]],0),MATCH(LEFT($D373,5),Job_Training[[#Headers],[Solar]:[Wind]],0)),0)</f>
        <v>0</v>
      </c>
      <c r="AP373">
        <f t="shared" si="116"/>
        <v>588</v>
      </c>
      <c r="AQ373" s="63">
        <f>IF(AP373&gt;0,IFERROR(INDEX(Assumptions!$C$165:$D$165,MATCH(LEFT($D373,5),Job_Training[[#Headers],[Solar]:[Wind]],0)),0),0)</f>
        <v>0</v>
      </c>
      <c r="AR373">
        <f>IF(AP373&gt;0,IFERROR(INDEX(Assumptions!$C$166:$D$166,MATCH(LEFT($D373,5),Job_Training[[#Headers],[Solar]:[Wind]],0)),0),0)</f>
        <v>0</v>
      </c>
    </row>
    <row r="374" spans="1:44" hidden="1" x14ac:dyDescent="0.35">
      <c r="A374" t="str">
        <f>UserInput!$B$30</f>
        <v>State Policy Aligned</v>
      </c>
      <c r="B374">
        <v>2040</v>
      </c>
      <c r="C374" t="s">
        <v>41</v>
      </c>
      <c r="D374" t="s">
        <v>85</v>
      </c>
      <c r="E374" s="66">
        <f>INDEX(UserInput!$C$30:$M$50,MATCH(UserMade_Scenario!B374,UserInput!$A$30:$A$50,0),MATCH(LEFT(IF(RIGHT(C374,2)="H2",UserMade_Scenario!C374,D374),3),UserInput!$C$25:$M$25,0))</f>
        <v>9410</v>
      </c>
      <c r="F374" t="s">
        <v>81</v>
      </c>
      <c r="G374" s="14">
        <f t="shared" si="117"/>
        <v>3.9670171340874041E-2</v>
      </c>
      <c r="H374" s="63">
        <f t="shared" si="107"/>
        <v>0.88900297740174017</v>
      </c>
      <c r="I374" s="63">
        <f t="shared" si="108"/>
        <v>0.60261545749332723</v>
      </c>
      <c r="J374" s="63">
        <f t="shared" si="109"/>
        <v>1.175390486290121</v>
      </c>
      <c r="K374" s="30">
        <f>IF(OR(LEFT($D374,5)="Solar",$D374="Wind"),INDEX(Land_Use[AVG],MATCH(LEFT($D374,5),Land_Use[Tech],0)),0)*$E374</f>
        <v>0</v>
      </c>
      <c r="L374" s="30">
        <f>IF(OR(LEFT($D374,5)="Solar",$D374="Wind"),INDEX(Land_Use[MIN],MATCH(LEFT($D374,5),Land_Use[Tech],0)),0)*$E374</f>
        <v>0</v>
      </c>
      <c r="M374" s="30">
        <f>IF(OR(LEFT($D374,5)="Solar",$D374="Wind"),INDEX(Land_Use[MAX],MATCH(LEFT($D374,5),Land_Use[Tech],0)),0)*$E374</f>
        <v>0</v>
      </c>
      <c r="N374" s="15">
        <f t="shared" si="118"/>
        <v>0</v>
      </c>
      <c r="O374" s="11">
        <f t="shared" si="119"/>
        <v>0</v>
      </c>
      <c r="P374" s="11">
        <f t="shared" si="120"/>
        <v>0</v>
      </c>
      <c r="Q374" s="11">
        <f t="shared" si="121"/>
        <v>0</v>
      </c>
      <c r="R374" s="11">
        <f t="shared" si="122"/>
        <v>0</v>
      </c>
      <c r="S374" s="30">
        <f t="shared" si="110"/>
        <v>0</v>
      </c>
      <c r="T374" s="30">
        <f t="shared" si="111"/>
        <v>0</v>
      </c>
      <c r="U374" s="30">
        <f t="shared" si="112"/>
        <v>0</v>
      </c>
      <c r="V374" s="30">
        <f t="shared" si="113"/>
        <v>0</v>
      </c>
      <c r="W374" s="30">
        <f t="shared" si="114"/>
        <v>0</v>
      </c>
      <c r="X374" s="30">
        <f t="shared" si="115"/>
        <v>0</v>
      </c>
      <c r="Z374" s="23" t="s">
        <v>76</v>
      </c>
      <c r="AA374" s="40">
        <f>IF(C374="Electricity",E374*SUMIFS(Electricity!S:S,Electricity!P:P,UserMade_Scenario!B374,Electricity!M:M,UserMade_Scenario!Z374,Electricity!O:O,UserMade_Scenario!D374),"")</f>
        <v>11020035.179971522</v>
      </c>
      <c r="AB374" s="76">
        <f>1/Assumptions!$B$23/1000000000000</f>
        <v>3.5998225679871703E-9</v>
      </c>
      <c r="AC374" s="67" t="s">
        <v>82</v>
      </c>
      <c r="AD374" s="69">
        <f>INDEX(Table11[AVG
CO2e MT per MWh],MATCH(UserMade_Scenario!$B374,Table11[[Year]:[Year]],0))</f>
        <v>-8.0671518999999914E-2</v>
      </c>
      <c r="AE374" s="69">
        <f>INDEX(Table11[MIN
CO2e MT per MWh],MATCH(UserMade_Scenario!$B374,Table11[[Year]:[Year]],0))</f>
        <v>-5.468362375000009E-2</v>
      </c>
      <c r="AF374" s="69">
        <f>INDEX(Table11[MAX CO2e MT per MWh],MATCH(UserMade_Scenario!$B374,Table11[[Year]:[Year]],0))</f>
        <v>-0.10665941325000003</v>
      </c>
      <c r="AG374" s="68">
        <f>IFERROR(INDEX(WaterUseH2[Average Direct Water Consumption (Gal/ kg h2)],MATCH(LEFT(D374,3),WaterUseH2[Key],0)),0)</f>
        <v>0</v>
      </c>
      <c r="AH374">
        <v>14</v>
      </c>
      <c r="AI374">
        <v>1.4</v>
      </c>
      <c r="AJ374">
        <v>250</v>
      </c>
      <c r="AK374">
        <v>0.31</v>
      </c>
      <c r="AL374" s="63">
        <f>IFERROR(INDEX(Job_Training[[Solar]:[Wind]],MATCH(AL$1,Job_Training[[`Typical Entry Level Education`]:[`Typical Entry Level Education`]],0),MATCH(LEFT($D374,5),Job_Training[[#Headers],[Solar]:[Wind]],0)),0)</f>
        <v>0</v>
      </c>
      <c r="AM374" s="63">
        <f>IFERROR(INDEX(Job_Training[[Solar]:[Wind]],MATCH(AM$1,Job_Training[[`Typical Entry Level Education`]:[`Typical Entry Level Education`]],0),MATCH(LEFT($D374,5),Job_Training[[#Headers],[Solar]:[Wind]],0)),0)</f>
        <v>0</v>
      </c>
      <c r="AN374" s="63">
        <f>IFERROR(INDEX(Job_Training[[Solar]:[Wind]],MATCH(AN$1,Job_Training[[`Typical Entry Level Education`]:[`Typical Entry Level Education`]],0),MATCH(LEFT($D374,5),Job_Training[[#Headers],[Solar]:[Wind]],0)),0)</f>
        <v>0</v>
      </c>
      <c r="AO374" s="63">
        <f>IFERROR(INDEX(Job_Training[[Solar]:[Wind]],MATCH(AO$1,Job_Training[[`Typical Entry Level Education`]:[`Typical Entry Level Education`]],0),MATCH(LEFT($D374,5),Job_Training[[#Headers],[Solar]:[Wind]],0)),0)</f>
        <v>0</v>
      </c>
      <c r="AP374">
        <f t="shared" si="116"/>
        <v>588</v>
      </c>
      <c r="AQ374" s="63">
        <f>IF(AP374&gt;0,IFERROR(INDEX(Assumptions!$C$165:$D$165,MATCH(LEFT($D374,5),Job_Training[[#Headers],[Solar]:[Wind]],0)),0),0)</f>
        <v>0</v>
      </c>
      <c r="AR374">
        <f>IF(AP374&gt;0,IFERROR(INDEX(Assumptions!$C$166:$D$166,MATCH(LEFT($D374,5),Job_Training[[#Headers],[Solar]:[Wind]],0)),0),0)</f>
        <v>0</v>
      </c>
    </row>
    <row r="375" spans="1:44" hidden="1" x14ac:dyDescent="0.35">
      <c r="A375" t="str">
        <f>UserInput!$B$30</f>
        <v>State Policy Aligned</v>
      </c>
      <c r="B375">
        <v>2041</v>
      </c>
      <c r="C375" t="s">
        <v>41</v>
      </c>
      <c r="D375" t="s">
        <v>85</v>
      </c>
      <c r="E375" s="66">
        <f>INDEX(UserInput!$C$30:$M$50,MATCH(UserMade_Scenario!B375,UserInput!$A$30:$A$50,0),MATCH(LEFT(IF(RIGHT(C375,2)="H2",UserMade_Scenario!C375,D375),3),UserInput!$C$25:$M$25,0))</f>
        <v>9998</v>
      </c>
      <c r="F375" t="s">
        <v>81</v>
      </c>
      <c r="G375" s="14">
        <f t="shared" si="117"/>
        <v>4.2149030081409002E-2</v>
      </c>
      <c r="H375" s="63">
        <f t="shared" si="107"/>
        <v>0.89509744217150156</v>
      </c>
      <c r="I375" s="63">
        <f t="shared" si="108"/>
        <v>0.57988047472243975</v>
      </c>
      <c r="J375" s="63">
        <f t="shared" si="109"/>
        <v>1.210314397911926</v>
      </c>
      <c r="K375" s="30">
        <f>IF(OR(LEFT($D375,5)="Solar",$D375="Wind"),INDEX(Land_Use[AVG],MATCH(LEFT($D375,5),Land_Use[Tech],0)),0)*$E375</f>
        <v>0</v>
      </c>
      <c r="L375" s="30">
        <f>IF(OR(LEFT($D375,5)="Solar",$D375="Wind"),INDEX(Land_Use[MIN],MATCH(LEFT($D375,5),Land_Use[Tech],0)),0)*$E375</f>
        <v>0</v>
      </c>
      <c r="M375" s="30">
        <f>IF(OR(LEFT($D375,5)="Solar",$D375="Wind"),INDEX(Land_Use[MAX],MATCH(LEFT($D375,5),Land_Use[Tech],0)),0)*$E375</f>
        <v>0</v>
      </c>
      <c r="N375" s="15">
        <f t="shared" si="118"/>
        <v>0</v>
      </c>
      <c r="O375" s="11">
        <f t="shared" si="119"/>
        <v>0</v>
      </c>
      <c r="P375" s="11">
        <f t="shared" si="120"/>
        <v>0</v>
      </c>
      <c r="Q375" s="11">
        <f t="shared" si="121"/>
        <v>0</v>
      </c>
      <c r="R375" s="11">
        <f t="shared" si="122"/>
        <v>0</v>
      </c>
      <c r="S375" s="30">
        <f t="shared" si="110"/>
        <v>0</v>
      </c>
      <c r="T375" s="30">
        <f t="shared" si="111"/>
        <v>0</v>
      </c>
      <c r="U375" s="30">
        <f t="shared" si="112"/>
        <v>0</v>
      </c>
      <c r="V375" s="30">
        <f t="shared" si="113"/>
        <v>0</v>
      </c>
      <c r="W375" s="30">
        <f t="shared" si="114"/>
        <v>0</v>
      </c>
      <c r="X375" s="30">
        <f t="shared" si="115"/>
        <v>0</v>
      </c>
      <c r="Z375" s="23" t="s">
        <v>76</v>
      </c>
      <c r="AA375" s="40">
        <f>IF(C375="Electricity",E375*SUMIFS(Electricity!S:S,Electricity!P:P,UserMade_Scenario!B375,Electricity!M:M,UserMade_Scenario!Z375,Electricity!O:O,UserMade_Scenario!D375),"")</f>
        <v>11708640.991429891</v>
      </c>
      <c r="AB375" s="76">
        <f>1/Assumptions!$B$23/1000000000000</f>
        <v>3.5998225679871703E-9</v>
      </c>
      <c r="AC375" s="67" t="s">
        <v>82</v>
      </c>
      <c r="AD375" s="69">
        <f>INDEX(Table11[AVG
CO2e MT per MWh],MATCH(UserMade_Scenario!$B375,Table11[[Year]:[Year]],0))</f>
        <v>-7.6447594799999907E-2</v>
      </c>
      <c r="AE375" s="69">
        <f>INDEX(Table11[MIN
CO2e MT per MWh],MATCH(UserMade_Scenario!$B375,Table11[[Year]:[Year]],0))</f>
        <v>-4.9525856600000091E-2</v>
      </c>
      <c r="AF375" s="69">
        <f>INDEX(Table11[MAX CO2e MT per MWh],MATCH(UserMade_Scenario!$B375,Table11[[Year]:[Year]],0))</f>
        <v>-0.10336933200000002</v>
      </c>
      <c r="AG375" s="68">
        <f>IFERROR(INDEX(WaterUseH2[Average Direct Water Consumption (Gal/ kg h2)],MATCH(LEFT(D375,3),WaterUseH2[Key],0)),0)</f>
        <v>0</v>
      </c>
      <c r="AH375">
        <v>14</v>
      </c>
      <c r="AI375">
        <v>1.4</v>
      </c>
      <c r="AJ375">
        <v>250</v>
      </c>
      <c r="AK375">
        <v>0.31</v>
      </c>
      <c r="AL375" s="63">
        <f>IFERROR(INDEX(Job_Training[[Solar]:[Wind]],MATCH(AL$1,Job_Training[[`Typical Entry Level Education`]:[`Typical Entry Level Education`]],0),MATCH(LEFT($D375,5),Job_Training[[#Headers],[Solar]:[Wind]],0)),0)</f>
        <v>0</v>
      </c>
      <c r="AM375" s="63">
        <f>IFERROR(INDEX(Job_Training[[Solar]:[Wind]],MATCH(AM$1,Job_Training[[`Typical Entry Level Education`]:[`Typical Entry Level Education`]],0),MATCH(LEFT($D375,5),Job_Training[[#Headers],[Solar]:[Wind]],0)),0)</f>
        <v>0</v>
      </c>
      <c r="AN375" s="63">
        <f>IFERROR(INDEX(Job_Training[[Solar]:[Wind]],MATCH(AN$1,Job_Training[[`Typical Entry Level Education`]:[`Typical Entry Level Education`]],0),MATCH(LEFT($D375,5),Job_Training[[#Headers],[Solar]:[Wind]],0)),0)</f>
        <v>0</v>
      </c>
      <c r="AO375" s="63">
        <f>IFERROR(INDEX(Job_Training[[Solar]:[Wind]],MATCH(AO$1,Job_Training[[`Typical Entry Level Education`]:[`Typical Entry Level Education`]],0),MATCH(LEFT($D375,5),Job_Training[[#Headers],[Solar]:[Wind]],0)),0)</f>
        <v>0</v>
      </c>
      <c r="AP375">
        <f t="shared" si="116"/>
        <v>588</v>
      </c>
      <c r="AQ375" s="63">
        <f>IF(AP375&gt;0,IFERROR(INDEX(Assumptions!$C$165:$D$165,MATCH(LEFT($D375,5),Job_Training[[#Headers],[Solar]:[Wind]],0)),0),0)</f>
        <v>0</v>
      </c>
      <c r="AR375">
        <f>IF(AP375&gt;0,IFERROR(INDEX(Assumptions!$C$166:$D$166,MATCH(LEFT($D375,5),Job_Training[[#Headers],[Solar]:[Wind]],0)),0),0)</f>
        <v>0</v>
      </c>
    </row>
    <row r="376" spans="1:44" hidden="1" x14ac:dyDescent="0.35">
      <c r="A376" t="str">
        <f>UserInput!$B$30</f>
        <v>State Policy Aligned</v>
      </c>
      <c r="B376">
        <v>2042</v>
      </c>
      <c r="C376" t="s">
        <v>41</v>
      </c>
      <c r="D376" t="s">
        <v>85</v>
      </c>
      <c r="E376" s="66">
        <f>INDEX(UserInput!$C$30:$M$50,MATCH(UserMade_Scenario!B376,UserInput!$A$30:$A$50,0),MATCH(LEFT(IF(RIGHT(C376,2)="H2",UserMade_Scenario!C376,D376),3),UserInput!$C$25:$M$25,0))</f>
        <v>10586</v>
      </c>
      <c r="F376" t="s">
        <v>81</v>
      </c>
      <c r="G376" s="14">
        <f t="shared" si="117"/>
        <v>4.4627888821943955E-2</v>
      </c>
      <c r="H376" s="63">
        <f t="shared" si="107"/>
        <v>0.8953746694387037</v>
      </c>
      <c r="I376" s="63">
        <f t="shared" si="108"/>
        <v>0.55004215508427401</v>
      </c>
      <c r="J376" s="63">
        <f t="shared" si="109"/>
        <v>1.2407071713958904</v>
      </c>
      <c r="K376" s="30">
        <f>IF(OR(LEFT($D376,5)="Solar",$D376="Wind"),INDEX(Land_Use[AVG],MATCH(LEFT($D376,5),Land_Use[Tech],0)),0)*$E376</f>
        <v>0</v>
      </c>
      <c r="L376" s="30">
        <f>IF(OR(LEFT($D376,5)="Solar",$D376="Wind"),INDEX(Land_Use[MIN],MATCH(LEFT($D376,5),Land_Use[Tech],0)),0)*$E376</f>
        <v>0</v>
      </c>
      <c r="M376" s="30">
        <f>IF(OR(LEFT($D376,5)="Solar",$D376="Wind"),INDEX(Land_Use[MAX],MATCH(LEFT($D376,5),Land_Use[Tech],0)),0)*$E376</f>
        <v>0</v>
      </c>
      <c r="N376" s="15">
        <f t="shared" si="118"/>
        <v>0</v>
      </c>
      <c r="O376" s="11">
        <f t="shared" si="119"/>
        <v>0</v>
      </c>
      <c r="P376" s="11">
        <f t="shared" si="120"/>
        <v>0</v>
      </c>
      <c r="Q376" s="11">
        <f t="shared" si="121"/>
        <v>0</v>
      </c>
      <c r="R376" s="11">
        <f t="shared" si="122"/>
        <v>0</v>
      </c>
      <c r="S376" s="30">
        <f t="shared" si="110"/>
        <v>0</v>
      </c>
      <c r="T376" s="30">
        <f t="shared" si="111"/>
        <v>0</v>
      </c>
      <c r="U376" s="30">
        <f t="shared" si="112"/>
        <v>0</v>
      </c>
      <c r="V376" s="30">
        <f t="shared" si="113"/>
        <v>0</v>
      </c>
      <c r="W376" s="30">
        <f t="shared" si="114"/>
        <v>0</v>
      </c>
      <c r="X376" s="30">
        <f t="shared" si="115"/>
        <v>0</v>
      </c>
      <c r="Z376" s="23" t="s">
        <v>76</v>
      </c>
      <c r="AA376" s="40">
        <f>IF(C376="Electricity",E376*SUMIFS(Electricity!S:S,Electricity!P:P,UserMade_Scenario!B376,Electricity!M:M,UserMade_Scenario!Z376,Electricity!O:O,UserMade_Scenario!D376),"")</f>
        <v>12397246.802888261</v>
      </c>
      <c r="AB376" s="76">
        <f>1/Assumptions!$B$23/1000000000000</f>
        <v>3.5998225679871703E-9</v>
      </c>
      <c r="AC376" s="67" t="s">
        <v>82</v>
      </c>
      <c r="AD376" s="69">
        <f>INDEX(Table11[AVG
CO2e MT per MWh],MATCH(UserMade_Scenario!$B376,Table11[[Year]:[Year]],0))</f>
        <v>-7.2223670599999901E-2</v>
      </c>
      <c r="AE376" s="69">
        <f>INDEX(Table11[MIN
CO2e MT per MWh],MATCH(UserMade_Scenario!$B376,Table11[[Year]:[Year]],0))</f>
        <v>-4.4368089450000092E-2</v>
      </c>
      <c r="AF376" s="69">
        <f>INDEX(Table11[MAX CO2e MT per MWh],MATCH(UserMade_Scenario!$B376,Table11[[Year]:[Year]],0))</f>
        <v>-0.10007925075000002</v>
      </c>
      <c r="AG376" s="68">
        <f>IFERROR(INDEX(WaterUseH2[Average Direct Water Consumption (Gal/ kg h2)],MATCH(LEFT(D376,3),WaterUseH2[Key],0)),0)</f>
        <v>0</v>
      </c>
      <c r="AH376">
        <v>14</v>
      </c>
      <c r="AI376">
        <v>1.4</v>
      </c>
      <c r="AJ376">
        <v>250</v>
      </c>
      <c r="AK376">
        <v>0.31</v>
      </c>
      <c r="AL376" s="63">
        <f>IFERROR(INDEX(Job_Training[[Solar]:[Wind]],MATCH(AL$1,Job_Training[[`Typical Entry Level Education`]:[`Typical Entry Level Education`]],0),MATCH(LEFT($D376,5),Job_Training[[#Headers],[Solar]:[Wind]],0)),0)</f>
        <v>0</v>
      </c>
      <c r="AM376" s="63">
        <f>IFERROR(INDEX(Job_Training[[Solar]:[Wind]],MATCH(AM$1,Job_Training[[`Typical Entry Level Education`]:[`Typical Entry Level Education`]],0),MATCH(LEFT($D376,5),Job_Training[[#Headers],[Solar]:[Wind]],0)),0)</f>
        <v>0</v>
      </c>
      <c r="AN376" s="63">
        <f>IFERROR(INDEX(Job_Training[[Solar]:[Wind]],MATCH(AN$1,Job_Training[[`Typical Entry Level Education`]:[`Typical Entry Level Education`]],0),MATCH(LEFT($D376,5),Job_Training[[#Headers],[Solar]:[Wind]],0)),0)</f>
        <v>0</v>
      </c>
      <c r="AO376" s="63">
        <f>IFERROR(INDEX(Job_Training[[Solar]:[Wind]],MATCH(AO$1,Job_Training[[`Typical Entry Level Education`]:[`Typical Entry Level Education`]],0),MATCH(LEFT($D376,5),Job_Training[[#Headers],[Solar]:[Wind]],0)),0)</f>
        <v>0</v>
      </c>
      <c r="AP376">
        <f t="shared" si="116"/>
        <v>588</v>
      </c>
      <c r="AQ376" s="63">
        <f>IF(AP376&gt;0,IFERROR(INDEX(Assumptions!$C$165:$D$165,MATCH(LEFT($D376,5),Job_Training[[#Headers],[Solar]:[Wind]],0)),0),0)</f>
        <v>0</v>
      </c>
      <c r="AR376">
        <f>IF(AP376&gt;0,IFERROR(INDEX(Assumptions!$C$166:$D$166,MATCH(LEFT($D376,5),Job_Training[[#Headers],[Solar]:[Wind]],0)),0),0)</f>
        <v>0</v>
      </c>
    </row>
    <row r="377" spans="1:44" hidden="1" x14ac:dyDescent="0.35">
      <c r="A377" t="str">
        <f>UserInput!$B$30</f>
        <v>State Policy Aligned</v>
      </c>
      <c r="B377">
        <v>2043</v>
      </c>
      <c r="C377" t="s">
        <v>41</v>
      </c>
      <c r="D377" t="s">
        <v>85</v>
      </c>
      <c r="E377" s="66">
        <f>INDEX(UserInput!$C$30:$M$50,MATCH(UserMade_Scenario!B377,UserInput!$A$30:$A$50,0),MATCH(LEFT(IF(RIGHT(C377,2)="H2",UserMade_Scenario!C377,D377),3),UserInput!$C$25:$M$25,0))</f>
        <v>11175</v>
      </c>
      <c r="F377" t="s">
        <v>81</v>
      </c>
      <c r="G377" s="14">
        <f t="shared" si="117"/>
        <v>4.7110963308636282E-2</v>
      </c>
      <c r="H377" s="63">
        <f t="shared" si="107"/>
        <v>0.88991429359203478</v>
      </c>
      <c r="I377" s="63">
        <f t="shared" si="108"/>
        <v>0.51314641772135561</v>
      </c>
      <c r="J377" s="63">
        <f t="shared" si="109"/>
        <v>1.2666821563756943</v>
      </c>
      <c r="K377" s="30">
        <f>IF(OR(LEFT($D377,5)="Solar",$D377="Wind"),INDEX(Land_Use[AVG],MATCH(LEFT($D377,5),Land_Use[Tech],0)),0)*$E377</f>
        <v>0</v>
      </c>
      <c r="L377" s="30">
        <f>IF(OR(LEFT($D377,5)="Solar",$D377="Wind"),INDEX(Land_Use[MIN],MATCH(LEFT($D377,5),Land_Use[Tech],0)),0)*$E377</f>
        <v>0</v>
      </c>
      <c r="M377" s="30">
        <f>IF(OR(LEFT($D377,5)="Solar",$D377="Wind"),INDEX(Land_Use[MAX],MATCH(LEFT($D377,5),Land_Use[Tech],0)),0)*$E377</f>
        <v>0</v>
      </c>
      <c r="N377" s="15">
        <f t="shared" si="118"/>
        <v>0</v>
      </c>
      <c r="O377" s="11">
        <f t="shared" si="119"/>
        <v>0</v>
      </c>
      <c r="P377" s="11">
        <f t="shared" si="120"/>
        <v>0</v>
      </c>
      <c r="Q377" s="11">
        <f t="shared" si="121"/>
        <v>0</v>
      </c>
      <c r="R377" s="11">
        <f t="shared" si="122"/>
        <v>0</v>
      </c>
      <c r="S377" s="30">
        <f t="shared" si="110"/>
        <v>0</v>
      </c>
      <c r="T377" s="30">
        <f t="shared" si="111"/>
        <v>0</v>
      </c>
      <c r="U377" s="30">
        <f t="shared" si="112"/>
        <v>0</v>
      </c>
      <c r="V377" s="30">
        <f t="shared" si="113"/>
        <v>0</v>
      </c>
      <c r="W377" s="30">
        <f t="shared" si="114"/>
        <v>0</v>
      </c>
      <c r="X377" s="30">
        <f t="shared" si="115"/>
        <v>0</v>
      </c>
      <c r="Z377" s="23" t="s">
        <v>76</v>
      </c>
      <c r="AA377" s="40">
        <f>IF(C377="Electricity",E377*SUMIFS(Electricity!S:S,Electricity!P:P,UserMade_Scenario!B377,Electricity!M:M,UserMade_Scenario!Z377,Electricity!O:O,UserMade_Scenario!D377),"")</f>
        <v>13087023.712665437</v>
      </c>
      <c r="AB377" s="76">
        <f>1/Assumptions!$B$23/1000000000000</f>
        <v>3.5998225679871703E-9</v>
      </c>
      <c r="AC377" s="67" t="s">
        <v>82</v>
      </c>
      <c r="AD377" s="69">
        <f>INDEX(Table11[AVG
CO2e MT per MWh],MATCH(UserMade_Scenario!$B377,Table11[[Year]:[Year]],0))</f>
        <v>-6.7999746399999894E-2</v>
      </c>
      <c r="AE377" s="69">
        <f>INDEX(Table11[MIN
CO2e MT per MWh],MATCH(UserMade_Scenario!$B377,Table11[[Year]:[Year]],0))</f>
        <v>-3.9210322300000093E-2</v>
      </c>
      <c r="AF377" s="69">
        <f>INDEX(Table11[MAX CO2e MT per MWh],MATCH(UserMade_Scenario!$B377,Table11[[Year]:[Year]],0))</f>
        <v>-9.6789169500000008E-2</v>
      </c>
      <c r="AG377" s="68">
        <f>IFERROR(INDEX(WaterUseH2[Average Direct Water Consumption (Gal/ kg h2)],MATCH(LEFT(D377,3),WaterUseH2[Key],0)),0)</f>
        <v>0</v>
      </c>
      <c r="AH377">
        <v>14</v>
      </c>
      <c r="AI377">
        <v>1.4</v>
      </c>
      <c r="AJ377">
        <v>250</v>
      </c>
      <c r="AK377">
        <v>0.31</v>
      </c>
      <c r="AL377" s="63">
        <f>IFERROR(INDEX(Job_Training[[Solar]:[Wind]],MATCH(AL$1,Job_Training[[`Typical Entry Level Education`]:[`Typical Entry Level Education`]],0),MATCH(LEFT($D377,5),Job_Training[[#Headers],[Solar]:[Wind]],0)),0)</f>
        <v>0</v>
      </c>
      <c r="AM377" s="63">
        <f>IFERROR(INDEX(Job_Training[[Solar]:[Wind]],MATCH(AM$1,Job_Training[[`Typical Entry Level Education`]:[`Typical Entry Level Education`]],0),MATCH(LEFT($D377,5),Job_Training[[#Headers],[Solar]:[Wind]],0)),0)</f>
        <v>0</v>
      </c>
      <c r="AN377" s="63">
        <f>IFERROR(INDEX(Job_Training[[Solar]:[Wind]],MATCH(AN$1,Job_Training[[`Typical Entry Level Education`]:[`Typical Entry Level Education`]],0),MATCH(LEFT($D377,5),Job_Training[[#Headers],[Solar]:[Wind]],0)),0)</f>
        <v>0</v>
      </c>
      <c r="AO377" s="63">
        <f>IFERROR(INDEX(Job_Training[[Solar]:[Wind]],MATCH(AO$1,Job_Training[[`Typical Entry Level Education`]:[`Typical Entry Level Education`]],0),MATCH(LEFT($D377,5),Job_Training[[#Headers],[Solar]:[Wind]],0)),0)</f>
        <v>0</v>
      </c>
      <c r="AP377">
        <f t="shared" si="116"/>
        <v>589</v>
      </c>
      <c r="AQ377" s="63">
        <f>IF(AP377&gt;0,IFERROR(INDEX(Assumptions!$C$165:$D$165,MATCH(LEFT($D377,5),Job_Training[[#Headers],[Solar]:[Wind]],0)),0),0)</f>
        <v>0</v>
      </c>
      <c r="AR377">
        <f>IF(AP377&gt;0,IFERROR(INDEX(Assumptions!$C$166:$D$166,MATCH(LEFT($D377,5),Job_Training[[#Headers],[Solar]:[Wind]],0)),0),0)</f>
        <v>0</v>
      </c>
    </row>
    <row r="378" spans="1:44" hidden="1" x14ac:dyDescent="0.35">
      <c r="A378" t="str">
        <f>UserInput!$B$30</f>
        <v>State Policy Aligned</v>
      </c>
      <c r="B378">
        <v>2044</v>
      </c>
      <c r="C378" t="s">
        <v>41</v>
      </c>
      <c r="D378" t="s">
        <v>85</v>
      </c>
      <c r="E378" s="66">
        <f>INDEX(UserInput!$C$30:$M$50,MATCH(UserMade_Scenario!B378,UserInput!$A$30:$A$50,0),MATCH(LEFT(IF(RIGHT(C378,2)="H2",UserMade_Scenario!C378,D378),3),UserInput!$C$25:$M$25,0))</f>
        <v>11763</v>
      </c>
      <c r="F378" t="s">
        <v>81</v>
      </c>
      <c r="G378" s="14">
        <f t="shared" si="117"/>
        <v>4.9589822049171242E-2</v>
      </c>
      <c r="H378" s="63">
        <f t="shared" si="107"/>
        <v>0.8785520992235889</v>
      </c>
      <c r="I378" s="63">
        <f t="shared" si="108"/>
        <v>0.46909538409619544</v>
      </c>
      <c r="J378" s="63">
        <f t="shared" si="109"/>
        <v>1.2880088005753572</v>
      </c>
      <c r="K378" s="30">
        <f>IF(OR(LEFT($D378,5)="Solar",$D378="Wind"),INDEX(Land_Use[AVG],MATCH(LEFT($D378,5),Land_Use[Tech],0)),0)*$E378</f>
        <v>0</v>
      </c>
      <c r="L378" s="30">
        <f>IF(OR(LEFT($D378,5)="Solar",$D378="Wind"),INDEX(Land_Use[MIN],MATCH(LEFT($D378,5),Land_Use[Tech],0)),0)*$E378</f>
        <v>0</v>
      </c>
      <c r="M378" s="30">
        <f>IF(OR(LEFT($D378,5)="Solar",$D378="Wind"),INDEX(Land_Use[MAX],MATCH(LEFT($D378,5),Land_Use[Tech],0)),0)*$E378</f>
        <v>0</v>
      </c>
      <c r="N378" s="15">
        <f t="shared" si="118"/>
        <v>0</v>
      </c>
      <c r="O378" s="11">
        <f t="shared" si="119"/>
        <v>0</v>
      </c>
      <c r="P378" s="11">
        <f t="shared" si="120"/>
        <v>0</v>
      </c>
      <c r="Q378" s="11">
        <f t="shared" si="121"/>
        <v>0</v>
      </c>
      <c r="R378" s="11">
        <f t="shared" si="122"/>
        <v>0</v>
      </c>
      <c r="S378" s="30">
        <f t="shared" si="110"/>
        <v>0</v>
      </c>
      <c r="T378" s="30">
        <f t="shared" si="111"/>
        <v>0</v>
      </c>
      <c r="U378" s="30">
        <f t="shared" si="112"/>
        <v>0</v>
      </c>
      <c r="V378" s="30">
        <f t="shared" si="113"/>
        <v>0</v>
      </c>
      <c r="W378" s="30">
        <f t="shared" si="114"/>
        <v>0</v>
      </c>
      <c r="X378" s="30">
        <f t="shared" si="115"/>
        <v>0</v>
      </c>
      <c r="Z378" s="23" t="s">
        <v>76</v>
      </c>
      <c r="AA378" s="40">
        <f>IF(C378="Electricity",E378*SUMIFS(Electricity!S:S,Electricity!P:P,UserMade_Scenario!B378,Electricity!M:M,UserMade_Scenario!Z378,Electricity!O:O,UserMade_Scenario!D378),"")</f>
        <v>13775629.524123807</v>
      </c>
      <c r="AB378" s="76">
        <f>1/Assumptions!$B$23/1000000000000</f>
        <v>3.5998225679871703E-9</v>
      </c>
      <c r="AC378" s="67" t="s">
        <v>82</v>
      </c>
      <c r="AD378" s="69">
        <f>INDEX(Table11[AVG
CO2e MT per MWh],MATCH(UserMade_Scenario!$B378,Table11[[Year]:[Year]],0))</f>
        <v>-6.3775822199999888E-2</v>
      </c>
      <c r="AE378" s="69">
        <f>INDEX(Table11[MIN
CO2e MT per MWh],MATCH(UserMade_Scenario!$B378,Table11[[Year]:[Year]],0))</f>
        <v>-3.4052555150000094E-2</v>
      </c>
      <c r="AF378" s="69">
        <f>INDEX(Table11[MAX CO2e MT per MWh],MATCH(UserMade_Scenario!$B378,Table11[[Year]:[Year]],0))</f>
        <v>-9.3499088250000001E-2</v>
      </c>
      <c r="AG378" s="68">
        <f>IFERROR(INDEX(WaterUseH2[Average Direct Water Consumption (Gal/ kg h2)],MATCH(LEFT(D378,3),WaterUseH2[Key],0)),0)</f>
        <v>0</v>
      </c>
      <c r="AH378">
        <v>14</v>
      </c>
      <c r="AI378">
        <v>1.4</v>
      </c>
      <c r="AJ378">
        <v>250</v>
      </c>
      <c r="AK378">
        <v>0.31</v>
      </c>
      <c r="AL378" s="63">
        <f>IFERROR(INDEX(Job_Training[[Solar]:[Wind]],MATCH(AL$1,Job_Training[[`Typical Entry Level Education`]:[`Typical Entry Level Education`]],0),MATCH(LEFT($D378,5),Job_Training[[#Headers],[Solar]:[Wind]],0)),0)</f>
        <v>0</v>
      </c>
      <c r="AM378" s="63">
        <f>IFERROR(INDEX(Job_Training[[Solar]:[Wind]],MATCH(AM$1,Job_Training[[`Typical Entry Level Education`]:[`Typical Entry Level Education`]],0),MATCH(LEFT($D378,5),Job_Training[[#Headers],[Solar]:[Wind]],0)),0)</f>
        <v>0</v>
      </c>
      <c r="AN378" s="63">
        <f>IFERROR(INDEX(Job_Training[[Solar]:[Wind]],MATCH(AN$1,Job_Training[[`Typical Entry Level Education`]:[`Typical Entry Level Education`]],0),MATCH(LEFT($D378,5),Job_Training[[#Headers],[Solar]:[Wind]],0)),0)</f>
        <v>0</v>
      </c>
      <c r="AO378" s="63">
        <f>IFERROR(INDEX(Job_Training[[Solar]:[Wind]],MATCH(AO$1,Job_Training[[`Typical Entry Level Education`]:[`Typical Entry Level Education`]],0),MATCH(LEFT($D378,5),Job_Training[[#Headers],[Solar]:[Wind]],0)),0)</f>
        <v>0</v>
      </c>
      <c r="AP378">
        <f t="shared" si="116"/>
        <v>588</v>
      </c>
      <c r="AQ378" s="63">
        <f>IF(AP378&gt;0,IFERROR(INDEX(Assumptions!$C$165:$D$165,MATCH(LEFT($D378,5),Job_Training[[#Headers],[Solar]:[Wind]],0)),0),0)</f>
        <v>0</v>
      </c>
      <c r="AR378">
        <f>IF(AP378&gt;0,IFERROR(INDEX(Assumptions!$C$166:$D$166,MATCH(LEFT($D378,5),Job_Training[[#Headers],[Solar]:[Wind]],0)),0),0)</f>
        <v>0</v>
      </c>
    </row>
    <row r="379" spans="1:44" hidden="1" x14ac:dyDescent="0.35">
      <c r="A379" t="str">
        <f>UserInput!$B$30</f>
        <v>State Policy Aligned</v>
      </c>
      <c r="B379">
        <v>2045</v>
      </c>
      <c r="C379" t="s">
        <v>41</v>
      </c>
      <c r="D379" t="s">
        <v>85</v>
      </c>
      <c r="E379" s="66">
        <f>INDEX(UserInput!$C$30:$M$50,MATCH(UserMade_Scenario!B379,UserInput!$A$30:$A$50,0),MATCH(LEFT(IF(RIGHT(C379,2)="H2",UserMade_Scenario!C379,D379),3),UserInput!$C$25:$M$25,0))</f>
        <v>12351</v>
      </c>
      <c r="F379" t="s">
        <v>81</v>
      </c>
      <c r="G379" s="14">
        <f t="shared" si="117"/>
        <v>5.2068680789706202E-2</v>
      </c>
      <c r="H379" s="63">
        <f t="shared" si="107"/>
        <v>0.86137266735258389</v>
      </c>
      <c r="I379" s="63">
        <f t="shared" si="108"/>
        <v>0.41794101360375718</v>
      </c>
      <c r="J379" s="63">
        <f t="shared" si="109"/>
        <v>1.3048043066371797</v>
      </c>
      <c r="K379" s="30">
        <f>IF(OR(LEFT($D379,5)="Solar",$D379="Wind"),INDEX(Land_Use[AVG],MATCH(LEFT($D379,5),Land_Use[Tech],0)),0)*$E379</f>
        <v>0</v>
      </c>
      <c r="L379" s="30">
        <f>IF(OR(LEFT($D379,5)="Solar",$D379="Wind"),INDEX(Land_Use[MIN],MATCH(LEFT($D379,5),Land_Use[Tech],0)),0)*$E379</f>
        <v>0</v>
      </c>
      <c r="M379" s="30">
        <f>IF(OR(LEFT($D379,5)="Solar",$D379="Wind"),INDEX(Land_Use[MAX],MATCH(LEFT($D379,5),Land_Use[Tech],0)),0)*$E379</f>
        <v>0</v>
      </c>
      <c r="N379" s="15">
        <f t="shared" si="118"/>
        <v>0</v>
      </c>
      <c r="O379" s="11">
        <f t="shared" si="119"/>
        <v>0</v>
      </c>
      <c r="P379" s="11">
        <f t="shared" si="120"/>
        <v>0</v>
      </c>
      <c r="Q379" s="11">
        <f t="shared" si="121"/>
        <v>0</v>
      </c>
      <c r="R379" s="11">
        <f t="shared" si="122"/>
        <v>0</v>
      </c>
      <c r="S379" s="30">
        <f t="shared" si="110"/>
        <v>0</v>
      </c>
      <c r="T379" s="30">
        <f t="shared" si="111"/>
        <v>0</v>
      </c>
      <c r="U379" s="30">
        <f t="shared" si="112"/>
        <v>0</v>
      </c>
      <c r="V379" s="30">
        <f t="shared" si="113"/>
        <v>0</v>
      </c>
      <c r="W379" s="30">
        <f t="shared" si="114"/>
        <v>0</v>
      </c>
      <c r="X379" s="30">
        <f t="shared" si="115"/>
        <v>0</v>
      </c>
      <c r="Z379" s="23" t="s">
        <v>76</v>
      </c>
      <c r="AA379" s="40">
        <f>IF(C379="Electricity",E379*SUMIFS(Electricity!S:S,Electricity!P:P,UserMade_Scenario!B379,Electricity!M:M,UserMade_Scenario!Z379,Electricity!O:O,UserMade_Scenario!D379),"")</f>
        <v>14464235.335582176</v>
      </c>
      <c r="AB379" s="76">
        <f>1/Assumptions!$B$23/1000000000000</f>
        <v>3.5998225679871703E-9</v>
      </c>
      <c r="AC379" s="67" t="s">
        <v>82</v>
      </c>
      <c r="AD379" s="69">
        <f>INDEX(Table11[AVG
CO2e MT per MWh],MATCH(UserMade_Scenario!$B379,Table11[[Year]:[Year]],0))</f>
        <v>-5.9551897999999888E-2</v>
      </c>
      <c r="AE379" s="69">
        <f>INDEX(Table11[MIN
CO2e MT per MWh],MATCH(UserMade_Scenario!$B379,Table11[[Year]:[Year]],0))</f>
        <v>-2.8894788000000095E-2</v>
      </c>
      <c r="AF379" s="69">
        <f>INDEX(Table11[MAX CO2e MT per MWh],MATCH(UserMade_Scenario!$B379,Table11[[Year]:[Year]],0))</f>
        <v>-9.0209006999999994E-2</v>
      </c>
      <c r="AG379" s="68">
        <f>IFERROR(INDEX(WaterUseH2[Average Direct Water Consumption (Gal/ kg h2)],MATCH(LEFT(D379,3),WaterUseH2[Key],0)),0)</f>
        <v>0</v>
      </c>
      <c r="AH379">
        <v>14</v>
      </c>
      <c r="AI379">
        <v>1.4</v>
      </c>
      <c r="AJ379">
        <v>250</v>
      </c>
      <c r="AK379">
        <v>0.31</v>
      </c>
      <c r="AL379" s="63">
        <f>IFERROR(INDEX(Job_Training[[Solar]:[Wind]],MATCH(AL$1,Job_Training[[`Typical Entry Level Education`]:[`Typical Entry Level Education`]],0),MATCH(LEFT($D379,5),Job_Training[[#Headers],[Solar]:[Wind]],0)),0)</f>
        <v>0</v>
      </c>
      <c r="AM379" s="63">
        <f>IFERROR(INDEX(Job_Training[[Solar]:[Wind]],MATCH(AM$1,Job_Training[[`Typical Entry Level Education`]:[`Typical Entry Level Education`]],0),MATCH(LEFT($D379,5),Job_Training[[#Headers],[Solar]:[Wind]],0)),0)</f>
        <v>0</v>
      </c>
      <c r="AN379" s="63">
        <f>IFERROR(INDEX(Job_Training[[Solar]:[Wind]],MATCH(AN$1,Job_Training[[`Typical Entry Level Education`]:[`Typical Entry Level Education`]],0),MATCH(LEFT($D379,5),Job_Training[[#Headers],[Solar]:[Wind]],0)),0)</f>
        <v>0</v>
      </c>
      <c r="AO379" s="63">
        <f>IFERROR(INDEX(Job_Training[[Solar]:[Wind]],MATCH(AO$1,Job_Training[[`Typical Entry Level Education`]:[`Typical Entry Level Education`]],0),MATCH(LEFT($D379,5),Job_Training[[#Headers],[Solar]:[Wind]],0)),0)</f>
        <v>0</v>
      </c>
      <c r="AP379">
        <f t="shared" si="116"/>
        <v>588</v>
      </c>
      <c r="AQ379" s="63">
        <f>IF(AP379&gt;0,IFERROR(INDEX(Assumptions!$C$165:$D$165,MATCH(LEFT($D379,5),Job_Training[[#Headers],[Solar]:[Wind]],0)),0),0)</f>
        <v>0</v>
      </c>
      <c r="AR379">
        <f>IF(AP379&gt;0,IFERROR(INDEX(Assumptions!$C$166:$D$166,MATCH(LEFT($D379,5),Job_Training[[#Headers],[Solar]:[Wind]],0)),0),0)</f>
        <v>0</v>
      </c>
    </row>
    <row r="380" spans="1:44" hidden="1" x14ac:dyDescent="0.35">
      <c r="A380" t="str">
        <f>UserInput!$B$30</f>
        <v>State Policy Aligned</v>
      </c>
      <c r="B380">
        <v>2025</v>
      </c>
      <c r="C380" t="s">
        <v>41</v>
      </c>
      <c r="D380" t="s">
        <v>86</v>
      </c>
      <c r="E380" s="66">
        <f>INDEX(UserInput!$C$30:$M$50,MATCH(UserMade_Scenario!B380,UserInput!$A$30:$A$50,0),MATCH(LEFT(IF(RIGHT(C380,2)="H2",UserMade_Scenario!C380,D380),3),UserInput!$C$25:$M$25,0))</f>
        <v>0</v>
      </c>
      <c r="F380" t="s">
        <v>81</v>
      </c>
      <c r="G380" s="14">
        <f t="shared" si="117"/>
        <v>0</v>
      </c>
      <c r="H380" s="63">
        <f t="shared" si="107"/>
        <v>0</v>
      </c>
      <c r="I380" s="63">
        <f t="shared" si="108"/>
        <v>0</v>
      </c>
      <c r="J380" s="63">
        <f t="shared" si="109"/>
        <v>0</v>
      </c>
      <c r="K380" s="30">
        <f>IF(OR(LEFT($D380,5)="Solar",$D380="Wind"),INDEX(Land_Use[AVG],MATCH(LEFT($D380,5),Land_Use[Tech],0)),0)*$E380</f>
        <v>0</v>
      </c>
      <c r="L380" s="30">
        <f>IF(OR(LEFT($D380,5)="Solar",$D380="Wind"),INDEX(Land_Use[MIN],MATCH(LEFT($D380,5),Land_Use[Tech],0)),0)*$E380</f>
        <v>0</v>
      </c>
      <c r="M380" s="30">
        <f>IF(OR(LEFT($D380,5)="Solar",$D380="Wind"),INDEX(Land_Use[MAX],MATCH(LEFT($D380,5),Land_Use[Tech],0)),0)*$E380</f>
        <v>0</v>
      </c>
      <c r="N380" s="15">
        <f t="shared" si="118"/>
        <v>0</v>
      </c>
      <c r="O380" s="11">
        <f t="shared" si="119"/>
        <v>0</v>
      </c>
      <c r="P380" s="11">
        <f t="shared" si="120"/>
        <v>0</v>
      </c>
      <c r="Q380" s="11">
        <f t="shared" si="121"/>
        <v>0</v>
      </c>
      <c r="R380" s="11">
        <f t="shared" si="122"/>
        <v>0</v>
      </c>
      <c r="S380" s="30">
        <f t="shared" si="110"/>
        <v>0</v>
      </c>
      <c r="T380" s="30">
        <f t="shared" si="111"/>
        <v>0</v>
      </c>
      <c r="U380" s="30">
        <f t="shared" si="112"/>
        <v>0</v>
      </c>
      <c r="V380" s="30">
        <f t="shared" si="113"/>
        <v>0</v>
      </c>
      <c r="W380" s="30">
        <f t="shared" si="114"/>
        <v>0</v>
      </c>
      <c r="X380" s="30">
        <f t="shared" si="115"/>
        <v>0</v>
      </c>
      <c r="Z380" s="23" t="s">
        <v>76</v>
      </c>
      <c r="AA380" s="40">
        <f>IF(C380="Electricity",E380*SUMIFS(Electricity!S:S,Electricity!P:P,UserMade_Scenario!B380,Electricity!M:M,UserMade_Scenario!Z380,Electricity!O:O,UserMade_Scenario!D380),"")</f>
        <v>0</v>
      </c>
      <c r="AB380" s="76">
        <f>1/Assumptions!$B$23/1000000000000</f>
        <v>3.5998225679871703E-9</v>
      </c>
      <c r="AC380" s="67" t="s">
        <v>82</v>
      </c>
      <c r="AD380" s="69">
        <f>INDEX(Table11[AVG
CO2e MT per MWh],MATCH(UserMade_Scenario!$B380,Table11[[Year]:[Year]],0))</f>
        <v>-0.14403038200000001</v>
      </c>
      <c r="AE380" s="69">
        <f>INDEX(Table11[MIN
CO2e MT per MWh],MATCH(UserMade_Scenario!$B380,Table11[[Year]:[Year]],0))</f>
        <v>-0.13205013099999999</v>
      </c>
      <c r="AF380" s="69">
        <f>INDEX(Table11[MAX CO2e MT per MWh],MATCH(UserMade_Scenario!$B380,Table11[[Year]:[Year]],0))</f>
        <v>-0.15601063200000001</v>
      </c>
      <c r="AG380" s="68">
        <f>IFERROR(INDEX(WaterUseH2[Average Direct Water Consumption (Gal/ kg h2)],MATCH(LEFT(D380,3),WaterUseH2[Key],0)),0)</f>
        <v>0</v>
      </c>
      <c r="AH380">
        <v>14</v>
      </c>
      <c r="AI380">
        <v>1.4</v>
      </c>
      <c r="AJ380">
        <v>250</v>
      </c>
      <c r="AK380">
        <v>0.31</v>
      </c>
      <c r="AL380" s="63">
        <f>IFERROR(INDEX(Job_Training[[Solar]:[Wind]],MATCH(AL$1,Job_Training[[`Typical Entry Level Education`]:[`Typical Entry Level Education`]],0),MATCH(LEFT($D380,5),Job_Training[[#Headers],[Solar]:[Wind]],0)),0)</f>
        <v>0</v>
      </c>
      <c r="AM380" s="63">
        <f>IFERROR(INDEX(Job_Training[[Solar]:[Wind]],MATCH(AM$1,Job_Training[[`Typical Entry Level Education`]:[`Typical Entry Level Education`]],0),MATCH(LEFT($D380,5),Job_Training[[#Headers],[Solar]:[Wind]],0)),0)</f>
        <v>0</v>
      </c>
      <c r="AN380" s="63">
        <f>IFERROR(INDEX(Job_Training[[Solar]:[Wind]],MATCH(AN$1,Job_Training[[`Typical Entry Level Education`]:[`Typical Entry Level Education`]],0),MATCH(LEFT($D380,5),Job_Training[[#Headers],[Solar]:[Wind]],0)),0)</f>
        <v>0</v>
      </c>
      <c r="AO380" s="63">
        <f>IFERROR(INDEX(Job_Training[[Solar]:[Wind]],MATCH(AO$1,Job_Training[[`Typical Entry Level Education`]:[`Typical Entry Level Education`]],0),MATCH(LEFT($D380,5),Job_Training[[#Headers],[Solar]:[Wind]],0)),0)</f>
        <v>0</v>
      </c>
      <c r="AP380">
        <f t="shared" si="116"/>
        <v>0</v>
      </c>
      <c r="AQ380" s="63">
        <f>IF(AP380&gt;0,IFERROR(INDEX(Assumptions!$C$165:$D$165,MATCH(LEFT($D380,5),Job_Training[[#Headers],[Solar]:[Wind]],0)),0),0)</f>
        <v>0</v>
      </c>
      <c r="AR380">
        <f>IF(AP380&gt;0,IFERROR(INDEX(Assumptions!$C$166:$D$166,MATCH(LEFT($D380,5),Job_Training[[#Headers],[Solar]:[Wind]],0)),0),0)</f>
        <v>0</v>
      </c>
    </row>
    <row r="381" spans="1:44" hidden="1" x14ac:dyDescent="0.35">
      <c r="A381" t="str">
        <f>UserInput!$B$30</f>
        <v>State Policy Aligned</v>
      </c>
      <c r="B381">
        <v>2026</v>
      </c>
      <c r="C381" t="s">
        <v>41</v>
      </c>
      <c r="D381" t="s">
        <v>86</v>
      </c>
      <c r="E381" s="66">
        <f>INDEX(UserInput!$C$30:$M$50,MATCH(UserMade_Scenario!B381,UserInput!$A$30:$A$50,0),MATCH(LEFT(IF(RIGHT(C381,2)="H2",UserMade_Scenario!C381,D381),3),UserInput!$C$25:$M$25,0))</f>
        <v>0</v>
      </c>
      <c r="F381" t="s">
        <v>81</v>
      </c>
      <c r="G381" s="14">
        <f t="shared" si="117"/>
        <v>0</v>
      </c>
      <c r="H381" s="63">
        <f t="shared" si="107"/>
        <v>0</v>
      </c>
      <c r="I381" s="63">
        <f t="shared" si="108"/>
        <v>0</v>
      </c>
      <c r="J381" s="63">
        <f t="shared" si="109"/>
        <v>0</v>
      </c>
      <c r="K381" s="30">
        <f>IF(OR(LEFT($D381,5)="Solar",$D381="Wind"),INDEX(Land_Use[AVG],MATCH(LEFT($D381,5),Land_Use[Tech],0)),0)*$E381</f>
        <v>0</v>
      </c>
      <c r="L381" s="30">
        <f>IF(OR(LEFT($D381,5)="Solar",$D381="Wind"),INDEX(Land_Use[MIN],MATCH(LEFT($D381,5),Land_Use[Tech],0)),0)*$E381</f>
        <v>0</v>
      </c>
      <c r="M381" s="30">
        <f>IF(OR(LEFT($D381,5)="Solar",$D381="Wind"),INDEX(Land_Use[MAX],MATCH(LEFT($D381,5),Land_Use[Tech],0)),0)*$E381</f>
        <v>0</v>
      </c>
      <c r="N381" s="15">
        <f t="shared" si="118"/>
        <v>0</v>
      </c>
      <c r="O381" s="11">
        <f t="shared" si="119"/>
        <v>0</v>
      </c>
      <c r="P381" s="11">
        <f t="shared" si="120"/>
        <v>0</v>
      </c>
      <c r="Q381" s="11">
        <f t="shared" si="121"/>
        <v>0</v>
      </c>
      <c r="R381" s="11">
        <f t="shared" si="122"/>
        <v>0</v>
      </c>
      <c r="S381" s="30">
        <f t="shared" si="110"/>
        <v>0</v>
      </c>
      <c r="T381" s="30">
        <f t="shared" si="111"/>
        <v>0</v>
      </c>
      <c r="U381" s="30">
        <f t="shared" si="112"/>
        <v>0</v>
      </c>
      <c r="V381" s="30">
        <f t="shared" si="113"/>
        <v>0</v>
      </c>
      <c r="W381" s="30">
        <f t="shared" si="114"/>
        <v>0</v>
      </c>
      <c r="X381" s="30">
        <f t="shared" si="115"/>
        <v>0</v>
      </c>
      <c r="Z381" s="23" t="s">
        <v>76</v>
      </c>
      <c r="AA381" s="40">
        <f>IF(C381="Electricity",E381*SUMIFS(Electricity!S:S,Electricity!P:P,UserMade_Scenario!B381,Electricity!M:M,UserMade_Scenario!Z381,Electricity!O:O,UserMade_Scenario!D381),"")</f>
        <v>0</v>
      </c>
      <c r="AB381" s="76">
        <f>1/Assumptions!$B$23/1000000000000</f>
        <v>3.5998225679871703E-9</v>
      </c>
      <c r="AC381" s="67" t="s">
        <v>82</v>
      </c>
      <c r="AD381" s="69">
        <f>INDEX(Table11[AVG
CO2e MT per MWh],MATCH(UserMade_Scenario!$B381,Table11[[Year]:[Year]],0))</f>
        <v>-0.13980645780000001</v>
      </c>
      <c r="AE381" s="69">
        <f>INDEX(Table11[MIN
CO2e MT per MWh],MATCH(UserMade_Scenario!$B381,Table11[[Year]:[Year]],0))</f>
        <v>-0.12689236385</v>
      </c>
      <c r="AF381" s="69">
        <f>INDEX(Table11[MAX CO2e MT per MWh],MATCH(UserMade_Scenario!$B381,Table11[[Year]:[Year]],0))</f>
        <v>-0.15272055075000002</v>
      </c>
      <c r="AG381" s="68">
        <f>IFERROR(INDEX(WaterUseH2[Average Direct Water Consumption (Gal/ kg h2)],MATCH(LEFT(D381,3),WaterUseH2[Key],0)),0)</f>
        <v>0</v>
      </c>
      <c r="AH381">
        <v>14</v>
      </c>
      <c r="AI381">
        <v>1.4</v>
      </c>
      <c r="AJ381">
        <v>250</v>
      </c>
      <c r="AK381">
        <v>0.31</v>
      </c>
      <c r="AL381" s="63">
        <f>IFERROR(INDEX(Job_Training[[Solar]:[Wind]],MATCH(AL$1,Job_Training[[`Typical Entry Level Education`]:[`Typical Entry Level Education`]],0),MATCH(LEFT($D381,5),Job_Training[[#Headers],[Solar]:[Wind]],0)),0)</f>
        <v>0</v>
      </c>
      <c r="AM381" s="63">
        <f>IFERROR(INDEX(Job_Training[[Solar]:[Wind]],MATCH(AM$1,Job_Training[[`Typical Entry Level Education`]:[`Typical Entry Level Education`]],0),MATCH(LEFT($D381,5),Job_Training[[#Headers],[Solar]:[Wind]],0)),0)</f>
        <v>0</v>
      </c>
      <c r="AN381" s="63">
        <f>IFERROR(INDEX(Job_Training[[Solar]:[Wind]],MATCH(AN$1,Job_Training[[`Typical Entry Level Education`]:[`Typical Entry Level Education`]],0),MATCH(LEFT($D381,5),Job_Training[[#Headers],[Solar]:[Wind]],0)),0)</f>
        <v>0</v>
      </c>
      <c r="AO381" s="63">
        <f>IFERROR(INDEX(Job_Training[[Solar]:[Wind]],MATCH(AO$1,Job_Training[[`Typical Entry Level Education`]:[`Typical Entry Level Education`]],0),MATCH(LEFT($D381,5),Job_Training[[#Headers],[Solar]:[Wind]],0)),0)</f>
        <v>0</v>
      </c>
      <c r="AP381">
        <f t="shared" si="116"/>
        <v>0</v>
      </c>
      <c r="AQ381" s="63">
        <f>IF(AP381&gt;0,IFERROR(INDEX(Assumptions!$C$165:$D$165,MATCH(LEFT($D381,5),Job_Training[[#Headers],[Solar]:[Wind]],0)),0),0)</f>
        <v>0</v>
      </c>
      <c r="AR381">
        <f>IF(AP381&gt;0,IFERROR(INDEX(Assumptions!$C$166:$D$166,MATCH(LEFT($D381,5),Job_Training[[#Headers],[Solar]:[Wind]],0)),0),0)</f>
        <v>0</v>
      </c>
    </row>
    <row r="382" spans="1:44" hidden="1" x14ac:dyDescent="0.35">
      <c r="A382" t="str">
        <f>UserInput!$B$30</f>
        <v>State Policy Aligned</v>
      </c>
      <c r="B382">
        <v>2027</v>
      </c>
      <c r="C382" t="s">
        <v>41</v>
      </c>
      <c r="D382" t="s">
        <v>86</v>
      </c>
      <c r="E382" s="66">
        <f>INDEX(UserInput!$C$30:$M$50,MATCH(UserMade_Scenario!B382,UserInput!$A$30:$A$50,0),MATCH(LEFT(IF(RIGHT(C382,2)="H2",UserMade_Scenario!C382,D382),3),UserInput!$C$25:$M$25,0))</f>
        <v>0</v>
      </c>
      <c r="F382" t="s">
        <v>81</v>
      </c>
      <c r="G382" s="14">
        <f t="shared" si="117"/>
        <v>0</v>
      </c>
      <c r="H382" s="63">
        <f t="shared" si="107"/>
        <v>0</v>
      </c>
      <c r="I382" s="63">
        <f t="shared" si="108"/>
        <v>0</v>
      </c>
      <c r="J382" s="63">
        <f t="shared" si="109"/>
        <v>0</v>
      </c>
      <c r="K382" s="30">
        <f>IF(OR(LEFT($D382,5)="Solar",$D382="Wind"),INDEX(Land_Use[AVG],MATCH(LEFT($D382,5),Land_Use[Tech],0)),0)*$E382</f>
        <v>0</v>
      </c>
      <c r="L382" s="30">
        <f>IF(OR(LEFT($D382,5)="Solar",$D382="Wind"),INDEX(Land_Use[MIN],MATCH(LEFT($D382,5),Land_Use[Tech],0)),0)*$E382</f>
        <v>0</v>
      </c>
      <c r="M382" s="30">
        <f>IF(OR(LEFT($D382,5)="Solar",$D382="Wind"),INDEX(Land_Use[MAX],MATCH(LEFT($D382,5),Land_Use[Tech],0)),0)*$E382</f>
        <v>0</v>
      </c>
      <c r="N382" s="15">
        <f t="shared" si="118"/>
        <v>0</v>
      </c>
      <c r="O382" s="11">
        <f t="shared" si="119"/>
        <v>0</v>
      </c>
      <c r="P382" s="11">
        <f t="shared" si="120"/>
        <v>0</v>
      </c>
      <c r="Q382" s="11">
        <f t="shared" si="121"/>
        <v>0</v>
      </c>
      <c r="R382" s="11">
        <f t="shared" si="122"/>
        <v>0</v>
      </c>
      <c r="S382" s="30">
        <f t="shared" si="110"/>
        <v>0</v>
      </c>
      <c r="T382" s="30">
        <f t="shared" si="111"/>
        <v>0</v>
      </c>
      <c r="U382" s="30">
        <f t="shared" si="112"/>
        <v>0</v>
      </c>
      <c r="V382" s="30">
        <f t="shared" si="113"/>
        <v>0</v>
      </c>
      <c r="W382" s="30">
        <f t="shared" si="114"/>
        <v>0</v>
      </c>
      <c r="X382" s="30">
        <f t="shared" si="115"/>
        <v>0</v>
      </c>
      <c r="Z382" s="23" t="s">
        <v>76</v>
      </c>
      <c r="AA382" s="40">
        <f>IF(C382="Electricity",E382*SUMIFS(Electricity!S:S,Electricity!P:P,UserMade_Scenario!B382,Electricity!M:M,UserMade_Scenario!Z382,Electricity!O:O,UserMade_Scenario!D382),"")</f>
        <v>0</v>
      </c>
      <c r="AB382" s="76">
        <f>1/Assumptions!$B$23/1000000000000</f>
        <v>3.5998225679871703E-9</v>
      </c>
      <c r="AC382" s="67" t="s">
        <v>82</v>
      </c>
      <c r="AD382" s="69">
        <f>INDEX(Table11[AVG
CO2e MT per MWh],MATCH(UserMade_Scenario!$B382,Table11[[Year]:[Year]],0))</f>
        <v>-0.1355825336</v>
      </c>
      <c r="AE382" s="69">
        <f>INDEX(Table11[MIN
CO2e MT per MWh],MATCH(UserMade_Scenario!$B382,Table11[[Year]:[Year]],0))</f>
        <v>-0.1217345967</v>
      </c>
      <c r="AF382" s="69">
        <f>INDEX(Table11[MAX CO2e MT per MWh],MATCH(UserMade_Scenario!$B382,Table11[[Year]:[Year]],0))</f>
        <v>-0.14943046950000002</v>
      </c>
      <c r="AG382" s="68">
        <f>IFERROR(INDEX(WaterUseH2[Average Direct Water Consumption (Gal/ kg h2)],MATCH(LEFT(D382,3),WaterUseH2[Key],0)),0)</f>
        <v>0</v>
      </c>
      <c r="AH382">
        <v>14</v>
      </c>
      <c r="AI382">
        <v>1.4</v>
      </c>
      <c r="AJ382">
        <v>250</v>
      </c>
      <c r="AK382">
        <v>0.31</v>
      </c>
      <c r="AL382" s="63">
        <f>IFERROR(INDEX(Job_Training[[Solar]:[Wind]],MATCH(AL$1,Job_Training[[`Typical Entry Level Education`]:[`Typical Entry Level Education`]],0),MATCH(LEFT($D382,5),Job_Training[[#Headers],[Solar]:[Wind]],0)),0)</f>
        <v>0</v>
      </c>
      <c r="AM382" s="63">
        <f>IFERROR(INDEX(Job_Training[[Solar]:[Wind]],MATCH(AM$1,Job_Training[[`Typical Entry Level Education`]:[`Typical Entry Level Education`]],0),MATCH(LEFT($D382,5),Job_Training[[#Headers],[Solar]:[Wind]],0)),0)</f>
        <v>0</v>
      </c>
      <c r="AN382" s="63">
        <f>IFERROR(INDEX(Job_Training[[Solar]:[Wind]],MATCH(AN$1,Job_Training[[`Typical Entry Level Education`]:[`Typical Entry Level Education`]],0),MATCH(LEFT($D382,5),Job_Training[[#Headers],[Solar]:[Wind]],0)),0)</f>
        <v>0</v>
      </c>
      <c r="AO382" s="63">
        <f>IFERROR(INDEX(Job_Training[[Solar]:[Wind]],MATCH(AO$1,Job_Training[[`Typical Entry Level Education`]:[`Typical Entry Level Education`]],0),MATCH(LEFT($D382,5),Job_Training[[#Headers],[Solar]:[Wind]],0)),0)</f>
        <v>0</v>
      </c>
      <c r="AP382">
        <f t="shared" si="116"/>
        <v>0</v>
      </c>
      <c r="AQ382" s="63">
        <f>IF(AP382&gt;0,IFERROR(INDEX(Assumptions!$C$165:$D$165,MATCH(LEFT($D382,5),Job_Training[[#Headers],[Solar]:[Wind]],0)),0),0)</f>
        <v>0</v>
      </c>
      <c r="AR382">
        <f>IF(AP382&gt;0,IFERROR(INDEX(Assumptions!$C$166:$D$166,MATCH(LEFT($D382,5),Job_Training[[#Headers],[Solar]:[Wind]],0)),0),0)</f>
        <v>0</v>
      </c>
    </row>
    <row r="383" spans="1:44" hidden="1" x14ac:dyDescent="0.35">
      <c r="A383" t="str">
        <f>UserInput!$B$30</f>
        <v>State Policy Aligned</v>
      </c>
      <c r="B383">
        <v>2028</v>
      </c>
      <c r="C383" t="s">
        <v>41</v>
      </c>
      <c r="D383" t="s">
        <v>86</v>
      </c>
      <c r="E383" s="66">
        <f>INDEX(UserInput!$C$30:$M$50,MATCH(UserMade_Scenario!B383,UserInput!$A$30:$A$50,0),MATCH(LEFT(IF(RIGHT(C383,2)="H2",UserMade_Scenario!C383,D383),3),UserInput!$C$25:$M$25,0))</f>
        <v>0</v>
      </c>
      <c r="F383" t="s">
        <v>81</v>
      </c>
      <c r="G383" s="14">
        <f t="shared" si="117"/>
        <v>0</v>
      </c>
      <c r="H383" s="63">
        <f t="shared" ref="H383:H446" si="123">IF($C383="Electricity",$AA383/1000000,$G383)*AD383*-1</f>
        <v>0</v>
      </c>
      <c r="I383" s="63">
        <f t="shared" ref="I383:I446" si="124">IF($C383="Electricity",$AA383/1000000,$G383)*AE383*-1</f>
        <v>0</v>
      </c>
      <c r="J383" s="63">
        <f t="shared" ref="J383:J446" si="125">IF($C383="Electricity",$AA383/1000000,$G383)*AF383*-1</f>
        <v>0</v>
      </c>
      <c r="K383" s="30">
        <f>IF(OR(LEFT($D383,5)="Solar",$D383="Wind"),INDEX(Land_Use[AVG],MATCH(LEFT($D383,5),Land_Use[Tech],0)),0)*$E383</f>
        <v>0</v>
      </c>
      <c r="L383" s="30">
        <f>IF(OR(LEFT($D383,5)="Solar",$D383="Wind"),INDEX(Land_Use[MIN],MATCH(LEFT($D383,5),Land_Use[Tech],0)),0)*$E383</f>
        <v>0</v>
      </c>
      <c r="M383" s="30">
        <f>IF(OR(LEFT($D383,5)="Solar",$D383="Wind"),INDEX(Land_Use[MAX],MATCH(LEFT($D383,5),Land_Use[Tech],0)),0)*$E383</f>
        <v>0</v>
      </c>
      <c r="N383" s="15">
        <f t="shared" si="118"/>
        <v>0</v>
      </c>
      <c r="O383" s="11">
        <f t="shared" si="119"/>
        <v>0</v>
      </c>
      <c r="P383" s="11">
        <f t="shared" si="120"/>
        <v>0</v>
      </c>
      <c r="Q383" s="11">
        <f t="shared" si="121"/>
        <v>0</v>
      </c>
      <c r="R383" s="11">
        <f t="shared" si="122"/>
        <v>0</v>
      </c>
      <c r="S383" s="30">
        <f t="shared" si="110"/>
        <v>0</v>
      </c>
      <c r="T383" s="30">
        <f t="shared" si="111"/>
        <v>0</v>
      </c>
      <c r="U383" s="30">
        <f t="shared" si="112"/>
        <v>0</v>
      </c>
      <c r="V383" s="30">
        <f t="shared" si="113"/>
        <v>0</v>
      </c>
      <c r="W383" s="30">
        <f t="shared" si="114"/>
        <v>0</v>
      </c>
      <c r="X383" s="30">
        <f t="shared" si="115"/>
        <v>0</v>
      </c>
      <c r="Z383" s="23" t="s">
        <v>76</v>
      </c>
      <c r="AA383" s="40">
        <f>IF(C383="Electricity",E383*SUMIFS(Electricity!S:S,Electricity!P:P,UserMade_Scenario!B383,Electricity!M:M,UserMade_Scenario!Z383,Electricity!O:O,UserMade_Scenario!D383),"")</f>
        <v>0</v>
      </c>
      <c r="AB383" s="76">
        <f>1/Assumptions!$B$23/1000000000000</f>
        <v>3.5998225679871703E-9</v>
      </c>
      <c r="AC383" s="67" t="s">
        <v>82</v>
      </c>
      <c r="AD383" s="69">
        <f>INDEX(Table11[AVG
CO2e MT per MWh],MATCH(UserMade_Scenario!$B383,Table11[[Year]:[Year]],0))</f>
        <v>-0.13135860939999999</v>
      </c>
      <c r="AE383" s="69">
        <f>INDEX(Table11[MIN
CO2e MT per MWh],MATCH(UserMade_Scenario!$B383,Table11[[Year]:[Year]],0))</f>
        <v>-0.11657682955000001</v>
      </c>
      <c r="AF383" s="69">
        <f>INDEX(Table11[MAX CO2e MT per MWh],MATCH(UserMade_Scenario!$B383,Table11[[Year]:[Year]],0))</f>
        <v>-0.14614038825000003</v>
      </c>
      <c r="AG383" s="68">
        <f>IFERROR(INDEX(WaterUseH2[Average Direct Water Consumption (Gal/ kg h2)],MATCH(LEFT(D383,3),WaterUseH2[Key],0)),0)</f>
        <v>0</v>
      </c>
      <c r="AH383">
        <v>14</v>
      </c>
      <c r="AI383">
        <v>1.4</v>
      </c>
      <c r="AJ383">
        <v>250</v>
      </c>
      <c r="AK383">
        <v>0.31</v>
      </c>
      <c r="AL383" s="63">
        <f>IFERROR(INDEX(Job_Training[[Solar]:[Wind]],MATCH(AL$1,Job_Training[[`Typical Entry Level Education`]:[`Typical Entry Level Education`]],0),MATCH(LEFT($D383,5),Job_Training[[#Headers],[Solar]:[Wind]],0)),0)</f>
        <v>0</v>
      </c>
      <c r="AM383" s="63">
        <f>IFERROR(INDEX(Job_Training[[Solar]:[Wind]],MATCH(AM$1,Job_Training[[`Typical Entry Level Education`]:[`Typical Entry Level Education`]],0),MATCH(LEFT($D383,5),Job_Training[[#Headers],[Solar]:[Wind]],0)),0)</f>
        <v>0</v>
      </c>
      <c r="AN383" s="63">
        <f>IFERROR(INDEX(Job_Training[[Solar]:[Wind]],MATCH(AN$1,Job_Training[[`Typical Entry Level Education`]:[`Typical Entry Level Education`]],0),MATCH(LEFT($D383,5),Job_Training[[#Headers],[Solar]:[Wind]],0)),0)</f>
        <v>0</v>
      </c>
      <c r="AO383" s="63">
        <f>IFERROR(INDEX(Job_Training[[Solar]:[Wind]],MATCH(AO$1,Job_Training[[`Typical Entry Level Education`]:[`Typical Entry Level Education`]],0),MATCH(LEFT($D383,5),Job_Training[[#Headers],[Solar]:[Wind]],0)),0)</f>
        <v>0</v>
      </c>
      <c r="AP383">
        <f t="shared" si="116"/>
        <v>0</v>
      </c>
      <c r="AQ383" s="63">
        <f>IF(AP383&gt;0,IFERROR(INDEX(Assumptions!$C$165:$D$165,MATCH(LEFT($D383,5),Job_Training[[#Headers],[Solar]:[Wind]],0)),0),0)</f>
        <v>0</v>
      </c>
      <c r="AR383">
        <f>IF(AP383&gt;0,IFERROR(INDEX(Assumptions!$C$166:$D$166,MATCH(LEFT($D383,5),Job_Training[[#Headers],[Solar]:[Wind]],0)),0),0)</f>
        <v>0</v>
      </c>
    </row>
    <row r="384" spans="1:44" hidden="1" x14ac:dyDescent="0.35">
      <c r="A384" t="str">
        <f>UserInput!$B$30</f>
        <v>State Policy Aligned</v>
      </c>
      <c r="B384">
        <v>2029</v>
      </c>
      <c r="C384" t="s">
        <v>41</v>
      </c>
      <c r="D384" t="s">
        <v>86</v>
      </c>
      <c r="E384" s="66">
        <f>INDEX(UserInput!$C$30:$M$50,MATCH(UserMade_Scenario!B384,UserInput!$A$30:$A$50,0),MATCH(LEFT(IF(RIGHT(C384,2)="H2",UserMade_Scenario!C384,D384),3),UserInput!$C$25:$M$25,0))</f>
        <v>0</v>
      </c>
      <c r="F384" t="s">
        <v>81</v>
      </c>
      <c r="G384" s="14">
        <f t="shared" si="117"/>
        <v>0</v>
      </c>
      <c r="H384" s="63">
        <f t="shared" si="123"/>
        <v>0</v>
      </c>
      <c r="I384" s="63">
        <f t="shared" si="124"/>
        <v>0</v>
      </c>
      <c r="J384" s="63">
        <f t="shared" si="125"/>
        <v>0</v>
      </c>
      <c r="K384" s="30">
        <f>IF(OR(LEFT($D384,5)="Solar",$D384="Wind"),INDEX(Land_Use[AVG],MATCH(LEFT($D384,5),Land_Use[Tech],0)),0)*$E384</f>
        <v>0</v>
      </c>
      <c r="L384" s="30">
        <f>IF(OR(LEFT($D384,5)="Solar",$D384="Wind"),INDEX(Land_Use[MIN],MATCH(LEFT($D384,5),Land_Use[Tech],0)),0)*$E384</f>
        <v>0</v>
      </c>
      <c r="M384" s="30">
        <f>IF(OR(LEFT($D384,5)="Solar",$D384="Wind"),INDEX(Land_Use[MAX],MATCH(LEFT($D384,5),Land_Use[Tech],0)),0)*$E384</f>
        <v>0</v>
      </c>
      <c r="N384" s="15">
        <f t="shared" si="118"/>
        <v>0</v>
      </c>
      <c r="O384" s="11">
        <f t="shared" si="119"/>
        <v>0</v>
      </c>
      <c r="P384" s="11">
        <f t="shared" si="120"/>
        <v>0</v>
      </c>
      <c r="Q384" s="11">
        <f t="shared" si="121"/>
        <v>0</v>
      </c>
      <c r="R384" s="11">
        <f t="shared" si="122"/>
        <v>0</v>
      </c>
      <c r="S384" s="30">
        <f t="shared" si="110"/>
        <v>0</v>
      </c>
      <c r="T384" s="30">
        <f t="shared" si="111"/>
        <v>0</v>
      </c>
      <c r="U384" s="30">
        <f t="shared" si="112"/>
        <v>0</v>
      </c>
      <c r="V384" s="30">
        <f t="shared" si="113"/>
        <v>0</v>
      </c>
      <c r="W384" s="30">
        <f t="shared" si="114"/>
        <v>0</v>
      </c>
      <c r="X384" s="30">
        <f t="shared" si="115"/>
        <v>0</v>
      </c>
      <c r="Z384" s="23" t="s">
        <v>76</v>
      </c>
      <c r="AA384" s="40">
        <f>IF(C384="Electricity",E384*SUMIFS(Electricity!S:S,Electricity!P:P,UserMade_Scenario!B384,Electricity!M:M,UserMade_Scenario!Z384,Electricity!O:O,UserMade_Scenario!D384),"")</f>
        <v>0</v>
      </c>
      <c r="AB384" s="76">
        <f>1/Assumptions!$B$23/1000000000000</f>
        <v>3.5998225679871703E-9</v>
      </c>
      <c r="AC384" s="67" t="s">
        <v>82</v>
      </c>
      <c r="AD384" s="69">
        <f>INDEX(Table11[AVG
CO2e MT per MWh],MATCH(UserMade_Scenario!$B384,Table11[[Year]:[Year]],0))</f>
        <v>-0.12713468519999999</v>
      </c>
      <c r="AE384" s="69">
        <f>INDEX(Table11[MIN
CO2e MT per MWh],MATCH(UserMade_Scenario!$B384,Table11[[Year]:[Year]],0))</f>
        <v>-0.11141906240000002</v>
      </c>
      <c r="AF384" s="69">
        <f>INDEX(Table11[MAX CO2e MT per MWh],MATCH(UserMade_Scenario!$B384,Table11[[Year]:[Year]],0))</f>
        <v>-0.14285030700000004</v>
      </c>
      <c r="AG384" s="68">
        <f>IFERROR(INDEX(WaterUseH2[Average Direct Water Consumption (Gal/ kg h2)],MATCH(LEFT(D384,3),WaterUseH2[Key],0)),0)</f>
        <v>0</v>
      </c>
      <c r="AH384">
        <v>14</v>
      </c>
      <c r="AI384">
        <v>1.4</v>
      </c>
      <c r="AJ384">
        <v>250</v>
      </c>
      <c r="AK384">
        <v>0.31</v>
      </c>
      <c r="AL384" s="63">
        <f>IFERROR(INDEX(Job_Training[[Solar]:[Wind]],MATCH(AL$1,Job_Training[[`Typical Entry Level Education`]:[`Typical Entry Level Education`]],0),MATCH(LEFT($D384,5),Job_Training[[#Headers],[Solar]:[Wind]],0)),0)</f>
        <v>0</v>
      </c>
      <c r="AM384" s="63">
        <f>IFERROR(INDEX(Job_Training[[Solar]:[Wind]],MATCH(AM$1,Job_Training[[`Typical Entry Level Education`]:[`Typical Entry Level Education`]],0),MATCH(LEFT($D384,5),Job_Training[[#Headers],[Solar]:[Wind]],0)),0)</f>
        <v>0</v>
      </c>
      <c r="AN384" s="63">
        <f>IFERROR(INDEX(Job_Training[[Solar]:[Wind]],MATCH(AN$1,Job_Training[[`Typical Entry Level Education`]:[`Typical Entry Level Education`]],0),MATCH(LEFT($D384,5),Job_Training[[#Headers],[Solar]:[Wind]],0)),0)</f>
        <v>0</v>
      </c>
      <c r="AO384" s="63">
        <f>IFERROR(INDEX(Job_Training[[Solar]:[Wind]],MATCH(AO$1,Job_Training[[`Typical Entry Level Education`]:[`Typical Entry Level Education`]],0),MATCH(LEFT($D384,5),Job_Training[[#Headers],[Solar]:[Wind]],0)),0)</f>
        <v>0</v>
      </c>
      <c r="AP384">
        <f t="shared" si="116"/>
        <v>0</v>
      </c>
      <c r="AQ384" s="63">
        <f>IF(AP384&gt;0,IFERROR(INDEX(Assumptions!$C$165:$D$165,MATCH(LEFT($D384,5),Job_Training[[#Headers],[Solar]:[Wind]],0)),0),0)</f>
        <v>0</v>
      </c>
      <c r="AR384">
        <f>IF(AP384&gt;0,IFERROR(INDEX(Assumptions!$C$166:$D$166,MATCH(LEFT($D384,5),Job_Training[[#Headers],[Solar]:[Wind]],0)),0),0)</f>
        <v>0</v>
      </c>
    </row>
    <row r="385" spans="1:44" hidden="1" x14ac:dyDescent="0.35">
      <c r="A385" t="str">
        <f>UserInput!$B$30</f>
        <v>State Policy Aligned</v>
      </c>
      <c r="B385">
        <v>2030</v>
      </c>
      <c r="C385" t="s">
        <v>41</v>
      </c>
      <c r="D385" t="s">
        <v>86</v>
      </c>
      <c r="E385" s="66">
        <f>INDEX(UserInput!$C$30:$M$50,MATCH(UserMade_Scenario!B385,UserInput!$A$30:$A$50,0),MATCH(LEFT(IF(RIGHT(C385,2)="H2",UserMade_Scenario!C385,D385),3),UserInput!$C$25:$M$25,0))</f>
        <v>0</v>
      </c>
      <c r="F385" t="s">
        <v>81</v>
      </c>
      <c r="G385" s="14">
        <f t="shared" si="117"/>
        <v>0</v>
      </c>
      <c r="H385" s="63">
        <f t="shared" si="123"/>
        <v>0</v>
      </c>
      <c r="I385" s="63">
        <f t="shared" si="124"/>
        <v>0</v>
      </c>
      <c r="J385" s="63">
        <f t="shared" si="125"/>
        <v>0</v>
      </c>
      <c r="K385" s="30">
        <f>IF(OR(LEFT($D385,5)="Solar",$D385="Wind"),INDEX(Land_Use[AVG],MATCH(LEFT($D385,5),Land_Use[Tech],0)),0)*$E385</f>
        <v>0</v>
      </c>
      <c r="L385" s="30">
        <f>IF(OR(LEFT($D385,5)="Solar",$D385="Wind"),INDEX(Land_Use[MIN],MATCH(LEFT($D385,5),Land_Use[Tech],0)),0)*$E385</f>
        <v>0</v>
      </c>
      <c r="M385" s="30">
        <f>IF(OR(LEFT($D385,5)="Solar",$D385="Wind"),INDEX(Land_Use[MAX],MATCH(LEFT($D385,5),Land_Use[Tech],0)),0)*$E385</f>
        <v>0</v>
      </c>
      <c r="N385" s="15">
        <f t="shared" si="118"/>
        <v>0</v>
      </c>
      <c r="O385" s="11">
        <f t="shared" si="119"/>
        <v>0</v>
      </c>
      <c r="P385" s="11">
        <f t="shared" si="120"/>
        <v>0</v>
      </c>
      <c r="Q385" s="11">
        <f t="shared" si="121"/>
        <v>0</v>
      </c>
      <c r="R385" s="11">
        <f t="shared" si="122"/>
        <v>0</v>
      </c>
      <c r="S385" s="30">
        <f t="shared" si="110"/>
        <v>0</v>
      </c>
      <c r="T385" s="30">
        <f t="shared" si="111"/>
        <v>0</v>
      </c>
      <c r="U385" s="30">
        <f t="shared" si="112"/>
        <v>0</v>
      </c>
      <c r="V385" s="30">
        <f t="shared" si="113"/>
        <v>0</v>
      </c>
      <c r="W385" s="30">
        <f t="shared" si="114"/>
        <v>0</v>
      </c>
      <c r="X385" s="30">
        <f t="shared" si="115"/>
        <v>0</v>
      </c>
      <c r="Z385" s="23" t="s">
        <v>76</v>
      </c>
      <c r="AA385" s="40">
        <f>IF(C385="Electricity",E385*SUMIFS(Electricity!S:S,Electricity!P:P,UserMade_Scenario!B385,Electricity!M:M,UserMade_Scenario!Z385,Electricity!O:O,UserMade_Scenario!D385),"")</f>
        <v>0</v>
      </c>
      <c r="AB385" s="76">
        <f>1/Assumptions!$B$23/1000000000000</f>
        <v>3.5998225679871703E-9</v>
      </c>
      <c r="AC385" s="67" t="s">
        <v>82</v>
      </c>
      <c r="AD385" s="69">
        <f>INDEX(Table11[AVG
CO2e MT per MWh],MATCH(UserMade_Scenario!$B385,Table11[[Year]:[Year]],0))</f>
        <v>-0.12291076099999998</v>
      </c>
      <c r="AE385" s="69">
        <f>INDEX(Table11[MIN
CO2e MT per MWh],MATCH(UserMade_Scenario!$B385,Table11[[Year]:[Year]],0))</f>
        <v>-0.10626129525000003</v>
      </c>
      <c r="AF385" s="69">
        <f>INDEX(Table11[MAX CO2e MT per MWh],MATCH(UserMade_Scenario!$B385,Table11[[Year]:[Year]],0))</f>
        <v>-0.13956022575000004</v>
      </c>
      <c r="AG385" s="68">
        <f>IFERROR(INDEX(WaterUseH2[Average Direct Water Consumption (Gal/ kg h2)],MATCH(LEFT(D385,3),WaterUseH2[Key],0)),0)</f>
        <v>0</v>
      </c>
      <c r="AH385">
        <v>14</v>
      </c>
      <c r="AI385">
        <v>1.4</v>
      </c>
      <c r="AJ385">
        <v>250</v>
      </c>
      <c r="AK385">
        <v>0.31</v>
      </c>
      <c r="AL385" s="63">
        <f>IFERROR(INDEX(Job_Training[[Solar]:[Wind]],MATCH(AL$1,Job_Training[[`Typical Entry Level Education`]:[`Typical Entry Level Education`]],0),MATCH(LEFT($D385,5),Job_Training[[#Headers],[Solar]:[Wind]],0)),0)</f>
        <v>0</v>
      </c>
      <c r="AM385" s="63">
        <f>IFERROR(INDEX(Job_Training[[Solar]:[Wind]],MATCH(AM$1,Job_Training[[`Typical Entry Level Education`]:[`Typical Entry Level Education`]],0),MATCH(LEFT($D385,5),Job_Training[[#Headers],[Solar]:[Wind]],0)),0)</f>
        <v>0</v>
      </c>
      <c r="AN385" s="63">
        <f>IFERROR(INDEX(Job_Training[[Solar]:[Wind]],MATCH(AN$1,Job_Training[[`Typical Entry Level Education`]:[`Typical Entry Level Education`]],0),MATCH(LEFT($D385,5),Job_Training[[#Headers],[Solar]:[Wind]],0)),0)</f>
        <v>0</v>
      </c>
      <c r="AO385" s="63">
        <f>IFERROR(INDEX(Job_Training[[Solar]:[Wind]],MATCH(AO$1,Job_Training[[`Typical Entry Level Education`]:[`Typical Entry Level Education`]],0),MATCH(LEFT($D385,5),Job_Training[[#Headers],[Solar]:[Wind]],0)),0)</f>
        <v>0</v>
      </c>
      <c r="AP385">
        <f t="shared" si="116"/>
        <v>0</v>
      </c>
      <c r="AQ385" s="63">
        <f>IF(AP385&gt;0,IFERROR(INDEX(Assumptions!$C$165:$D$165,MATCH(LEFT($D385,5),Job_Training[[#Headers],[Solar]:[Wind]],0)),0),0)</f>
        <v>0</v>
      </c>
      <c r="AR385">
        <f>IF(AP385&gt;0,IFERROR(INDEX(Assumptions!$C$166:$D$166,MATCH(LEFT($D385,5),Job_Training[[#Headers],[Solar]:[Wind]],0)),0),0)</f>
        <v>0</v>
      </c>
    </row>
    <row r="386" spans="1:44" hidden="1" x14ac:dyDescent="0.35">
      <c r="A386" t="str">
        <f>UserInput!$B$30</f>
        <v>State Policy Aligned</v>
      </c>
      <c r="B386">
        <v>2031</v>
      </c>
      <c r="C386" t="s">
        <v>41</v>
      </c>
      <c r="D386" t="s">
        <v>86</v>
      </c>
      <c r="E386" s="66">
        <f>INDEX(UserInput!$C$30:$M$50,MATCH(UserMade_Scenario!B386,UserInput!$A$30:$A$50,0),MATCH(LEFT(IF(RIGHT(C386,2)="H2",UserMade_Scenario!C386,D386),3),UserInput!$C$25:$M$25,0))</f>
        <v>0</v>
      </c>
      <c r="F386" t="s">
        <v>81</v>
      </c>
      <c r="G386" s="14">
        <f t="shared" si="117"/>
        <v>0</v>
      </c>
      <c r="H386" s="63">
        <f t="shared" si="123"/>
        <v>0</v>
      </c>
      <c r="I386" s="63">
        <f t="shared" si="124"/>
        <v>0</v>
      </c>
      <c r="J386" s="63">
        <f t="shared" si="125"/>
        <v>0</v>
      </c>
      <c r="K386" s="30">
        <f>IF(OR(LEFT($D386,5)="Solar",$D386="Wind"),INDEX(Land_Use[AVG],MATCH(LEFT($D386,5),Land_Use[Tech],0)),0)*$E386</f>
        <v>0</v>
      </c>
      <c r="L386" s="30">
        <f>IF(OR(LEFT($D386,5)="Solar",$D386="Wind"),INDEX(Land_Use[MIN],MATCH(LEFT($D386,5),Land_Use[Tech],0)),0)*$E386</f>
        <v>0</v>
      </c>
      <c r="M386" s="30">
        <f>IF(OR(LEFT($D386,5)="Solar",$D386="Wind"),INDEX(Land_Use[MAX],MATCH(LEFT($D386,5),Land_Use[Tech],0)),0)*$E386</f>
        <v>0</v>
      </c>
      <c r="N386" s="15">
        <f t="shared" si="118"/>
        <v>0</v>
      </c>
      <c r="O386" s="11">
        <f t="shared" si="119"/>
        <v>0</v>
      </c>
      <c r="P386" s="11">
        <f t="shared" si="120"/>
        <v>0</v>
      </c>
      <c r="Q386" s="11">
        <f t="shared" si="121"/>
        <v>0</v>
      </c>
      <c r="R386" s="11">
        <f t="shared" si="122"/>
        <v>0</v>
      </c>
      <c r="S386" s="30">
        <f t="shared" si="110"/>
        <v>0</v>
      </c>
      <c r="T386" s="30">
        <f t="shared" si="111"/>
        <v>0</v>
      </c>
      <c r="U386" s="30">
        <f t="shared" si="112"/>
        <v>0</v>
      </c>
      <c r="V386" s="30">
        <f t="shared" si="113"/>
        <v>0</v>
      </c>
      <c r="W386" s="30">
        <f t="shared" si="114"/>
        <v>0</v>
      </c>
      <c r="X386" s="30">
        <f t="shared" si="115"/>
        <v>0</v>
      </c>
      <c r="Z386" s="23" t="s">
        <v>76</v>
      </c>
      <c r="AA386" s="40">
        <f>IF(C386="Electricity",E386*SUMIFS(Electricity!S:S,Electricity!P:P,UserMade_Scenario!B386,Electricity!M:M,UserMade_Scenario!Z386,Electricity!O:O,UserMade_Scenario!D386),"")</f>
        <v>0</v>
      </c>
      <c r="AB386" s="76">
        <f>1/Assumptions!$B$23/1000000000000</f>
        <v>3.5998225679871703E-9</v>
      </c>
      <c r="AC386" s="67" t="s">
        <v>82</v>
      </c>
      <c r="AD386" s="69">
        <f>INDEX(Table11[AVG
CO2e MT per MWh],MATCH(UserMade_Scenario!$B386,Table11[[Year]:[Year]],0))</f>
        <v>-0.11868683679999997</v>
      </c>
      <c r="AE386" s="69">
        <f>INDEX(Table11[MIN
CO2e MT per MWh],MATCH(UserMade_Scenario!$B386,Table11[[Year]:[Year]],0))</f>
        <v>-0.10110352810000003</v>
      </c>
      <c r="AF386" s="69">
        <f>INDEX(Table11[MAX CO2e MT per MWh],MATCH(UserMade_Scenario!$B386,Table11[[Year]:[Year]],0))</f>
        <v>-0.13627014450000005</v>
      </c>
      <c r="AG386" s="68">
        <f>IFERROR(INDEX(WaterUseH2[Average Direct Water Consumption (Gal/ kg h2)],MATCH(LEFT(D386,3),WaterUseH2[Key],0)),0)</f>
        <v>0</v>
      </c>
      <c r="AH386">
        <v>14</v>
      </c>
      <c r="AI386">
        <v>1.4</v>
      </c>
      <c r="AJ386">
        <v>250</v>
      </c>
      <c r="AK386">
        <v>0.31</v>
      </c>
      <c r="AL386" s="63">
        <f>IFERROR(INDEX(Job_Training[[Solar]:[Wind]],MATCH(AL$1,Job_Training[[`Typical Entry Level Education`]:[`Typical Entry Level Education`]],0),MATCH(LEFT($D386,5),Job_Training[[#Headers],[Solar]:[Wind]],0)),0)</f>
        <v>0</v>
      </c>
      <c r="AM386" s="63">
        <f>IFERROR(INDEX(Job_Training[[Solar]:[Wind]],MATCH(AM$1,Job_Training[[`Typical Entry Level Education`]:[`Typical Entry Level Education`]],0),MATCH(LEFT($D386,5),Job_Training[[#Headers],[Solar]:[Wind]],0)),0)</f>
        <v>0</v>
      </c>
      <c r="AN386" s="63">
        <f>IFERROR(INDEX(Job_Training[[Solar]:[Wind]],MATCH(AN$1,Job_Training[[`Typical Entry Level Education`]:[`Typical Entry Level Education`]],0),MATCH(LEFT($D386,5),Job_Training[[#Headers],[Solar]:[Wind]],0)),0)</f>
        <v>0</v>
      </c>
      <c r="AO386" s="63">
        <f>IFERROR(INDEX(Job_Training[[Solar]:[Wind]],MATCH(AO$1,Job_Training[[`Typical Entry Level Education`]:[`Typical Entry Level Education`]],0),MATCH(LEFT($D386,5),Job_Training[[#Headers],[Solar]:[Wind]],0)),0)</f>
        <v>0</v>
      </c>
      <c r="AP386">
        <f t="shared" si="116"/>
        <v>0</v>
      </c>
      <c r="AQ386" s="63">
        <f>IF(AP386&gt;0,IFERROR(INDEX(Assumptions!$C$165:$D$165,MATCH(LEFT($D386,5),Job_Training[[#Headers],[Solar]:[Wind]],0)),0),0)</f>
        <v>0</v>
      </c>
      <c r="AR386">
        <f>IF(AP386&gt;0,IFERROR(INDEX(Assumptions!$C$166:$D$166,MATCH(LEFT($D386,5),Job_Training[[#Headers],[Solar]:[Wind]],0)),0),0)</f>
        <v>0</v>
      </c>
    </row>
    <row r="387" spans="1:44" hidden="1" x14ac:dyDescent="0.35">
      <c r="A387" t="str">
        <f>UserInput!$B$30</f>
        <v>State Policy Aligned</v>
      </c>
      <c r="B387">
        <v>2032</v>
      </c>
      <c r="C387" t="s">
        <v>41</v>
      </c>
      <c r="D387" t="s">
        <v>86</v>
      </c>
      <c r="E387" s="66">
        <f>INDEX(UserInput!$C$30:$M$50,MATCH(UserMade_Scenario!B387,UserInput!$A$30:$A$50,0),MATCH(LEFT(IF(RIGHT(C387,2)="H2",UserMade_Scenario!C387,D387),3),UserInput!$C$25:$M$25,0))</f>
        <v>0</v>
      </c>
      <c r="F387" t="s">
        <v>81</v>
      </c>
      <c r="G387" s="14">
        <f t="shared" si="117"/>
        <v>0</v>
      </c>
      <c r="H387" s="63">
        <f t="shared" si="123"/>
        <v>0</v>
      </c>
      <c r="I387" s="63">
        <f t="shared" si="124"/>
        <v>0</v>
      </c>
      <c r="J387" s="63">
        <f t="shared" si="125"/>
        <v>0</v>
      </c>
      <c r="K387" s="30">
        <f>IF(OR(LEFT($D387,5)="Solar",$D387="Wind"),INDEX(Land_Use[AVG],MATCH(LEFT($D387,5),Land_Use[Tech],0)),0)*$E387</f>
        <v>0</v>
      </c>
      <c r="L387" s="30">
        <f>IF(OR(LEFT($D387,5)="Solar",$D387="Wind"),INDEX(Land_Use[MIN],MATCH(LEFT($D387,5),Land_Use[Tech],0)),0)*$E387</f>
        <v>0</v>
      </c>
      <c r="M387" s="30">
        <f>IF(OR(LEFT($D387,5)="Solar",$D387="Wind"),INDEX(Land_Use[MAX],MATCH(LEFT($D387,5),Land_Use[Tech],0)),0)*$E387</f>
        <v>0</v>
      </c>
      <c r="N387" s="15">
        <f t="shared" si="118"/>
        <v>0</v>
      </c>
      <c r="O387" s="11">
        <f t="shared" si="119"/>
        <v>0</v>
      </c>
      <c r="P387" s="11">
        <f t="shared" si="120"/>
        <v>0</v>
      </c>
      <c r="Q387" s="11">
        <f t="shared" si="121"/>
        <v>0</v>
      </c>
      <c r="R387" s="11">
        <f t="shared" si="122"/>
        <v>0</v>
      </c>
      <c r="S387" s="30">
        <f t="shared" ref="S387:S450" si="126">MAX($AP387*AL387,0)</f>
        <v>0</v>
      </c>
      <c r="T387" s="30">
        <f t="shared" ref="T387:T450" si="127">MAX($AP387*AM387,0)</f>
        <v>0</v>
      </c>
      <c r="U387" s="30">
        <f t="shared" ref="U387:U450" si="128">MAX($AP387*AN387,0)</f>
        <v>0</v>
      </c>
      <c r="V387" s="30">
        <f t="shared" ref="V387:V450" si="129">MAX($AP387*AO387,0)</f>
        <v>0</v>
      </c>
      <c r="W387" s="30">
        <f t="shared" ref="W387:W450" si="130">$AP387*AQ387</f>
        <v>0</v>
      </c>
      <c r="X387" s="30">
        <f t="shared" ref="X387:X450" si="131">$AP387*AR387</f>
        <v>0</v>
      </c>
      <c r="Z387" s="23" t="s">
        <v>76</v>
      </c>
      <c r="AA387" s="40">
        <f>IF(C387="Electricity",E387*SUMIFS(Electricity!S:S,Electricity!P:P,UserMade_Scenario!B387,Electricity!M:M,UserMade_Scenario!Z387,Electricity!O:O,UserMade_Scenario!D387),"")</f>
        <v>0</v>
      </c>
      <c r="AB387" s="76">
        <f>1/Assumptions!$B$23/1000000000000</f>
        <v>3.5998225679871703E-9</v>
      </c>
      <c r="AC387" s="67" t="s">
        <v>82</v>
      </c>
      <c r="AD387" s="69">
        <f>INDEX(Table11[AVG
CO2e MT per MWh],MATCH(UserMade_Scenario!$B387,Table11[[Year]:[Year]],0))</f>
        <v>-0.11446291259999997</v>
      </c>
      <c r="AE387" s="69">
        <f>INDEX(Table11[MIN
CO2e MT per MWh],MATCH(UserMade_Scenario!$B387,Table11[[Year]:[Year]],0))</f>
        <v>-9.5945760950000042E-2</v>
      </c>
      <c r="AF387" s="69">
        <f>INDEX(Table11[MAX CO2e MT per MWh],MATCH(UserMade_Scenario!$B387,Table11[[Year]:[Year]],0))</f>
        <v>-0.13298006325000006</v>
      </c>
      <c r="AG387" s="68">
        <f>IFERROR(INDEX(WaterUseH2[Average Direct Water Consumption (Gal/ kg h2)],MATCH(LEFT(D387,3),WaterUseH2[Key],0)),0)</f>
        <v>0</v>
      </c>
      <c r="AH387">
        <v>14</v>
      </c>
      <c r="AI387">
        <v>1.4</v>
      </c>
      <c r="AJ387">
        <v>250</v>
      </c>
      <c r="AK387">
        <v>0.31</v>
      </c>
      <c r="AL387" s="63">
        <f>IFERROR(INDEX(Job_Training[[Solar]:[Wind]],MATCH(AL$1,Job_Training[[`Typical Entry Level Education`]:[`Typical Entry Level Education`]],0),MATCH(LEFT($D387,5),Job_Training[[#Headers],[Solar]:[Wind]],0)),0)</f>
        <v>0</v>
      </c>
      <c r="AM387" s="63">
        <f>IFERROR(INDEX(Job_Training[[Solar]:[Wind]],MATCH(AM$1,Job_Training[[`Typical Entry Level Education`]:[`Typical Entry Level Education`]],0),MATCH(LEFT($D387,5),Job_Training[[#Headers],[Solar]:[Wind]],0)),0)</f>
        <v>0</v>
      </c>
      <c r="AN387" s="63">
        <f>IFERROR(INDEX(Job_Training[[Solar]:[Wind]],MATCH(AN$1,Job_Training[[`Typical Entry Level Education`]:[`Typical Entry Level Education`]],0),MATCH(LEFT($D387,5),Job_Training[[#Headers],[Solar]:[Wind]],0)),0)</f>
        <v>0</v>
      </c>
      <c r="AO387" s="63">
        <f>IFERROR(INDEX(Job_Training[[Solar]:[Wind]],MATCH(AO$1,Job_Training[[`Typical Entry Level Education`]:[`Typical Entry Level Education`]],0),MATCH(LEFT($D387,5),Job_Training[[#Headers],[Solar]:[Wind]],0)),0)</f>
        <v>0</v>
      </c>
      <c r="AP387">
        <f t="shared" ref="AP387:AP450" si="132">IF(OR($C387="Electricity",$D387="Solar (Off-Grid)"),IF($B387=2025,$E387,$E387-$E386),0)</f>
        <v>0</v>
      </c>
      <c r="AQ387" s="63">
        <f>IF(AP387&gt;0,IFERROR(INDEX(Assumptions!$C$165:$D$165,MATCH(LEFT($D387,5),Job_Training[[#Headers],[Solar]:[Wind]],0)),0),0)</f>
        <v>0</v>
      </c>
      <c r="AR387">
        <f>IF(AP387&gt;0,IFERROR(INDEX(Assumptions!$C$166:$D$166,MATCH(LEFT($D387,5),Job_Training[[#Headers],[Solar]:[Wind]],0)),0),0)</f>
        <v>0</v>
      </c>
    </row>
    <row r="388" spans="1:44" hidden="1" x14ac:dyDescent="0.35">
      <c r="A388" t="str">
        <f>UserInput!$B$30</f>
        <v>State Policy Aligned</v>
      </c>
      <c r="B388">
        <v>2033</v>
      </c>
      <c r="C388" t="s">
        <v>41</v>
      </c>
      <c r="D388" t="s">
        <v>86</v>
      </c>
      <c r="E388" s="66">
        <f>INDEX(UserInput!$C$30:$M$50,MATCH(UserMade_Scenario!B388,UserInput!$A$30:$A$50,0),MATCH(LEFT(IF(RIGHT(C388,2)="H2",UserMade_Scenario!C388,D388),3),UserInput!$C$25:$M$25,0))</f>
        <v>0</v>
      </c>
      <c r="F388" t="s">
        <v>81</v>
      </c>
      <c r="G388" s="14">
        <f t="shared" si="117"/>
        <v>0</v>
      </c>
      <c r="H388" s="63">
        <f t="shared" si="123"/>
        <v>0</v>
      </c>
      <c r="I388" s="63">
        <f t="shared" si="124"/>
        <v>0</v>
      </c>
      <c r="J388" s="63">
        <f t="shared" si="125"/>
        <v>0</v>
      </c>
      <c r="K388" s="30">
        <f>IF(OR(LEFT($D388,5)="Solar",$D388="Wind"),INDEX(Land_Use[AVG],MATCH(LEFT($D388,5),Land_Use[Tech],0)),0)*$E388</f>
        <v>0</v>
      </c>
      <c r="L388" s="30">
        <f>IF(OR(LEFT($D388,5)="Solar",$D388="Wind"),INDEX(Land_Use[MIN],MATCH(LEFT($D388,5),Land_Use[Tech],0)),0)*$E388</f>
        <v>0</v>
      </c>
      <c r="M388" s="30">
        <f>IF(OR(LEFT($D388,5)="Solar",$D388="Wind"),INDEX(Land_Use[MAX],MATCH(LEFT($D388,5),Land_Use[Tech],0)),0)*$E388</f>
        <v>0</v>
      </c>
      <c r="N388" s="15">
        <f t="shared" si="118"/>
        <v>0</v>
      </c>
      <c r="O388" s="11">
        <f t="shared" si="119"/>
        <v>0</v>
      </c>
      <c r="P388" s="11">
        <f t="shared" si="120"/>
        <v>0</v>
      </c>
      <c r="Q388" s="11">
        <f t="shared" si="121"/>
        <v>0</v>
      </c>
      <c r="R388" s="11">
        <f t="shared" si="122"/>
        <v>0</v>
      </c>
      <c r="S388" s="30">
        <f t="shared" si="126"/>
        <v>0</v>
      </c>
      <c r="T388" s="30">
        <f t="shared" si="127"/>
        <v>0</v>
      </c>
      <c r="U388" s="30">
        <f t="shared" si="128"/>
        <v>0</v>
      </c>
      <c r="V388" s="30">
        <f t="shared" si="129"/>
        <v>0</v>
      </c>
      <c r="W388" s="30">
        <f t="shared" si="130"/>
        <v>0</v>
      </c>
      <c r="X388" s="30">
        <f t="shared" si="131"/>
        <v>0</v>
      </c>
      <c r="Z388" s="23" t="s">
        <v>76</v>
      </c>
      <c r="AA388" s="40">
        <f>IF(C388="Electricity",E388*SUMIFS(Electricity!S:S,Electricity!P:P,UserMade_Scenario!B388,Electricity!M:M,UserMade_Scenario!Z388,Electricity!O:O,UserMade_Scenario!D388),"")</f>
        <v>0</v>
      </c>
      <c r="AB388" s="76">
        <f>1/Assumptions!$B$23/1000000000000</f>
        <v>3.5998225679871703E-9</v>
      </c>
      <c r="AC388" s="67" t="s">
        <v>82</v>
      </c>
      <c r="AD388" s="69">
        <f>INDEX(Table11[AVG
CO2e MT per MWh],MATCH(UserMade_Scenario!$B388,Table11[[Year]:[Year]],0))</f>
        <v>-0.11023898839999996</v>
      </c>
      <c r="AE388" s="69">
        <f>INDEX(Table11[MIN
CO2e MT per MWh],MATCH(UserMade_Scenario!$B388,Table11[[Year]:[Year]],0))</f>
        <v>-9.078799380000005E-2</v>
      </c>
      <c r="AF388" s="69">
        <f>INDEX(Table11[MAX CO2e MT per MWh],MATCH(UserMade_Scenario!$B388,Table11[[Year]:[Year]],0))</f>
        <v>-0.12968998200000006</v>
      </c>
      <c r="AG388" s="68">
        <f>IFERROR(INDEX(WaterUseH2[Average Direct Water Consumption (Gal/ kg h2)],MATCH(LEFT(D388,3),WaterUseH2[Key],0)),0)</f>
        <v>0</v>
      </c>
      <c r="AH388">
        <v>14</v>
      </c>
      <c r="AI388">
        <v>1.4</v>
      </c>
      <c r="AJ388">
        <v>250</v>
      </c>
      <c r="AK388">
        <v>0.31</v>
      </c>
      <c r="AL388" s="63">
        <f>IFERROR(INDEX(Job_Training[[Solar]:[Wind]],MATCH(AL$1,Job_Training[[`Typical Entry Level Education`]:[`Typical Entry Level Education`]],0),MATCH(LEFT($D388,5),Job_Training[[#Headers],[Solar]:[Wind]],0)),0)</f>
        <v>0</v>
      </c>
      <c r="AM388" s="63">
        <f>IFERROR(INDEX(Job_Training[[Solar]:[Wind]],MATCH(AM$1,Job_Training[[`Typical Entry Level Education`]:[`Typical Entry Level Education`]],0),MATCH(LEFT($D388,5),Job_Training[[#Headers],[Solar]:[Wind]],0)),0)</f>
        <v>0</v>
      </c>
      <c r="AN388" s="63">
        <f>IFERROR(INDEX(Job_Training[[Solar]:[Wind]],MATCH(AN$1,Job_Training[[`Typical Entry Level Education`]:[`Typical Entry Level Education`]],0),MATCH(LEFT($D388,5),Job_Training[[#Headers],[Solar]:[Wind]],0)),0)</f>
        <v>0</v>
      </c>
      <c r="AO388" s="63">
        <f>IFERROR(INDEX(Job_Training[[Solar]:[Wind]],MATCH(AO$1,Job_Training[[`Typical Entry Level Education`]:[`Typical Entry Level Education`]],0),MATCH(LEFT($D388,5),Job_Training[[#Headers],[Solar]:[Wind]],0)),0)</f>
        <v>0</v>
      </c>
      <c r="AP388">
        <f t="shared" si="132"/>
        <v>0</v>
      </c>
      <c r="AQ388" s="63">
        <f>IF(AP388&gt;0,IFERROR(INDEX(Assumptions!$C$165:$D$165,MATCH(LEFT($D388,5),Job_Training[[#Headers],[Solar]:[Wind]],0)),0),0)</f>
        <v>0</v>
      </c>
      <c r="AR388">
        <f>IF(AP388&gt;0,IFERROR(INDEX(Assumptions!$C$166:$D$166,MATCH(LEFT($D388,5),Job_Training[[#Headers],[Solar]:[Wind]],0)),0),0)</f>
        <v>0</v>
      </c>
    </row>
    <row r="389" spans="1:44" hidden="1" x14ac:dyDescent="0.35">
      <c r="A389" t="str">
        <f>UserInput!$B$30</f>
        <v>State Policy Aligned</v>
      </c>
      <c r="B389">
        <v>2034</v>
      </c>
      <c r="C389" t="s">
        <v>41</v>
      </c>
      <c r="D389" t="s">
        <v>86</v>
      </c>
      <c r="E389" s="66">
        <f>INDEX(UserInput!$C$30:$M$50,MATCH(UserMade_Scenario!B389,UserInput!$A$30:$A$50,0),MATCH(LEFT(IF(RIGHT(C389,2)="H2",UserMade_Scenario!C389,D389),3),UserInput!$C$25:$M$25,0))</f>
        <v>1000</v>
      </c>
      <c r="F389" t="s">
        <v>81</v>
      </c>
      <c r="G389" s="14">
        <f t="shared" si="117"/>
        <v>6.8954153824011474E-3</v>
      </c>
      <c r="H389" s="63">
        <f t="shared" si="123"/>
        <v>0.20307053768477021</v>
      </c>
      <c r="I389" s="63">
        <f t="shared" si="124"/>
        <v>0.16402363474571435</v>
      </c>
      <c r="J389" s="63">
        <f t="shared" si="125"/>
        <v>0.24211743870833891</v>
      </c>
      <c r="K389" s="30">
        <f>IF(OR(LEFT($D389,5)="Solar",$D389="Wind"),INDEX(Land_Use[AVG],MATCH(LEFT($D389,5),Land_Use[Tech],0)),0)*$E389</f>
        <v>0</v>
      </c>
      <c r="L389" s="30">
        <f>IF(OR(LEFT($D389,5)="Solar",$D389="Wind"),INDEX(Land_Use[MIN],MATCH(LEFT($D389,5),Land_Use[Tech],0)),0)*$E389</f>
        <v>0</v>
      </c>
      <c r="M389" s="30">
        <f>IF(OR(LEFT($D389,5)="Solar",$D389="Wind"),INDEX(Land_Use[MAX],MATCH(LEFT($D389,5),Land_Use[Tech],0)),0)*$E389</f>
        <v>0</v>
      </c>
      <c r="N389" s="15">
        <f t="shared" si="118"/>
        <v>0</v>
      </c>
      <c r="O389" s="11">
        <f t="shared" si="119"/>
        <v>0</v>
      </c>
      <c r="P389" s="11">
        <f t="shared" si="120"/>
        <v>0</v>
      </c>
      <c r="Q389" s="11">
        <f t="shared" si="121"/>
        <v>0</v>
      </c>
      <c r="R389" s="11">
        <f t="shared" si="122"/>
        <v>0</v>
      </c>
      <c r="S389" s="30">
        <f t="shared" si="126"/>
        <v>0</v>
      </c>
      <c r="T389" s="30">
        <f t="shared" si="127"/>
        <v>0</v>
      </c>
      <c r="U389" s="30">
        <f t="shared" si="128"/>
        <v>0</v>
      </c>
      <c r="V389" s="30">
        <f t="shared" si="129"/>
        <v>0</v>
      </c>
      <c r="W389" s="30">
        <f t="shared" si="130"/>
        <v>0</v>
      </c>
      <c r="X389" s="30">
        <f t="shared" si="131"/>
        <v>0</v>
      </c>
      <c r="Z389" s="23" t="s">
        <v>76</v>
      </c>
      <c r="AA389" s="40">
        <f>IF(C389="Electricity",E389*SUMIFS(Electricity!S:S,Electricity!P:P,UserMade_Scenario!B389,Electricity!M:M,UserMade_Scenario!Z389,Electricity!O:O,UserMade_Scenario!D389),"")</f>
        <v>1915487.569782279</v>
      </c>
      <c r="AB389" s="76">
        <f>1/Assumptions!$B$23/1000000000000</f>
        <v>3.5998225679871703E-9</v>
      </c>
      <c r="AC389" s="67" t="s">
        <v>82</v>
      </c>
      <c r="AD389" s="69">
        <f>INDEX(Table11[AVG
CO2e MT per MWh],MATCH(UserMade_Scenario!$B389,Table11[[Year]:[Year]],0))</f>
        <v>-0.10601506419999995</v>
      </c>
      <c r="AE389" s="69">
        <f>INDEX(Table11[MIN
CO2e MT per MWh],MATCH(UserMade_Scenario!$B389,Table11[[Year]:[Year]],0))</f>
        <v>-8.5630226650000058E-2</v>
      </c>
      <c r="AF389" s="69">
        <f>INDEX(Table11[MAX CO2e MT per MWh],MATCH(UserMade_Scenario!$B389,Table11[[Year]:[Year]],0))</f>
        <v>-0.12639990075000007</v>
      </c>
      <c r="AG389" s="68">
        <f>IFERROR(INDEX(WaterUseH2[Average Direct Water Consumption (Gal/ kg h2)],MATCH(LEFT(D389,3),WaterUseH2[Key],0)),0)</f>
        <v>0</v>
      </c>
      <c r="AH389">
        <v>14</v>
      </c>
      <c r="AI389">
        <v>1.4</v>
      </c>
      <c r="AJ389">
        <v>250</v>
      </c>
      <c r="AK389">
        <v>0.31</v>
      </c>
      <c r="AL389" s="63">
        <f>IFERROR(INDEX(Job_Training[[Solar]:[Wind]],MATCH(AL$1,Job_Training[[`Typical Entry Level Education`]:[`Typical Entry Level Education`]],0),MATCH(LEFT($D389,5),Job_Training[[#Headers],[Solar]:[Wind]],0)),0)</f>
        <v>0</v>
      </c>
      <c r="AM389" s="63">
        <f>IFERROR(INDEX(Job_Training[[Solar]:[Wind]],MATCH(AM$1,Job_Training[[`Typical Entry Level Education`]:[`Typical Entry Level Education`]],0),MATCH(LEFT($D389,5),Job_Training[[#Headers],[Solar]:[Wind]],0)),0)</f>
        <v>0</v>
      </c>
      <c r="AN389" s="63">
        <f>IFERROR(INDEX(Job_Training[[Solar]:[Wind]],MATCH(AN$1,Job_Training[[`Typical Entry Level Education`]:[`Typical Entry Level Education`]],0),MATCH(LEFT($D389,5),Job_Training[[#Headers],[Solar]:[Wind]],0)),0)</f>
        <v>0</v>
      </c>
      <c r="AO389" s="63">
        <f>IFERROR(INDEX(Job_Training[[Solar]:[Wind]],MATCH(AO$1,Job_Training[[`Typical Entry Level Education`]:[`Typical Entry Level Education`]],0),MATCH(LEFT($D389,5),Job_Training[[#Headers],[Solar]:[Wind]],0)),0)</f>
        <v>0</v>
      </c>
      <c r="AP389">
        <f t="shared" si="132"/>
        <v>1000</v>
      </c>
      <c r="AQ389" s="63">
        <f>IF(AP389&gt;0,IFERROR(INDEX(Assumptions!$C$165:$D$165,MATCH(LEFT($D389,5),Job_Training[[#Headers],[Solar]:[Wind]],0)),0),0)</f>
        <v>0</v>
      </c>
      <c r="AR389">
        <f>IF(AP389&gt;0,IFERROR(INDEX(Assumptions!$C$166:$D$166,MATCH(LEFT($D389,5),Job_Training[[#Headers],[Solar]:[Wind]],0)),0),0)</f>
        <v>0</v>
      </c>
    </row>
    <row r="390" spans="1:44" hidden="1" x14ac:dyDescent="0.35">
      <c r="A390" t="str">
        <f>UserInput!$B$30</f>
        <v>State Policy Aligned</v>
      </c>
      <c r="B390">
        <v>2035</v>
      </c>
      <c r="C390" t="s">
        <v>41</v>
      </c>
      <c r="D390" t="s">
        <v>86</v>
      </c>
      <c r="E390" s="66">
        <f>INDEX(UserInput!$C$30:$M$50,MATCH(UserMade_Scenario!B390,UserInput!$A$30:$A$50,0),MATCH(LEFT(IF(RIGHT(C390,2)="H2",UserMade_Scenario!C390,D390),3),UserInput!$C$25:$M$25,0))</f>
        <v>1000</v>
      </c>
      <c r="F390" t="s">
        <v>81</v>
      </c>
      <c r="G390" s="14">
        <f t="shared" si="117"/>
        <v>6.9932771284677451E-3</v>
      </c>
      <c r="H390" s="63">
        <f t="shared" si="123"/>
        <v>0.19774687163003388</v>
      </c>
      <c r="I390" s="63">
        <f t="shared" si="124"/>
        <v>0.15633165242573785</v>
      </c>
      <c r="J390" s="63">
        <f t="shared" si="125"/>
        <v>0.23916208889165763</v>
      </c>
      <c r="K390" s="30">
        <f>IF(OR(LEFT($D390,5)="Solar",$D390="Wind"),INDEX(Land_Use[AVG],MATCH(LEFT($D390,5),Land_Use[Tech],0)),0)*$E390</f>
        <v>0</v>
      </c>
      <c r="L390" s="30">
        <f>IF(OR(LEFT($D390,5)="Solar",$D390="Wind"),INDEX(Land_Use[MIN],MATCH(LEFT($D390,5),Land_Use[Tech],0)),0)*$E390</f>
        <v>0</v>
      </c>
      <c r="M390" s="30">
        <f>IF(OR(LEFT($D390,5)="Solar",$D390="Wind"),INDEX(Land_Use[MAX],MATCH(LEFT($D390,5),Land_Use[Tech],0)),0)*$E390</f>
        <v>0</v>
      </c>
      <c r="N390" s="15">
        <f t="shared" si="118"/>
        <v>0</v>
      </c>
      <c r="O390" s="11">
        <f t="shared" si="119"/>
        <v>0</v>
      </c>
      <c r="P390" s="11">
        <f t="shared" si="120"/>
        <v>0</v>
      </c>
      <c r="Q390" s="11">
        <f t="shared" si="121"/>
        <v>0</v>
      </c>
      <c r="R390" s="11">
        <f t="shared" si="122"/>
        <v>0</v>
      </c>
      <c r="S390" s="30">
        <f t="shared" si="126"/>
        <v>0</v>
      </c>
      <c r="T390" s="30">
        <f t="shared" si="127"/>
        <v>0</v>
      </c>
      <c r="U390" s="30">
        <f t="shared" si="128"/>
        <v>0</v>
      </c>
      <c r="V390" s="30">
        <f t="shared" si="129"/>
        <v>0</v>
      </c>
      <c r="W390" s="30">
        <f t="shared" si="130"/>
        <v>0</v>
      </c>
      <c r="X390" s="30">
        <f t="shared" si="131"/>
        <v>0</v>
      </c>
      <c r="Z390" s="23" t="s">
        <v>76</v>
      </c>
      <c r="AA390" s="40">
        <f>IF(C390="Electricity",E390*SUMIFS(Electricity!S:S,Electricity!P:P,UserMade_Scenario!B390,Electricity!M:M,UserMade_Scenario!Z390,Electricity!O:O,UserMade_Scenario!D390),"")</f>
        <v>1942672.7280000399</v>
      </c>
      <c r="AB390" s="76">
        <f>1/Assumptions!$B$23/1000000000000</f>
        <v>3.5998225679871703E-9</v>
      </c>
      <c r="AC390" s="67" t="s">
        <v>82</v>
      </c>
      <c r="AD390" s="69">
        <f>INDEX(Table11[AVG
CO2e MT per MWh],MATCH(UserMade_Scenario!$B390,Table11[[Year]:[Year]],0))</f>
        <v>-0.10179113999999995</v>
      </c>
      <c r="AE390" s="69">
        <f>INDEX(Table11[MIN
CO2e MT per MWh],MATCH(UserMade_Scenario!$B390,Table11[[Year]:[Year]],0))</f>
        <v>-8.0472459500000065E-2</v>
      </c>
      <c r="AF390" s="69">
        <f>INDEX(Table11[MAX CO2e MT per MWh],MATCH(UserMade_Scenario!$B390,Table11[[Year]:[Year]],0))</f>
        <v>-0.12310981950000006</v>
      </c>
      <c r="AG390" s="68">
        <f>IFERROR(INDEX(WaterUseH2[Average Direct Water Consumption (Gal/ kg h2)],MATCH(LEFT(D390,3),WaterUseH2[Key],0)),0)</f>
        <v>0</v>
      </c>
      <c r="AH390">
        <v>14</v>
      </c>
      <c r="AI390">
        <v>1.4</v>
      </c>
      <c r="AJ390">
        <v>250</v>
      </c>
      <c r="AK390">
        <v>0.31</v>
      </c>
      <c r="AL390" s="63">
        <f>IFERROR(INDEX(Job_Training[[Solar]:[Wind]],MATCH(AL$1,Job_Training[[`Typical Entry Level Education`]:[`Typical Entry Level Education`]],0),MATCH(LEFT($D390,5),Job_Training[[#Headers],[Solar]:[Wind]],0)),0)</f>
        <v>0</v>
      </c>
      <c r="AM390" s="63">
        <f>IFERROR(INDEX(Job_Training[[Solar]:[Wind]],MATCH(AM$1,Job_Training[[`Typical Entry Level Education`]:[`Typical Entry Level Education`]],0),MATCH(LEFT($D390,5),Job_Training[[#Headers],[Solar]:[Wind]],0)),0)</f>
        <v>0</v>
      </c>
      <c r="AN390" s="63">
        <f>IFERROR(INDEX(Job_Training[[Solar]:[Wind]],MATCH(AN$1,Job_Training[[`Typical Entry Level Education`]:[`Typical Entry Level Education`]],0),MATCH(LEFT($D390,5),Job_Training[[#Headers],[Solar]:[Wind]],0)),0)</f>
        <v>0</v>
      </c>
      <c r="AO390" s="63">
        <f>IFERROR(INDEX(Job_Training[[Solar]:[Wind]],MATCH(AO$1,Job_Training[[`Typical Entry Level Education`]:[`Typical Entry Level Education`]],0),MATCH(LEFT($D390,5),Job_Training[[#Headers],[Solar]:[Wind]],0)),0)</f>
        <v>0</v>
      </c>
      <c r="AP390">
        <f t="shared" si="132"/>
        <v>0</v>
      </c>
      <c r="AQ390" s="63">
        <f>IF(AP390&gt;0,IFERROR(INDEX(Assumptions!$C$165:$D$165,MATCH(LEFT($D390,5),Job_Training[[#Headers],[Solar]:[Wind]],0)),0),0)</f>
        <v>0</v>
      </c>
      <c r="AR390">
        <f>IF(AP390&gt;0,IFERROR(INDEX(Assumptions!$C$166:$D$166,MATCH(LEFT($D390,5),Job_Training[[#Headers],[Solar]:[Wind]],0)),0),0)</f>
        <v>0</v>
      </c>
    </row>
    <row r="391" spans="1:44" hidden="1" x14ac:dyDescent="0.35">
      <c r="A391" t="str">
        <f>UserInput!$B$30</f>
        <v>State Policy Aligned</v>
      </c>
      <c r="B391">
        <v>2036</v>
      </c>
      <c r="C391" t="s">
        <v>41</v>
      </c>
      <c r="D391" t="s">
        <v>86</v>
      </c>
      <c r="E391" s="66">
        <f>INDEX(UserInput!$C$30:$M$50,MATCH(UserMade_Scenario!B391,UserInput!$A$30:$A$50,0),MATCH(LEFT(IF(RIGHT(C391,2)="H2",UserMade_Scenario!C391,D391),3),UserInput!$C$25:$M$25,0))</f>
        <v>1000</v>
      </c>
      <c r="F391" t="s">
        <v>81</v>
      </c>
      <c r="G391" s="14">
        <f t="shared" si="117"/>
        <v>7.0911388745343437E-3</v>
      </c>
      <c r="H391" s="63">
        <f t="shared" si="123"/>
        <v>0.19219354947994394</v>
      </c>
      <c r="I391" s="63">
        <f t="shared" si="124"/>
        <v>0.14835924067371514</v>
      </c>
      <c r="J391" s="63">
        <f t="shared" si="125"/>
        <v>0.23602785631631532</v>
      </c>
      <c r="K391" s="30">
        <f>IF(OR(LEFT($D391,5)="Solar",$D391="Wind"),INDEX(Land_Use[AVG],MATCH(LEFT($D391,5),Land_Use[Tech],0)),0)*$E391</f>
        <v>0</v>
      </c>
      <c r="L391" s="30">
        <f>IF(OR(LEFT($D391,5)="Solar",$D391="Wind"),INDEX(Land_Use[MIN],MATCH(LEFT($D391,5),Land_Use[Tech],0)),0)*$E391</f>
        <v>0</v>
      </c>
      <c r="M391" s="30">
        <f>IF(OR(LEFT($D391,5)="Solar",$D391="Wind"),INDEX(Land_Use[MAX],MATCH(LEFT($D391,5),Land_Use[Tech],0)),0)*$E391</f>
        <v>0</v>
      </c>
      <c r="N391" s="15">
        <f t="shared" si="118"/>
        <v>0</v>
      </c>
      <c r="O391" s="11">
        <f t="shared" si="119"/>
        <v>0</v>
      </c>
      <c r="P391" s="11">
        <f t="shared" si="120"/>
        <v>0</v>
      </c>
      <c r="Q391" s="11">
        <f t="shared" si="121"/>
        <v>0</v>
      </c>
      <c r="R391" s="11">
        <f t="shared" si="122"/>
        <v>0</v>
      </c>
      <c r="S391" s="30">
        <f t="shared" si="126"/>
        <v>0</v>
      </c>
      <c r="T391" s="30">
        <f t="shared" si="127"/>
        <v>0</v>
      </c>
      <c r="U391" s="30">
        <f t="shared" si="128"/>
        <v>0</v>
      </c>
      <c r="V391" s="30">
        <f t="shared" si="129"/>
        <v>0</v>
      </c>
      <c r="W391" s="30">
        <f t="shared" si="130"/>
        <v>0</v>
      </c>
      <c r="X391" s="30">
        <f t="shared" si="131"/>
        <v>0</v>
      </c>
      <c r="Z391" s="23" t="s">
        <v>76</v>
      </c>
      <c r="AA391" s="40">
        <f>IF(C391="Electricity",E391*SUMIFS(Electricity!S:S,Electricity!P:P,UserMade_Scenario!B391,Electricity!M:M,UserMade_Scenario!Z391,Electricity!O:O,UserMade_Scenario!D391),"")</f>
        <v>1969857.8862178011</v>
      </c>
      <c r="AB391" s="76">
        <f>1/Assumptions!$B$23/1000000000000</f>
        <v>3.5998225679871703E-9</v>
      </c>
      <c r="AC391" s="67" t="s">
        <v>82</v>
      </c>
      <c r="AD391" s="69">
        <f>INDEX(Table11[AVG
CO2e MT per MWh],MATCH(UserMade_Scenario!$B391,Table11[[Year]:[Year]],0))</f>
        <v>-9.756721579999994E-2</v>
      </c>
      <c r="AE391" s="69">
        <f>INDEX(Table11[MIN
CO2e MT per MWh],MATCH(UserMade_Scenario!$B391,Table11[[Year]:[Year]],0))</f>
        <v>-7.5314692350000073E-2</v>
      </c>
      <c r="AF391" s="69">
        <f>INDEX(Table11[MAX CO2e MT per MWh],MATCH(UserMade_Scenario!$B391,Table11[[Year]:[Year]],0))</f>
        <v>-0.11981973825000006</v>
      </c>
      <c r="AG391" s="68">
        <f>IFERROR(INDEX(WaterUseH2[Average Direct Water Consumption (Gal/ kg h2)],MATCH(LEFT(D391,3),WaterUseH2[Key],0)),0)</f>
        <v>0</v>
      </c>
      <c r="AH391">
        <v>14</v>
      </c>
      <c r="AI391">
        <v>1.4</v>
      </c>
      <c r="AJ391">
        <v>250</v>
      </c>
      <c r="AK391">
        <v>0.31</v>
      </c>
      <c r="AL391" s="63">
        <f>IFERROR(INDEX(Job_Training[[Solar]:[Wind]],MATCH(AL$1,Job_Training[[`Typical Entry Level Education`]:[`Typical Entry Level Education`]],0),MATCH(LEFT($D391,5),Job_Training[[#Headers],[Solar]:[Wind]],0)),0)</f>
        <v>0</v>
      </c>
      <c r="AM391" s="63">
        <f>IFERROR(INDEX(Job_Training[[Solar]:[Wind]],MATCH(AM$1,Job_Training[[`Typical Entry Level Education`]:[`Typical Entry Level Education`]],0),MATCH(LEFT($D391,5),Job_Training[[#Headers],[Solar]:[Wind]],0)),0)</f>
        <v>0</v>
      </c>
      <c r="AN391" s="63">
        <f>IFERROR(INDEX(Job_Training[[Solar]:[Wind]],MATCH(AN$1,Job_Training[[`Typical Entry Level Education`]:[`Typical Entry Level Education`]],0),MATCH(LEFT($D391,5),Job_Training[[#Headers],[Solar]:[Wind]],0)),0)</f>
        <v>0</v>
      </c>
      <c r="AO391" s="63">
        <f>IFERROR(INDEX(Job_Training[[Solar]:[Wind]],MATCH(AO$1,Job_Training[[`Typical Entry Level Education`]:[`Typical Entry Level Education`]],0),MATCH(LEFT($D391,5),Job_Training[[#Headers],[Solar]:[Wind]],0)),0)</f>
        <v>0</v>
      </c>
      <c r="AP391">
        <f t="shared" si="132"/>
        <v>0</v>
      </c>
      <c r="AQ391" s="63">
        <f>IF(AP391&gt;0,IFERROR(INDEX(Assumptions!$C$165:$D$165,MATCH(LEFT($D391,5),Job_Training[[#Headers],[Solar]:[Wind]],0)),0),0)</f>
        <v>0</v>
      </c>
      <c r="AR391">
        <f>IF(AP391&gt;0,IFERROR(INDEX(Assumptions!$C$166:$D$166,MATCH(LEFT($D391,5),Job_Training[[#Headers],[Solar]:[Wind]],0)),0),0)</f>
        <v>0</v>
      </c>
    </row>
    <row r="392" spans="1:44" hidden="1" x14ac:dyDescent="0.35">
      <c r="A392" t="str">
        <f>UserInput!$B$30</f>
        <v>State Policy Aligned</v>
      </c>
      <c r="B392">
        <v>2037</v>
      </c>
      <c r="C392" t="s">
        <v>41</v>
      </c>
      <c r="D392" t="s">
        <v>86</v>
      </c>
      <c r="E392" s="66">
        <f>INDEX(UserInput!$C$30:$M$50,MATCH(UserMade_Scenario!B392,UserInput!$A$30:$A$50,0),MATCH(LEFT(IF(RIGHT(C392,2)="H2",UserMade_Scenario!C392,D392),3),UserInput!$C$25:$M$25,0))</f>
        <v>1000</v>
      </c>
      <c r="F392" t="s">
        <v>81</v>
      </c>
      <c r="G392" s="14">
        <f t="shared" si="117"/>
        <v>7.1890006206009414E-3</v>
      </c>
      <c r="H392" s="63">
        <f t="shared" si="123"/>
        <v>0.18641057123450028</v>
      </c>
      <c r="I392" s="63">
        <f t="shared" si="124"/>
        <v>0.14010639948964615</v>
      </c>
      <c r="J392" s="63">
        <f t="shared" si="125"/>
        <v>0.2327147409823119</v>
      </c>
      <c r="K392" s="30">
        <f>IF(OR(LEFT($D392,5)="Solar",$D392="Wind"),INDEX(Land_Use[AVG],MATCH(LEFT($D392,5),Land_Use[Tech],0)),0)*$E392</f>
        <v>0</v>
      </c>
      <c r="L392" s="30">
        <f>IF(OR(LEFT($D392,5)="Solar",$D392="Wind"),INDEX(Land_Use[MIN],MATCH(LEFT($D392,5),Land_Use[Tech],0)),0)*$E392</f>
        <v>0</v>
      </c>
      <c r="M392" s="30">
        <f>IF(OR(LEFT($D392,5)="Solar",$D392="Wind"),INDEX(Land_Use[MAX],MATCH(LEFT($D392,5),Land_Use[Tech],0)),0)*$E392</f>
        <v>0</v>
      </c>
      <c r="N392" s="15">
        <f t="shared" si="118"/>
        <v>0</v>
      </c>
      <c r="O392" s="11">
        <f t="shared" si="119"/>
        <v>0</v>
      </c>
      <c r="P392" s="11">
        <f t="shared" si="120"/>
        <v>0</v>
      </c>
      <c r="Q392" s="11">
        <f t="shared" si="121"/>
        <v>0</v>
      </c>
      <c r="R392" s="11">
        <f t="shared" si="122"/>
        <v>0</v>
      </c>
      <c r="S392" s="30">
        <f t="shared" si="126"/>
        <v>0</v>
      </c>
      <c r="T392" s="30">
        <f t="shared" si="127"/>
        <v>0</v>
      </c>
      <c r="U392" s="30">
        <f t="shared" si="128"/>
        <v>0</v>
      </c>
      <c r="V392" s="30">
        <f t="shared" si="129"/>
        <v>0</v>
      </c>
      <c r="W392" s="30">
        <f t="shared" si="130"/>
        <v>0</v>
      </c>
      <c r="X392" s="30">
        <f t="shared" si="131"/>
        <v>0</v>
      </c>
      <c r="Z392" s="23" t="s">
        <v>76</v>
      </c>
      <c r="AA392" s="40">
        <f>IF(C392="Electricity",E392*SUMIFS(Electricity!S:S,Electricity!P:P,UserMade_Scenario!B392,Electricity!M:M,UserMade_Scenario!Z392,Electricity!O:O,UserMade_Scenario!D392),"")</f>
        <v>1997043.0444355621</v>
      </c>
      <c r="AB392" s="76">
        <f>1/Assumptions!$B$23/1000000000000</f>
        <v>3.5998225679871703E-9</v>
      </c>
      <c r="AC392" s="67" t="s">
        <v>82</v>
      </c>
      <c r="AD392" s="69">
        <f>INDEX(Table11[AVG
CO2e MT per MWh],MATCH(UserMade_Scenario!$B392,Table11[[Year]:[Year]],0))</f>
        <v>-9.3343291599999934E-2</v>
      </c>
      <c r="AE392" s="69">
        <f>INDEX(Table11[MIN
CO2e MT per MWh],MATCH(UserMade_Scenario!$B392,Table11[[Year]:[Year]],0))</f>
        <v>-7.0156925200000081E-2</v>
      </c>
      <c r="AF392" s="69">
        <f>INDEX(Table11[MAX CO2e MT per MWh],MATCH(UserMade_Scenario!$B392,Table11[[Year]:[Year]],0))</f>
        <v>-0.11652965700000005</v>
      </c>
      <c r="AG392" s="68">
        <f>IFERROR(INDEX(WaterUseH2[Average Direct Water Consumption (Gal/ kg h2)],MATCH(LEFT(D392,3),WaterUseH2[Key],0)),0)</f>
        <v>0</v>
      </c>
      <c r="AH392">
        <v>14</v>
      </c>
      <c r="AI392">
        <v>1.4</v>
      </c>
      <c r="AJ392">
        <v>250</v>
      </c>
      <c r="AK392">
        <v>0.31</v>
      </c>
      <c r="AL392" s="63">
        <f>IFERROR(INDEX(Job_Training[[Solar]:[Wind]],MATCH(AL$1,Job_Training[[`Typical Entry Level Education`]:[`Typical Entry Level Education`]],0),MATCH(LEFT($D392,5),Job_Training[[#Headers],[Solar]:[Wind]],0)),0)</f>
        <v>0</v>
      </c>
      <c r="AM392" s="63">
        <f>IFERROR(INDEX(Job_Training[[Solar]:[Wind]],MATCH(AM$1,Job_Training[[`Typical Entry Level Education`]:[`Typical Entry Level Education`]],0),MATCH(LEFT($D392,5),Job_Training[[#Headers],[Solar]:[Wind]],0)),0)</f>
        <v>0</v>
      </c>
      <c r="AN392" s="63">
        <f>IFERROR(INDEX(Job_Training[[Solar]:[Wind]],MATCH(AN$1,Job_Training[[`Typical Entry Level Education`]:[`Typical Entry Level Education`]],0),MATCH(LEFT($D392,5),Job_Training[[#Headers],[Solar]:[Wind]],0)),0)</f>
        <v>0</v>
      </c>
      <c r="AO392" s="63">
        <f>IFERROR(INDEX(Job_Training[[Solar]:[Wind]],MATCH(AO$1,Job_Training[[`Typical Entry Level Education`]:[`Typical Entry Level Education`]],0),MATCH(LEFT($D392,5),Job_Training[[#Headers],[Solar]:[Wind]],0)),0)</f>
        <v>0</v>
      </c>
      <c r="AP392">
        <f t="shared" si="132"/>
        <v>0</v>
      </c>
      <c r="AQ392" s="63">
        <f>IF(AP392&gt;0,IFERROR(INDEX(Assumptions!$C$165:$D$165,MATCH(LEFT($D392,5),Job_Training[[#Headers],[Solar]:[Wind]],0)),0),0)</f>
        <v>0</v>
      </c>
      <c r="AR392">
        <f>IF(AP392&gt;0,IFERROR(INDEX(Assumptions!$C$166:$D$166,MATCH(LEFT($D392,5),Job_Training[[#Headers],[Solar]:[Wind]],0)),0),0)</f>
        <v>0</v>
      </c>
    </row>
    <row r="393" spans="1:44" hidden="1" x14ac:dyDescent="0.35">
      <c r="A393" t="str">
        <f>UserInput!$B$30</f>
        <v>State Policy Aligned</v>
      </c>
      <c r="B393">
        <v>2038</v>
      </c>
      <c r="C393" t="s">
        <v>41</v>
      </c>
      <c r="D393" t="s">
        <v>86</v>
      </c>
      <c r="E393" s="66">
        <f>INDEX(UserInput!$C$30:$M$50,MATCH(UserMade_Scenario!B393,UserInput!$A$30:$A$50,0),MATCH(LEFT(IF(RIGHT(C393,2)="H2",UserMade_Scenario!C393,D393),3),UserInput!$C$25:$M$25,0))</f>
        <v>1000</v>
      </c>
      <c r="F393" t="s">
        <v>81</v>
      </c>
      <c r="G393" s="14">
        <f t="shared" si="117"/>
        <v>7.2868623666675399E-3</v>
      </c>
      <c r="H393" s="63">
        <f t="shared" si="123"/>
        <v>0.18039793689370298</v>
      </c>
      <c r="I393" s="63">
        <f t="shared" si="124"/>
        <v>0.13157312887353095</v>
      </c>
      <c r="J393" s="63">
        <f t="shared" si="125"/>
        <v>0.22922274288964739</v>
      </c>
      <c r="K393" s="30">
        <f>IF(OR(LEFT($D393,5)="Solar",$D393="Wind"),INDEX(Land_Use[AVG],MATCH(LEFT($D393,5),Land_Use[Tech],0)),0)*$E393</f>
        <v>0</v>
      </c>
      <c r="L393" s="30">
        <f>IF(OR(LEFT($D393,5)="Solar",$D393="Wind"),INDEX(Land_Use[MIN],MATCH(LEFT($D393,5),Land_Use[Tech],0)),0)*$E393</f>
        <v>0</v>
      </c>
      <c r="M393" s="30">
        <f>IF(OR(LEFT($D393,5)="Solar",$D393="Wind"),INDEX(Land_Use[MAX],MATCH(LEFT($D393,5),Land_Use[Tech],0)),0)*$E393</f>
        <v>0</v>
      </c>
      <c r="N393" s="15">
        <f t="shared" si="118"/>
        <v>0</v>
      </c>
      <c r="O393" s="11">
        <f t="shared" si="119"/>
        <v>0</v>
      </c>
      <c r="P393" s="11">
        <f t="shared" si="120"/>
        <v>0</v>
      </c>
      <c r="Q393" s="11">
        <f t="shared" si="121"/>
        <v>0</v>
      </c>
      <c r="R393" s="11">
        <f t="shared" si="122"/>
        <v>0</v>
      </c>
      <c r="S393" s="30">
        <f t="shared" si="126"/>
        <v>0</v>
      </c>
      <c r="T393" s="30">
        <f t="shared" si="127"/>
        <v>0</v>
      </c>
      <c r="U393" s="30">
        <f t="shared" si="128"/>
        <v>0</v>
      </c>
      <c r="V393" s="30">
        <f t="shared" si="129"/>
        <v>0</v>
      </c>
      <c r="W393" s="30">
        <f t="shared" si="130"/>
        <v>0</v>
      </c>
      <c r="X393" s="30">
        <f t="shared" si="131"/>
        <v>0</v>
      </c>
      <c r="Z393" s="23" t="s">
        <v>76</v>
      </c>
      <c r="AA393" s="40">
        <f>IF(C393="Electricity",E393*SUMIFS(Electricity!S:S,Electricity!P:P,UserMade_Scenario!B393,Electricity!M:M,UserMade_Scenario!Z393,Electricity!O:O,UserMade_Scenario!D393),"")</f>
        <v>2024228.2026533231</v>
      </c>
      <c r="AB393" s="76">
        <f>1/Assumptions!$B$23/1000000000000</f>
        <v>3.5998225679871703E-9</v>
      </c>
      <c r="AC393" s="67" t="s">
        <v>82</v>
      </c>
      <c r="AD393" s="69">
        <f>INDEX(Table11[AVG
CO2e MT per MWh],MATCH(UserMade_Scenario!$B393,Table11[[Year]:[Year]],0))</f>
        <v>-8.9119367399999927E-2</v>
      </c>
      <c r="AE393" s="69">
        <f>INDEX(Table11[MIN
CO2e MT per MWh],MATCH(UserMade_Scenario!$B393,Table11[[Year]:[Year]],0))</f>
        <v>-6.4999158050000089E-2</v>
      </c>
      <c r="AF393" s="69">
        <f>INDEX(Table11[MAX CO2e MT per MWh],MATCH(UserMade_Scenario!$B393,Table11[[Year]:[Year]],0))</f>
        <v>-0.11323957575000004</v>
      </c>
      <c r="AG393" s="68">
        <f>IFERROR(INDEX(WaterUseH2[Average Direct Water Consumption (Gal/ kg h2)],MATCH(LEFT(D393,3),WaterUseH2[Key],0)),0)</f>
        <v>0</v>
      </c>
      <c r="AH393">
        <v>14</v>
      </c>
      <c r="AI393">
        <v>1.4</v>
      </c>
      <c r="AJ393">
        <v>250</v>
      </c>
      <c r="AK393">
        <v>0.31</v>
      </c>
      <c r="AL393" s="63">
        <f>IFERROR(INDEX(Job_Training[[Solar]:[Wind]],MATCH(AL$1,Job_Training[[`Typical Entry Level Education`]:[`Typical Entry Level Education`]],0),MATCH(LEFT($D393,5),Job_Training[[#Headers],[Solar]:[Wind]],0)),0)</f>
        <v>0</v>
      </c>
      <c r="AM393" s="63">
        <f>IFERROR(INDEX(Job_Training[[Solar]:[Wind]],MATCH(AM$1,Job_Training[[`Typical Entry Level Education`]:[`Typical Entry Level Education`]],0),MATCH(LEFT($D393,5),Job_Training[[#Headers],[Solar]:[Wind]],0)),0)</f>
        <v>0</v>
      </c>
      <c r="AN393" s="63">
        <f>IFERROR(INDEX(Job_Training[[Solar]:[Wind]],MATCH(AN$1,Job_Training[[`Typical Entry Level Education`]:[`Typical Entry Level Education`]],0),MATCH(LEFT($D393,5),Job_Training[[#Headers],[Solar]:[Wind]],0)),0)</f>
        <v>0</v>
      </c>
      <c r="AO393" s="63">
        <f>IFERROR(INDEX(Job_Training[[Solar]:[Wind]],MATCH(AO$1,Job_Training[[`Typical Entry Level Education`]:[`Typical Entry Level Education`]],0),MATCH(LEFT($D393,5),Job_Training[[#Headers],[Solar]:[Wind]],0)),0)</f>
        <v>0</v>
      </c>
      <c r="AP393">
        <f t="shared" si="132"/>
        <v>0</v>
      </c>
      <c r="AQ393" s="63">
        <f>IF(AP393&gt;0,IFERROR(INDEX(Assumptions!$C$165:$D$165,MATCH(LEFT($D393,5),Job_Training[[#Headers],[Solar]:[Wind]],0)),0),0)</f>
        <v>0</v>
      </c>
      <c r="AR393">
        <f>IF(AP393&gt;0,IFERROR(INDEX(Assumptions!$C$166:$D$166,MATCH(LEFT($D393,5),Job_Training[[#Headers],[Solar]:[Wind]],0)),0),0)</f>
        <v>0</v>
      </c>
    </row>
    <row r="394" spans="1:44" hidden="1" x14ac:dyDescent="0.35">
      <c r="A394" t="str">
        <f>UserInput!$B$30</f>
        <v>State Policy Aligned</v>
      </c>
      <c r="B394">
        <v>2039</v>
      </c>
      <c r="C394" t="s">
        <v>41</v>
      </c>
      <c r="D394" t="s">
        <v>86</v>
      </c>
      <c r="E394" s="66">
        <f>INDEX(UserInput!$C$30:$M$50,MATCH(UserMade_Scenario!B394,UserInput!$A$30:$A$50,0),MATCH(LEFT(IF(RIGHT(C394,2)="H2",UserMade_Scenario!C394,D394),3),UserInput!$C$25:$M$25,0))</f>
        <v>1000</v>
      </c>
      <c r="F394" t="s">
        <v>81</v>
      </c>
      <c r="G394" s="14">
        <f t="shared" si="117"/>
        <v>7.3847241127341376E-3</v>
      </c>
      <c r="H394" s="63">
        <f t="shared" si="123"/>
        <v>0.17415564645755205</v>
      </c>
      <c r="I394" s="63">
        <f t="shared" si="124"/>
        <v>0.12275942882536947</v>
      </c>
      <c r="J394" s="63">
        <f t="shared" si="125"/>
        <v>0.22555186203832181</v>
      </c>
      <c r="K394" s="30">
        <f>IF(OR(LEFT($D394,5)="Solar",$D394="Wind"),INDEX(Land_Use[AVG],MATCH(LEFT($D394,5),Land_Use[Tech],0)),0)*$E394</f>
        <v>0</v>
      </c>
      <c r="L394" s="30">
        <f>IF(OR(LEFT($D394,5)="Solar",$D394="Wind"),INDEX(Land_Use[MIN],MATCH(LEFT($D394,5),Land_Use[Tech],0)),0)*$E394</f>
        <v>0</v>
      </c>
      <c r="M394" s="30">
        <f>IF(OR(LEFT($D394,5)="Solar",$D394="Wind"),INDEX(Land_Use[MAX],MATCH(LEFT($D394,5),Land_Use[Tech],0)),0)*$E394</f>
        <v>0</v>
      </c>
      <c r="N394" s="15">
        <f t="shared" si="118"/>
        <v>0</v>
      </c>
      <c r="O394" s="11">
        <f t="shared" si="119"/>
        <v>0</v>
      </c>
      <c r="P394" s="11">
        <f t="shared" si="120"/>
        <v>0</v>
      </c>
      <c r="Q394" s="11">
        <f t="shared" si="121"/>
        <v>0</v>
      </c>
      <c r="R394" s="11">
        <f t="shared" si="122"/>
        <v>0</v>
      </c>
      <c r="S394" s="30">
        <f t="shared" si="126"/>
        <v>0</v>
      </c>
      <c r="T394" s="30">
        <f t="shared" si="127"/>
        <v>0</v>
      </c>
      <c r="U394" s="30">
        <f t="shared" si="128"/>
        <v>0</v>
      </c>
      <c r="V394" s="30">
        <f t="shared" si="129"/>
        <v>0</v>
      </c>
      <c r="W394" s="30">
        <f t="shared" si="130"/>
        <v>0</v>
      </c>
      <c r="X394" s="30">
        <f t="shared" si="131"/>
        <v>0</v>
      </c>
      <c r="Z394" s="23" t="s">
        <v>76</v>
      </c>
      <c r="AA394" s="40">
        <f>IF(C394="Electricity",E394*SUMIFS(Electricity!S:S,Electricity!P:P,UserMade_Scenario!B394,Electricity!M:M,UserMade_Scenario!Z394,Electricity!O:O,UserMade_Scenario!D394),"")</f>
        <v>2051413.360871084</v>
      </c>
      <c r="AB394" s="76">
        <f>1/Assumptions!$B$23/1000000000000</f>
        <v>3.5998225679871703E-9</v>
      </c>
      <c r="AC394" s="67" t="s">
        <v>82</v>
      </c>
      <c r="AD394" s="69">
        <f>INDEX(Table11[AVG
CO2e MT per MWh],MATCH(UserMade_Scenario!$B394,Table11[[Year]:[Year]],0))</f>
        <v>-8.489544319999992E-2</v>
      </c>
      <c r="AE394" s="69">
        <f>INDEX(Table11[MIN
CO2e MT per MWh],MATCH(UserMade_Scenario!$B394,Table11[[Year]:[Year]],0))</f>
        <v>-5.984139090000009E-2</v>
      </c>
      <c r="AF394" s="69">
        <f>INDEX(Table11[MAX CO2e MT per MWh],MATCH(UserMade_Scenario!$B394,Table11[[Year]:[Year]],0))</f>
        <v>-0.10994949450000004</v>
      </c>
      <c r="AG394" s="68">
        <f>IFERROR(INDEX(WaterUseH2[Average Direct Water Consumption (Gal/ kg h2)],MATCH(LEFT(D394,3),WaterUseH2[Key],0)),0)</f>
        <v>0</v>
      </c>
      <c r="AH394">
        <v>14</v>
      </c>
      <c r="AI394">
        <v>1.4</v>
      </c>
      <c r="AJ394">
        <v>250</v>
      </c>
      <c r="AK394">
        <v>0.31</v>
      </c>
      <c r="AL394" s="63">
        <f>IFERROR(INDEX(Job_Training[[Solar]:[Wind]],MATCH(AL$1,Job_Training[[`Typical Entry Level Education`]:[`Typical Entry Level Education`]],0),MATCH(LEFT($D394,5),Job_Training[[#Headers],[Solar]:[Wind]],0)),0)</f>
        <v>0</v>
      </c>
      <c r="AM394" s="63">
        <f>IFERROR(INDEX(Job_Training[[Solar]:[Wind]],MATCH(AM$1,Job_Training[[`Typical Entry Level Education`]:[`Typical Entry Level Education`]],0),MATCH(LEFT($D394,5),Job_Training[[#Headers],[Solar]:[Wind]],0)),0)</f>
        <v>0</v>
      </c>
      <c r="AN394" s="63">
        <f>IFERROR(INDEX(Job_Training[[Solar]:[Wind]],MATCH(AN$1,Job_Training[[`Typical Entry Level Education`]:[`Typical Entry Level Education`]],0),MATCH(LEFT($D394,5),Job_Training[[#Headers],[Solar]:[Wind]],0)),0)</f>
        <v>0</v>
      </c>
      <c r="AO394" s="63">
        <f>IFERROR(INDEX(Job_Training[[Solar]:[Wind]],MATCH(AO$1,Job_Training[[`Typical Entry Level Education`]:[`Typical Entry Level Education`]],0),MATCH(LEFT($D394,5),Job_Training[[#Headers],[Solar]:[Wind]],0)),0)</f>
        <v>0</v>
      </c>
      <c r="AP394">
        <f t="shared" si="132"/>
        <v>0</v>
      </c>
      <c r="AQ394" s="63">
        <f>IF(AP394&gt;0,IFERROR(INDEX(Assumptions!$C$165:$D$165,MATCH(LEFT($D394,5),Job_Training[[#Headers],[Solar]:[Wind]],0)),0),0)</f>
        <v>0</v>
      </c>
      <c r="AR394">
        <f>IF(AP394&gt;0,IFERROR(INDEX(Assumptions!$C$166:$D$166,MATCH(LEFT($D394,5),Job_Training[[#Headers],[Solar]:[Wind]],0)),0),0)</f>
        <v>0</v>
      </c>
    </row>
    <row r="395" spans="1:44" hidden="1" x14ac:dyDescent="0.35">
      <c r="A395" t="str">
        <f>UserInput!$B$30</f>
        <v>State Policy Aligned</v>
      </c>
      <c r="B395">
        <v>2040</v>
      </c>
      <c r="C395" t="s">
        <v>41</v>
      </c>
      <c r="D395" t="s">
        <v>86</v>
      </c>
      <c r="E395" s="66">
        <f>INDEX(UserInput!$C$30:$M$50,MATCH(UserMade_Scenario!B395,UserInput!$A$30:$A$50,0),MATCH(LEFT(IF(RIGHT(C395,2)="H2",UserMade_Scenario!C395,D395),3),UserInput!$C$25:$M$25,0))</f>
        <v>1000</v>
      </c>
      <c r="F395" t="s">
        <v>81</v>
      </c>
      <c r="G395" s="14">
        <f t="shared" si="117"/>
        <v>7.4825858588007353E-3</v>
      </c>
      <c r="H395" s="63">
        <f t="shared" si="123"/>
        <v>0.16768369992604745</v>
      </c>
      <c r="I395" s="63">
        <f t="shared" si="124"/>
        <v>0.11366529934516179</v>
      </c>
      <c r="J395" s="63">
        <f t="shared" si="125"/>
        <v>0.22170209842833521</v>
      </c>
      <c r="K395" s="30">
        <f>IF(OR(LEFT($D395,5)="Solar",$D395="Wind"),INDEX(Land_Use[AVG],MATCH(LEFT($D395,5),Land_Use[Tech],0)),0)*$E395</f>
        <v>0</v>
      </c>
      <c r="L395" s="30">
        <f>IF(OR(LEFT($D395,5)="Solar",$D395="Wind"),INDEX(Land_Use[MIN],MATCH(LEFT($D395,5),Land_Use[Tech],0)),0)*$E395</f>
        <v>0</v>
      </c>
      <c r="M395" s="30">
        <f>IF(OR(LEFT($D395,5)="Solar",$D395="Wind"),INDEX(Land_Use[MAX],MATCH(LEFT($D395,5),Land_Use[Tech],0)),0)*$E395</f>
        <v>0</v>
      </c>
      <c r="N395" s="15">
        <f t="shared" si="118"/>
        <v>0</v>
      </c>
      <c r="O395" s="11">
        <f t="shared" si="119"/>
        <v>0</v>
      </c>
      <c r="P395" s="11">
        <f t="shared" si="120"/>
        <v>0</v>
      </c>
      <c r="Q395" s="11">
        <f t="shared" si="121"/>
        <v>0</v>
      </c>
      <c r="R395" s="11">
        <f t="shared" si="122"/>
        <v>0</v>
      </c>
      <c r="S395" s="30">
        <f t="shared" si="126"/>
        <v>0</v>
      </c>
      <c r="T395" s="30">
        <f t="shared" si="127"/>
        <v>0</v>
      </c>
      <c r="U395" s="30">
        <f t="shared" si="128"/>
        <v>0</v>
      </c>
      <c r="V395" s="30">
        <f t="shared" si="129"/>
        <v>0</v>
      </c>
      <c r="W395" s="30">
        <f t="shared" si="130"/>
        <v>0</v>
      </c>
      <c r="X395" s="30">
        <f t="shared" si="131"/>
        <v>0</v>
      </c>
      <c r="Z395" s="23" t="s">
        <v>76</v>
      </c>
      <c r="AA395" s="40">
        <f>IF(C395="Electricity",E395*SUMIFS(Electricity!S:S,Electricity!P:P,UserMade_Scenario!B395,Electricity!M:M,UserMade_Scenario!Z395,Electricity!O:O,UserMade_Scenario!D395),"")</f>
        <v>2078598.519088845</v>
      </c>
      <c r="AB395" s="76">
        <f>1/Assumptions!$B$23/1000000000000</f>
        <v>3.5998225679871703E-9</v>
      </c>
      <c r="AC395" s="67" t="s">
        <v>82</v>
      </c>
      <c r="AD395" s="69">
        <f>INDEX(Table11[AVG
CO2e MT per MWh],MATCH(UserMade_Scenario!$B395,Table11[[Year]:[Year]],0))</f>
        <v>-8.0671518999999914E-2</v>
      </c>
      <c r="AE395" s="69">
        <f>INDEX(Table11[MIN
CO2e MT per MWh],MATCH(UserMade_Scenario!$B395,Table11[[Year]:[Year]],0))</f>
        <v>-5.468362375000009E-2</v>
      </c>
      <c r="AF395" s="69">
        <f>INDEX(Table11[MAX CO2e MT per MWh],MATCH(UserMade_Scenario!$B395,Table11[[Year]:[Year]],0))</f>
        <v>-0.10665941325000003</v>
      </c>
      <c r="AG395" s="68">
        <f>IFERROR(INDEX(WaterUseH2[Average Direct Water Consumption (Gal/ kg h2)],MATCH(LEFT(D395,3),WaterUseH2[Key],0)),0)</f>
        <v>0</v>
      </c>
      <c r="AH395">
        <v>14</v>
      </c>
      <c r="AI395">
        <v>1.4</v>
      </c>
      <c r="AJ395">
        <v>250</v>
      </c>
      <c r="AK395">
        <v>0.31</v>
      </c>
      <c r="AL395" s="63">
        <f>IFERROR(INDEX(Job_Training[[Solar]:[Wind]],MATCH(AL$1,Job_Training[[`Typical Entry Level Education`]:[`Typical Entry Level Education`]],0),MATCH(LEFT($D395,5),Job_Training[[#Headers],[Solar]:[Wind]],0)),0)</f>
        <v>0</v>
      </c>
      <c r="AM395" s="63">
        <f>IFERROR(INDEX(Job_Training[[Solar]:[Wind]],MATCH(AM$1,Job_Training[[`Typical Entry Level Education`]:[`Typical Entry Level Education`]],0),MATCH(LEFT($D395,5),Job_Training[[#Headers],[Solar]:[Wind]],0)),0)</f>
        <v>0</v>
      </c>
      <c r="AN395" s="63">
        <f>IFERROR(INDEX(Job_Training[[Solar]:[Wind]],MATCH(AN$1,Job_Training[[`Typical Entry Level Education`]:[`Typical Entry Level Education`]],0),MATCH(LEFT($D395,5),Job_Training[[#Headers],[Solar]:[Wind]],0)),0)</f>
        <v>0</v>
      </c>
      <c r="AO395" s="63">
        <f>IFERROR(INDEX(Job_Training[[Solar]:[Wind]],MATCH(AO$1,Job_Training[[`Typical Entry Level Education`]:[`Typical Entry Level Education`]],0),MATCH(LEFT($D395,5),Job_Training[[#Headers],[Solar]:[Wind]],0)),0)</f>
        <v>0</v>
      </c>
      <c r="AP395">
        <f t="shared" si="132"/>
        <v>0</v>
      </c>
      <c r="AQ395" s="63">
        <f>IF(AP395&gt;0,IFERROR(INDEX(Assumptions!$C$165:$D$165,MATCH(LEFT($D395,5),Job_Training[[#Headers],[Solar]:[Wind]],0)),0),0)</f>
        <v>0</v>
      </c>
      <c r="AR395">
        <f>IF(AP395&gt;0,IFERROR(INDEX(Assumptions!$C$166:$D$166,MATCH(LEFT($D395,5),Job_Training[[#Headers],[Solar]:[Wind]],0)),0),0)</f>
        <v>0</v>
      </c>
    </row>
    <row r="396" spans="1:44" hidden="1" x14ac:dyDescent="0.35">
      <c r="A396" t="str">
        <f>UserInput!$B$30</f>
        <v>State Policy Aligned</v>
      </c>
      <c r="B396">
        <v>2041</v>
      </c>
      <c r="C396" t="s">
        <v>41</v>
      </c>
      <c r="D396" t="s">
        <v>86</v>
      </c>
      <c r="E396" s="66">
        <f>INDEX(UserInput!$C$30:$M$50,MATCH(UserMade_Scenario!B396,UserInput!$A$30:$A$50,0),MATCH(LEFT(IF(RIGHT(C396,2)="H2",UserMade_Scenario!C396,D396),3),UserInput!$C$25:$M$25,0))</f>
        <v>1000</v>
      </c>
      <c r="F396" t="s">
        <v>81</v>
      </c>
      <c r="G396" s="14">
        <f t="shared" si="117"/>
        <v>7.580447604867333E-3</v>
      </c>
      <c r="H396" s="63">
        <f t="shared" si="123"/>
        <v>0.16098209729918919</v>
      </c>
      <c r="I396" s="63">
        <f t="shared" si="124"/>
        <v>0.10429074043290784</v>
      </c>
      <c r="J396" s="63">
        <f t="shared" si="125"/>
        <v>0.21767345205968747</v>
      </c>
      <c r="K396" s="30">
        <f>IF(OR(LEFT($D396,5)="Solar",$D396="Wind"),INDEX(Land_Use[AVG],MATCH(LEFT($D396,5),Land_Use[Tech],0)),0)*$E396</f>
        <v>0</v>
      </c>
      <c r="L396" s="30">
        <f>IF(OR(LEFT($D396,5)="Solar",$D396="Wind"),INDEX(Land_Use[MIN],MATCH(LEFT($D396,5),Land_Use[Tech],0)),0)*$E396</f>
        <v>0</v>
      </c>
      <c r="M396" s="30">
        <f>IF(OR(LEFT($D396,5)="Solar",$D396="Wind"),INDEX(Land_Use[MAX],MATCH(LEFT($D396,5),Land_Use[Tech],0)),0)*$E396</f>
        <v>0</v>
      </c>
      <c r="N396" s="15">
        <f t="shared" si="118"/>
        <v>0</v>
      </c>
      <c r="O396" s="11">
        <f t="shared" si="119"/>
        <v>0</v>
      </c>
      <c r="P396" s="11">
        <f t="shared" si="120"/>
        <v>0</v>
      </c>
      <c r="Q396" s="11">
        <f t="shared" si="121"/>
        <v>0</v>
      </c>
      <c r="R396" s="11">
        <f t="shared" si="122"/>
        <v>0</v>
      </c>
      <c r="S396" s="30">
        <f t="shared" si="126"/>
        <v>0</v>
      </c>
      <c r="T396" s="30">
        <f t="shared" si="127"/>
        <v>0</v>
      </c>
      <c r="U396" s="30">
        <f t="shared" si="128"/>
        <v>0</v>
      </c>
      <c r="V396" s="30">
        <f t="shared" si="129"/>
        <v>0</v>
      </c>
      <c r="W396" s="30">
        <f t="shared" si="130"/>
        <v>0</v>
      </c>
      <c r="X396" s="30">
        <f t="shared" si="131"/>
        <v>0</v>
      </c>
      <c r="Z396" s="23" t="s">
        <v>76</v>
      </c>
      <c r="AA396" s="40">
        <f>IF(C396="Electricity",E396*SUMIFS(Electricity!S:S,Electricity!P:P,UserMade_Scenario!B396,Electricity!M:M,UserMade_Scenario!Z396,Electricity!O:O,UserMade_Scenario!D396),"")</f>
        <v>2105783.677306606</v>
      </c>
      <c r="AB396" s="76">
        <f>1/Assumptions!$B$23/1000000000000</f>
        <v>3.5998225679871703E-9</v>
      </c>
      <c r="AC396" s="67" t="s">
        <v>82</v>
      </c>
      <c r="AD396" s="69">
        <f>INDEX(Table11[AVG
CO2e MT per MWh],MATCH(UserMade_Scenario!$B396,Table11[[Year]:[Year]],0))</f>
        <v>-7.6447594799999907E-2</v>
      </c>
      <c r="AE396" s="69">
        <f>INDEX(Table11[MIN
CO2e MT per MWh],MATCH(UserMade_Scenario!$B396,Table11[[Year]:[Year]],0))</f>
        <v>-4.9525856600000091E-2</v>
      </c>
      <c r="AF396" s="69">
        <f>INDEX(Table11[MAX CO2e MT per MWh],MATCH(UserMade_Scenario!$B396,Table11[[Year]:[Year]],0))</f>
        <v>-0.10336933200000002</v>
      </c>
      <c r="AG396" s="68">
        <f>IFERROR(INDEX(WaterUseH2[Average Direct Water Consumption (Gal/ kg h2)],MATCH(LEFT(D396,3),WaterUseH2[Key],0)),0)</f>
        <v>0</v>
      </c>
      <c r="AH396">
        <v>14</v>
      </c>
      <c r="AI396">
        <v>1.4</v>
      </c>
      <c r="AJ396">
        <v>250</v>
      </c>
      <c r="AK396">
        <v>0.31</v>
      </c>
      <c r="AL396" s="63">
        <f>IFERROR(INDEX(Job_Training[[Solar]:[Wind]],MATCH(AL$1,Job_Training[[`Typical Entry Level Education`]:[`Typical Entry Level Education`]],0),MATCH(LEFT($D396,5),Job_Training[[#Headers],[Solar]:[Wind]],0)),0)</f>
        <v>0</v>
      </c>
      <c r="AM396" s="63">
        <f>IFERROR(INDEX(Job_Training[[Solar]:[Wind]],MATCH(AM$1,Job_Training[[`Typical Entry Level Education`]:[`Typical Entry Level Education`]],0),MATCH(LEFT($D396,5),Job_Training[[#Headers],[Solar]:[Wind]],0)),0)</f>
        <v>0</v>
      </c>
      <c r="AN396" s="63">
        <f>IFERROR(INDEX(Job_Training[[Solar]:[Wind]],MATCH(AN$1,Job_Training[[`Typical Entry Level Education`]:[`Typical Entry Level Education`]],0),MATCH(LEFT($D396,5),Job_Training[[#Headers],[Solar]:[Wind]],0)),0)</f>
        <v>0</v>
      </c>
      <c r="AO396" s="63">
        <f>IFERROR(INDEX(Job_Training[[Solar]:[Wind]],MATCH(AO$1,Job_Training[[`Typical Entry Level Education`]:[`Typical Entry Level Education`]],0),MATCH(LEFT($D396,5),Job_Training[[#Headers],[Solar]:[Wind]],0)),0)</f>
        <v>0</v>
      </c>
      <c r="AP396">
        <f t="shared" si="132"/>
        <v>0</v>
      </c>
      <c r="AQ396" s="63">
        <f>IF(AP396&gt;0,IFERROR(INDEX(Assumptions!$C$165:$D$165,MATCH(LEFT($D396,5),Job_Training[[#Headers],[Solar]:[Wind]],0)),0),0)</f>
        <v>0</v>
      </c>
      <c r="AR396">
        <f>IF(AP396&gt;0,IFERROR(INDEX(Assumptions!$C$166:$D$166,MATCH(LEFT($D396,5),Job_Training[[#Headers],[Solar]:[Wind]],0)),0),0)</f>
        <v>0</v>
      </c>
    </row>
    <row r="397" spans="1:44" hidden="1" x14ac:dyDescent="0.35">
      <c r="A397" t="str">
        <f>UserInput!$B$30</f>
        <v>State Policy Aligned</v>
      </c>
      <c r="B397">
        <v>2042</v>
      </c>
      <c r="C397" t="s">
        <v>41</v>
      </c>
      <c r="D397" t="s">
        <v>86</v>
      </c>
      <c r="E397" s="66">
        <f>INDEX(UserInput!$C$30:$M$50,MATCH(UserMade_Scenario!B397,UserInput!$A$30:$A$50,0),MATCH(LEFT(IF(RIGHT(C397,2)="H2",UserMade_Scenario!C397,D397),3),UserInput!$C$25:$M$25,0))</f>
        <v>1000</v>
      </c>
      <c r="F397" t="s">
        <v>81</v>
      </c>
      <c r="G397" s="14">
        <f t="shared" si="117"/>
        <v>7.6783093509339316E-3</v>
      </c>
      <c r="H397" s="63">
        <f t="shared" si="123"/>
        <v>0.15405083857697724</v>
      </c>
      <c r="I397" s="63">
        <f t="shared" si="124"/>
        <v>9.4635752088607653E-2</v>
      </c>
      <c r="J397" s="63">
        <f t="shared" si="125"/>
        <v>0.21346592293237868</v>
      </c>
      <c r="K397" s="30">
        <f>IF(OR(LEFT($D397,5)="Solar",$D397="Wind"),INDEX(Land_Use[AVG],MATCH(LEFT($D397,5),Land_Use[Tech],0)),0)*$E397</f>
        <v>0</v>
      </c>
      <c r="L397" s="30">
        <f>IF(OR(LEFT($D397,5)="Solar",$D397="Wind"),INDEX(Land_Use[MIN],MATCH(LEFT($D397,5),Land_Use[Tech],0)),0)*$E397</f>
        <v>0</v>
      </c>
      <c r="M397" s="30">
        <f>IF(OR(LEFT($D397,5)="Solar",$D397="Wind"),INDEX(Land_Use[MAX],MATCH(LEFT($D397,5),Land_Use[Tech],0)),0)*$E397</f>
        <v>0</v>
      </c>
      <c r="N397" s="15">
        <f t="shared" si="118"/>
        <v>0</v>
      </c>
      <c r="O397" s="11">
        <f t="shared" si="119"/>
        <v>0</v>
      </c>
      <c r="P397" s="11">
        <f t="shared" si="120"/>
        <v>0</v>
      </c>
      <c r="Q397" s="11">
        <f t="shared" si="121"/>
        <v>0</v>
      </c>
      <c r="R397" s="11">
        <f t="shared" si="122"/>
        <v>0</v>
      </c>
      <c r="S397" s="30">
        <f t="shared" si="126"/>
        <v>0</v>
      </c>
      <c r="T397" s="30">
        <f t="shared" si="127"/>
        <v>0</v>
      </c>
      <c r="U397" s="30">
        <f t="shared" si="128"/>
        <v>0</v>
      </c>
      <c r="V397" s="30">
        <f t="shared" si="129"/>
        <v>0</v>
      </c>
      <c r="W397" s="30">
        <f t="shared" si="130"/>
        <v>0</v>
      </c>
      <c r="X397" s="30">
        <f t="shared" si="131"/>
        <v>0</v>
      </c>
      <c r="Z397" s="23" t="s">
        <v>76</v>
      </c>
      <c r="AA397" s="40">
        <f>IF(C397="Electricity",E397*SUMIFS(Electricity!S:S,Electricity!P:P,UserMade_Scenario!B397,Electricity!M:M,UserMade_Scenario!Z397,Electricity!O:O,UserMade_Scenario!D397),"")</f>
        <v>2132968.8355243672</v>
      </c>
      <c r="AB397" s="76">
        <f>1/Assumptions!$B$23/1000000000000</f>
        <v>3.5998225679871703E-9</v>
      </c>
      <c r="AC397" s="67" t="s">
        <v>82</v>
      </c>
      <c r="AD397" s="69">
        <f>INDEX(Table11[AVG
CO2e MT per MWh],MATCH(UserMade_Scenario!$B397,Table11[[Year]:[Year]],0))</f>
        <v>-7.2223670599999901E-2</v>
      </c>
      <c r="AE397" s="69">
        <f>INDEX(Table11[MIN
CO2e MT per MWh],MATCH(UserMade_Scenario!$B397,Table11[[Year]:[Year]],0))</f>
        <v>-4.4368089450000092E-2</v>
      </c>
      <c r="AF397" s="69">
        <f>INDEX(Table11[MAX CO2e MT per MWh],MATCH(UserMade_Scenario!$B397,Table11[[Year]:[Year]],0))</f>
        <v>-0.10007925075000002</v>
      </c>
      <c r="AG397" s="68">
        <f>IFERROR(INDEX(WaterUseH2[Average Direct Water Consumption (Gal/ kg h2)],MATCH(LEFT(D397,3),WaterUseH2[Key],0)),0)</f>
        <v>0</v>
      </c>
      <c r="AH397">
        <v>14</v>
      </c>
      <c r="AI397">
        <v>1.4</v>
      </c>
      <c r="AJ397">
        <v>250</v>
      </c>
      <c r="AK397">
        <v>0.31</v>
      </c>
      <c r="AL397" s="63">
        <f>IFERROR(INDEX(Job_Training[[Solar]:[Wind]],MATCH(AL$1,Job_Training[[`Typical Entry Level Education`]:[`Typical Entry Level Education`]],0),MATCH(LEFT($D397,5),Job_Training[[#Headers],[Solar]:[Wind]],0)),0)</f>
        <v>0</v>
      </c>
      <c r="AM397" s="63">
        <f>IFERROR(INDEX(Job_Training[[Solar]:[Wind]],MATCH(AM$1,Job_Training[[`Typical Entry Level Education`]:[`Typical Entry Level Education`]],0),MATCH(LEFT($D397,5),Job_Training[[#Headers],[Solar]:[Wind]],0)),0)</f>
        <v>0</v>
      </c>
      <c r="AN397" s="63">
        <f>IFERROR(INDEX(Job_Training[[Solar]:[Wind]],MATCH(AN$1,Job_Training[[`Typical Entry Level Education`]:[`Typical Entry Level Education`]],0),MATCH(LEFT($D397,5),Job_Training[[#Headers],[Solar]:[Wind]],0)),0)</f>
        <v>0</v>
      </c>
      <c r="AO397" s="63">
        <f>IFERROR(INDEX(Job_Training[[Solar]:[Wind]],MATCH(AO$1,Job_Training[[`Typical Entry Level Education`]:[`Typical Entry Level Education`]],0),MATCH(LEFT($D397,5),Job_Training[[#Headers],[Solar]:[Wind]],0)),0)</f>
        <v>0</v>
      </c>
      <c r="AP397">
        <f t="shared" si="132"/>
        <v>0</v>
      </c>
      <c r="AQ397" s="63">
        <f>IF(AP397&gt;0,IFERROR(INDEX(Assumptions!$C$165:$D$165,MATCH(LEFT($D397,5),Job_Training[[#Headers],[Solar]:[Wind]],0)),0),0)</f>
        <v>0</v>
      </c>
      <c r="AR397">
        <f>IF(AP397&gt;0,IFERROR(INDEX(Assumptions!$C$166:$D$166,MATCH(LEFT($D397,5),Job_Training[[#Headers],[Solar]:[Wind]],0)),0),0)</f>
        <v>0</v>
      </c>
    </row>
    <row r="398" spans="1:44" hidden="1" x14ac:dyDescent="0.35">
      <c r="A398" t="str">
        <f>UserInput!$B$30</f>
        <v>State Policy Aligned</v>
      </c>
      <c r="B398">
        <v>2043</v>
      </c>
      <c r="C398" t="s">
        <v>41</v>
      </c>
      <c r="D398" t="s">
        <v>86</v>
      </c>
      <c r="E398" s="66">
        <f>INDEX(UserInput!$C$30:$M$50,MATCH(UserMade_Scenario!B398,UserInput!$A$30:$A$50,0),MATCH(LEFT(IF(RIGHT(C398,2)="H2",UserMade_Scenario!C398,D398),3),UserInput!$C$25:$M$25,0))</f>
        <v>1000</v>
      </c>
      <c r="F398" t="s">
        <v>81</v>
      </c>
      <c r="G398" s="14">
        <f t="shared" si="117"/>
        <v>7.7761710970005284E-3</v>
      </c>
      <c r="H398" s="63">
        <f t="shared" si="123"/>
        <v>0.14688992375941165</v>
      </c>
      <c r="I398" s="63">
        <f t="shared" si="124"/>
        <v>8.4700334312261219E-2</v>
      </c>
      <c r="J398" s="63">
        <f t="shared" si="125"/>
        <v>0.20907951104640876</v>
      </c>
      <c r="K398" s="30">
        <f>IF(OR(LEFT($D398,5)="Solar",$D398="Wind"),INDEX(Land_Use[AVG],MATCH(LEFT($D398,5),Land_Use[Tech],0)),0)*$E398</f>
        <v>0</v>
      </c>
      <c r="L398" s="30">
        <f>IF(OR(LEFT($D398,5)="Solar",$D398="Wind"),INDEX(Land_Use[MIN],MATCH(LEFT($D398,5),Land_Use[Tech],0)),0)*$E398</f>
        <v>0</v>
      </c>
      <c r="M398" s="30">
        <f>IF(OR(LEFT($D398,5)="Solar",$D398="Wind"),INDEX(Land_Use[MAX],MATCH(LEFT($D398,5),Land_Use[Tech],0)),0)*$E398</f>
        <v>0</v>
      </c>
      <c r="N398" s="15">
        <f t="shared" si="118"/>
        <v>0</v>
      </c>
      <c r="O398" s="11">
        <f t="shared" si="119"/>
        <v>0</v>
      </c>
      <c r="P398" s="11">
        <f t="shared" si="120"/>
        <v>0</v>
      </c>
      <c r="Q398" s="11">
        <f t="shared" si="121"/>
        <v>0</v>
      </c>
      <c r="R398" s="11">
        <f t="shared" si="122"/>
        <v>0</v>
      </c>
      <c r="S398" s="30">
        <f t="shared" si="126"/>
        <v>0</v>
      </c>
      <c r="T398" s="30">
        <f t="shared" si="127"/>
        <v>0</v>
      </c>
      <c r="U398" s="30">
        <f t="shared" si="128"/>
        <v>0</v>
      </c>
      <c r="V398" s="30">
        <f t="shared" si="129"/>
        <v>0</v>
      </c>
      <c r="W398" s="30">
        <f t="shared" si="130"/>
        <v>0</v>
      </c>
      <c r="X398" s="30">
        <f t="shared" si="131"/>
        <v>0</v>
      </c>
      <c r="Z398" s="23" t="s">
        <v>76</v>
      </c>
      <c r="AA398" s="40">
        <f>IF(C398="Electricity",E398*SUMIFS(Electricity!S:S,Electricity!P:P,UserMade_Scenario!B398,Electricity!M:M,UserMade_Scenario!Z398,Electricity!O:O,UserMade_Scenario!D398),"")</f>
        <v>2160153.9937421279</v>
      </c>
      <c r="AB398" s="76">
        <f>1/Assumptions!$B$23/1000000000000</f>
        <v>3.5998225679871703E-9</v>
      </c>
      <c r="AC398" s="67" t="s">
        <v>82</v>
      </c>
      <c r="AD398" s="69">
        <f>INDEX(Table11[AVG
CO2e MT per MWh],MATCH(UserMade_Scenario!$B398,Table11[[Year]:[Year]],0))</f>
        <v>-6.7999746399999894E-2</v>
      </c>
      <c r="AE398" s="69">
        <f>INDEX(Table11[MIN
CO2e MT per MWh],MATCH(UserMade_Scenario!$B398,Table11[[Year]:[Year]],0))</f>
        <v>-3.9210322300000093E-2</v>
      </c>
      <c r="AF398" s="69">
        <f>INDEX(Table11[MAX CO2e MT per MWh],MATCH(UserMade_Scenario!$B398,Table11[[Year]:[Year]],0))</f>
        <v>-9.6789169500000008E-2</v>
      </c>
      <c r="AG398" s="68">
        <f>IFERROR(INDEX(WaterUseH2[Average Direct Water Consumption (Gal/ kg h2)],MATCH(LEFT(D398,3),WaterUseH2[Key],0)),0)</f>
        <v>0</v>
      </c>
      <c r="AH398">
        <v>14</v>
      </c>
      <c r="AI398">
        <v>1.4</v>
      </c>
      <c r="AJ398">
        <v>250</v>
      </c>
      <c r="AK398">
        <v>0.31</v>
      </c>
      <c r="AL398" s="63">
        <f>IFERROR(INDEX(Job_Training[[Solar]:[Wind]],MATCH(AL$1,Job_Training[[`Typical Entry Level Education`]:[`Typical Entry Level Education`]],0),MATCH(LEFT($D398,5),Job_Training[[#Headers],[Solar]:[Wind]],0)),0)</f>
        <v>0</v>
      </c>
      <c r="AM398" s="63">
        <f>IFERROR(INDEX(Job_Training[[Solar]:[Wind]],MATCH(AM$1,Job_Training[[`Typical Entry Level Education`]:[`Typical Entry Level Education`]],0),MATCH(LEFT($D398,5),Job_Training[[#Headers],[Solar]:[Wind]],0)),0)</f>
        <v>0</v>
      </c>
      <c r="AN398" s="63">
        <f>IFERROR(INDEX(Job_Training[[Solar]:[Wind]],MATCH(AN$1,Job_Training[[`Typical Entry Level Education`]:[`Typical Entry Level Education`]],0),MATCH(LEFT($D398,5),Job_Training[[#Headers],[Solar]:[Wind]],0)),0)</f>
        <v>0</v>
      </c>
      <c r="AO398" s="63">
        <f>IFERROR(INDEX(Job_Training[[Solar]:[Wind]],MATCH(AO$1,Job_Training[[`Typical Entry Level Education`]:[`Typical Entry Level Education`]],0),MATCH(LEFT($D398,5),Job_Training[[#Headers],[Solar]:[Wind]],0)),0)</f>
        <v>0</v>
      </c>
      <c r="AP398">
        <f t="shared" si="132"/>
        <v>0</v>
      </c>
      <c r="AQ398" s="63">
        <f>IF(AP398&gt;0,IFERROR(INDEX(Assumptions!$C$165:$D$165,MATCH(LEFT($D398,5),Job_Training[[#Headers],[Solar]:[Wind]],0)),0),0)</f>
        <v>0</v>
      </c>
      <c r="AR398">
        <f>IF(AP398&gt;0,IFERROR(INDEX(Assumptions!$C$166:$D$166,MATCH(LEFT($D398,5),Job_Training[[#Headers],[Solar]:[Wind]],0)),0),0)</f>
        <v>0</v>
      </c>
    </row>
    <row r="399" spans="1:44" hidden="1" x14ac:dyDescent="0.35">
      <c r="A399" t="str">
        <f>UserInput!$B$30</f>
        <v>State Policy Aligned</v>
      </c>
      <c r="B399">
        <v>2044</v>
      </c>
      <c r="C399" t="s">
        <v>41</v>
      </c>
      <c r="D399" t="s">
        <v>86</v>
      </c>
      <c r="E399" s="66">
        <f>INDEX(UserInput!$C$30:$M$50,MATCH(UserMade_Scenario!B399,UserInput!$A$30:$A$50,0),MATCH(LEFT(IF(RIGHT(C399,2)="H2",UserMade_Scenario!C399,D399),3),UserInput!$C$25:$M$25,0))</f>
        <v>2000</v>
      </c>
      <c r="F399" t="s">
        <v>81</v>
      </c>
      <c r="G399" s="14">
        <f t="shared" si="117"/>
        <v>1.5748065686134256E-2</v>
      </c>
      <c r="H399" s="63">
        <f t="shared" si="123"/>
        <v>0.27899870569298485</v>
      </c>
      <c r="I399" s="63">
        <f t="shared" si="124"/>
        <v>0.14896897420773714</v>
      </c>
      <c r="J399" s="63">
        <f t="shared" si="125"/>
        <v>0.40902843280355572</v>
      </c>
      <c r="K399" s="30">
        <f>IF(OR(LEFT($D399,5)="Solar",$D399="Wind"),INDEX(Land_Use[AVG],MATCH(LEFT($D399,5),Land_Use[Tech],0)),0)*$E399</f>
        <v>0</v>
      </c>
      <c r="L399" s="30">
        <f>IF(OR(LEFT($D399,5)="Solar",$D399="Wind"),INDEX(Land_Use[MIN],MATCH(LEFT($D399,5),Land_Use[Tech],0)),0)*$E399</f>
        <v>0</v>
      </c>
      <c r="M399" s="30">
        <f>IF(OR(LEFT($D399,5)="Solar",$D399="Wind"),INDEX(Land_Use[MAX],MATCH(LEFT($D399,5),Land_Use[Tech],0)),0)*$E399</f>
        <v>0</v>
      </c>
      <c r="N399" s="15">
        <f t="shared" si="118"/>
        <v>0</v>
      </c>
      <c r="O399" s="11">
        <f t="shared" si="119"/>
        <v>0</v>
      </c>
      <c r="P399" s="11">
        <f t="shared" si="120"/>
        <v>0</v>
      </c>
      <c r="Q399" s="11">
        <f t="shared" si="121"/>
        <v>0</v>
      </c>
      <c r="R399" s="11">
        <f t="shared" si="122"/>
        <v>0</v>
      </c>
      <c r="S399" s="30">
        <f t="shared" si="126"/>
        <v>0</v>
      </c>
      <c r="T399" s="30">
        <f t="shared" si="127"/>
        <v>0</v>
      </c>
      <c r="U399" s="30">
        <f t="shared" si="128"/>
        <v>0</v>
      </c>
      <c r="V399" s="30">
        <f t="shared" si="129"/>
        <v>0</v>
      </c>
      <c r="W399" s="30">
        <f t="shared" si="130"/>
        <v>0</v>
      </c>
      <c r="X399" s="30">
        <f t="shared" si="131"/>
        <v>0</v>
      </c>
      <c r="Z399" s="23" t="s">
        <v>76</v>
      </c>
      <c r="AA399" s="40">
        <f>IF(C399="Electricity",E399*SUMIFS(Electricity!S:S,Electricity!P:P,UserMade_Scenario!B399,Electricity!M:M,UserMade_Scenario!Z399,Electricity!O:O,UserMade_Scenario!D399),"")</f>
        <v>4374678.3039197782</v>
      </c>
      <c r="AB399" s="76">
        <f>1/Assumptions!$B$23/1000000000000</f>
        <v>3.5998225679871703E-9</v>
      </c>
      <c r="AC399" s="67" t="s">
        <v>82</v>
      </c>
      <c r="AD399" s="69">
        <f>INDEX(Table11[AVG
CO2e MT per MWh],MATCH(UserMade_Scenario!$B399,Table11[[Year]:[Year]],0))</f>
        <v>-6.3775822199999888E-2</v>
      </c>
      <c r="AE399" s="69">
        <f>INDEX(Table11[MIN
CO2e MT per MWh],MATCH(UserMade_Scenario!$B399,Table11[[Year]:[Year]],0))</f>
        <v>-3.4052555150000094E-2</v>
      </c>
      <c r="AF399" s="69">
        <f>INDEX(Table11[MAX CO2e MT per MWh],MATCH(UserMade_Scenario!$B399,Table11[[Year]:[Year]],0))</f>
        <v>-9.3499088250000001E-2</v>
      </c>
      <c r="AG399" s="68">
        <f>IFERROR(INDEX(WaterUseH2[Average Direct Water Consumption (Gal/ kg h2)],MATCH(LEFT(D399,3),WaterUseH2[Key],0)),0)</f>
        <v>0</v>
      </c>
      <c r="AH399">
        <v>14</v>
      </c>
      <c r="AI399">
        <v>1.4</v>
      </c>
      <c r="AJ399">
        <v>250</v>
      </c>
      <c r="AK399">
        <v>0.31</v>
      </c>
      <c r="AL399" s="63">
        <f>IFERROR(INDEX(Job_Training[[Solar]:[Wind]],MATCH(AL$1,Job_Training[[`Typical Entry Level Education`]:[`Typical Entry Level Education`]],0),MATCH(LEFT($D399,5),Job_Training[[#Headers],[Solar]:[Wind]],0)),0)</f>
        <v>0</v>
      </c>
      <c r="AM399" s="63">
        <f>IFERROR(INDEX(Job_Training[[Solar]:[Wind]],MATCH(AM$1,Job_Training[[`Typical Entry Level Education`]:[`Typical Entry Level Education`]],0),MATCH(LEFT($D399,5),Job_Training[[#Headers],[Solar]:[Wind]],0)),0)</f>
        <v>0</v>
      </c>
      <c r="AN399" s="63">
        <f>IFERROR(INDEX(Job_Training[[Solar]:[Wind]],MATCH(AN$1,Job_Training[[`Typical Entry Level Education`]:[`Typical Entry Level Education`]],0),MATCH(LEFT($D399,5),Job_Training[[#Headers],[Solar]:[Wind]],0)),0)</f>
        <v>0</v>
      </c>
      <c r="AO399" s="63">
        <f>IFERROR(INDEX(Job_Training[[Solar]:[Wind]],MATCH(AO$1,Job_Training[[`Typical Entry Level Education`]:[`Typical Entry Level Education`]],0),MATCH(LEFT($D399,5),Job_Training[[#Headers],[Solar]:[Wind]],0)),0)</f>
        <v>0</v>
      </c>
      <c r="AP399">
        <f t="shared" si="132"/>
        <v>1000</v>
      </c>
      <c r="AQ399" s="63">
        <f>IF(AP399&gt;0,IFERROR(INDEX(Assumptions!$C$165:$D$165,MATCH(LEFT($D399,5),Job_Training[[#Headers],[Solar]:[Wind]],0)),0),0)</f>
        <v>0</v>
      </c>
      <c r="AR399">
        <f>IF(AP399&gt;0,IFERROR(INDEX(Assumptions!$C$166:$D$166,MATCH(LEFT($D399,5),Job_Training[[#Headers],[Solar]:[Wind]],0)),0),0)</f>
        <v>0</v>
      </c>
    </row>
    <row r="400" spans="1:44" hidden="1" x14ac:dyDescent="0.35">
      <c r="A400" t="str">
        <f>UserInput!$B$30</f>
        <v>State Policy Aligned</v>
      </c>
      <c r="B400">
        <v>2045</v>
      </c>
      <c r="C400" t="s">
        <v>41</v>
      </c>
      <c r="D400" t="s">
        <v>86</v>
      </c>
      <c r="E400" s="66">
        <f>INDEX(UserInput!$C$30:$M$50,MATCH(UserMade_Scenario!B400,UserInput!$A$30:$A$50,0),MATCH(LEFT(IF(RIGHT(C400,2)="H2",UserMade_Scenario!C400,D400),3),UserInput!$C$25:$M$25,0))</f>
        <v>2000</v>
      </c>
      <c r="F400" t="s">
        <v>81</v>
      </c>
      <c r="G400" s="14">
        <f t="shared" si="117"/>
        <v>1.5943789178267449E-2</v>
      </c>
      <c r="H400" s="63">
        <f t="shared" si="123"/>
        <v>0.26375825167643902</v>
      </c>
      <c r="I400" s="63">
        <f t="shared" si="124"/>
        <v>0.12797642092685929</v>
      </c>
      <c r="J400" s="63">
        <f t="shared" si="125"/>
        <v>0.3995400779969715</v>
      </c>
      <c r="K400" s="30">
        <f>IF(OR(LEFT($D400,5)="Solar",$D400="Wind"),INDEX(Land_Use[AVG],MATCH(LEFT($D400,5),Land_Use[Tech],0)),0)*$E400</f>
        <v>0</v>
      </c>
      <c r="L400" s="30">
        <f>IF(OR(LEFT($D400,5)="Solar",$D400="Wind"),INDEX(Land_Use[MIN],MATCH(LEFT($D400,5),Land_Use[Tech],0)),0)*$E400</f>
        <v>0</v>
      </c>
      <c r="M400" s="30">
        <f>IF(OR(LEFT($D400,5)="Solar",$D400="Wind"),INDEX(Land_Use[MAX],MATCH(LEFT($D400,5),Land_Use[Tech],0)),0)*$E400</f>
        <v>0</v>
      </c>
      <c r="N400" s="15">
        <f t="shared" si="118"/>
        <v>0</v>
      </c>
      <c r="O400" s="11">
        <f t="shared" si="119"/>
        <v>0</v>
      </c>
      <c r="P400" s="11">
        <f t="shared" si="120"/>
        <v>0</v>
      </c>
      <c r="Q400" s="11">
        <f t="shared" si="121"/>
        <v>0</v>
      </c>
      <c r="R400" s="11">
        <f t="shared" si="122"/>
        <v>0</v>
      </c>
      <c r="S400" s="30">
        <f t="shared" si="126"/>
        <v>0</v>
      </c>
      <c r="T400" s="30">
        <f t="shared" si="127"/>
        <v>0</v>
      </c>
      <c r="U400" s="30">
        <f t="shared" si="128"/>
        <v>0</v>
      </c>
      <c r="V400" s="30">
        <f t="shared" si="129"/>
        <v>0</v>
      </c>
      <c r="W400" s="30">
        <f t="shared" si="130"/>
        <v>0</v>
      </c>
      <c r="X400" s="30">
        <f t="shared" si="131"/>
        <v>0</v>
      </c>
      <c r="Z400" s="23" t="s">
        <v>76</v>
      </c>
      <c r="AA400" s="40">
        <f>IF(C400="Electricity",E400*SUMIFS(Electricity!S:S,Electricity!P:P,UserMade_Scenario!B400,Electricity!M:M,UserMade_Scenario!Z400,Electricity!O:O,UserMade_Scenario!D400),"")</f>
        <v>4429048.6203552997</v>
      </c>
      <c r="AB400" s="76">
        <f>1/Assumptions!$B$23/1000000000000</f>
        <v>3.5998225679871703E-9</v>
      </c>
      <c r="AC400" s="67" t="s">
        <v>82</v>
      </c>
      <c r="AD400" s="69">
        <f>INDEX(Table11[AVG
CO2e MT per MWh],MATCH(UserMade_Scenario!$B400,Table11[[Year]:[Year]],0))</f>
        <v>-5.9551897999999888E-2</v>
      </c>
      <c r="AE400" s="69">
        <f>INDEX(Table11[MIN
CO2e MT per MWh],MATCH(UserMade_Scenario!$B400,Table11[[Year]:[Year]],0))</f>
        <v>-2.8894788000000095E-2</v>
      </c>
      <c r="AF400" s="69">
        <f>INDEX(Table11[MAX CO2e MT per MWh],MATCH(UserMade_Scenario!$B400,Table11[[Year]:[Year]],0))</f>
        <v>-9.0209006999999994E-2</v>
      </c>
      <c r="AG400" s="68">
        <f>IFERROR(INDEX(WaterUseH2[Average Direct Water Consumption (Gal/ kg h2)],MATCH(LEFT(D400,3),WaterUseH2[Key],0)),0)</f>
        <v>0</v>
      </c>
      <c r="AH400">
        <v>14</v>
      </c>
      <c r="AI400">
        <v>1.4</v>
      </c>
      <c r="AJ400">
        <v>250</v>
      </c>
      <c r="AK400">
        <v>0.31</v>
      </c>
      <c r="AL400" s="63">
        <f>IFERROR(INDEX(Job_Training[[Solar]:[Wind]],MATCH(AL$1,Job_Training[[`Typical Entry Level Education`]:[`Typical Entry Level Education`]],0),MATCH(LEFT($D400,5),Job_Training[[#Headers],[Solar]:[Wind]],0)),0)</f>
        <v>0</v>
      </c>
      <c r="AM400" s="63">
        <f>IFERROR(INDEX(Job_Training[[Solar]:[Wind]],MATCH(AM$1,Job_Training[[`Typical Entry Level Education`]:[`Typical Entry Level Education`]],0),MATCH(LEFT($D400,5),Job_Training[[#Headers],[Solar]:[Wind]],0)),0)</f>
        <v>0</v>
      </c>
      <c r="AN400" s="63">
        <f>IFERROR(INDEX(Job_Training[[Solar]:[Wind]],MATCH(AN$1,Job_Training[[`Typical Entry Level Education`]:[`Typical Entry Level Education`]],0),MATCH(LEFT($D400,5),Job_Training[[#Headers],[Solar]:[Wind]],0)),0)</f>
        <v>0</v>
      </c>
      <c r="AO400" s="63">
        <f>IFERROR(INDEX(Job_Training[[Solar]:[Wind]],MATCH(AO$1,Job_Training[[`Typical Entry Level Education`]:[`Typical Entry Level Education`]],0),MATCH(LEFT($D400,5),Job_Training[[#Headers],[Solar]:[Wind]],0)),0)</f>
        <v>0</v>
      </c>
      <c r="AP400">
        <f t="shared" si="132"/>
        <v>0</v>
      </c>
      <c r="AQ400" s="63">
        <f>IF(AP400&gt;0,IFERROR(INDEX(Assumptions!$C$165:$D$165,MATCH(LEFT($D400,5),Job_Training[[#Headers],[Solar]:[Wind]],0)),0),0)</f>
        <v>0</v>
      </c>
      <c r="AR400">
        <f>IF(AP400&gt;0,IFERROR(INDEX(Assumptions!$C$166:$D$166,MATCH(LEFT($D400,5),Job_Training[[#Headers],[Solar]:[Wind]],0)),0),0)</f>
        <v>0</v>
      </c>
    </row>
    <row r="401" spans="1:44" hidden="1" x14ac:dyDescent="0.35">
      <c r="A401" t="str">
        <f>UserInput!$B$30</f>
        <v>State Policy Aligned</v>
      </c>
      <c r="B401">
        <v>2025</v>
      </c>
      <c r="C401" t="s">
        <v>87</v>
      </c>
      <c r="D401" t="s">
        <v>88</v>
      </c>
      <c r="E401" s="66">
        <f>INDEX(UserInput!$C$30:$M$50,MATCH(UserMade_Scenario!B401,UserInput!$A$30:$A$50,0),MATCH(LEFT(IF(RIGHT(C401,2)="H2",UserMade_Scenario!C401,D401),3),UserInput!$C$25:$M$25,0))</f>
        <v>3736</v>
      </c>
      <c r="F401" t="s">
        <v>89</v>
      </c>
      <c r="G401" s="14">
        <f t="shared" ref="G401:G464" si="133">E401*AB401</f>
        <v>4.0834479999999999E-3</v>
      </c>
      <c r="H401" s="63">
        <f t="shared" si="123"/>
        <v>0.93596711607999994</v>
      </c>
      <c r="I401" s="63">
        <f t="shared" si="124"/>
        <v>0.86454761055999985</v>
      </c>
      <c r="J401" s="63">
        <f t="shared" si="125"/>
        <v>1.6661569341519322</v>
      </c>
      <c r="K401" s="30">
        <f>IF(OR(LEFT($D401,5)="Solar",$D401="Wind"),INDEX(Land_Use[AVG],MATCH(LEFT($D401,5),Land_Use[Tech],0)),0)*$E401</f>
        <v>0</v>
      </c>
      <c r="L401" s="30">
        <f>IF(OR(LEFT($D401,5)="Solar",$D401="Wind"),INDEX(Land_Use[MIN],MATCH(LEFT($D401,5),Land_Use[Tech],0)),0)*$E401</f>
        <v>0</v>
      </c>
      <c r="M401" s="30">
        <f>IF(OR(LEFT($D401,5)="Solar",$D401="Wind"),INDEX(Land_Use[MAX],MATCH(LEFT($D401,5),Land_Use[Tech],0)),0)*$E401</f>
        <v>0</v>
      </c>
      <c r="N401" s="15">
        <f t="shared" si="118"/>
        <v>0</v>
      </c>
      <c r="O401" s="11">
        <f t="shared" si="119"/>
        <v>0</v>
      </c>
      <c r="P401" s="11">
        <f t="shared" si="120"/>
        <v>0</v>
      </c>
      <c r="Q401" s="11">
        <f t="shared" si="121"/>
        <v>0</v>
      </c>
      <c r="R401" s="11">
        <f t="shared" si="122"/>
        <v>0</v>
      </c>
      <c r="S401" s="30">
        <f t="shared" si="126"/>
        <v>0</v>
      </c>
      <c r="T401" s="30">
        <f t="shared" si="127"/>
        <v>0</v>
      </c>
      <c r="U401" s="30">
        <f t="shared" si="128"/>
        <v>0</v>
      </c>
      <c r="V401" s="30">
        <f t="shared" si="129"/>
        <v>0</v>
      </c>
      <c r="W401" s="30">
        <f t="shared" si="130"/>
        <v>0</v>
      </c>
      <c r="X401" s="30">
        <f t="shared" si="131"/>
        <v>0</v>
      </c>
      <c r="Z401" s="23" t="s">
        <v>76</v>
      </c>
      <c r="AA401" s="40" t="str">
        <f>IF(C401="Electricity",E401*SUMIFS(Electricity!S:S,Electricity!P:P,UserMade_Scenario!B401,Electricity!M:M,UserMade_Scenario!Z401,Electricity!O:O,UserMade_Scenario!D401),"")</f>
        <v/>
      </c>
      <c r="AB401" s="67">
        <v>1.093E-6</v>
      </c>
      <c r="AC401" s="67" t="s">
        <v>90</v>
      </c>
      <c r="AD401" s="39">
        <f>IFERROR(INDEX(Assumptions!B$145:B$146,MATCH($D401,Assumptions!$A$145:$A$146,0)),0)</f>
        <v>-229.20999999999998</v>
      </c>
      <c r="AE401" s="39">
        <f>IFERROR(INDEX(Assumptions!C$145:C$146,MATCH($D401,Assumptions!$A$145:$A$146,0)),0)</f>
        <v>-211.71999999999997</v>
      </c>
      <c r="AF401" s="39">
        <f>IFERROR(INDEX(Assumptions!D$145:D$146,MATCH($D401,Assumptions!$A$145:$A$146,0)),0)</f>
        <v>-408.02697478991581</v>
      </c>
      <c r="AG401" s="68">
        <f>IFERROR(INDEX(WaterUseH2[Average Direct Water Consumption (Gal/ kg h2)],MATCH(LEFT(D401,3),WaterUseH2[Key],0)),0)</f>
        <v>0</v>
      </c>
      <c r="AH401">
        <v>14</v>
      </c>
      <c r="AI401">
        <v>1.4</v>
      </c>
      <c r="AJ401">
        <v>250</v>
      </c>
      <c r="AK401">
        <v>0.31</v>
      </c>
      <c r="AL401" s="63">
        <f>IFERROR(INDEX(Job_Training[[Solar]:[Wind]],MATCH(AL$1,Job_Training[[`Typical Entry Level Education`]:[`Typical Entry Level Education`]],0),MATCH(LEFT($D401,5),Job_Training[[#Headers],[Solar]:[Wind]],0)),0)</f>
        <v>0</v>
      </c>
      <c r="AM401" s="63">
        <f>IFERROR(INDEX(Job_Training[[Solar]:[Wind]],MATCH(AM$1,Job_Training[[`Typical Entry Level Education`]:[`Typical Entry Level Education`]],0),MATCH(LEFT($D401,5),Job_Training[[#Headers],[Solar]:[Wind]],0)),0)</f>
        <v>0</v>
      </c>
      <c r="AN401" s="63">
        <f>IFERROR(INDEX(Job_Training[[Solar]:[Wind]],MATCH(AN$1,Job_Training[[`Typical Entry Level Education`]:[`Typical Entry Level Education`]],0),MATCH(LEFT($D401,5),Job_Training[[#Headers],[Solar]:[Wind]],0)),0)</f>
        <v>0</v>
      </c>
      <c r="AO401" s="63">
        <f>IFERROR(INDEX(Job_Training[[Solar]:[Wind]],MATCH(AO$1,Job_Training[[`Typical Entry Level Education`]:[`Typical Entry Level Education`]],0),MATCH(LEFT($D401,5),Job_Training[[#Headers],[Solar]:[Wind]],0)),0)</f>
        <v>0</v>
      </c>
      <c r="AP401">
        <f t="shared" si="132"/>
        <v>0</v>
      </c>
      <c r="AQ401" s="63">
        <f>IF(AP401&gt;0,IFERROR(INDEX(Assumptions!$C$165:$D$165,MATCH(LEFT($D401,5),Job_Training[[#Headers],[Solar]:[Wind]],0)),0),0)</f>
        <v>0</v>
      </c>
      <c r="AR401">
        <f>IF(AP401&gt;0,IFERROR(INDEX(Assumptions!$C$166:$D$166,MATCH(LEFT($D401,5),Job_Training[[#Headers],[Solar]:[Wind]],0)),0),0)</f>
        <v>0</v>
      </c>
    </row>
    <row r="402" spans="1:44" hidden="1" x14ac:dyDescent="0.35">
      <c r="A402" t="str">
        <f>UserInput!$B$30</f>
        <v>State Policy Aligned</v>
      </c>
      <c r="B402">
        <v>2026</v>
      </c>
      <c r="C402" t="s">
        <v>87</v>
      </c>
      <c r="D402" t="s">
        <v>88</v>
      </c>
      <c r="E402" s="66">
        <f>INDEX(UserInput!$C$30:$M$50,MATCH(UserMade_Scenario!B402,UserInput!$A$30:$A$50,0),MATCH(LEFT(IF(RIGHT(C402,2)="H2",UserMade_Scenario!C402,D402),3),UserInput!$C$25:$M$25,0))</f>
        <v>4299</v>
      </c>
      <c r="F402" t="s">
        <v>89</v>
      </c>
      <c r="G402" s="14">
        <f t="shared" si="133"/>
        <v>4.6988070000000002E-3</v>
      </c>
      <c r="H402" s="63">
        <f t="shared" si="123"/>
        <v>1.07701355247</v>
      </c>
      <c r="I402" s="63">
        <f t="shared" si="124"/>
        <v>0.99483141803999986</v>
      </c>
      <c r="J402" s="63">
        <f t="shared" si="125"/>
        <v>1.91724000533168</v>
      </c>
      <c r="K402" s="30">
        <f>IF(OR(LEFT($D402,5)="Solar",$D402="Wind"),INDEX(Land_Use[AVG],MATCH(LEFT($D402,5),Land_Use[Tech],0)),0)*$E402</f>
        <v>0</v>
      </c>
      <c r="L402" s="30">
        <f>IF(OR(LEFT($D402,5)="Solar",$D402="Wind"),INDEX(Land_Use[MIN],MATCH(LEFT($D402,5),Land_Use[Tech],0)),0)*$E402</f>
        <v>0</v>
      </c>
      <c r="M402" s="30">
        <f>IF(OR(LEFT($D402,5)="Solar",$D402="Wind"),INDEX(Land_Use[MAX],MATCH(LEFT($D402,5),Land_Use[Tech],0)),0)*$E402</f>
        <v>0</v>
      </c>
      <c r="N402" s="15">
        <f t="shared" si="118"/>
        <v>0</v>
      </c>
      <c r="O402" s="11">
        <f t="shared" si="119"/>
        <v>0</v>
      </c>
      <c r="P402" s="11">
        <f t="shared" si="120"/>
        <v>0</v>
      </c>
      <c r="Q402" s="11">
        <f t="shared" si="121"/>
        <v>0</v>
      </c>
      <c r="R402" s="11">
        <f t="shared" si="122"/>
        <v>0</v>
      </c>
      <c r="S402" s="30">
        <f t="shared" si="126"/>
        <v>0</v>
      </c>
      <c r="T402" s="30">
        <f t="shared" si="127"/>
        <v>0</v>
      </c>
      <c r="U402" s="30">
        <f t="shared" si="128"/>
        <v>0</v>
      </c>
      <c r="V402" s="30">
        <f t="shared" si="129"/>
        <v>0</v>
      </c>
      <c r="W402" s="30">
        <f t="shared" si="130"/>
        <v>0</v>
      </c>
      <c r="X402" s="30">
        <f t="shared" si="131"/>
        <v>0</v>
      </c>
      <c r="Z402" s="23" t="s">
        <v>76</v>
      </c>
      <c r="AA402" s="40" t="str">
        <f>IF(C402="Electricity",E402*SUMIFS(Electricity!S:S,Electricity!P:P,UserMade_Scenario!B402,Electricity!M:M,UserMade_Scenario!Z402,Electricity!O:O,UserMade_Scenario!D402),"")</f>
        <v/>
      </c>
      <c r="AB402" s="67">
        <v>1.093E-6</v>
      </c>
      <c r="AC402" s="67" t="s">
        <v>90</v>
      </c>
      <c r="AD402" s="39">
        <f>IFERROR(INDEX(Assumptions!B$145:B$146,MATCH($D402,Assumptions!$A$145:$A$146,0)),0)</f>
        <v>-229.20999999999998</v>
      </c>
      <c r="AE402" s="39">
        <f>IFERROR(INDEX(Assumptions!C$145:C$146,MATCH($D402,Assumptions!$A$145:$A$146,0)),0)</f>
        <v>-211.71999999999997</v>
      </c>
      <c r="AF402" s="39">
        <f>IFERROR(INDEX(Assumptions!D$145:D$146,MATCH($D402,Assumptions!$A$145:$A$146,0)),0)</f>
        <v>-408.02697478991581</v>
      </c>
      <c r="AG402" s="68">
        <f>IFERROR(INDEX(WaterUseH2[Average Direct Water Consumption (Gal/ kg h2)],MATCH(LEFT(D402,3),WaterUseH2[Key],0)),0)</f>
        <v>0</v>
      </c>
      <c r="AH402">
        <v>14</v>
      </c>
      <c r="AI402">
        <v>1.4</v>
      </c>
      <c r="AJ402">
        <v>250</v>
      </c>
      <c r="AK402">
        <v>0.31</v>
      </c>
      <c r="AL402" s="63">
        <f>IFERROR(INDEX(Job_Training[[Solar]:[Wind]],MATCH(AL$1,Job_Training[[`Typical Entry Level Education`]:[`Typical Entry Level Education`]],0),MATCH(LEFT($D402,5),Job_Training[[#Headers],[Solar]:[Wind]],0)),0)</f>
        <v>0</v>
      </c>
      <c r="AM402" s="63">
        <f>IFERROR(INDEX(Job_Training[[Solar]:[Wind]],MATCH(AM$1,Job_Training[[`Typical Entry Level Education`]:[`Typical Entry Level Education`]],0),MATCH(LEFT($D402,5),Job_Training[[#Headers],[Solar]:[Wind]],0)),0)</f>
        <v>0</v>
      </c>
      <c r="AN402" s="63">
        <f>IFERROR(INDEX(Job_Training[[Solar]:[Wind]],MATCH(AN$1,Job_Training[[`Typical Entry Level Education`]:[`Typical Entry Level Education`]],0),MATCH(LEFT($D402,5),Job_Training[[#Headers],[Solar]:[Wind]],0)),0)</f>
        <v>0</v>
      </c>
      <c r="AO402" s="63">
        <f>IFERROR(INDEX(Job_Training[[Solar]:[Wind]],MATCH(AO$1,Job_Training[[`Typical Entry Level Education`]:[`Typical Entry Level Education`]],0),MATCH(LEFT($D402,5),Job_Training[[#Headers],[Solar]:[Wind]],0)),0)</f>
        <v>0</v>
      </c>
      <c r="AP402">
        <f t="shared" si="132"/>
        <v>0</v>
      </c>
      <c r="AQ402" s="63">
        <f>IF(AP402&gt;0,IFERROR(INDEX(Assumptions!$C$165:$D$165,MATCH(LEFT($D402,5),Job_Training[[#Headers],[Solar]:[Wind]],0)),0),0)</f>
        <v>0</v>
      </c>
      <c r="AR402">
        <f>IF(AP402&gt;0,IFERROR(INDEX(Assumptions!$C$166:$D$166,MATCH(LEFT($D402,5),Job_Training[[#Headers],[Solar]:[Wind]],0)),0),0)</f>
        <v>0</v>
      </c>
    </row>
    <row r="403" spans="1:44" hidden="1" x14ac:dyDescent="0.35">
      <c r="A403" t="str">
        <f>UserInput!$B$30</f>
        <v>State Policy Aligned</v>
      </c>
      <c r="B403">
        <v>2027</v>
      </c>
      <c r="C403" t="s">
        <v>87</v>
      </c>
      <c r="D403" t="s">
        <v>88</v>
      </c>
      <c r="E403" s="66">
        <f>INDEX(UserInput!$C$30:$M$50,MATCH(UserMade_Scenario!B403,UserInput!$A$30:$A$50,0),MATCH(LEFT(IF(RIGHT(C403,2)="H2",UserMade_Scenario!C403,D403),3),UserInput!$C$25:$M$25,0))</f>
        <v>4862</v>
      </c>
      <c r="F403" t="s">
        <v>89</v>
      </c>
      <c r="G403" s="14">
        <f t="shared" si="133"/>
        <v>5.3141659999999995E-3</v>
      </c>
      <c r="H403" s="63">
        <f t="shared" si="123"/>
        <v>1.2180599888599999</v>
      </c>
      <c r="I403" s="63">
        <f t="shared" si="124"/>
        <v>1.1251152255199997</v>
      </c>
      <c r="J403" s="63">
        <f t="shared" si="125"/>
        <v>2.1683230765114274</v>
      </c>
      <c r="K403" s="30">
        <f>IF(OR(LEFT($D403,5)="Solar",$D403="Wind"),INDEX(Land_Use[AVG],MATCH(LEFT($D403,5),Land_Use[Tech],0)),0)*$E403</f>
        <v>0</v>
      </c>
      <c r="L403" s="30">
        <f>IF(OR(LEFT($D403,5)="Solar",$D403="Wind"),INDEX(Land_Use[MIN],MATCH(LEFT($D403,5),Land_Use[Tech],0)),0)*$E403</f>
        <v>0</v>
      </c>
      <c r="M403" s="30">
        <f>IF(OR(LEFT($D403,5)="Solar",$D403="Wind"),INDEX(Land_Use[MAX],MATCH(LEFT($D403,5),Land_Use[Tech],0)),0)*$E403</f>
        <v>0</v>
      </c>
      <c r="N403" s="15">
        <f t="shared" si="118"/>
        <v>0</v>
      </c>
      <c r="O403" s="11">
        <f t="shared" si="119"/>
        <v>0</v>
      </c>
      <c r="P403" s="11">
        <f t="shared" si="120"/>
        <v>0</v>
      </c>
      <c r="Q403" s="11">
        <f t="shared" si="121"/>
        <v>0</v>
      </c>
      <c r="R403" s="11">
        <f t="shared" si="122"/>
        <v>0</v>
      </c>
      <c r="S403" s="30">
        <f t="shared" si="126"/>
        <v>0</v>
      </c>
      <c r="T403" s="30">
        <f t="shared" si="127"/>
        <v>0</v>
      </c>
      <c r="U403" s="30">
        <f t="shared" si="128"/>
        <v>0</v>
      </c>
      <c r="V403" s="30">
        <f t="shared" si="129"/>
        <v>0</v>
      </c>
      <c r="W403" s="30">
        <f t="shared" si="130"/>
        <v>0</v>
      </c>
      <c r="X403" s="30">
        <f t="shared" si="131"/>
        <v>0</v>
      </c>
      <c r="Z403" s="23" t="s">
        <v>76</v>
      </c>
      <c r="AA403" s="40" t="str">
        <f>IF(C403="Electricity",E403*SUMIFS(Electricity!S:S,Electricity!P:P,UserMade_Scenario!B403,Electricity!M:M,UserMade_Scenario!Z403,Electricity!O:O,UserMade_Scenario!D403),"")</f>
        <v/>
      </c>
      <c r="AB403" s="67">
        <v>1.093E-6</v>
      </c>
      <c r="AC403" s="67" t="s">
        <v>90</v>
      </c>
      <c r="AD403" s="39">
        <f>IFERROR(INDEX(Assumptions!B$145:B$146,MATCH($D403,Assumptions!$A$145:$A$146,0)),0)</f>
        <v>-229.20999999999998</v>
      </c>
      <c r="AE403" s="39">
        <f>IFERROR(INDEX(Assumptions!C$145:C$146,MATCH($D403,Assumptions!$A$145:$A$146,0)),0)</f>
        <v>-211.71999999999997</v>
      </c>
      <c r="AF403" s="39">
        <f>IFERROR(INDEX(Assumptions!D$145:D$146,MATCH($D403,Assumptions!$A$145:$A$146,0)),0)</f>
        <v>-408.02697478991581</v>
      </c>
      <c r="AG403" s="68">
        <f>IFERROR(INDEX(WaterUseH2[Average Direct Water Consumption (Gal/ kg h2)],MATCH(LEFT(D403,3),WaterUseH2[Key],0)),0)</f>
        <v>0</v>
      </c>
      <c r="AH403">
        <v>14</v>
      </c>
      <c r="AI403">
        <v>1.4</v>
      </c>
      <c r="AJ403">
        <v>250</v>
      </c>
      <c r="AK403">
        <v>0.31</v>
      </c>
      <c r="AL403" s="63">
        <f>IFERROR(INDEX(Job_Training[[Solar]:[Wind]],MATCH(AL$1,Job_Training[[`Typical Entry Level Education`]:[`Typical Entry Level Education`]],0),MATCH(LEFT($D403,5),Job_Training[[#Headers],[Solar]:[Wind]],0)),0)</f>
        <v>0</v>
      </c>
      <c r="AM403" s="63">
        <f>IFERROR(INDEX(Job_Training[[Solar]:[Wind]],MATCH(AM$1,Job_Training[[`Typical Entry Level Education`]:[`Typical Entry Level Education`]],0),MATCH(LEFT($D403,5),Job_Training[[#Headers],[Solar]:[Wind]],0)),0)</f>
        <v>0</v>
      </c>
      <c r="AN403" s="63">
        <f>IFERROR(INDEX(Job_Training[[Solar]:[Wind]],MATCH(AN$1,Job_Training[[`Typical Entry Level Education`]:[`Typical Entry Level Education`]],0),MATCH(LEFT($D403,5),Job_Training[[#Headers],[Solar]:[Wind]],0)),0)</f>
        <v>0</v>
      </c>
      <c r="AO403" s="63">
        <f>IFERROR(INDEX(Job_Training[[Solar]:[Wind]],MATCH(AO$1,Job_Training[[`Typical Entry Level Education`]:[`Typical Entry Level Education`]],0),MATCH(LEFT($D403,5),Job_Training[[#Headers],[Solar]:[Wind]],0)),0)</f>
        <v>0</v>
      </c>
      <c r="AP403">
        <f t="shared" si="132"/>
        <v>0</v>
      </c>
      <c r="AQ403" s="63">
        <f>IF(AP403&gt;0,IFERROR(INDEX(Assumptions!$C$165:$D$165,MATCH(LEFT($D403,5),Job_Training[[#Headers],[Solar]:[Wind]],0)),0),0)</f>
        <v>0</v>
      </c>
      <c r="AR403">
        <f>IF(AP403&gt;0,IFERROR(INDEX(Assumptions!$C$166:$D$166,MATCH(LEFT($D403,5),Job_Training[[#Headers],[Solar]:[Wind]],0)),0),0)</f>
        <v>0</v>
      </c>
    </row>
    <row r="404" spans="1:44" hidden="1" x14ac:dyDescent="0.35">
      <c r="A404" t="str">
        <f>UserInput!$B$30</f>
        <v>State Policy Aligned</v>
      </c>
      <c r="B404">
        <v>2028</v>
      </c>
      <c r="C404" t="s">
        <v>87</v>
      </c>
      <c r="D404" t="s">
        <v>88</v>
      </c>
      <c r="E404" s="66">
        <f>INDEX(UserInput!$C$30:$M$50,MATCH(UserMade_Scenario!B404,UserInput!$A$30:$A$50,0),MATCH(LEFT(IF(RIGHT(C404,2)="H2",UserMade_Scenario!C404,D404),3),UserInput!$C$25:$M$25,0))</f>
        <v>5425</v>
      </c>
      <c r="F404" t="s">
        <v>89</v>
      </c>
      <c r="G404" s="14">
        <f t="shared" si="133"/>
        <v>5.9295249999999997E-3</v>
      </c>
      <c r="H404" s="63">
        <f t="shared" si="123"/>
        <v>1.3591064252499998</v>
      </c>
      <c r="I404" s="63">
        <f t="shared" si="124"/>
        <v>1.2553990329999998</v>
      </c>
      <c r="J404" s="63">
        <f t="shared" si="125"/>
        <v>2.4194061476911752</v>
      </c>
      <c r="K404" s="30">
        <f>IF(OR(LEFT($D404,5)="Solar",$D404="Wind"),INDEX(Land_Use[AVG],MATCH(LEFT($D404,5),Land_Use[Tech],0)),0)*$E404</f>
        <v>0</v>
      </c>
      <c r="L404" s="30">
        <f>IF(OR(LEFT($D404,5)="Solar",$D404="Wind"),INDEX(Land_Use[MIN],MATCH(LEFT($D404,5),Land_Use[Tech],0)),0)*$E404</f>
        <v>0</v>
      </c>
      <c r="M404" s="30">
        <f>IF(OR(LEFT($D404,5)="Solar",$D404="Wind"),INDEX(Land_Use[MAX],MATCH(LEFT($D404,5),Land_Use[Tech],0)),0)*$E404</f>
        <v>0</v>
      </c>
      <c r="N404" s="15">
        <f t="shared" si="118"/>
        <v>0</v>
      </c>
      <c r="O404" s="11">
        <f t="shared" si="119"/>
        <v>0</v>
      </c>
      <c r="P404" s="11">
        <f t="shared" si="120"/>
        <v>0</v>
      </c>
      <c r="Q404" s="11">
        <f t="shared" si="121"/>
        <v>0</v>
      </c>
      <c r="R404" s="11">
        <f t="shared" si="122"/>
        <v>0</v>
      </c>
      <c r="S404" s="30">
        <f t="shared" si="126"/>
        <v>0</v>
      </c>
      <c r="T404" s="30">
        <f t="shared" si="127"/>
        <v>0</v>
      </c>
      <c r="U404" s="30">
        <f t="shared" si="128"/>
        <v>0</v>
      </c>
      <c r="V404" s="30">
        <f t="shared" si="129"/>
        <v>0</v>
      </c>
      <c r="W404" s="30">
        <f t="shared" si="130"/>
        <v>0</v>
      </c>
      <c r="X404" s="30">
        <f t="shared" si="131"/>
        <v>0</v>
      </c>
      <c r="Z404" s="23" t="s">
        <v>76</v>
      </c>
      <c r="AA404" s="40" t="str">
        <f>IF(C404="Electricity",E404*SUMIFS(Electricity!S:S,Electricity!P:P,UserMade_Scenario!B404,Electricity!M:M,UserMade_Scenario!Z404,Electricity!O:O,UserMade_Scenario!D404),"")</f>
        <v/>
      </c>
      <c r="AB404" s="67">
        <v>1.093E-6</v>
      </c>
      <c r="AC404" s="67" t="s">
        <v>90</v>
      </c>
      <c r="AD404" s="39">
        <f>IFERROR(INDEX(Assumptions!B$145:B$146,MATCH($D404,Assumptions!$A$145:$A$146,0)),0)</f>
        <v>-229.20999999999998</v>
      </c>
      <c r="AE404" s="39">
        <f>IFERROR(INDEX(Assumptions!C$145:C$146,MATCH($D404,Assumptions!$A$145:$A$146,0)),0)</f>
        <v>-211.71999999999997</v>
      </c>
      <c r="AF404" s="39">
        <f>IFERROR(INDEX(Assumptions!D$145:D$146,MATCH($D404,Assumptions!$A$145:$A$146,0)),0)</f>
        <v>-408.02697478991581</v>
      </c>
      <c r="AG404" s="68">
        <f>IFERROR(INDEX(WaterUseH2[Average Direct Water Consumption (Gal/ kg h2)],MATCH(LEFT(D404,3),WaterUseH2[Key],0)),0)</f>
        <v>0</v>
      </c>
      <c r="AH404">
        <v>14</v>
      </c>
      <c r="AI404">
        <v>1.4</v>
      </c>
      <c r="AJ404">
        <v>250</v>
      </c>
      <c r="AK404">
        <v>0.31</v>
      </c>
      <c r="AL404" s="63">
        <f>IFERROR(INDEX(Job_Training[[Solar]:[Wind]],MATCH(AL$1,Job_Training[[`Typical Entry Level Education`]:[`Typical Entry Level Education`]],0),MATCH(LEFT($D404,5),Job_Training[[#Headers],[Solar]:[Wind]],0)),0)</f>
        <v>0</v>
      </c>
      <c r="AM404" s="63">
        <f>IFERROR(INDEX(Job_Training[[Solar]:[Wind]],MATCH(AM$1,Job_Training[[`Typical Entry Level Education`]:[`Typical Entry Level Education`]],0),MATCH(LEFT($D404,5),Job_Training[[#Headers],[Solar]:[Wind]],0)),0)</f>
        <v>0</v>
      </c>
      <c r="AN404" s="63">
        <f>IFERROR(INDEX(Job_Training[[Solar]:[Wind]],MATCH(AN$1,Job_Training[[`Typical Entry Level Education`]:[`Typical Entry Level Education`]],0),MATCH(LEFT($D404,5),Job_Training[[#Headers],[Solar]:[Wind]],0)),0)</f>
        <v>0</v>
      </c>
      <c r="AO404" s="63">
        <f>IFERROR(INDEX(Job_Training[[Solar]:[Wind]],MATCH(AO$1,Job_Training[[`Typical Entry Level Education`]:[`Typical Entry Level Education`]],0),MATCH(LEFT($D404,5),Job_Training[[#Headers],[Solar]:[Wind]],0)),0)</f>
        <v>0</v>
      </c>
      <c r="AP404">
        <f t="shared" si="132"/>
        <v>0</v>
      </c>
      <c r="AQ404" s="63">
        <f>IF(AP404&gt;0,IFERROR(INDEX(Assumptions!$C$165:$D$165,MATCH(LEFT($D404,5),Job_Training[[#Headers],[Solar]:[Wind]],0)),0),0)</f>
        <v>0</v>
      </c>
      <c r="AR404">
        <f>IF(AP404&gt;0,IFERROR(INDEX(Assumptions!$C$166:$D$166,MATCH(LEFT($D404,5),Job_Training[[#Headers],[Solar]:[Wind]],0)),0),0)</f>
        <v>0</v>
      </c>
    </row>
    <row r="405" spans="1:44" hidden="1" x14ac:dyDescent="0.35">
      <c r="A405" t="str">
        <f>UserInput!$B$30</f>
        <v>State Policy Aligned</v>
      </c>
      <c r="B405">
        <v>2029</v>
      </c>
      <c r="C405" t="s">
        <v>87</v>
      </c>
      <c r="D405" t="s">
        <v>88</v>
      </c>
      <c r="E405" s="66">
        <f>INDEX(UserInput!$C$30:$M$50,MATCH(UserMade_Scenario!B405,UserInput!$A$30:$A$50,0),MATCH(LEFT(IF(RIGHT(C405,2)="H2",UserMade_Scenario!C405,D405),3),UserInput!$C$25:$M$25,0))</f>
        <v>5989</v>
      </c>
      <c r="F405" t="s">
        <v>89</v>
      </c>
      <c r="G405" s="14">
        <f t="shared" si="133"/>
        <v>6.5459769999999997E-3</v>
      </c>
      <c r="H405" s="63">
        <f t="shared" si="123"/>
        <v>1.5004033881699999</v>
      </c>
      <c r="I405" s="63">
        <f t="shared" si="124"/>
        <v>1.3859142504399997</v>
      </c>
      <c r="J405" s="63">
        <f t="shared" si="125"/>
        <v>2.6709351923543685</v>
      </c>
      <c r="K405" s="30">
        <f>IF(OR(LEFT($D405,5)="Solar",$D405="Wind"),INDEX(Land_Use[AVG],MATCH(LEFT($D405,5),Land_Use[Tech],0)),0)*$E405</f>
        <v>0</v>
      </c>
      <c r="L405" s="30">
        <f>IF(OR(LEFT($D405,5)="Solar",$D405="Wind"),INDEX(Land_Use[MIN],MATCH(LEFT($D405,5),Land_Use[Tech],0)),0)*$E405</f>
        <v>0</v>
      </c>
      <c r="M405" s="30">
        <f>IF(OR(LEFT($D405,5)="Solar",$D405="Wind"),INDEX(Land_Use[MAX],MATCH(LEFT($D405,5),Land_Use[Tech],0)),0)*$E405</f>
        <v>0</v>
      </c>
      <c r="N405" s="15">
        <f t="shared" si="118"/>
        <v>0</v>
      </c>
      <c r="O405" s="11">
        <f t="shared" si="119"/>
        <v>0</v>
      </c>
      <c r="P405" s="11">
        <f t="shared" si="120"/>
        <v>0</v>
      </c>
      <c r="Q405" s="11">
        <f t="shared" si="121"/>
        <v>0</v>
      </c>
      <c r="R405" s="11">
        <f t="shared" si="122"/>
        <v>0</v>
      </c>
      <c r="S405" s="30">
        <f t="shared" si="126"/>
        <v>0</v>
      </c>
      <c r="T405" s="30">
        <f t="shared" si="127"/>
        <v>0</v>
      </c>
      <c r="U405" s="30">
        <f t="shared" si="128"/>
        <v>0</v>
      </c>
      <c r="V405" s="30">
        <f t="shared" si="129"/>
        <v>0</v>
      </c>
      <c r="W405" s="30">
        <f t="shared" si="130"/>
        <v>0</v>
      </c>
      <c r="X405" s="30">
        <f t="shared" si="131"/>
        <v>0</v>
      </c>
      <c r="Z405" s="23" t="s">
        <v>76</v>
      </c>
      <c r="AA405" s="40" t="str">
        <f>IF(C405="Electricity",E405*SUMIFS(Electricity!S:S,Electricity!P:P,UserMade_Scenario!B405,Electricity!M:M,UserMade_Scenario!Z405,Electricity!O:O,UserMade_Scenario!D405),"")</f>
        <v/>
      </c>
      <c r="AB405" s="67">
        <v>1.093E-6</v>
      </c>
      <c r="AC405" s="67" t="s">
        <v>90</v>
      </c>
      <c r="AD405" s="39">
        <f>IFERROR(INDEX(Assumptions!B$145:B$146,MATCH($D405,Assumptions!$A$145:$A$146,0)),0)</f>
        <v>-229.20999999999998</v>
      </c>
      <c r="AE405" s="39">
        <f>IFERROR(INDEX(Assumptions!C$145:C$146,MATCH($D405,Assumptions!$A$145:$A$146,0)),0)</f>
        <v>-211.71999999999997</v>
      </c>
      <c r="AF405" s="39">
        <f>IFERROR(INDEX(Assumptions!D$145:D$146,MATCH($D405,Assumptions!$A$145:$A$146,0)),0)</f>
        <v>-408.02697478991581</v>
      </c>
      <c r="AG405" s="68">
        <f>IFERROR(INDEX(WaterUseH2[Average Direct Water Consumption (Gal/ kg h2)],MATCH(LEFT(D405,3),WaterUseH2[Key],0)),0)</f>
        <v>0</v>
      </c>
      <c r="AH405">
        <v>14</v>
      </c>
      <c r="AI405">
        <v>1.4</v>
      </c>
      <c r="AJ405">
        <v>250</v>
      </c>
      <c r="AK405">
        <v>0.31</v>
      </c>
      <c r="AL405" s="63">
        <f>IFERROR(INDEX(Job_Training[[Solar]:[Wind]],MATCH(AL$1,Job_Training[[`Typical Entry Level Education`]:[`Typical Entry Level Education`]],0),MATCH(LEFT($D405,5),Job_Training[[#Headers],[Solar]:[Wind]],0)),0)</f>
        <v>0</v>
      </c>
      <c r="AM405" s="63">
        <f>IFERROR(INDEX(Job_Training[[Solar]:[Wind]],MATCH(AM$1,Job_Training[[`Typical Entry Level Education`]:[`Typical Entry Level Education`]],0),MATCH(LEFT($D405,5),Job_Training[[#Headers],[Solar]:[Wind]],0)),0)</f>
        <v>0</v>
      </c>
      <c r="AN405" s="63">
        <f>IFERROR(INDEX(Job_Training[[Solar]:[Wind]],MATCH(AN$1,Job_Training[[`Typical Entry Level Education`]:[`Typical Entry Level Education`]],0),MATCH(LEFT($D405,5),Job_Training[[#Headers],[Solar]:[Wind]],0)),0)</f>
        <v>0</v>
      </c>
      <c r="AO405" s="63">
        <f>IFERROR(INDEX(Job_Training[[Solar]:[Wind]],MATCH(AO$1,Job_Training[[`Typical Entry Level Education`]:[`Typical Entry Level Education`]],0),MATCH(LEFT($D405,5),Job_Training[[#Headers],[Solar]:[Wind]],0)),0)</f>
        <v>0</v>
      </c>
      <c r="AP405">
        <f t="shared" si="132"/>
        <v>0</v>
      </c>
      <c r="AQ405" s="63">
        <f>IF(AP405&gt;0,IFERROR(INDEX(Assumptions!$C$165:$D$165,MATCH(LEFT($D405,5),Job_Training[[#Headers],[Solar]:[Wind]],0)),0),0)</f>
        <v>0</v>
      </c>
      <c r="AR405">
        <f>IF(AP405&gt;0,IFERROR(INDEX(Assumptions!$C$166:$D$166,MATCH(LEFT($D405,5),Job_Training[[#Headers],[Solar]:[Wind]],0)),0),0)</f>
        <v>0</v>
      </c>
    </row>
    <row r="406" spans="1:44" hidden="1" x14ac:dyDescent="0.35">
      <c r="A406" t="str">
        <f>UserInput!$B$30</f>
        <v>State Policy Aligned</v>
      </c>
      <c r="B406">
        <v>2030</v>
      </c>
      <c r="C406" t="s">
        <v>87</v>
      </c>
      <c r="D406" t="s">
        <v>88</v>
      </c>
      <c r="E406" s="66">
        <f>INDEX(UserInput!$C$30:$M$50,MATCH(UserMade_Scenario!B406,UserInput!$A$30:$A$50,0),MATCH(LEFT(IF(RIGHT(C406,2)="H2",UserMade_Scenario!C406,D406),3),UserInput!$C$25:$M$25,0))</f>
        <v>6552</v>
      </c>
      <c r="F406" t="s">
        <v>89</v>
      </c>
      <c r="G406" s="14">
        <f t="shared" si="133"/>
        <v>7.1613359999999999E-3</v>
      </c>
      <c r="H406" s="63">
        <f t="shared" si="123"/>
        <v>1.6414498245599998</v>
      </c>
      <c r="I406" s="63">
        <f t="shared" si="124"/>
        <v>1.5161980579199998</v>
      </c>
      <c r="J406" s="63">
        <f t="shared" si="125"/>
        <v>2.9220182635341163</v>
      </c>
      <c r="K406" s="30">
        <f>IF(OR(LEFT($D406,5)="Solar",$D406="Wind"),INDEX(Land_Use[AVG],MATCH(LEFT($D406,5),Land_Use[Tech],0)),0)*$E406</f>
        <v>0</v>
      </c>
      <c r="L406" s="30">
        <f>IF(OR(LEFT($D406,5)="Solar",$D406="Wind"),INDEX(Land_Use[MIN],MATCH(LEFT($D406,5),Land_Use[Tech],0)),0)*$E406</f>
        <v>0</v>
      </c>
      <c r="M406" s="30">
        <f>IF(OR(LEFT($D406,5)="Solar",$D406="Wind"),INDEX(Land_Use[MAX],MATCH(LEFT($D406,5),Land_Use[Tech],0)),0)*$E406</f>
        <v>0</v>
      </c>
      <c r="N406" s="15">
        <f t="shared" si="118"/>
        <v>0</v>
      </c>
      <c r="O406" s="11">
        <f t="shared" si="119"/>
        <v>0</v>
      </c>
      <c r="P406" s="11">
        <f t="shared" si="120"/>
        <v>0</v>
      </c>
      <c r="Q406" s="11">
        <f t="shared" si="121"/>
        <v>0</v>
      </c>
      <c r="R406" s="11">
        <f t="shared" si="122"/>
        <v>0</v>
      </c>
      <c r="S406" s="30">
        <f t="shared" si="126"/>
        <v>0</v>
      </c>
      <c r="T406" s="30">
        <f t="shared" si="127"/>
        <v>0</v>
      </c>
      <c r="U406" s="30">
        <f t="shared" si="128"/>
        <v>0</v>
      </c>
      <c r="V406" s="30">
        <f t="shared" si="129"/>
        <v>0</v>
      </c>
      <c r="W406" s="30">
        <f t="shared" si="130"/>
        <v>0</v>
      </c>
      <c r="X406" s="30">
        <f t="shared" si="131"/>
        <v>0</v>
      </c>
      <c r="Z406" s="23" t="s">
        <v>76</v>
      </c>
      <c r="AA406" s="40" t="str">
        <f>IF(C406="Electricity",E406*SUMIFS(Electricity!S:S,Electricity!P:P,UserMade_Scenario!B406,Electricity!M:M,UserMade_Scenario!Z406,Electricity!O:O,UserMade_Scenario!D406),"")</f>
        <v/>
      </c>
      <c r="AB406" s="67">
        <v>1.093E-6</v>
      </c>
      <c r="AC406" s="67" t="s">
        <v>90</v>
      </c>
      <c r="AD406" s="39">
        <f>IFERROR(INDEX(Assumptions!B$145:B$146,MATCH($D406,Assumptions!$A$145:$A$146,0)),0)</f>
        <v>-229.20999999999998</v>
      </c>
      <c r="AE406" s="39">
        <f>IFERROR(INDEX(Assumptions!C$145:C$146,MATCH($D406,Assumptions!$A$145:$A$146,0)),0)</f>
        <v>-211.71999999999997</v>
      </c>
      <c r="AF406" s="39">
        <f>IFERROR(INDEX(Assumptions!D$145:D$146,MATCH($D406,Assumptions!$A$145:$A$146,0)),0)</f>
        <v>-408.02697478991581</v>
      </c>
      <c r="AG406" s="68">
        <f>IFERROR(INDEX(WaterUseH2[Average Direct Water Consumption (Gal/ kg h2)],MATCH(LEFT(D406,3),WaterUseH2[Key],0)),0)</f>
        <v>0</v>
      </c>
      <c r="AH406">
        <v>14</v>
      </c>
      <c r="AI406">
        <v>1.4</v>
      </c>
      <c r="AJ406">
        <v>250</v>
      </c>
      <c r="AK406">
        <v>0.31</v>
      </c>
      <c r="AL406" s="63">
        <f>IFERROR(INDEX(Job_Training[[Solar]:[Wind]],MATCH(AL$1,Job_Training[[`Typical Entry Level Education`]:[`Typical Entry Level Education`]],0),MATCH(LEFT($D406,5),Job_Training[[#Headers],[Solar]:[Wind]],0)),0)</f>
        <v>0</v>
      </c>
      <c r="AM406" s="63">
        <f>IFERROR(INDEX(Job_Training[[Solar]:[Wind]],MATCH(AM$1,Job_Training[[`Typical Entry Level Education`]:[`Typical Entry Level Education`]],0),MATCH(LEFT($D406,5),Job_Training[[#Headers],[Solar]:[Wind]],0)),0)</f>
        <v>0</v>
      </c>
      <c r="AN406" s="63">
        <f>IFERROR(INDEX(Job_Training[[Solar]:[Wind]],MATCH(AN$1,Job_Training[[`Typical Entry Level Education`]:[`Typical Entry Level Education`]],0),MATCH(LEFT($D406,5),Job_Training[[#Headers],[Solar]:[Wind]],0)),0)</f>
        <v>0</v>
      </c>
      <c r="AO406" s="63">
        <f>IFERROR(INDEX(Job_Training[[Solar]:[Wind]],MATCH(AO$1,Job_Training[[`Typical Entry Level Education`]:[`Typical Entry Level Education`]],0),MATCH(LEFT($D406,5),Job_Training[[#Headers],[Solar]:[Wind]],0)),0)</f>
        <v>0</v>
      </c>
      <c r="AP406">
        <f t="shared" si="132"/>
        <v>0</v>
      </c>
      <c r="AQ406" s="63">
        <f>IF(AP406&gt;0,IFERROR(INDEX(Assumptions!$C$165:$D$165,MATCH(LEFT($D406,5),Job_Training[[#Headers],[Solar]:[Wind]],0)),0),0)</f>
        <v>0</v>
      </c>
      <c r="AR406">
        <f>IF(AP406&gt;0,IFERROR(INDEX(Assumptions!$C$166:$D$166,MATCH(LEFT($D406,5),Job_Training[[#Headers],[Solar]:[Wind]],0)),0),0)</f>
        <v>0</v>
      </c>
    </row>
    <row r="407" spans="1:44" hidden="1" x14ac:dyDescent="0.35">
      <c r="A407" t="str">
        <f>UserInput!$B$30</f>
        <v>State Policy Aligned</v>
      </c>
      <c r="B407">
        <v>2031</v>
      </c>
      <c r="C407" t="s">
        <v>87</v>
      </c>
      <c r="D407" t="s">
        <v>88</v>
      </c>
      <c r="E407" s="66">
        <f>INDEX(UserInput!$C$30:$M$50,MATCH(UserMade_Scenario!B407,UserInput!$A$30:$A$50,0),MATCH(LEFT(IF(RIGHT(C407,2)="H2",UserMade_Scenario!C407,D407),3),UserInput!$C$25:$M$25,0))</f>
        <v>7115</v>
      </c>
      <c r="F407" t="s">
        <v>89</v>
      </c>
      <c r="G407" s="14">
        <f t="shared" si="133"/>
        <v>7.7766949999999993E-3</v>
      </c>
      <c r="H407" s="63">
        <f t="shared" si="123"/>
        <v>1.7824962609499997</v>
      </c>
      <c r="I407" s="63">
        <f t="shared" si="124"/>
        <v>1.6464818653999995</v>
      </c>
      <c r="J407" s="63">
        <f t="shared" si="125"/>
        <v>3.1731013347138641</v>
      </c>
      <c r="K407" s="30">
        <f>IF(OR(LEFT($D407,5)="Solar",$D407="Wind"),INDEX(Land_Use[AVG],MATCH(LEFT($D407,5),Land_Use[Tech],0)),0)*$E407</f>
        <v>0</v>
      </c>
      <c r="L407" s="30">
        <f>IF(OR(LEFT($D407,5)="Solar",$D407="Wind"),INDEX(Land_Use[MIN],MATCH(LEFT($D407,5),Land_Use[Tech],0)),0)*$E407</f>
        <v>0</v>
      </c>
      <c r="M407" s="30">
        <f>IF(OR(LEFT($D407,5)="Solar",$D407="Wind"),INDEX(Land_Use[MAX],MATCH(LEFT($D407,5),Land_Use[Tech],0)),0)*$E407</f>
        <v>0</v>
      </c>
      <c r="N407" s="15">
        <f t="shared" si="118"/>
        <v>0</v>
      </c>
      <c r="O407" s="11">
        <f t="shared" si="119"/>
        <v>0</v>
      </c>
      <c r="P407" s="11">
        <f t="shared" si="120"/>
        <v>0</v>
      </c>
      <c r="Q407" s="11">
        <f t="shared" si="121"/>
        <v>0</v>
      </c>
      <c r="R407" s="11">
        <f t="shared" si="122"/>
        <v>0</v>
      </c>
      <c r="S407" s="30">
        <f t="shared" si="126"/>
        <v>0</v>
      </c>
      <c r="T407" s="30">
        <f t="shared" si="127"/>
        <v>0</v>
      </c>
      <c r="U407" s="30">
        <f t="shared" si="128"/>
        <v>0</v>
      </c>
      <c r="V407" s="30">
        <f t="shared" si="129"/>
        <v>0</v>
      </c>
      <c r="W407" s="30">
        <f t="shared" si="130"/>
        <v>0</v>
      </c>
      <c r="X407" s="30">
        <f t="shared" si="131"/>
        <v>0</v>
      </c>
      <c r="Z407" s="23" t="s">
        <v>76</v>
      </c>
      <c r="AA407" s="40" t="str">
        <f>IF(C407="Electricity",E407*SUMIFS(Electricity!S:S,Electricity!P:P,UserMade_Scenario!B407,Electricity!M:M,UserMade_Scenario!Z407,Electricity!O:O,UserMade_Scenario!D407),"")</f>
        <v/>
      </c>
      <c r="AB407" s="67">
        <v>1.093E-6</v>
      </c>
      <c r="AC407" s="67" t="s">
        <v>90</v>
      </c>
      <c r="AD407" s="39">
        <f>IFERROR(INDEX(Assumptions!B$145:B$146,MATCH($D407,Assumptions!$A$145:$A$146,0)),0)</f>
        <v>-229.20999999999998</v>
      </c>
      <c r="AE407" s="39">
        <f>IFERROR(INDEX(Assumptions!C$145:C$146,MATCH($D407,Assumptions!$A$145:$A$146,0)),0)</f>
        <v>-211.71999999999997</v>
      </c>
      <c r="AF407" s="39">
        <f>IFERROR(INDEX(Assumptions!D$145:D$146,MATCH($D407,Assumptions!$A$145:$A$146,0)),0)</f>
        <v>-408.02697478991581</v>
      </c>
      <c r="AG407" s="68">
        <f>IFERROR(INDEX(WaterUseH2[Average Direct Water Consumption (Gal/ kg h2)],MATCH(LEFT(D407,3),WaterUseH2[Key],0)),0)</f>
        <v>0</v>
      </c>
      <c r="AH407">
        <v>14</v>
      </c>
      <c r="AI407">
        <v>1.4</v>
      </c>
      <c r="AJ407">
        <v>250</v>
      </c>
      <c r="AK407">
        <v>0.31</v>
      </c>
      <c r="AL407" s="63">
        <f>IFERROR(INDEX(Job_Training[[Solar]:[Wind]],MATCH(AL$1,Job_Training[[`Typical Entry Level Education`]:[`Typical Entry Level Education`]],0),MATCH(LEFT($D407,5),Job_Training[[#Headers],[Solar]:[Wind]],0)),0)</f>
        <v>0</v>
      </c>
      <c r="AM407" s="63">
        <f>IFERROR(INDEX(Job_Training[[Solar]:[Wind]],MATCH(AM$1,Job_Training[[`Typical Entry Level Education`]:[`Typical Entry Level Education`]],0),MATCH(LEFT($D407,5),Job_Training[[#Headers],[Solar]:[Wind]],0)),0)</f>
        <v>0</v>
      </c>
      <c r="AN407" s="63">
        <f>IFERROR(INDEX(Job_Training[[Solar]:[Wind]],MATCH(AN$1,Job_Training[[`Typical Entry Level Education`]:[`Typical Entry Level Education`]],0),MATCH(LEFT($D407,5),Job_Training[[#Headers],[Solar]:[Wind]],0)),0)</f>
        <v>0</v>
      </c>
      <c r="AO407" s="63">
        <f>IFERROR(INDEX(Job_Training[[Solar]:[Wind]],MATCH(AO$1,Job_Training[[`Typical Entry Level Education`]:[`Typical Entry Level Education`]],0),MATCH(LEFT($D407,5),Job_Training[[#Headers],[Solar]:[Wind]],0)),0)</f>
        <v>0</v>
      </c>
      <c r="AP407">
        <f t="shared" si="132"/>
        <v>0</v>
      </c>
      <c r="AQ407" s="63">
        <f>IF(AP407&gt;0,IFERROR(INDEX(Assumptions!$C$165:$D$165,MATCH(LEFT($D407,5),Job_Training[[#Headers],[Solar]:[Wind]],0)),0),0)</f>
        <v>0</v>
      </c>
      <c r="AR407">
        <f>IF(AP407&gt;0,IFERROR(INDEX(Assumptions!$C$166:$D$166,MATCH(LEFT($D407,5),Job_Training[[#Headers],[Solar]:[Wind]],0)),0),0)</f>
        <v>0</v>
      </c>
    </row>
    <row r="408" spans="1:44" hidden="1" x14ac:dyDescent="0.35">
      <c r="A408" t="str">
        <f>UserInput!$B$30</f>
        <v>State Policy Aligned</v>
      </c>
      <c r="B408">
        <v>2032</v>
      </c>
      <c r="C408" t="s">
        <v>87</v>
      </c>
      <c r="D408" t="s">
        <v>88</v>
      </c>
      <c r="E408" s="66">
        <f>INDEX(UserInput!$C$30:$M$50,MATCH(UserMade_Scenario!B408,UserInput!$A$30:$A$50,0),MATCH(LEFT(IF(RIGHT(C408,2)="H2",UserMade_Scenario!C408,D408),3),UserInput!$C$25:$M$25,0))</f>
        <v>7678</v>
      </c>
      <c r="F408" t="s">
        <v>89</v>
      </c>
      <c r="G408" s="14">
        <f t="shared" si="133"/>
        <v>8.3920539999999995E-3</v>
      </c>
      <c r="H408" s="63">
        <f t="shared" si="123"/>
        <v>1.9235426973399996</v>
      </c>
      <c r="I408" s="63">
        <f t="shared" si="124"/>
        <v>1.7767656728799996</v>
      </c>
      <c r="J408" s="63">
        <f t="shared" si="125"/>
        <v>3.4241844058936119</v>
      </c>
      <c r="K408" s="30">
        <f>IF(OR(LEFT($D408,5)="Solar",$D408="Wind"),INDEX(Land_Use[AVG],MATCH(LEFT($D408,5),Land_Use[Tech],0)),0)*$E408</f>
        <v>0</v>
      </c>
      <c r="L408" s="30">
        <f>IF(OR(LEFT($D408,5)="Solar",$D408="Wind"),INDEX(Land_Use[MIN],MATCH(LEFT($D408,5),Land_Use[Tech],0)),0)*$E408</f>
        <v>0</v>
      </c>
      <c r="M408" s="30">
        <f>IF(OR(LEFT($D408,5)="Solar",$D408="Wind"),INDEX(Land_Use[MAX],MATCH(LEFT($D408,5),Land_Use[Tech],0)),0)*$E408</f>
        <v>0</v>
      </c>
      <c r="N408" s="15">
        <f t="shared" si="118"/>
        <v>0</v>
      </c>
      <c r="O408" s="11">
        <f t="shared" si="119"/>
        <v>0</v>
      </c>
      <c r="P408" s="11">
        <f t="shared" si="120"/>
        <v>0</v>
      </c>
      <c r="Q408" s="11">
        <f t="shared" si="121"/>
        <v>0</v>
      </c>
      <c r="R408" s="11">
        <f t="shared" si="122"/>
        <v>0</v>
      </c>
      <c r="S408" s="30">
        <f t="shared" si="126"/>
        <v>0</v>
      </c>
      <c r="T408" s="30">
        <f t="shared" si="127"/>
        <v>0</v>
      </c>
      <c r="U408" s="30">
        <f t="shared" si="128"/>
        <v>0</v>
      </c>
      <c r="V408" s="30">
        <f t="shared" si="129"/>
        <v>0</v>
      </c>
      <c r="W408" s="30">
        <f t="shared" si="130"/>
        <v>0</v>
      </c>
      <c r="X408" s="30">
        <f t="shared" si="131"/>
        <v>0</v>
      </c>
      <c r="Z408" s="23" t="s">
        <v>76</v>
      </c>
      <c r="AA408" s="40" t="str">
        <f>IF(C408="Electricity",E408*SUMIFS(Electricity!S:S,Electricity!P:P,UserMade_Scenario!B408,Electricity!M:M,UserMade_Scenario!Z408,Electricity!O:O,UserMade_Scenario!D408),"")</f>
        <v/>
      </c>
      <c r="AB408" s="67">
        <v>1.093E-6</v>
      </c>
      <c r="AC408" s="67" t="s">
        <v>90</v>
      </c>
      <c r="AD408" s="39">
        <f>IFERROR(INDEX(Assumptions!B$145:B$146,MATCH($D408,Assumptions!$A$145:$A$146,0)),0)</f>
        <v>-229.20999999999998</v>
      </c>
      <c r="AE408" s="39">
        <f>IFERROR(INDEX(Assumptions!C$145:C$146,MATCH($D408,Assumptions!$A$145:$A$146,0)),0)</f>
        <v>-211.71999999999997</v>
      </c>
      <c r="AF408" s="39">
        <f>IFERROR(INDEX(Assumptions!D$145:D$146,MATCH($D408,Assumptions!$A$145:$A$146,0)),0)</f>
        <v>-408.02697478991581</v>
      </c>
      <c r="AG408" s="68">
        <f>IFERROR(INDEX(WaterUseH2[Average Direct Water Consumption (Gal/ kg h2)],MATCH(LEFT(D408,3),WaterUseH2[Key],0)),0)</f>
        <v>0</v>
      </c>
      <c r="AH408">
        <v>14</v>
      </c>
      <c r="AI408">
        <v>1.4</v>
      </c>
      <c r="AJ408">
        <v>250</v>
      </c>
      <c r="AK408">
        <v>0.31</v>
      </c>
      <c r="AL408" s="63">
        <f>IFERROR(INDEX(Job_Training[[Solar]:[Wind]],MATCH(AL$1,Job_Training[[`Typical Entry Level Education`]:[`Typical Entry Level Education`]],0),MATCH(LEFT($D408,5),Job_Training[[#Headers],[Solar]:[Wind]],0)),0)</f>
        <v>0</v>
      </c>
      <c r="AM408" s="63">
        <f>IFERROR(INDEX(Job_Training[[Solar]:[Wind]],MATCH(AM$1,Job_Training[[`Typical Entry Level Education`]:[`Typical Entry Level Education`]],0),MATCH(LEFT($D408,5),Job_Training[[#Headers],[Solar]:[Wind]],0)),0)</f>
        <v>0</v>
      </c>
      <c r="AN408" s="63">
        <f>IFERROR(INDEX(Job_Training[[Solar]:[Wind]],MATCH(AN$1,Job_Training[[`Typical Entry Level Education`]:[`Typical Entry Level Education`]],0),MATCH(LEFT($D408,5),Job_Training[[#Headers],[Solar]:[Wind]],0)),0)</f>
        <v>0</v>
      </c>
      <c r="AO408" s="63">
        <f>IFERROR(INDEX(Job_Training[[Solar]:[Wind]],MATCH(AO$1,Job_Training[[`Typical Entry Level Education`]:[`Typical Entry Level Education`]],0),MATCH(LEFT($D408,5),Job_Training[[#Headers],[Solar]:[Wind]],0)),0)</f>
        <v>0</v>
      </c>
      <c r="AP408">
        <f t="shared" si="132"/>
        <v>0</v>
      </c>
      <c r="AQ408" s="63">
        <f>IF(AP408&gt;0,IFERROR(INDEX(Assumptions!$C$165:$D$165,MATCH(LEFT($D408,5),Job_Training[[#Headers],[Solar]:[Wind]],0)),0),0)</f>
        <v>0</v>
      </c>
      <c r="AR408">
        <f>IF(AP408&gt;0,IFERROR(INDEX(Assumptions!$C$166:$D$166,MATCH(LEFT($D408,5),Job_Training[[#Headers],[Solar]:[Wind]],0)),0),0)</f>
        <v>0</v>
      </c>
    </row>
    <row r="409" spans="1:44" hidden="1" x14ac:dyDescent="0.35">
      <c r="A409" t="str">
        <f>UserInput!$B$30</f>
        <v>State Policy Aligned</v>
      </c>
      <c r="B409">
        <v>2033</v>
      </c>
      <c r="C409" t="s">
        <v>87</v>
      </c>
      <c r="D409" t="s">
        <v>88</v>
      </c>
      <c r="E409" s="66">
        <f>INDEX(UserInput!$C$30:$M$50,MATCH(UserMade_Scenario!B409,UserInput!$A$30:$A$50,0),MATCH(LEFT(IF(RIGHT(C409,2)="H2",UserMade_Scenario!C409,D409),3),UserInput!$C$25:$M$25,0))</f>
        <v>8241</v>
      </c>
      <c r="F409" t="s">
        <v>89</v>
      </c>
      <c r="G409" s="14">
        <f t="shared" si="133"/>
        <v>9.0074129999999988E-3</v>
      </c>
      <c r="H409" s="63">
        <f t="shared" si="123"/>
        <v>2.0645891337299997</v>
      </c>
      <c r="I409" s="63">
        <f t="shared" si="124"/>
        <v>1.9070494803599995</v>
      </c>
      <c r="J409" s="63">
        <f t="shared" si="125"/>
        <v>3.6752674770733593</v>
      </c>
      <c r="K409" s="30">
        <f>IF(OR(LEFT($D409,5)="Solar",$D409="Wind"),INDEX(Land_Use[AVG],MATCH(LEFT($D409,5),Land_Use[Tech],0)),0)*$E409</f>
        <v>0</v>
      </c>
      <c r="L409" s="30">
        <f>IF(OR(LEFT($D409,5)="Solar",$D409="Wind"),INDEX(Land_Use[MIN],MATCH(LEFT($D409,5),Land_Use[Tech],0)),0)*$E409</f>
        <v>0</v>
      </c>
      <c r="M409" s="30">
        <f>IF(OR(LEFT($D409,5)="Solar",$D409="Wind"),INDEX(Land_Use[MAX],MATCH(LEFT($D409,5),Land_Use[Tech],0)),0)*$E409</f>
        <v>0</v>
      </c>
      <c r="N409" s="15">
        <f t="shared" si="118"/>
        <v>0</v>
      </c>
      <c r="O409" s="11">
        <f t="shared" si="119"/>
        <v>0</v>
      </c>
      <c r="P409" s="11">
        <f t="shared" si="120"/>
        <v>0</v>
      </c>
      <c r="Q409" s="11">
        <f t="shared" si="121"/>
        <v>0</v>
      </c>
      <c r="R409" s="11">
        <f t="shared" si="122"/>
        <v>0</v>
      </c>
      <c r="S409" s="30">
        <f t="shared" si="126"/>
        <v>0</v>
      </c>
      <c r="T409" s="30">
        <f t="shared" si="127"/>
        <v>0</v>
      </c>
      <c r="U409" s="30">
        <f t="shared" si="128"/>
        <v>0</v>
      </c>
      <c r="V409" s="30">
        <f t="shared" si="129"/>
        <v>0</v>
      </c>
      <c r="W409" s="30">
        <f t="shared" si="130"/>
        <v>0</v>
      </c>
      <c r="X409" s="30">
        <f t="shared" si="131"/>
        <v>0</v>
      </c>
      <c r="Z409" s="23" t="s">
        <v>76</v>
      </c>
      <c r="AA409" s="40" t="str">
        <f>IF(C409="Electricity",E409*SUMIFS(Electricity!S:S,Electricity!P:P,UserMade_Scenario!B409,Electricity!M:M,UserMade_Scenario!Z409,Electricity!O:O,UserMade_Scenario!D409),"")</f>
        <v/>
      </c>
      <c r="AB409" s="67">
        <v>1.093E-6</v>
      </c>
      <c r="AC409" s="67" t="s">
        <v>90</v>
      </c>
      <c r="AD409" s="39">
        <f>IFERROR(INDEX(Assumptions!B$145:B$146,MATCH($D409,Assumptions!$A$145:$A$146,0)),0)</f>
        <v>-229.20999999999998</v>
      </c>
      <c r="AE409" s="39">
        <f>IFERROR(INDEX(Assumptions!C$145:C$146,MATCH($D409,Assumptions!$A$145:$A$146,0)),0)</f>
        <v>-211.71999999999997</v>
      </c>
      <c r="AF409" s="39">
        <f>IFERROR(INDEX(Assumptions!D$145:D$146,MATCH($D409,Assumptions!$A$145:$A$146,0)),0)</f>
        <v>-408.02697478991581</v>
      </c>
      <c r="AG409" s="68">
        <f>IFERROR(INDEX(WaterUseH2[Average Direct Water Consumption (Gal/ kg h2)],MATCH(LEFT(D409,3),WaterUseH2[Key],0)),0)</f>
        <v>0</v>
      </c>
      <c r="AH409">
        <v>14</v>
      </c>
      <c r="AI409">
        <v>1.4</v>
      </c>
      <c r="AJ409">
        <v>250</v>
      </c>
      <c r="AK409">
        <v>0.31</v>
      </c>
      <c r="AL409" s="63">
        <f>IFERROR(INDEX(Job_Training[[Solar]:[Wind]],MATCH(AL$1,Job_Training[[`Typical Entry Level Education`]:[`Typical Entry Level Education`]],0),MATCH(LEFT($D409,5),Job_Training[[#Headers],[Solar]:[Wind]],0)),0)</f>
        <v>0</v>
      </c>
      <c r="AM409" s="63">
        <f>IFERROR(INDEX(Job_Training[[Solar]:[Wind]],MATCH(AM$1,Job_Training[[`Typical Entry Level Education`]:[`Typical Entry Level Education`]],0),MATCH(LEFT($D409,5),Job_Training[[#Headers],[Solar]:[Wind]],0)),0)</f>
        <v>0</v>
      </c>
      <c r="AN409" s="63">
        <f>IFERROR(INDEX(Job_Training[[Solar]:[Wind]],MATCH(AN$1,Job_Training[[`Typical Entry Level Education`]:[`Typical Entry Level Education`]],0),MATCH(LEFT($D409,5),Job_Training[[#Headers],[Solar]:[Wind]],0)),0)</f>
        <v>0</v>
      </c>
      <c r="AO409" s="63">
        <f>IFERROR(INDEX(Job_Training[[Solar]:[Wind]],MATCH(AO$1,Job_Training[[`Typical Entry Level Education`]:[`Typical Entry Level Education`]],0),MATCH(LEFT($D409,5),Job_Training[[#Headers],[Solar]:[Wind]],0)),0)</f>
        <v>0</v>
      </c>
      <c r="AP409">
        <f t="shared" si="132"/>
        <v>0</v>
      </c>
      <c r="AQ409" s="63">
        <f>IF(AP409&gt;0,IFERROR(INDEX(Assumptions!$C$165:$D$165,MATCH(LEFT($D409,5),Job_Training[[#Headers],[Solar]:[Wind]],0)),0),0)</f>
        <v>0</v>
      </c>
      <c r="AR409">
        <f>IF(AP409&gt;0,IFERROR(INDEX(Assumptions!$C$166:$D$166,MATCH(LEFT($D409,5),Job_Training[[#Headers],[Solar]:[Wind]],0)),0),0)</f>
        <v>0</v>
      </c>
    </row>
    <row r="410" spans="1:44" hidden="1" x14ac:dyDescent="0.35">
      <c r="A410" t="str">
        <f>UserInput!$B$30</f>
        <v>State Policy Aligned</v>
      </c>
      <c r="B410">
        <v>2034</v>
      </c>
      <c r="C410" t="s">
        <v>87</v>
      </c>
      <c r="D410" t="s">
        <v>88</v>
      </c>
      <c r="E410" s="66">
        <f>INDEX(UserInput!$C$30:$M$50,MATCH(UserMade_Scenario!B410,UserInput!$A$30:$A$50,0),MATCH(LEFT(IF(RIGHT(C410,2)="H2",UserMade_Scenario!C410,D410),3),UserInput!$C$25:$M$25,0))</f>
        <v>8804</v>
      </c>
      <c r="F410" t="s">
        <v>89</v>
      </c>
      <c r="G410" s="14">
        <f t="shared" si="133"/>
        <v>9.6227720000000017E-3</v>
      </c>
      <c r="H410" s="63">
        <f t="shared" si="123"/>
        <v>2.2056355701200001</v>
      </c>
      <c r="I410" s="63">
        <f t="shared" si="124"/>
        <v>2.0373332878400001</v>
      </c>
      <c r="J410" s="63">
        <f t="shared" si="125"/>
        <v>3.9263505482531085</v>
      </c>
      <c r="K410" s="30">
        <f>IF(OR(LEFT($D410,5)="Solar",$D410="Wind"),INDEX(Land_Use[AVG],MATCH(LEFT($D410,5),Land_Use[Tech],0)),0)*$E410</f>
        <v>0</v>
      </c>
      <c r="L410" s="30">
        <f>IF(OR(LEFT($D410,5)="Solar",$D410="Wind"),INDEX(Land_Use[MIN],MATCH(LEFT($D410,5),Land_Use[Tech],0)),0)*$E410</f>
        <v>0</v>
      </c>
      <c r="M410" s="30">
        <f>IF(OR(LEFT($D410,5)="Solar",$D410="Wind"),INDEX(Land_Use[MAX],MATCH(LEFT($D410,5),Land_Use[Tech],0)),0)*$E410</f>
        <v>0</v>
      </c>
      <c r="N410" s="15">
        <f t="shared" si="118"/>
        <v>0</v>
      </c>
      <c r="O410" s="11">
        <f t="shared" si="119"/>
        <v>0</v>
      </c>
      <c r="P410" s="11">
        <f t="shared" si="120"/>
        <v>0</v>
      </c>
      <c r="Q410" s="11">
        <f t="shared" si="121"/>
        <v>0</v>
      </c>
      <c r="R410" s="11">
        <f t="shared" si="122"/>
        <v>0</v>
      </c>
      <c r="S410" s="30">
        <f t="shared" si="126"/>
        <v>0</v>
      </c>
      <c r="T410" s="30">
        <f t="shared" si="127"/>
        <v>0</v>
      </c>
      <c r="U410" s="30">
        <f t="shared" si="128"/>
        <v>0</v>
      </c>
      <c r="V410" s="30">
        <f t="shared" si="129"/>
        <v>0</v>
      </c>
      <c r="W410" s="30">
        <f t="shared" si="130"/>
        <v>0</v>
      </c>
      <c r="X410" s="30">
        <f t="shared" si="131"/>
        <v>0</v>
      </c>
      <c r="Z410" s="23" t="s">
        <v>76</v>
      </c>
      <c r="AA410" s="40" t="str">
        <f>IF(C410="Electricity",E410*SUMIFS(Electricity!S:S,Electricity!P:P,UserMade_Scenario!B410,Electricity!M:M,UserMade_Scenario!Z410,Electricity!O:O,UserMade_Scenario!D410),"")</f>
        <v/>
      </c>
      <c r="AB410" s="67">
        <v>1.0930000000000002E-6</v>
      </c>
      <c r="AC410" s="67" t="s">
        <v>90</v>
      </c>
      <c r="AD410" s="39">
        <f>IFERROR(INDEX(Assumptions!B$145:B$146,MATCH($D410,Assumptions!$A$145:$A$146,0)),0)</f>
        <v>-229.20999999999998</v>
      </c>
      <c r="AE410" s="39">
        <f>IFERROR(INDEX(Assumptions!C$145:C$146,MATCH($D410,Assumptions!$A$145:$A$146,0)),0)</f>
        <v>-211.71999999999997</v>
      </c>
      <c r="AF410" s="39">
        <f>IFERROR(INDEX(Assumptions!D$145:D$146,MATCH($D410,Assumptions!$A$145:$A$146,0)),0)</f>
        <v>-408.02697478991581</v>
      </c>
      <c r="AG410" s="68">
        <f>IFERROR(INDEX(WaterUseH2[Average Direct Water Consumption (Gal/ kg h2)],MATCH(LEFT(D410,3),WaterUseH2[Key],0)),0)</f>
        <v>0</v>
      </c>
      <c r="AH410">
        <v>14</v>
      </c>
      <c r="AI410">
        <v>1.4</v>
      </c>
      <c r="AJ410">
        <v>250</v>
      </c>
      <c r="AK410">
        <v>0.31</v>
      </c>
      <c r="AL410" s="63">
        <f>IFERROR(INDEX(Job_Training[[Solar]:[Wind]],MATCH(AL$1,Job_Training[[`Typical Entry Level Education`]:[`Typical Entry Level Education`]],0),MATCH(LEFT($D410,5),Job_Training[[#Headers],[Solar]:[Wind]],0)),0)</f>
        <v>0</v>
      </c>
      <c r="AM410" s="63">
        <f>IFERROR(INDEX(Job_Training[[Solar]:[Wind]],MATCH(AM$1,Job_Training[[`Typical Entry Level Education`]:[`Typical Entry Level Education`]],0),MATCH(LEFT($D410,5),Job_Training[[#Headers],[Solar]:[Wind]],0)),0)</f>
        <v>0</v>
      </c>
      <c r="AN410" s="63">
        <f>IFERROR(INDEX(Job_Training[[Solar]:[Wind]],MATCH(AN$1,Job_Training[[`Typical Entry Level Education`]:[`Typical Entry Level Education`]],0),MATCH(LEFT($D410,5),Job_Training[[#Headers],[Solar]:[Wind]],0)),0)</f>
        <v>0</v>
      </c>
      <c r="AO410" s="63">
        <f>IFERROR(INDEX(Job_Training[[Solar]:[Wind]],MATCH(AO$1,Job_Training[[`Typical Entry Level Education`]:[`Typical Entry Level Education`]],0),MATCH(LEFT($D410,5),Job_Training[[#Headers],[Solar]:[Wind]],0)),0)</f>
        <v>0</v>
      </c>
      <c r="AP410">
        <f t="shared" si="132"/>
        <v>0</v>
      </c>
      <c r="AQ410" s="63">
        <f>IF(AP410&gt;0,IFERROR(INDEX(Assumptions!$C$165:$D$165,MATCH(LEFT($D410,5),Job_Training[[#Headers],[Solar]:[Wind]],0)),0),0)</f>
        <v>0</v>
      </c>
      <c r="AR410">
        <f>IF(AP410&gt;0,IFERROR(INDEX(Assumptions!$C$166:$D$166,MATCH(LEFT($D410,5),Job_Training[[#Headers],[Solar]:[Wind]],0)),0),0)</f>
        <v>0</v>
      </c>
    </row>
    <row r="411" spans="1:44" hidden="1" x14ac:dyDescent="0.35">
      <c r="A411" t="str">
        <f>UserInput!$B$30</f>
        <v>State Policy Aligned</v>
      </c>
      <c r="B411">
        <v>2035</v>
      </c>
      <c r="C411" t="s">
        <v>87</v>
      </c>
      <c r="D411" t="s">
        <v>88</v>
      </c>
      <c r="E411" s="66">
        <f>INDEX(UserInput!$C$30:$M$50,MATCH(UserMade_Scenario!B411,UserInput!$A$30:$A$50,0),MATCH(LEFT(IF(RIGHT(C411,2)="H2",UserMade_Scenario!C411,D411),3),UserInput!$C$25:$M$25,0))</f>
        <v>9367</v>
      </c>
      <c r="F411" t="s">
        <v>89</v>
      </c>
      <c r="G411" s="14">
        <f t="shared" si="133"/>
        <v>1.0238131000000001E-2</v>
      </c>
      <c r="H411" s="63">
        <f t="shared" si="123"/>
        <v>2.34668200651</v>
      </c>
      <c r="I411" s="63">
        <f t="shared" si="124"/>
        <v>2.1676170953199998</v>
      </c>
      <c r="J411" s="63">
        <f t="shared" si="125"/>
        <v>4.1774336194328558</v>
      </c>
      <c r="K411" s="30">
        <f>IF(OR(LEFT($D411,5)="Solar",$D411="Wind"),INDEX(Land_Use[AVG],MATCH(LEFT($D411,5),Land_Use[Tech],0)),0)*$E411</f>
        <v>0</v>
      </c>
      <c r="L411" s="30">
        <f>IF(OR(LEFT($D411,5)="Solar",$D411="Wind"),INDEX(Land_Use[MIN],MATCH(LEFT($D411,5),Land_Use[Tech],0)),0)*$E411</f>
        <v>0</v>
      </c>
      <c r="M411" s="30">
        <f>IF(OR(LEFT($D411,5)="Solar",$D411="Wind"),INDEX(Land_Use[MAX],MATCH(LEFT($D411,5),Land_Use[Tech],0)),0)*$E411</f>
        <v>0</v>
      </c>
      <c r="N411" s="15">
        <f t="shared" si="118"/>
        <v>0</v>
      </c>
      <c r="O411" s="11">
        <f t="shared" si="119"/>
        <v>0</v>
      </c>
      <c r="P411" s="11">
        <f t="shared" si="120"/>
        <v>0</v>
      </c>
      <c r="Q411" s="11">
        <f t="shared" si="121"/>
        <v>0</v>
      </c>
      <c r="R411" s="11">
        <f t="shared" si="122"/>
        <v>0</v>
      </c>
      <c r="S411" s="30">
        <f t="shared" si="126"/>
        <v>0</v>
      </c>
      <c r="T411" s="30">
        <f t="shared" si="127"/>
        <v>0</v>
      </c>
      <c r="U411" s="30">
        <f t="shared" si="128"/>
        <v>0</v>
      </c>
      <c r="V411" s="30">
        <f t="shared" si="129"/>
        <v>0</v>
      </c>
      <c r="W411" s="30">
        <f t="shared" si="130"/>
        <v>0</v>
      </c>
      <c r="X411" s="30">
        <f t="shared" si="131"/>
        <v>0</v>
      </c>
      <c r="Z411" s="23" t="s">
        <v>76</v>
      </c>
      <c r="AA411" s="40" t="str">
        <f>IF(C411="Electricity",E411*SUMIFS(Electricity!S:S,Electricity!P:P,UserMade_Scenario!B411,Electricity!M:M,UserMade_Scenario!Z411,Electricity!O:O,UserMade_Scenario!D411),"")</f>
        <v/>
      </c>
      <c r="AB411" s="67">
        <v>1.0930000000000002E-6</v>
      </c>
      <c r="AC411" s="67" t="s">
        <v>90</v>
      </c>
      <c r="AD411" s="39">
        <f>IFERROR(INDEX(Assumptions!B$145:B$146,MATCH($D411,Assumptions!$A$145:$A$146,0)),0)</f>
        <v>-229.20999999999998</v>
      </c>
      <c r="AE411" s="39">
        <f>IFERROR(INDEX(Assumptions!C$145:C$146,MATCH($D411,Assumptions!$A$145:$A$146,0)),0)</f>
        <v>-211.71999999999997</v>
      </c>
      <c r="AF411" s="39">
        <f>IFERROR(INDEX(Assumptions!D$145:D$146,MATCH($D411,Assumptions!$A$145:$A$146,0)),0)</f>
        <v>-408.02697478991581</v>
      </c>
      <c r="AG411" s="68">
        <f>IFERROR(INDEX(WaterUseH2[Average Direct Water Consumption (Gal/ kg h2)],MATCH(LEFT(D411,3),WaterUseH2[Key],0)),0)</f>
        <v>0</v>
      </c>
      <c r="AH411">
        <v>14</v>
      </c>
      <c r="AI411">
        <v>1.4</v>
      </c>
      <c r="AJ411">
        <v>250</v>
      </c>
      <c r="AK411">
        <v>0.31</v>
      </c>
      <c r="AL411" s="63">
        <f>IFERROR(INDEX(Job_Training[[Solar]:[Wind]],MATCH(AL$1,Job_Training[[`Typical Entry Level Education`]:[`Typical Entry Level Education`]],0),MATCH(LEFT($D411,5),Job_Training[[#Headers],[Solar]:[Wind]],0)),0)</f>
        <v>0</v>
      </c>
      <c r="AM411" s="63">
        <f>IFERROR(INDEX(Job_Training[[Solar]:[Wind]],MATCH(AM$1,Job_Training[[`Typical Entry Level Education`]:[`Typical Entry Level Education`]],0),MATCH(LEFT($D411,5),Job_Training[[#Headers],[Solar]:[Wind]],0)),0)</f>
        <v>0</v>
      </c>
      <c r="AN411" s="63">
        <f>IFERROR(INDEX(Job_Training[[Solar]:[Wind]],MATCH(AN$1,Job_Training[[`Typical Entry Level Education`]:[`Typical Entry Level Education`]],0),MATCH(LEFT($D411,5),Job_Training[[#Headers],[Solar]:[Wind]],0)),0)</f>
        <v>0</v>
      </c>
      <c r="AO411" s="63">
        <f>IFERROR(INDEX(Job_Training[[Solar]:[Wind]],MATCH(AO$1,Job_Training[[`Typical Entry Level Education`]:[`Typical Entry Level Education`]],0),MATCH(LEFT($D411,5),Job_Training[[#Headers],[Solar]:[Wind]],0)),0)</f>
        <v>0</v>
      </c>
      <c r="AP411">
        <f t="shared" si="132"/>
        <v>0</v>
      </c>
      <c r="AQ411" s="63">
        <f>IF(AP411&gt;0,IFERROR(INDEX(Assumptions!$C$165:$D$165,MATCH(LEFT($D411,5),Job_Training[[#Headers],[Solar]:[Wind]],0)),0),0)</f>
        <v>0</v>
      </c>
      <c r="AR411">
        <f>IF(AP411&gt;0,IFERROR(INDEX(Assumptions!$C$166:$D$166,MATCH(LEFT($D411,5),Job_Training[[#Headers],[Solar]:[Wind]],0)),0),0)</f>
        <v>0</v>
      </c>
    </row>
    <row r="412" spans="1:44" hidden="1" x14ac:dyDescent="0.35">
      <c r="A412" t="str">
        <f>UserInput!$B$30</f>
        <v>State Policy Aligned</v>
      </c>
      <c r="B412">
        <v>2036</v>
      </c>
      <c r="C412" t="s">
        <v>87</v>
      </c>
      <c r="D412" t="s">
        <v>88</v>
      </c>
      <c r="E412" s="66">
        <f>INDEX(UserInput!$C$30:$M$50,MATCH(UserMade_Scenario!B412,UserInput!$A$30:$A$50,0),MATCH(LEFT(IF(RIGHT(C412,2)="H2",UserMade_Scenario!C412,D412),3),UserInput!$C$25:$M$25,0))</f>
        <v>9931</v>
      </c>
      <c r="F412" t="s">
        <v>89</v>
      </c>
      <c r="G412" s="14">
        <f t="shared" si="133"/>
        <v>1.0854583000000001E-2</v>
      </c>
      <c r="H412" s="63">
        <f t="shared" si="123"/>
        <v>2.4879789694299999</v>
      </c>
      <c r="I412" s="63">
        <f t="shared" si="124"/>
        <v>2.29813231276</v>
      </c>
      <c r="J412" s="63">
        <f t="shared" si="125"/>
        <v>4.4289626640960496</v>
      </c>
      <c r="K412" s="30">
        <f>IF(OR(LEFT($D412,5)="Solar",$D412="Wind"),INDEX(Land_Use[AVG],MATCH(LEFT($D412,5),Land_Use[Tech],0)),0)*$E412</f>
        <v>0</v>
      </c>
      <c r="L412" s="30">
        <f>IF(OR(LEFT($D412,5)="Solar",$D412="Wind"),INDEX(Land_Use[MIN],MATCH(LEFT($D412,5),Land_Use[Tech],0)),0)*$E412</f>
        <v>0</v>
      </c>
      <c r="M412" s="30">
        <f>IF(OR(LEFT($D412,5)="Solar",$D412="Wind"),INDEX(Land_Use[MAX],MATCH(LEFT($D412,5),Land_Use[Tech],0)),0)*$E412</f>
        <v>0</v>
      </c>
      <c r="N412" s="15">
        <f t="shared" si="118"/>
        <v>0</v>
      </c>
      <c r="O412" s="11">
        <f t="shared" si="119"/>
        <v>0</v>
      </c>
      <c r="P412" s="11">
        <f t="shared" si="120"/>
        <v>0</v>
      </c>
      <c r="Q412" s="11">
        <f t="shared" si="121"/>
        <v>0</v>
      </c>
      <c r="R412" s="11">
        <f t="shared" si="122"/>
        <v>0</v>
      </c>
      <c r="S412" s="30">
        <f t="shared" si="126"/>
        <v>0</v>
      </c>
      <c r="T412" s="30">
        <f t="shared" si="127"/>
        <v>0</v>
      </c>
      <c r="U412" s="30">
        <f t="shared" si="128"/>
        <v>0</v>
      </c>
      <c r="V412" s="30">
        <f t="shared" si="129"/>
        <v>0</v>
      </c>
      <c r="W412" s="30">
        <f t="shared" si="130"/>
        <v>0</v>
      </c>
      <c r="X412" s="30">
        <f t="shared" si="131"/>
        <v>0</v>
      </c>
      <c r="Z412" s="23" t="s">
        <v>76</v>
      </c>
      <c r="AA412" s="40" t="str">
        <f>IF(C412="Electricity",E412*SUMIFS(Electricity!S:S,Electricity!P:P,UserMade_Scenario!B412,Electricity!M:M,UserMade_Scenario!Z412,Electricity!O:O,UserMade_Scenario!D412),"")</f>
        <v/>
      </c>
      <c r="AB412" s="67">
        <v>1.0930000000000002E-6</v>
      </c>
      <c r="AC412" s="67" t="s">
        <v>90</v>
      </c>
      <c r="AD412" s="39">
        <f>IFERROR(INDEX(Assumptions!B$145:B$146,MATCH($D412,Assumptions!$A$145:$A$146,0)),0)</f>
        <v>-229.20999999999998</v>
      </c>
      <c r="AE412" s="39">
        <f>IFERROR(INDEX(Assumptions!C$145:C$146,MATCH($D412,Assumptions!$A$145:$A$146,0)),0)</f>
        <v>-211.71999999999997</v>
      </c>
      <c r="AF412" s="39">
        <f>IFERROR(INDEX(Assumptions!D$145:D$146,MATCH($D412,Assumptions!$A$145:$A$146,0)),0)</f>
        <v>-408.02697478991581</v>
      </c>
      <c r="AG412" s="68">
        <f>IFERROR(INDEX(WaterUseH2[Average Direct Water Consumption (Gal/ kg h2)],MATCH(LEFT(D412,3),WaterUseH2[Key],0)),0)</f>
        <v>0</v>
      </c>
      <c r="AH412">
        <v>14</v>
      </c>
      <c r="AI412">
        <v>1.4</v>
      </c>
      <c r="AJ412">
        <v>250</v>
      </c>
      <c r="AK412">
        <v>0.31</v>
      </c>
      <c r="AL412" s="63">
        <f>IFERROR(INDEX(Job_Training[[Solar]:[Wind]],MATCH(AL$1,Job_Training[[`Typical Entry Level Education`]:[`Typical Entry Level Education`]],0),MATCH(LEFT($D412,5),Job_Training[[#Headers],[Solar]:[Wind]],0)),0)</f>
        <v>0</v>
      </c>
      <c r="AM412" s="63">
        <f>IFERROR(INDEX(Job_Training[[Solar]:[Wind]],MATCH(AM$1,Job_Training[[`Typical Entry Level Education`]:[`Typical Entry Level Education`]],0),MATCH(LEFT($D412,5),Job_Training[[#Headers],[Solar]:[Wind]],0)),0)</f>
        <v>0</v>
      </c>
      <c r="AN412" s="63">
        <f>IFERROR(INDEX(Job_Training[[Solar]:[Wind]],MATCH(AN$1,Job_Training[[`Typical Entry Level Education`]:[`Typical Entry Level Education`]],0),MATCH(LEFT($D412,5),Job_Training[[#Headers],[Solar]:[Wind]],0)),0)</f>
        <v>0</v>
      </c>
      <c r="AO412" s="63">
        <f>IFERROR(INDEX(Job_Training[[Solar]:[Wind]],MATCH(AO$1,Job_Training[[`Typical Entry Level Education`]:[`Typical Entry Level Education`]],0),MATCH(LEFT($D412,5),Job_Training[[#Headers],[Solar]:[Wind]],0)),0)</f>
        <v>0</v>
      </c>
      <c r="AP412">
        <f t="shared" si="132"/>
        <v>0</v>
      </c>
      <c r="AQ412" s="63">
        <f>IF(AP412&gt;0,IFERROR(INDEX(Assumptions!$C$165:$D$165,MATCH(LEFT($D412,5),Job_Training[[#Headers],[Solar]:[Wind]],0)),0),0)</f>
        <v>0</v>
      </c>
      <c r="AR412">
        <f>IF(AP412&gt;0,IFERROR(INDEX(Assumptions!$C$166:$D$166,MATCH(LEFT($D412,5),Job_Training[[#Headers],[Solar]:[Wind]],0)),0),0)</f>
        <v>0</v>
      </c>
    </row>
    <row r="413" spans="1:44" hidden="1" x14ac:dyDescent="0.35">
      <c r="A413" t="str">
        <f>UserInput!$B$30</f>
        <v>State Policy Aligned</v>
      </c>
      <c r="B413">
        <v>2037</v>
      </c>
      <c r="C413" t="s">
        <v>87</v>
      </c>
      <c r="D413" t="s">
        <v>88</v>
      </c>
      <c r="E413" s="66">
        <f>INDEX(UserInput!$C$30:$M$50,MATCH(UserMade_Scenario!B413,UserInput!$A$30:$A$50,0),MATCH(LEFT(IF(RIGHT(C413,2)="H2",UserMade_Scenario!C413,D413),3),UserInput!$C$25:$M$25,0))</f>
        <v>10494</v>
      </c>
      <c r="F413" t="s">
        <v>89</v>
      </c>
      <c r="G413" s="14">
        <f t="shared" si="133"/>
        <v>1.1469942000000002E-2</v>
      </c>
      <c r="H413" s="63">
        <f t="shared" si="123"/>
        <v>2.6290254058200002</v>
      </c>
      <c r="I413" s="63">
        <f t="shared" si="124"/>
        <v>2.4284161202400001</v>
      </c>
      <c r="J413" s="63">
        <f t="shared" si="125"/>
        <v>4.6800457352757974</v>
      </c>
      <c r="K413" s="30">
        <f>IF(OR(LEFT($D413,5)="Solar",$D413="Wind"),INDEX(Land_Use[AVG],MATCH(LEFT($D413,5),Land_Use[Tech],0)),0)*$E413</f>
        <v>0</v>
      </c>
      <c r="L413" s="30">
        <f>IF(OR(LEFT($D413,5)="Solar",$D413="Wind"),INDEX(Land_Use[MIN],MATCH(LEFT($D413,5),Land_Use[Tech],0)),0)*$E413</f>
        <v>0</v>
      </c>
      <c r="M413" s="30">
        <f>IF(OR(LEFT($D413,5)="Solar",$D413="Wind"),INDEX(Land_Use[MAX],MATCH(LEFT($D413,5),Land_Use[Tech],0)),0)*$E413</f>
        <v>0</v>
      </c>
      <c r="N413" s="15">
        <f t="shared" si="118"/>
        <v>0</v>
      </c>
      <c r="O413" s="11">
        <f t="shared" si="119"/>
        <v>0</v>
      </c>
      <c r="P413" s="11">
        <f t="shared" si="120"/>
        <v>0</v>
      </c>
      <c r="Q413" s="11">
        <f t="shared" si="121"/>
        <v>0</v>
      </c>
      <c r="R413" s="11">
        <f t="shared" si="122"/>
        <v>0</v>
      </c>
      <c r="S413" s="30">
        <f t="shared" si="126"/>
        <v>0</v>
      </c>
      <c r="T413" s="30">
        <f t="shared" si="127"/>
        <v>0</v>
      </c>
      <c r="U413" s="30">
        <f t="shared" si="128"/>
        <v>0</v>
      </c>
      <c r="V413" s="30">
        <f t="shared" si="129"/>
        <v>0</v>
      </c>
      <c r="W413" s="30">
        <f t="shared" si="130"/>
        <v>0</v>
      </c>
      <c r="X413" s="30">
        <f t="shared" si="131"/>
        <v>0</v>
      </c>
      <c r="Z413" s="23" t="s">
        <v>76</v>
      </c>
      <c r="AA413" s="40" t="str">
        <f>IF(C413="Electricity",E413*SUMIFS(Electricity!S:S,Electricity!P:P,UserMade_Scenario!B413,Electricity!M:M,UserMade_Scenario!Z413,Electricity!O:O,UserMade_Scenario!D413),"")</f>
        <v/>
      </c>
      <c r="AB413" s="67">
        <v>1.0930000000000002E-6</v>
      </c>
      <c r="AC413" s="67" t="s">
        <v>90</v>
      </c>
      <c r="AD413" s="39">
        <f>IFERROR(INDEX(Assumptions!B$145:B$146,MATCH($D413,Assumptions!$A$145:$A$146,0)),0)</f>
        <v>-229.20999999999998</v>
      </c>
      <c r="AE413" s="39">
        <f>IFERROR(INDEX(Assumptions!C$145:C$146,MATCH($D413,Assumptions!$A$145:$A$146,0)),0)</f>
        <v>-211.71999999999997</v>
      </c>
      <c r="AF413" s="39">
        <f>IFERROR(INDEX(Assumptions!D$145:D$146,MATCH($D413,Assumptions!$A$145:$A$146,0)),0)</f>
        <v>-408.02697478991581</v>
      </c>
      <c r="AG413" s="68">
        <f>IFERROR(INDEX(WaterUseH2[Average Direct Water Consumption (Gal/ kg h2)],MATCH(LEFT(D413,3),WaterUseH2[Key],0)),0)</f>
        <v>0</v>
      </c>
      <c r="AH413">
        <v>14</v>
      </c>
      <c r="AI413">
        <v>1.4</v>
      </c>
      <c r="AJ413">
        <v>250</v>
      </c>
      <c r="AK413">
        <v>0.31</v>
      </c>
      <c r="AL413" s="63">
        <f>IFERROR(INDEX(Job_Training[[Solar]:[Wind]],MATCH(AL$1,Job_Training[[`Typical Entry Level Education`]:[`Typical Entry Level Education`]],0),MATCH(LEFT($D413,5),Job_Training[[#Headers],[Solar]:[Wind]],0)),0)</f>
        <v>0</v>
      </c>
      <c r="AM413" s="63">
        <f>IFERROR(INDEX(Job_Training[[Solar]:[Wind]],MATCH(AM$1,Job_Training[[`Typical Entry Level Education`]:[`Typical Entry Level Education`]],0),MATCH(LEFT($D413,5),Job_Training[[#Headers],[Solar]:[Wind]],0)),0)</f>
        <v>0</v>
      </c>
      <c r="AN413" s="63">
        <f>IFERROR(INDEX(Job_Training[[Solar]:[Wind]],MATCH(AN$1,Job_Training[[`Typical Entry Level Education`]:[`Typical Entry Level Education`]],0),MATCH(LEFT($D413,5),Job_Training[[#Headers],[Solar]:[Wind]],0)),0)</f>
        <v>0</v>
      </c>
      <c r="AO413" s="63">
        <f>IFERROR(INDEX(Job_Training[[Solar]:[Wind]],MATCH(AO$1,Job_Training[[`Typical Entry Level Education`]:[`Typical Entry Level Education`]],0),MATCH(LEFT($D413,5),Job_Training[[#Headers],[Solar]:[Wind]],0)),0)</f>
        <v>0</v>
      </c>
      <c r="AP413">
        <f t="shared" si="132"/>
        <v>0</v>
      </c>
      <c r="AQ413" s="63">
        <f>IF(AP413&gt;0,IFERROR(INDEX(Assumptions!$C$165:$D$165,MATCH(LEFT($D413,5),Job_Training[[#Headers],[Solar]:[Wind]],0)),0),0)</f>
        <v>0</v>
      </c>
      <c r="AR413">
        <f>IF(AP413&gt;0,IFERROR(INDEX(Assumptions!$C$166:$D$166,MATCH(LEFT($D413,5),Job_Training[[#Headers],[Solar]:[Wind]],0)),0),0)</f>
        <v>0</v>
      </c>
    </row>
    <row r="414" spans="1:44" hidden="1" x14ac:dyDescent="0.35">
      <c r="A414" t="str">
        <f>UserInput!$B$30</f>
        <v>State Policy Aligned</v>
      </c>
      <c r="B414">
        <v>2038</v>
      </c>
      <c r="C414" t="s">
        <v>87</v>
      </c>
      <c r="D414" t="s">
        <v>88</v>
      </c>
      <c r="E414" s="66">
        <f>INDEX(UserInput!$C$30:$M$50,MATCH(UserMade_Scenario!B414,UserInput!$A$30:$A$50,0),MATCH(LEFT(IF(RIGHT(C414,2)="H2",UserMade_Scenario!C414,D414),3),UserInput!$C$25:$M$25,0))</f>
        <v>11057</v>
      </c>
      <c r="F414" t="s">
        <v>89</v>
      </c>
      <c r="G414" s="14">
        <f t="shared" si="133"/>
        <v>1.2085301000000001E-2</v>
      </c>
      <c r="H414" s="63">
        <f t="shared" si="123"/>
        <v>2.7700718422100001</v>
      </c>
      <c r="I414" s="63">
        <f t="shared" si="124"/>
        <v>2.5586999277199998</v>
      </c>
      <c r="J414" s="63">
        <f t="shared" si="125"/>
        <v>4.9311288064555452</v>
      </c>
      <c r="K414" s="30">
        <f>IF(OR(LEFT($D414,5)="Solar",$D414="Wind"),INDEX(Land_Use[AVG],MATCH(LEFT($D414,5),Land_Use[Tech],0)),0)*$E414</f>
        <v>0</v>
      </c>
      <c r="L414" s="30">
        <f>IF(OR(LEFT($D414,5)="Solar",$D414="Wind"),INDEX(Land_Use[MIN],MATCH(LEFT($D414,5),Land_Use[Tech],0)),0)*$E414</f>
        <v>0</v>
      </c>
      <c r="M414" s="30">
        <f>IF(OR(LEFT($D414,5)="Solar",$D414="Wind"),INDEX(Land_Use[MAX],MATCH(LEFT($D414,5),Land_Use[Tech],0)),0)*$E414</f>
        <v>0</v>
      </c>
      <c r="N414" s="15">
        <f t="shared" si="118"/>
        <v>0</v>
      </c>
      <c r="O414" s="11">
        <f t="shared" si="119"/>
        <v>0</v>
      </c>
      <c r="P414" s="11">
        <f t="shared" si="120"/>
        <v>0</v>
      </c>
      <c r="Q414" s="11">
        <f t="shared" si="121"/>
        <v>0</v>
      </c>
      <c r="R414" s="11">
        <f t="shared" si="122"/>
        <v>0</v>
      </c>
      <c r="S414" s="30">
        <f t="shared" si="126"/>
        <v>0</v>
      </c>
      <c r="T414" s="30">
        <f t="shared" si="127"/>
        <v>0</v>
      </c>
      <c r="U414" s="30">
        <f t="shared" si="128"/>
        <v>0</v>
      </c>
      <c r="V414" s="30">
        <f t="shared" si="129"/>
        <v>0</v>
      </c>
      <c r="W414" s="30">
        <f t="shared" si="130"/>
        <v>0</v>
      </c>
      <c r="X414" s="30">
        <f t="shared" si="131"/>
        <v>0</v>
      </c>
      <c r="Z414" s="23" t="s">
        <v>76</v>
      </c>
      <c r="AA414" s="40" t="str">
        <f>IF(C414="Electricity",E414*SUMIFS(Electricity!S:S,Electricity!P:P,UserMade_Scenario!B414,Electricity!M:M,UserMade_Scenario!Z414,Electricity!O:O,UserMade_Scenario!D414),"")</f>
        <v/>
      </c>
      <c r="AB414" s="67">
        <v>1.0930000000000002E-6</v>
      </c>
      <c r="AC414" s="67" t="s">
        <v>90</v>
      </c>
      <c r="AD414" s="39">
        <f>IFERROR(INDEX(Assumptions!B$145:B$146,MATCH($D414,Assumptions!$A$145:$A$146,0)),0)</f>
        <v>-229.20999999999998</v>
      </c>
      <c r="AE414" s="39">
        <f>IFERROR(INDEX(Assumptions!C$145:C$146,MATCH($D414,Assumptions!$A$145:$A$146,0)),0)</f>
        <v>-211.71999999999997</v>
      </c>
      <c r="AF414" s="39">
        <f>IFERROR(INDEX(Assumptions!D$145:D$146,MATCH($D414,Assumptions!$A$145:$A$146,0)),0)</f>
        <v>-408.02697478991581</v>
      </c>
      <c r="AG414" s="68">
        <f>IFERROR(INDEX(WaterUseH2[Average Direct Water Consumption (Gal/ kg h2)],MATCH(LEFT(D414,3),WaterUseH2[Key],0)),0)</f>
        <v>0</v>
      </c>
      <c r="AH414">
        <v>14</v>
      </c>
      <c r="AI414">
        <v>1.4</v>
      </c>
      <c r="AJ414">
        <v>250</v>
      </c>
      <c r="AK414">
        <v>0.31</v>
      </c>
      <c r="AL414" s="63">
        <f>IFERROR(INDEX(Job_Training[[Solar]:[Wind]],MATCH(AL$1,Job_Training[[`Typical Entry Level Education`]:[`Typical Entry Level Education`]],0),MATCH(LEFT($D414,5),Job_Training[[#Headers],[Solar]:[Wind]],0)),0)</f>
        <v>0</v>
      </c>
      <c r="AM414" s="63">
        <f>IFERROR(INDEX(Job_Training[[Solar]:[Wind]],MATCH(AM$1,Job_Training[[`Typical Entry Level Education`]:[`Typical Entry Level Education`]],0),MATCH(LEFT($D414,5),Job_Training[[#Headers],[Solar]:[Wind]],0)),0)</f>
        <v>0</v>
      </c>
      <c r="AN414" s="63">
        <f>IFERROR(INDEX(Job_Training[[Solar]:[Wind]],MATCH(AN$1,Job_Training[[`Typical Entry Level Education`]:[`Typical Entry Level Education`]],0),MATCH(LEFT($D414,5),Job_Training[[#Headers],[Solar]:[Wind]],0)),0)</f>
        <v>0</v>
      </c>
      <c r="AO414" s="63">
        <f>IFERROR(INDEX(Job_Training[[Solar]:[Wind]],MATCH(AO$1,Job_Training[[`Typical Entry Level Education`]:[`Typical Entry Level Education`]],0),MATCH(LEFT($D414,5),Job_Training[[#Headers],[Solar]:[Wind]],0)),0)</f>
        <v>0</v>
      </c>
      <c r="AP414">
        <f t="shared" si="132"/>
        <v>0</v>
      </c>
      <c r="AQ414" s="63">
        <f>IF(AP414&gt;0,IFERROR(INDEX(Assumptions!$C$165:$D$165,MATCH(LEFT($D414,5),Job_Training[[#Headers],[Solar]:[Wind]],0)),0),0)</f>
        <v>0</v>
      </c>
      <c r="AR414">
        <f>IF(AP414&gt;0,IFERROR(INDEX(Assumptions!$C$166:$D$166,MATCH(LEFT($D414,5),Job_Training[[#Headers],[Solar]:[Wind]],0)),0),0)</f>
        <v>0</v>
      </c>
    </row>
    <row r="415" spans="1:44" hidden="1" x14ac:dyDescent="0.35">
      <c r="A415" t="str">
        <f>UserInput!$B$30</f>
        <v>State Policy Aligned</v>
      </c>
      <c r="B415">
        <v>2039</v>
      </c>
      <c r="C415" t="s">
        <v>87</v>
      </c>
      <c r="D415" t="s">
        <v>88</v>
      </c>
      <c r="E415" s="66">
        <f>INDEX(UserInput!$C$30:$M$50,MATCH(UserMade_Scenario!B415,UserInput!$A$30:$A$50,0),MATCH(LEFT(IF(RIGHT(C415,2)="H2",UserMade_Scenario!C415,D415),3),UserInput!$C$25:$M$25,0))</f>
        <v>11620</v>
      </c>
      <c r="F415" t="s">
        <v>89</v>
      </c>
      <c r="G415" s="14">
        <f t="shared" si="133"/>
        <v>1.2700660000000003E-2</v>
      </c>
      <c r="H415" s="63">
        <f t="shared" si="123"/>
        <v>2.9111182786000005</v>
      </c>
      <c r="I415" s="63">
        <f t="shared" si="124"/>
        <v>2.6889837352000003</v>
      </c>
      <c r="J415" s="63">
        <f t="shared" si="125"/>
        <v>5.182211877635293</v>
      </c>
      <c r="K415" s="30">
        <f>IF(OR(LEFT($D415,5)="Solar",$D415="Wind"),INDEX(Land_Use[AVG],MATCH(LEFT($D415,5),Land_Use[Tech],0)),0)*$E415</f>
        <v>0</v>
      </c>
      <c r="L415" s="30">
        <f>IF(OR(LEFT($D415,5)="Solar",$D415="Wind"),INDEX(Land_Use[MIN],MATCH(LEFT($D415,5),Land_Use[Tech],0)),0)*$E415</f>
        <v>0</v>
      </c>
      <c r="M415" s="30">
        <f>IF(OR(LEFT($D415,5)="Solar",$D415="Wind"),INDEX(Land_Use[MAX],MATCH(LEFT($D415,5),Land_Use[Tech],0)),0)*$E415</f>
        <v>0</v>
      </c>
      <c r="N415" s="15">
        <f t="shared" si="118"/>
        <v>0</v>
      </c>
      <c r="O415" s="11">
        <f t="shared" si="119"/>
        <v>0</v>
      </c>
      <c r="P415" s="11">
        <f t="shared" si="120"/>
        <v>0</v>
      </c>
      <c r="Q415" s="11">
        <f t="shared" si="121"/>
        <v>0</v>
      </c>
      <c r="R415" s="11">
        <f t="shared" si="122"/>
        <v>0</v>
      </c>
      <c r="S415" s="30">
        <f t="shared" si="126"/>
        <v>0</v>
      </c>
      <c r="T415" s="30">
        <f t="shared" si="127"/>
        <v>0</v>
      </c>
      <c r="U415" s="30">
        <f t="shared" si="128"/>
        <v>0</v>
      </c>
      <c r="V415" s="30">
        <f t="shared" si="129"/>
        <v>0</v>
      </c>
      <c r="W415" s="30">
        <f t="shared" si="130"/>
        <v>0</v>
      </c>
      <c r="X415" s="30">
        <f t="shared" si="131"/>
        <v>0</v>
      </c>
      <c r="Z415" s="23" t="s">
        <v>76</v>
      </c>
      <c r="AA415" s="40" t="str">
        <f>IF(C415="Electricity",E415*SUMIFS(Electricity!S:S,Electricity!P:P,UserMade_Scenario!B415,Electricity!M:M,UserMade_Scenario!Z415,Electricity!O:O,UserMade_Scenario!D415),"")</f>
        <v/>
      </c>
      <c r="AB415" s="67">
        <v>1.0930000000000002E-6</v>
      </c>
      <c r="AC415" s="67" t="s">
        <v>90</v>
      </c>
      <c r="AD415" s="39">
        <f>IFERROR(INDEX(Assumptions!B$145:B$146,MATCH($D415,Assumptions!$A$145:$A$146,0)),0)</f>
        <v>-229.20999999999998</v>
      </c>
      <c r="AE415" s="39">
        <f>IFERROR(INDEX(Assumptions!C$145:C$146,MATCH($D415,Assumptions!$A$145:$A$146,0)),0)</f>
        <v>-211.71999999999997</v>
      </c>
      <c r="AF415" s="39">
        <f>IFERROR(INDEX(Assumptions!D$145:D$146,MATCH($D415,Assumptions!$A$145:$A$146,0)),0)</f>
        <v>-408.02697478991581</v>
      </c>
      <c r="AG415" s="68">
        <f>IFERROR(INDEX(WaterUseH2[Average Direct Water Consumption (Gal/ kg h2)],MATCH(LEFT(D415,3),WaterUseH2[Key],0)),0)</f>
        <v>0</v>
      </c>
      <c r="AH415">
        <v>14</v>
      </c>
      <c r="AI415">
        <v>1.4</v>
      </c>
      <c r="AJ415">
        <v>250</v>
      </c>
      <c r="AK415">
        <v>0.31</v>
      </c>
      <c r="AL415" s="63">
        <f>IFERROR(INDEX(Job_Training[[Solar]:[Wind]],MATCH(AL$1,Job_Training[[`Typical Entry Level Education`]:[`Typical Entry Level Education`]],0),MATCH(LEFT($D415,5),Job_Training[[#Headers],[Solar]:[Wind]],0)),0)</f>
        <v>0</v>
      </c>
      <c r="AM415" s="63">
        <f>IFERROR(INDEX(Job_Training[[Solar]:[Wind]],MATCH(AM$1,Job_Training[[`Typical Entry Level Education`]:[`Typical Entry Level Education`]],0),MATCH(LEFT($D415,5),Job_Training[[#Headers],[Solar]:[Wind]],0)),0)</f>
        <v>0</v>
      </c>
      <c r="AN415" s="63">
        <f>IFERROR(INDEX(Job_Training[[Solar]:[Wind]],MATCH(AN$1,Job_Training[[`Typical Entry Level Education`]:[`Typical Entry Level Education`]],0),MATCH(LEFT($D415,5),Job_Training[[#Headers],[Solar]:[Wind]],0)),0)</f>
        <v>0</v>
      </c>
      <c r="AO415" s="63">
        <f>IFERROR(INDEX(Job_Training[[Solar]:[Wind]],MATCH(AO$1,Job_Training[[`Typical Entry Level Education`]:[`Typical Entry Level Education`]],0),MATCH(LEFT($D415,5),Job_Training[[#Headers],[Solar]:[Wind]],0)),0)</f>
        <v>0</v>
      </c>
      <c r="AP415">
        <f t="shared" si="132"/>
        <v>0</v>
      </c>
      <c r="AQ415" s="63">
        <f>IF(AP415&gt;0,IFERROR(INDEX(Assumptions!$C$165:$D$165,MATCH(LEFT($D415,5),Job_Training[[#Headers],[Solar]:[Wind]],0)),0),0)</f>
        <v>0</v>
      </c>
      <c r="AR415">
        <f>IF(AP415&gt;0,IFERROR(INDEX(Assumptions!$C$166:$D$166,MATCH(LEFT($D415,5),Job_Training[[#Headers],[Solar]:[Wind]],0)),0),0)</f>
        <v>0</v>
      </c>
    </row>
    <row r="416" spans="1:44" hidden="1" x14ac:dyDescent="0.35">
      <c r="A416" t="str">
        <f>UserInput!$B$30</f>
        <v>State Policy Aligned</v>
      </c>
      <c r="B416">
        <v>2040</v>
      </c>
      <c r="C416" t="s">
        <v>87</v>
      </c>
      <c r="D416" t="s">
        <v>88</v>
      </c>
      <c r="E416" s="66">
        <f>INDEX(UserInput!$C$30:$M$50,MATCH(UserMade_Scenario!B416,UserInput!$A$30:$A$50,0),MATCH(LEFT(IF(RIGHT(C416,2)="H2",UserMade_Scenario!C416,D416),3),UserInput!$C$25:$M$25,0))</f>
        <v>12183</v>
      </c>
      <c r="F416" t="s">
        <v>89</v>
      </c>
      <c r="G416" s="14">
        <f t="shared" si="133"/>
        <v>1.3316019000000002E-2</v>
      </c>
      <c r="H416" s="63">
        <f t="shared" si="123"/>
        <v>3.05216471499</v>
      </c>
      <c r="I416" s="63">
        <f t="shared" si="124"/>
        <v>2.81926754268</v>
      </c>
      <c r="J416" s="63">
        <f t="shared" si="125"/>
        <v>5.4332949488150408</v>
      </c>
      <c r="K416" s="30">
        <f>IF(OR(LEFT($D416,5)="Solar",$D416="Wind"),INDEX(Land_Use[AVG],MATCH(LEFT($D416,5),Land_Use[Tech],0)),0)*$E416</f>
        <v>0</v>
      </c>
      <c r="L416" s="30">
        <f>IF(OR(LEFT($D416,5)="Solar",$D416="Wind"),INDEX(Land_Use[MIN],MATCH(LEFT($D416,5),Land_Use[Tech],0)),0)*$E416</f>
        <v>0</v>
      </c>
      <c r="M416" s="30">
        <f>IF(OR(LEFT($D416,5)="Solar",$D416="Wind"),INDEX(Land_Use[MAX],MATCH(LEFT($D416,5),Land_Use[Tech],0)),0)*$E416</f>
        <v>0</v>
      </c>
      <c r="N416" s="15">
        <f t="shared" si="118"/>
        <v>0</v>
      </c>
      <c r="O416" s="11">
        <f t="shared" si="119"/>
        <v>0</v>
      </c>
      <c r="P416" s="11">
        <f t="shared" si="120"/>
        <v>0</v>
      </c>
      <c r="Q416" s="11">
        <f t="shared" si="121"/>
        <v>0</v>
      </c>
      <c r="R416" s="11">
        <f t="shared" si="122"/>
        <v>0</v>
      </c>
      <c r="S416" s="30">
        <f t="shared" si="126"/>
        <v>0</v>
      </c>
      <c r="T416" s="30">
        <f t="shared" si="127"/>
        <v>0</v>
      </c>
      <c r="U416" s="30">
        <f t="shared" si="128"/>
        <v>0</v>
      </c>
      <c r="V416" s="30">
        <f t="shared" si="129"/>
        <v>0</v>
      </c>
      <c r="W416" s="30">
        <f t="shared" si="130"/>
        <v>0</v>
      </c>
      <c r="X416" s="30">
        <f t="shared" si="131"/>
        <v>0</v>
      </c>
      <c r="Z416" s="23" t="s">
        <v>76</v>
      </c>
      <c r="AA416" s="40" t="str">
        <f>IF(C416="Electricity",E416*SUMIFS(Electricity!S:S,Electricity!P:P,UserMade_Scenario!B416,Electricity!M:M,UserMade_Scenario!Z416,Electricity!O:O,UserMade_Scenario!D416),"")</f>
        <v/>
      </c>
      <c r="AB416" s="67">
        <v>1.0930000000000002E-6</v>
      </c>
      <c r="AC416" s="67" t="s">
        <v>90</v>
      </c>
      <c r="AD416" s="39">
        <f>IFERROR(INDEX(Assumptions!B$145:B$146,MATCH($D416,Assumptions!$A$145:$A$146,0)),0)</f>
        <v>-229.20999999999998</v>
      </c>
      <c r="AE416" s="39">
        <f>IFERROR(INDEX(Assumptions!C$145:C$146,MATCH($D416,Assumptions!$A$145:$A$146,0)),0)</f>
        <v>-211.71999999999997</v>
      </c>
      <c r="AF416" s="39">
        <f>IFERROR(INDEX(Assumptions!D$145:D$146,MATCH($D416,Assumptions!$A$145:$A$146,0)),0)</f>
        <v>-408.02697478991581</v>
      </c>
      <c r="AG416" s="68">
        <f>IFERROR(INDEX(WaterUseH2[Average Direct Water Consumption (Gal/ kg h2)],MATCH(LEFT(D416,3),WaterUseH2[Key],0)),0)</f>
        <v>0</v>
      </c>
      <c r="AH416">
        <v>14</v>
      </c>
      <c r="AI416">
        <v>1.4</v>
      </c>
      <c r="AJ416">
        <v>250</v>
      </c>
      <c r="AK416">
        <v>0.31</v>
      </c>
      <c r="AL416" s="63">
        <f>IFERROR(INDEX(Job_Training[[Solar]:[Wind]],MATCH(AL$1,Job_Training[[`Typical Entry Level Education`]:[`Typical Entry Level Education`]],0),MATCH(LEFT($D416,5),Job_Training[[#Headers],[Solar]:[Wind]],0)),0)</f>
        <v>0</v>
      </c>
      <c r="AM416" s="63">
        <f>IFERROR(INDEX(Job_Training[[Solar]:[Wind]],MATCH(AM$1,Job_Training[[`Typical Entry Level Education`]:[`Typical Entry Level Education`]],0),MATCH(LEFT($D416,5),Job_Training[[#Headers],[Solar]:[Wind]],0)),0)</f>
        <v>0</v>
      </c>
      <c r="AN416" s="63">
        <f>IFERROR(INDEX(Job_Training[[Solar]:[Wind]],MATCH(AN$1,Job_Training[[`Typical Entry Level Education`]:[`Typical Entry Level Education`]],0),MATCH(LEFT($D416,5),Job_Training[[#Headers],[Solar]:[Wind]],0)),0)</f>
        <v>0</v>
      </c>
      <c r="AO416" s="63">
        <f>IFERROR(INDEX(Job_Training[[Solar]:[Wind]],MATCH(AO$1,Job_Training[[`Typical Entry Level Education`]:[`Typical Entry Level Education`]],0),MATCH(LEFT($D416,5),Job_Training[[#Headers],[Solar]:[Wind]],0)),0)</f>
        <v>0</v>
      </c>
      <c r="AP416">
        <f t="shared" si="132"/>
        <v>0</v>
      </c>
      <c r="AQ416" s="63">
        <f>IF(AP416&gt;0,IFERROR(INDEX(Assumptions!$C$165:$D$165,MATCH(LEFT($D416,5),Job_Training[[#Headers],[Solar]:[Wind]],0)),0),0)</f>
        <v>0</v>
      </c>
      <c r="AR416">
        <f>IF(AP416&gt;0,IFERROR(INDEX(Assumptions!$C$166:$D$166,MATCH(LEFT($D416,5),Job_Training[[#Headers],[Solar]:[Wind]],0)),0),0)</f>
        <v>0</v>
      </c>
    </row>
    <row r="417" spans="1:44" hidden="1" x14ac:dyDescent="0.35">
      <c r="A417" t="str">
        <f>UserInput!$B$30</f>
        <v>State Policy Aligned</v>
      </c>
      <c r="B417">
        <v>2041</v>
      </c>
      <c r="C417" t="s">
        <v>87</v>
      </c>
      <c r="D417" t="s">
        <v>88</v>
      </c>
      <c r="E417" s="66">
        <f>INDEX(UserInput!$C$30:$M$50,MATCH(UserMade_Scenario!B417,UserInput!$A$30:$A$50,0),MATCH(LEFT(IF(RIGHT(C417,2)="H2",UserMade_Scenario!C417,D417),3),UserInput!$C$25:$M$25,0))</f>
        <v>12746</v>
      </c>
      <c r="F417" t="s">
        <v>89</v>
      </c>
      <c r="G417" s="14">
        <f t="shared" si="133"/>
        <v>1.3931378000000003E-2</v>
      </c>
      <c r="H417" s="63">
        <f t="shared" si="123"/>
        <v>3.1932111513800003</v>
      </c>
      <c r="I417" s="63">
        <f t="shared" si="124"/>
        <v>2.9495513501600001</v>
      </c>
      <c r="J417" s="63">
        <f t="shared" si="125"/>
        <v>5.6843780199947886</v>
      </c>
      <c r="K417" s="30">
        <f>IF(OR(LEFT($D417,5)="Solar",$D417="Wind"),INDEX(Land_Use[AVG],MATCH(LEFT($D417,5),Land_Use[Tech],0)),0)*$E417</f>
        <v>0</v>
      </c>
      <c r="L417" s="30">
        <f>IF(OR(LEFT($D417,5)="Solar",$D417="Wind"),INDEX(Land_Use[MIN],MATCH(LEFT($D417,5),Land_Use[Tech],0)),0)*$E417</f>
        <v>0</v>
      </c>
      <c r="M417" s="30">
        <f>IF(OR(LEFT($D417,5)="Solar",$D417="Wind"),INDEX(Land_Use[MAX],MATCH(LEFT($D417,5),Land_Use[Tech],0)),0)*$E417</f>
        <v>0</v>
      </c>
      <c r="N417" s="15">
        <f t="shared" si="118"/>
        <v>0</v>
      </c>
      <c r="O417" s="11">
        <f t="shared" si="119"/>
        <v>0</v>
      </c>
      <c r="P417" s="11">
        <f t="shared" si="120"/>
        <v>0</v>
      </c>
      <c r="Q417" s="11">
        <f t="shared" si="121"/>
        <v>0</v>
      </c>
      <c r="R417" s="11">
        <f t="shared" si="122"/>
        <v>0</v>
      </c>
      <c r="S417" s="30">
        <f t="shared" si="126"/>
        <v>0</v>
      </c>
      <c r="T417" s="30">
        <f t="shared" si="127"/>
        <v>0</v>
      </c>
      <c r="U417" s="30">
        <f t="shared" si="128"/>
        <v>0</v>
      </c>
      <c r="V417" s="30">
        <f t="shared" si="129"/>
        <v>0</v>
      </c>
      <c r="W417" s="30">
        <f t="shared" si="130"/>
        <v>0</v>
      </c>
      <c r="X417" s="30">
        <f t="shared" si="131"/>
        <v>0</v>
      </c>
      <c r="Z417" s="23" t="s">
        <v>76</v>
      </c>
      <c r="AA417" s="40" t="str">
        <f>IF(C417="Electricity",E417*SUMIFS(Electricity!S:S,Electricity!P:P,UserMade_Scenario!B417,Electricity!M:M,UserMade_Scenario!Z417,Electricity!O:O,UserMade_Scenario!D417),"")</f>
        <v/>
      </c>
      <c r="AB417" s="67">
        <v>1.0930000000000002E-6</v>
      </c>
      <c r="AC417" s="67" t="s">
        <v>90</v>
      </c>
      <c r="AD417" s="39">
        <f>IFERROR(INDEX(Assumptions!B$145:B$146,MATCH($D417,Assumptions!$A$145:$A$146,0)),0)</f>
        <v>-229.20999999999998</v>
      </c>
      <c r="AE417" s="39">
        <f>IFERROR(INDEX(Assumptions!C$145:C$146,MATCH($D417,Assumptions!$A$145:$A$146,0)),0)</f>
        <v>-211.71999999999997</v>
      </c>
      <c r="AF417" s="39">
        <f>IFERROR(INDEX(Assumptions!D$145:D$146,MATCH($D417,Assumptions!$A$145:$A$146,0)),0)</f>
        <v>-408.02697478991581</v>
      </c>
      <c r="AG417" s="68">
        <f>IFERROR(INDEX(WaterUseH2[Average Direct Water Consumption (Gal/ kg h2)],MATCH(LEFT(D417,3),WaterUseH2[Key],0)),0)</f>
        <v>0</v>
      </c>
      <c r="AH417">
        <v>14</v>
      </c>
      <c r="AI417">
        <v>1.4</v>
      </c>
      <c r="AJ417">
        <v>250</v>
      </c>
      <c r="AK417">
        <v>0.31</v>
      </c>
      <c r="AL417" s="63">
        <f>IFERROR(INDEX(Job_Training[[Solar]:[Wind]],MATCH(AL$1,Job_Training[[`Typical Entry Level Education`]:[`Typical Entry Level Education`]],0),MATCH(LEFT($D417,5),Job_Training[[#Headers],[Solar]:[Wind]],0)),0)</f>
        <v>0</v>
      </c>
      <c r="AM417" s="63">
        <f>IFERROR(INDEX(Job_Training[[Solar]:[Wind]],MATCH(AM$1,Job_Training[[`Typical Entry Level Education`]:[`Typical Entry Level Education`]],0),MATCH(LEFT($D417,5),Job_Training[[#Headers],[Solar]:[Wind]],0)),0)</f>
        <v>0</v>
      </c>
      <c r="AN417" s="63">
        <f>IFERROR(INDEX(Job_Training[[Solar]:[Wind]],MATCH(AN$1,Job_Training[[`Typical Entry Level Education`]:[`Typical Entry Level Education`]],0),MATCH(LEFT($D417,5),Job_Training[[#Headers],[Solar]:[Wind]],0)),0)</f>
        <v>0</v>
      </c>
      <c r="AO417" s="63">
        <f>IFERROR(INDEX(Job_Training[[Solar]:[Wind]],MATCH(AO$1,Job_Training[[`Typical Entry Level Education`]:[`Typical Entry Level Education`]],0),MATCH(LEFT($D417,5),Job_Training[[#Headers],[Solar]:[Wind]],0)),0)</f>
        <v>0</v>
      </c>
      <c r="AP417">
        <f t="shared" si="132"/>
        <v>0</v>
      </c>
      <c r="AQ417" s="63">
        <f>IF(AP417&gt;0,IFERROR(INDEX(Assumptions!$C$165:$D$165,MATCH(LEFT($D417,5),Job_Training[[#Headers],[Solar]:[Wind]],0)),0),0)</f>
        <v>0</v>
      </c>
      <c r="AR417">
        <f>IF(AP417&gt;0,IFERROR(INDEX(Assumptions!$C$166:$D$166,MATCH(LEFT($D417,5),Job_Training[[#Headers],[Solar]:[Wind]],0)),0),0)</f>
        <v>0</v>
      </c>
    </row>
    <row r="418" spans="1:44" hidden="1" x14ac:dyDescent="0.35">
      <c r="A418" t="str">
        <f>UserInput!$B$30</f>
        <v>State Policy Aligned</v>
      </c>
      <c r="B418">
        <v>2042</v>
      </c>
      <c r="C418" t="s">
        <v>87</v>
      </c>
      <c r="D418" t="s">
        <v>88</v>
      </c>
      <c r="E418" s="66">
        <f>INDEX(UserInput!$C$30:$M$50,MATCH(UserMade_Scenario!B418,UserInput!$A$30:$A$50,0),MATCH(LEFT(IF(RIGHT(C418,2)="H2",UserMade_Scenario!C418,D418),3),UserInput!$C$25:$M$25,0))</f>
        <v>13309</v>
      </c>
      <c r="F418" t="s">
        <v>89</v>
      </c>
      <c r="G418" s="14">
        <f t="shared" si="133"/>
        <v>1.4546737000000002E-2</v>
      </c>
      <c r="H418" s="63">
        <f t="shared" si="123"/>
        <v>3.3342575877700003</v>
      </c>
      <c r="I418" s="63">
        <f t="shared" si="124"/>
        <v>3.0798351576400003</v>
      </c>
      <c r="J418" s="63">
        <f t="shared" si="125"/>
        <v>5.9354610911745365</v>
      </c>
      <c r="K418" s="30">
        <f>IF(OR(LEFT($D418,5)="Solar",$D418="Wind"),INDEX(Land_Use[AVG],MATCH(LEFT($D418,5),Land_Use[Tech],0)),0)*$E418</f>
        <v>0</v>
      </c>
      <c r="L418" s="30">
        <f>IF(OR(LEFT($D418,5)="Solar",$D418="Wind"),INDEX(Land_Use[MIN],MATCH(LEFT($D418,5),Land_Use[Tech],0)),0)*$E418</f>
        <v>0</v>
      </c>
      <c r="M418" s="30">
        <f>IF(OR(LEFT($D418,5)="Solar",$D418="Wind"),INDEX(Land_Use[MAX],MATCH(LEFT($D418,5),Land_Use[Tech],0)),0)*$E418</f>
        <v>0</v>
      </c>
      <c r="N418" s="15">
        <f t="shared" si="118"/>
        <v>0</v>
      </c>
      <c r="O418" s="11">
        <f t="shared" si="119"/>
        <v>0</v>
      </c>
      <c r="P418" s="11">
        <f t="shared" si="120"/>
        <v>0</v>
      </c>
      <c r="Q418" s="11">
        <f t="shared" si="121"/>
        <v>0</v>
      </c>
      <c r="R418" s="11">
        <f t="shared" si="122"/>
        <v>0</v>
      </c>
      <c r="S418" s="30">
        <f t="shared" si="126"/>
        <v>0</v>
      </c>
      <c r="T418" s="30">
        <f t="shared" si="127"/>
        <v>0</v>
      </c>
      <c r="U418" s="30">
        <f t="shared" si="128"/>
        <v>0</v>
      </c>
      <c r="V418" s="30">
        <f t="shared" si="129"/>
        <v>0</v>
      </c>
      <c r="W418" s="30">
        <f t="shared" si="130"/>
        <v>0</v>
      </c>
      <c r="X418" s="30">
        <f t="shared" si="131"/>
        <v>0</v>
      </c>
      <c r="Z418" s="23" t="s">
        <v>76</v>
      </c>
      <c r="AA418" s="40" t="str">
        <f>IF(C418="Electricity",E418*SUMIFS(Electricity!S:S,Electricity!P:P,UserMade_Scenario!B418,Electricity!M:M,UserMade_Scenario!Z418,Electricity!O:O,UserMade_Scenario!D418),"")</f>
        <v/>
      </c>
      <c r="AB418" s="67">
        <v>1.0930000000000002E-6</v>
      </c>
      <c r="AC418" s="67" t="s">
        <v>90</v>
      </c>
      <c r="AD418" s="39">
        <f>IFERROR(INDEX(Assumptions!B$145:B$146,MATCH($D418,Assumptions!$A$145:$A$146,0)),0)</f>
        <v>-229.20999999999998</v>
      </c>
      <c r="AE418" s="39">
        <f>IFERROR(INDEX(Assumptions!C$145:C$146,MATCH($D418,Assumptions!$A$145:$A$146,0)),0)</f>
        <v>-211.71999999999997</v>
      </c>
      <c r="AF418" s="39">
        <f>IFERROR(INDEX(Assumptions!D$145:D$146,MATCH($D418,Assumptions!$A$145:$A$146,0)),0)</f>
        <v>-408.02697478991581</v>
      </c>
      <c r="AG418" s="68">
        <f>IFERROR(INDEX(WaterUseH2[Average Direct Water Consumption (Gal/ kg h2)],MATCH(LEFT(D418,3),WaterUseH2[Key],0)),0)</f>
        <v>0</v>
      </c>
      <c r="AH418">
        <v>14</v>
      </c>
      <c r="AI418">
        <v>1.4</v>
      </c>
      <c r="AJ418">
        <v>250</v>
      </c>
      <c r="AK418">
        <v>0.31</v>
      </c>
      <c r="AL418" s="63">
        <f>IFERROR(INDEX(Job_Training[[Solar]:[Wind]],MATCH(AL$1,Job_Training[[`Typical Entry Level Education`]:[`Typical Entry Level Education`]],0),MATCH(LEFT($D418,5),Job_Training[[#Headers],[Solar]:[Wind]],0)),0)</f>
        <v>0</v>
      </c>
      <c r="AM418" s="63">
        <f>IFERROR(INDEX(Job_Training[[Solar]:[Wind]],MATCH(AM$1,Job_Training[[`Typical Entry Level Education`]:[`Typical Entry Level Education`]],0),MATCH(LEFT($D418,5),Job_Training[[#Headers],[Solar]:[Wind]],0)),0)</f>
        <v>0</v>
      </c>
      <c r="AN418" s="63">
        <f>IFERROR(INDEX(Job_Training[[Solar]:[Wind]],MATCH(AN$1,Job_Training[[`Typical Entry Level Education`]:[`Typical Entry Level Education`]],0),MATCH(LEFT($D418,5),Job_Training[[#Headers],[Solar]:[Wind]],0)),0)</f>
        <v>0</v>
      </c>
      <c r="AO418" s="63">
        <f>IFERROR(INDEX(Job_Training[[Solar]:[Wind]],MATCH(AO$1,Job_Training[[`Typical Entry Level Education`]:[`Typical Entry Level Education`]],0),MATCH(LEFT($D418,5),Job_Training[[#Headers],[Solar]:[Wind]],0)),0)</f>
        <v>0</v>
      </c>
      <c r="AP418">
        <f t="shared" si="132"/>
        <v>0</v>
      </c>
      <c r="AQ418" s="63">
        <f>IF(AP418&gt;0,IFERROR(INDEX(Assumptions!$C$165:$D$165,MATCH(LEFT($D418,5),Job_Training[[#Headers],[Solar]:[Wind]],0)),0),0)</f>
        <v>0</v>
      </c>
      <c r="AR418">
        <f>IF(AP418&gt;0,IFERROR(INDEX(Assumptions!$C$166:$D$166,MATCH(LEFT($D418,5),Job_Training[[#Headers],[Solar]:[Wind]],0)),0),0)</f>
        <v>0</v>
      </c>
    </row>
    <row r="419" spans="1:44" hidden="1" x14ac:dyDescent="0.35">
      <c r="A419" t="str">
        <f>UserInput!$B$30</f>
        <v>State Policy Aligned</v>
      </c>
      <c r="B419">
        <v>2043</v>
      </c>
      <c r="C419" t="s">
        <v>87</v>
      </c>
      <c r="D419" t="s">
        <v>88</v>
      </c>
      <c r="E419" s="66">
        <f>INDEX(UserInput!$C$30:$M$50,MATCH(UserMade_Scenario!B419,UserInput!$A$30:$A$50,0),MATCH(LEFT(IF(RIGHT(C419,2)="H2",UserMade_Scenario!C419,D419),3),UserInput!$C$25:$M$25,0))</f>
        <v>13873</v>
      </c>
      <c r="F419" t="s">
        <v>89</v>
      </c>
      <c r="G419" s="14">
        <f t="shared" si="133"/>
        <v>1.5163189000000002E-2</v>
      </c>
      <c r="H419" s="63">
        <f t="shared" si="123"/>
        <v>3.4755545506900001</v>
      </c>
      <c r="I419" s="63">
        <f t="shared" si="124"/>
        <v>3.21035037508</v>
      </c>
      <c r="J419" s="63">
        <f t="shared" si="125"/>
        <v>6.1869901358377293</v>
      </c>
      <c r="K419" s="30">
        <f>IF(OR(LEFT($D419,5)="Solar",$D419="Wind"),INDEX(Land_Use[AVG],MATCH(LEFT($D419,5),Land_Use[Tech],0)),0)*$E419</f>
        <v>0</v>
      </c>
      <c r="L419" s="30">
        <f>IF(OR(LEFT($D419,5)="Solar",$D419="Wind"),INDEX(Land_Use[MIN],MATCH(LEFT($D419,5),Land_Use[Tech],0)),0)*$E419</f>
        <v>0</v>
      </c>
      <c r="M419" s="30">
        <f>IF(OR(LEFT($D419,5)="Solar",$D419="Wind"),INDEX(Land_Use[MAX],MATCH(LEFT($D419,5),Land_Use[Tech],0)),0)*$E419</f>
        <v>0</v>
      </c>
      <c r="N419" s="15">
        <f t="shared" si="118"/>
        <v>0</v>
      </c>
      <c r="O419" s="11">
        <f t="shared" si="119"/>
        <v>0</v>
      </c>
      <c r="P419" s="11">
        <f t="shared" si="120"/>
        <v>0</v>
      </c>
      <c r="Q419" s="11">
        <f t="shared" si="121"/>
        <v>0</v>
      </c>
      <c r="R419" s="11">
        <f t="shared" si="122"/>
        <v>0</v>
      </c>
      <c r="S419" s="30">
        <f t="shared" si="126"/>
        <v>0</v>
      </c>
      <c r="T419" s="30">
        <f t="shared" si="127"/>
        <v>0</v>
      </c>
      <c r="U419" s="30">
        <f t="shared" si="128"/>
        <v>0</v>
      </c>
      <c r="V419" s="30">
        <f t="shared" si="129"/>
        <v>0</v>
      </c>
      <c r="W419" s="30">
        <f t="shared" si="130"/>
        <v>0</v>
      </c>
      <c r="X419" s="30">
        <f t="shared" si="131"/>
        <v>0</v>
      </c>
      <c r="Z419" s="23" t="s">
        <v>76</v>
      </c>
      <c r="AA419" s="40" t="str">
        <f>IF(C419="Electricity",E419*SUMIFS(Electricity!S:S,Electricity!P:P,UserMade_Scenario!B419,Electricity!M:M,UserMade_Scenario!Z419,Electricity!O:O,UserMade_Scenario!D419),"")</f>
        <v/>
      </c>
      <c r="AB419" s="67">
        <v>1.0930000000000002E-6</v>
      </c>
      <c r="AC419" s="67" t="s">
        <v>90</v>
      </c>
      <c r="AD419" s="39">
        <f>IFERROR(INDEX(Assumptions!B$145:B$146,MATCH($D419,Assumptions!$A$145:$A$146,0)),0)</f>
        <v>-229.20999999999998</v>
      </c>
      <c r="AE419" s="39">
        <f>IFERROR(INDEX(Assumptions!C$145:C$146,MATCH($D419,Assumptions!$A$145:$A$146,0)),0)</f>
        <v>-211.71999999999997</v>
      </c>
      <c r="AF419" s="39">
        <f>IFERROR(INDEX(Assumptions!D$145:D$146,MATCH($D419,Assumptions!$A$145:$A$146,0)),0)</f>
        <v>-408.02697478991581</v>
      </c>
      <c r="AG419" s="68">
        <f>IFERROR(INDEX(WaterUseH2[Average Direct Water Consumption (Gal/ kg h2)],MATCH(LEFT(D419,3),WaterUseH2[Key],0)),0)</f>
        <v>0</v>
      </c>
      <c r="AH419">
        <v>14</v>
      </c>
      <c r="AI419">
        <v>1.4</v>
      </c>
      <c r="AJ419">
        <v>250</v>
      </c>
      <c r="AK419">
        <v>0.31</v>
      </c>
      <c r="AL419" s="63">
        <f>IFERROR(INDEX(Job_Training[[Solar]:[Wind]],MATCH(AL$1,Job_Training[[`Typical Entry Level Education`]:[`Typical Entry Level Education`]],0),MATCH(LEFT($D419,5),Job_Training[[#Headers],[Solar]:[Wind]],0)),0)</f>
        <v>0</v>
      </c>
      <c r="AM419" s="63">
        <f>IFERROR(INDEX(Job_Training[[Solar]:[Wind]],MATCH(AM$1,Job_Training[[`Typical Entry Level Education`]:[`Typical Entry Level Education`]],0),MATCH(LEFT($D419,5),Job_Training[[#Headers],[Solar]:[Wind]],0)),0)</f>
        <v>0</v>
      </c>
      <c r="AN419" s="63">
        <f>IFERROR(INDEX(Job_Training[[Solar]:[Wind]],MATCH(AN$1,Job_Training[[`Typical Entry Level Education`]:[`Typical Entry Level Education`]],0),MATCH(LEFT($D419,5),Job_Training[[#Headers],[Solar]:[Wind]],0)),0)</f>
        <v>0</v>
      </c>
      <c r="AO419" s="63">
        <f>IFERROR(INDEX(Job_Training[[Solar]:[Wind]],MATCH(AO$1,Job_Training[[`Typical Entry Level Education`]:[`Typical Entry Level Education`]],0),MATCH(LEFT($D419,5),Job_Training[[#Headers],[Solar]:[Wind]],0)),0)</f>
        <v>0</v>
      </c>
      <c r="AP419">
        <f t="shared" si="132"/>
        <v>0</v>
      </c>
      <c r="AQ419" s="63">
        <f>IF(AP419&gt;0,IFERROR(INDEX(Assumptions!$C$165:$D$165,MATCH(LEFT($D419,5),Job_Training[[#Headers],[Solar]:[Wind]],0)),0),0)</f>
        <v>0</v>
      </c>
      <c r="AR419">
        <f>IF(AP419&gt;0,IFERROR(INDEX(Assumptions!$C$166:$D$166,MATCH(LEFT($D419,5),Job_Training[[#Headers],[Solar]:[Wind]],0)),0),0)</f>
        <v>0</v>
      </c>
    </row>
    <row r="420" spans="1:44" hidden="1" x14ac:dyDescent="0.35">
      <c r="A420" t="str">
        <f>UserInput!$B$30</f>
        <v>State Policy Aligned</v>
      </c>
      <c r="B420">
        <v>2044</v>
      </c>
      <c r="C420" t="s">
        <v>87</v>
      </c>
      <c r="D420" t="s">
        <v>88</v>
      </c>
      <c r="E420" s="66">
        <f>INDEX(UserInput!$C$30:$M$50,MATCH(UserMade_Scenario!B420,UserInput!$A$30:$A$50,0),MATCH(LEFT(IF(RIGHT(C420,2)="H2",UserMade_Scenario!C420,D420),3),UserInput!$C$25:$M$25,0))</f>
        <v>14436</v>
      </c>
      <c r="F420" t="s">
        <v>89</v>
      </c>
      <c r="G420" s="14">
        <f t="shared" si="133"/>
        <v>1.5778548000000003E-2</v>
      </c>
      <c r="H420" s="63">
        <f t="shared" si="123"/>
        <v>3.6166009870800004</v>
      </c>
      <c r="I420" s="63">
        <f t="shared" si="124"/>
        <v>3.3406341825600001</v>
      </c>
      <c r="J420" s="63">
        <f t="shared" si="125"/>
        <v>6.438073207017478</v>
      </c>
      <c r="K420" s="30">
        <f>IF(OR(LEFT($D420,5)="Solar",$D420="Wind"),INDEX(Land_Use[AVG],MATCH(LEFT($D420,5),Land_Use[Tech],0)),0)*$E420</f>
        <v>0</v>
      </c>
      <c r="L420" s="30">
        <f>IF(OR(LEFT($D420,5)="Solar",$D420="Wind"),INDEX(Land_Use[MIN],MATCH(LEFT($D420,5),Land_Use[Tech],0)),0)*$E420</f>
        <v>0</v>
      </c>
      <c r="M420" s="30">
        <f>IF(OR(LEFT($D420,5)="Solar",$D420="Wind"),INDEX(Land_Use[MAX],MATCH(LEFT($D420,5),Land_Use[Tech],0)),0)*$E420</f>
        <v>0</v>
      </c>
      <c r="N420" s="15">
        <f t="shared" si="118"/>
        <v>0</v>
      </c>
      <c r="O420" s="11">
        <f t="shared" si="119"/>
        <v>0</v>
      </c>
      <c r="P420" s="11">
        <f t="shared" si="120"/>
        <v>0</v>
      </c>
      <c r="Q420" s="11">
        <f t="shared" si="121"/>
        <v>0</v>
      </c>
      <c r="R420" s="11">
        <f t="shared" si="122"/>
        <v>0</v>
      </c>
      <c r="S420" s="30">
        <f t="shared" si="126"/>
        <v>0</v>
      </c>
      <c r="T420" s="30">
        <f t="shared" si="127"/>
        <v>0</v>
      </c>
      <c r="U420" s="30">
        <f t="shared" si="128"/>
        <v>0</v>
      </c>
      <c r="V420" s="30">
        <f t="shared" si="129"/>
        <v>0</v>
      </c>
      <c r="W420" s="30">
        <f t="shared" si="130"/>
        <v>0</v>
      </c>
      <c r="X420" s="30">
        <f t="shared" si="131"/>
        <v>0</v>
      </c>
      <c r="Z420" s="23" t="s">
        <v>76</v>
      </c>
      <c r="AA420" s="40" t="str">
        <f>IF(C420="Electricity",E420*SUMIFS(Electricity!S:S,Electricity!P:P,UserMade_Scenario!B420,Electricity!M:M,UserMade_Scenario!Z420,Electricity!O:O,UserMade_Scenario!D420),"")</f>
        <v/>
      </c>
      <c r="AB420" s="67">
        <v>1.0930000000000002E-6</v>
      </c>
      <c r="AC420" s="67" t="s">
        <v>90</v>
      </c>
      <c r="AD420" s="39">
        <f>IFERROR(INDEX(Assumptions!B$145:B$146,MATCH($D420,Assumptions!$A$145:$A$146,0)),0)</f>
        <v>-229.20999999999998</v>
      </c>
      <c r="AE420" s="39">
        <f>IFERROR(INDEX(Assumptions!C$145:C$146,MATCH($D420,Assumptions!$A$145:$A$146,0)),0)</f>
        <v>-211.71999999999997</v>
      </c>
      <c r="AF420" s="39">
        <f>IFERROR(INDEX(Assumptions!D$145:D$146,MATCH($D420,Assumptions!$A$145:$A$146,0)),0)</f>
        <v>-408.02697478991581</v>
      </c>
      <c r="AG420" s="68">
        <f>IFERROR(INDEX(WaterUseH2[Average Direct Water Consumption (Gal/ kg h2)],MATCH(LEFT(D420,3),WaterUseH2[Key],0)),0)</f>
        <v>0</v>
      </c>
      <c r="AH420">
        <v>14</v>
      </c>
      <c r="AI420">
        <v>1.4</v>
      </c>
      <c r="AJ420">
        <v>250</v>
      </c>
      <c r="AK420">
        <v>0.31</v>
      </c>
      <c r="AL420" s="63">
        <f>IFERROR(INDEX(Job_Training[[Solar]:[Wind]],MATCH(AL$1,Job_Training[[`Typical Entry Level Education`]:[`Typical Entry Level Education`]],0),MATCH(LEFT($D420,5),Job_Training[[#Headers],[Solar]:[Wind]],0)),0)</f>
        <v>0</v>
      </c>
      <c r="AM420" s="63">
        <f>IFERROR(INDEX(Job_Training[[Solar]:[Wind]],MATCH(AM$1,Job_Training[[`Typical Entry Level Education`]:[`Typical Entry Level Education`]],0),MATCH(LEFT($D420,5),Job_Training[[#Headers],[Solar]:[Wind]],0)),0)</f>
        <v>0</v>
      </c>
      <c r="AN420" s="63">
        <f>IFERROR(INDEX(Job_Training[[Solar]:[Wind]],MATCH(AN$1,Job_Training[[`Typical Entry Level Education`]:[`Typical Entry Level Education`]],0),MATCH(LEFT($D420,5),Job_Training[[#Headers],[Solar]:[Wind]],0)),0)</f>
        <v>0</v>
      </c>
      <c r="AO420" s="63">
        <f>IFERROR(INDEX(Job_Training[[Solar]:[Wind]],MATCH(AO$1,Job_Training[[`Typical Entry Level Education`]:[`Typical Entry Level Education`]],0),MATCH(LEFT($D420,5),Job_Training[[#Headers],[Solar]:[Wind]],0)),0)</f>
        <v>0</v>
      </c>
      <c r="AP420">
        <f t="shared" si="132"/>
        <v>0</v>
      </c>
      <c r="AQ420" s="63">
        <f>IF(AP420&gt;0,IFERROR(INDEX(Assumptions!$C$165:$D$165,MATCH(LEFT($D420,5),Job_Training[[#Headers],[Solar]:[Wind]],0)),0),0)</f>
        <v>0</v>
      </c>
      <c r="AR420">
        <f>IF(AP420&gt;0,IFERROR(INDEX(Assumptions!$C$166:$D$166,MATCH(LEFT($D420,5),Job_Training[[#Headers],[Solar]:[Wind]],0)),0),0)</f>
        <v>0</v>
      </c>
    </row>
    <row r="421" spans="1:44" hidden="1" x14ac:dyDescent="0.35">
      <c r="A421" t="str">
        <f>UserInput!$B$30</f>
        <v>State Policy Aligned</v>
      </c>
      <c r="B421">
        <v>2045</v>
      </c>
      <c r="C421" t="s">
        <v>87</v>
      </c>
      <c r="D421" t="s">
        <v>88</v>
      </c>
      <c r="E421" s="66">
        <f>INDEX(UserInput!$C$30:$M$50,MATCH(UserMade_Scenario!B421,UserInput!$A$30:$A$50,0),MATCH(LEFT(IF(RIGHT(C421,2)="H2",UserMade_Scenario!C421,D421),3),UserInput!$C$25:$M$25,0))</f>
        <v>14999</v>
      </c>
      <c r="F421" t="s">
        <v>89</v>
      </c>
      <c r="G421" s="14">
        <f t="shared" si="133"/>
        <v>1.6393907000000003E-2</v>
      </c>
      <c r="H421" s="63">
        <f t="shared" si="123"/>
        <v>3.7576474234700004</v>
      </c>
      <c r="I421" s="63">
        <f t="shared" si="124"/>
        <v>3.4709179900400002</v>
      </c>
      <c r="J421" s="63">
        <f t="shared" si="125"/>
        <v>6.6891562781972258</v>
      </c>
      <c r="K421" s="30">
        <f>IF(OR(LEFT($D421,5)="Solar",$D421="Wind"),INDEX(Land_Use[AVG],MATCH(LEFT($D421,5),Land_Use[Tech],0)),0)*$E421</f>
        <v>0</v>
      </c>
      <c r="L421" s="30">
        <f>IF(OR(LEFT($D421,5)="Solar",$D421="Wind"),INDEX(Land_Use[MIN],MATCH(LEFT($D421,5),Land_Use[Tech],0)),0)*$E421</f>
        <v>0</v>
      </c>
      <c r="M421" s="30">
        <f>IF(OR(LEFT($D421,5)="Solar",$D421="Wind"),INDEX(Land_Use[MAX],MATCH(LEFT($D421,5),Land_Use[Tech],0)),0)*$E421</f>
        <v>0</v>
      </c>
      <c r="N421" s="15">
        <f t="shared" si="118"/>
        <v>0</v>
      </c>
      <c r="O421" s="11">
        <f t="shared" si="119"/>
        <v>0</v>
      </c>
      <c r="P421" s="11">
        <f t="shared" si="120"/>
        <v>0</v>
      </c>
      <c r="Q421" s="11">
        <f t="shared" si="121"/>
        <v>0</v>
      </c>
      <c r="R421" s="11">
        <f t="shared" si="122"/>
        <v>0</v>
      </c>
      <c r="S421" s="30">
        <f t="shared" si="126"/>
        <v>0</v>
      </c>
      <c r="T421" s="30">
        <f t="shared" si="127"/>
        <v>0</v>
      </c>
      <c r="U421" s="30">
        <f t="shared" si="128"/>
        <v>0</v>
      </c>
      <c r="V421" s="30">
        <f t="shared" si="129"/>
        <v>0</v>
      </c>
      <c r="W421" s="30">
        <f t="shared" si="130"/>
        <v>0</v>
      </c>
      <c r="X421" s="30">
        <f t="shared" si="131"/>
        <v>0</v>
      </c>
      <c r="Z421" s="23" t="s">
        <v>76</v>
      </c>
      <c r="AA421" s="40" t="str">
        <f>IF(C421="Electricity",E421*SUMIFS(Electricity!S:S,Electricity!P:P,UserMade_Scenario!B421,Electricity!M:M,UserMade_Scenario!Z421,Electricity!O:O,UserMade_Scenario!D421),"")</f>
        <v/>
      </c>
      <c r="AB421" s="67">
        <v>1.0930000000000002E-6</v>
      </c>
      <c r="AC421" s="67" t="s">
        <v>90</v>
      </c>
      <c r="AD421" s="39">
        <f>IFERROR(INDEX(Assumptions!B$145:B$146,MATCH($D421,Assumptions!$A$145:$A$146,0)),0)</f>
        <v>-229.20999999999998</v>
      </c>
      <c r="AE421" s="39">
        <f>IFERROR(INDEX(Assumptions!C$145:C$146,MATCH($D421,Assumptions!$A$145:$A$146,0)),0)</f>
        <v>-211.71999999999997</v>
      </c>
      <c r="AF421" s="39">
        <f>IFERROR(INDEX(Assumptions!D$145:D$146,MATCH($D421,Assumptions!$A$145:$A$146,0)),0)</f>
        <v>-408.02697478991581</v>
      </c>
      <c r="AG421" s="68">
        <f>IFERROR(INDEX(WaterUseH2[Average Direct Water Consumption (Gal/ kg h2)],MATCH(LEFT(D421,3),WaterUseH2[Key],0)),0)</f>
        <v>0</v>
      </c>
      <c r="AH421">
        <v>14</v>
      </c>
      <c r="AI421">
        <v>1.4</v>
      </c>
      <c r="AJ421">
        <v>250</v>
      </c>
      <c r="AK421">
        <v>0.31</v>
      </c>
      <c r="AL421" s="63">
        <f>IFERROR(INDEX(Job_Training[[Solar]:[Wind]],MATCH(AL$1,Job_Training[[`Typical Entry Level Education`]:[`Typical Entry Level Education`]],0),MATCH(LEFT($D421,5),Job_Training[[#Headers],[Solar]:[Wind]],0)),0)</f>
        <v>0</v>
      </c>
      <c r="AM421" s="63">
        <f>IFERROR(INDEX(Job_Training[[Solar]:[Wind]],MATCH(AM$1,Job_Training[[`Typical Entry Level Education`]:[`Typical Entry Level Education`]],0),MATCH(LEFT($D421,5),Job_Training[[#Headers],[Solar]:[Wind]],0)),0)</f>
        <v>0</v>
      </c>
      <c r="AN421" s="63">
        <f>IFERROR(INDEX(Job_Training[[Solar]:[Wind]],MATCH(AN$1,Job_Training[[`Typical Entry Level Education`]:[`Typical Entry Level Education`]],0),MATCH(LEFT($D421,5),Job_Training[[#Headers],[Solar]:[Wind]],0)),0)</f>
        <v>0</v>
      </c>
      <c r="AO421" s="63">
        <f>IFERROR(INDEX(Job_Training[[Solar]:[Wind]],MATCH(AO$1,Job_Training[[`Typical Entry Level Education`]:[`Typical Entry Level Education`]],0),MATCH(LEFT($D421,5),Job_Training[[#Headers],[Solar]:[Wind]],0)),0)</f>
        <v>0</v>
      </c>
      <c r="AP421">
        <f t="shared" si="132"/>
        <v>0</v>
      </c>
      <c r="AQ421" s="63">
        <f>IF(AP421&gt;0,IFERROR(INDEX(Assumptions!$C$165:$D$165,MATCH(LEFT($D421,5),Job_Training[[#Headers],[Solar]:[Wind]],0)),0),0)</f>
        <v>0</v>
      </c>
      <c r="AR421">
        <f>IF(AP421&gt;0,IFERROR(INDEX(Assumptions!$C$166:$D$166,MATCH(LEFT($D421,5),Job_Training[[#Headers],[Solar]:[Wind]],0)),0),0)</f>
        <v>0</v>
      </c>
    </row>
    <row r="422" spans="1:44" hidden="1" x14ac:dyDescent="0.35">
      <c r="A422" t="str">
        <f>UserInput!$B$30</f>
        <v>State Policy Aligned</v>
      </c>
      <c r="B422">
        <v>2025</v>
      </c>
      <c r="C422" t="s">
        <v>87</v>
      </c>
      <c r="D422" t="s">
        <v>91</v>
      </c>
      <c r="E422" s="66">
        <f>INDEX(UserInput!$C$30:$M$50,MATCH(UserMade_Scenario!B422,UserInput!$A$30:$A$50,0),MATCH(LEFT(IF(RIGHT(C422,2)="H2",UserMade_Scenario!C422,D422),3),UserInput!$C$25:$M$25,0))</f>
        <v>659</v>
      </c>
      <c r="F422" t="s">
        <v>89</v>
      </c>
      <c r="G422" s="14">
        <f t="shared" si="133"/>
        <v>7.2028700000000001E-4</v>
      </c>
      <c r="H422" s="63">
        <f t="shared" si="123"/>
        <v>2.4641018269999995E-2</v>
      </c>
      <c r="I422" s="63">
        <f t="shared" si="124"/>
        <v>2.4641018269999995E-2</v>
      </c>
      <c r="J422" s="63">
        <f t="shared" si="125"/>
        <v>9.5989047054999985E-2</v>
      </c>
      <c r="K422" s="30">
        <f>IF(OR(LEFT($D422,5)="Solar",$D422="Wind"),INDEX(Land_Use[AVG],MATCH(LEFT($D422,5),Land_Use[Tech],0)),0)*$E422</f>
        <v>0</v>
      </c>
      <c r="L422" s="30">
        <f>IF(OR(LEFT($D422,5)="Solar",$D422="Wind"),INDEX(Land_Use[MIN],MATCH(LEFT($D422,5),Land_Use[Tech],0)),0)*$E422</f>
        <v>0</v>
      </c>
      <c r="M422" s="30">
        <f>IF(OR(LEFT($D422,5)="Solar",$D422="Wind"),INDEX(Land_Use[MAX],MATCH(LEFT($D422,5),Land_Use[Tech],0)),0)*$E422</f>
        <v>0</v>
      </c>
      <c r="N422" s="15">
        <f t="shared" si="118"/>
        <v>0</v>
      </c>
      <c r="O422" s="11">
        <f t="shared" si="119"/>
        <v>0</v>
      </c>
      <c r="P422" s="11">
        <f t="shared" si="120"/>
        <v>0</v>
      </c>
      <c r="Q422" s="11">
        <f t="shared" si="121"/>
        <v>0</v>
      </c>
      <c r="R422" s="11">
        <f t="shared" si="122"/>
        <v>0</v>
      </c>
      <c r="S422" s="30">
        <f t="shared" si="126"/>
        <v>0</v>
      </c>
      <c r="T422" s="30">
        <f t="shared" si="127"/>
        <v>0</v>
      </c>
      <c r="U422" s="30">
        <f t="shared" si="128"/>
        <v>0</v>
      </c>
      <c r="V422" s="30">
        <f t="shared" si="129"/>
        <v>0</v>
      </c>
      <c r="W422" s="30">
        <f t="shared" si="130"/>
        <v>0</v>
      </c>
      <c r="X422" s="30">
        <f t="shared" si="131"/>
        <v>0</v>
      </c>
      <c r="Z422" s="23" t="s">
        <v>76</v>
      </c>
      <c r="AA422" s="40" t="str">
        <f>IF(C422="Electricity",E422*SUMIFS(Electricity!S:S,Electricity!P:P,UserMade_Scenario!B422,Electricity!M:M,UserMade_Scenario!Z422,Electricity!O:O,UserMade_Scenario!D422),"")</f>
        <v/>
      </c>
      <c r="AB422" s="67">
        <v>1.093E-6</v>
      </c>
      <c r="AC422" s="67" t="s">
        <v>90</v>
      </c>
      <c r="AD422" s="39">
        <f>IFERROR(INDEX(Assumptions!B$145:B$146,MATCH($D422,Assumptions!$A$145:$A$146,0)),0)</f>
        <v>-34.209999999999994</v>
      </c>
      <c r="AE422" s="39">
        <f>IFERROR(INDEX(Assumptions!C$145:C$146,MATCH($D422,Assumptions!$A$145:$A$146,0)),0)</f>
        <v>-34.209999999999994</v>
      </c>
      <c r="AF422" s="39">
        <f>IFERROR(INDEX(Assumptions!D$145:D$146,MATCH($D422,Assumptions!$A$145:$A$146,0)),0)</f>
        <v>-133.26499999999999</v>
      </c>
      <c r="AG422" s="68">
        <f>IFERROR(INDEX(WaterUseH2[Average Direct Water Consumption (Gal/ kg h2)],MATCH(LEFT(D422,3),WaterUseH2[Key],0)),0)</f>
        <v>0</v>
      </c>
      <c r="AH422">
        <v>14</v>
      </c>
      <c r="AI422">
        <v>1.4</v>
      </c>
      <c r="AJ422">
        <v>250</v>
      </c>
      <c r="AK422">
        <v>0.31</v>
      </c>
      <c r="AL422" s="63">
        <f>IFERROR(INDEX(Job_Training[[Solar]:[Wind]],MATCH(AL$1,Job_Training[[`Typical Entry Level Education`]:[`Typical Entry Level Education`]],0),MATCH(LEFT($D422,5),Job_Training[[#Headers],[Solar]:[Wind]],0)),0)</f>
        <v>0</v>
      </c>
      <c r="AM422" s="63">
        <f>IFERROR(INDEX(Job_Training[[Solar]:[Wind]],MATCH(AM$1,Job_Training[[`Typical Entry Level Education`]:[`Typical Entry Level Education`]],0),MATCH(LEFT($D422,5),Job_Training[[#Headers],[Solar]:[Wind]],0)),0)</f>
        <v>0</v>
      </c>
      <c r="AN422" s="63">
        <f>IFERROR(INDEX(Job_Training[[Solar]:[Wind]],MATCH(AN$1,Job_Training[[`Typical Entry Level Education`]:[`Typical Entry Level Education`]],0),MATCH(LEFT($D422,5),Job_Training[[#Headers],[Solar]:[Wind]],0)),0)</f>
        <v>0</v>
      </c>
      <c r="AO422" s="63">
        <f>IFERROR(INDEX(Job_Training[[Solar]:[Wind]],MATCH(AO$1,Job_Training[[`Typical Entry Level Education`]:[`Typical Entry Level Education`]],0),MATCH(LEFT($D422,5),Job_Training[[#Headers],[Solar]:[Wind]],0)),0)</f>
        <v>0</v>
      </c>
      <c r="AP422">
        <f t="shared" si="132"/>
        <v>0</v>
      </c>
      <c r="AQ422" s="63">
        <f>IF(AP422&gt;0,IFERROR(INDEX(Assumptions!$C$165:$D$165,MATCH(LEFT($D422,5),Job_Training[[#Headers],[Solar]:[Wind]],0)),0),0)</f>
        <v>0</v>
      </c>
      <c r="AR422">
        <f>IF(AP422&gt;0,IFERROR(INDEX(Assumptions!$C$166:$D$166,MATCH(LEFT($D422,5),Job_Training[[#Headers],[Solar]:[Wind]],0)),0),0)</f>
        <v>0</v>
      </c>
    </row>
    <row r="423" spans="1:44" hidden="1" x14ac:dyDescent="0.35">
      <c r="A423" t="str">
        <f>UserInput!$B$30</f>
        <v>State Policy Aligned</v>
      </c>
      <c r="B423">
        <v>2026</v>
      </c>
      <c r="C423" t="s">
        <v>87</v>
      </c>
      <c r="D423" t="s">
        <v>91</v>
      </c>
      <c r="E423" s="66">
        <f>INDEX(UserInput!$C$30:$M$50,MATCH(UserMade_Scenario!B423,UserInput!$A$30:$A$50,0),MATCH(LEFT(IF(RIGHT(C423,2)="H2",UserMade_Scenario!C423,D423),3),UserInput!$C$25:$M$25,0))</f>
        <v>758</v>
      </c>
      <c r="F423" t="s">
        <v>89</v>
      </c>
      <c r="G423" s="14">
        <f t="shared" si="133"/>
        <v>8.2849399999999993E-4</v>
      </c>
      <c r="H423" s="63">
        <f t="shared" si="123"/>
        <v>2.8342779739999994E-2</v>
      </c>
      <c r="I423" s="63">
        <f t="shared" si="124"/>
        <v>2.8342779739999994E-2</v>
      </c>
      <c r="J423" s="63">
        <f t="shared" si="125"/>
        <v>0.11040925290999998</v>
      </c>
      <c r="K423" s="30">
        <f>IF(OR(LEFT($D423,5)="Solar",$D423="Wind"),INDEX(Land_Use[AVG],MATCH(LEFT($D423,5),Land_Use[Tech],0)),0)*$E423</f>
        <v>0</v>
      </c>
      <c r="L423" s="30">
        <f>IF(OR(LEFT($D423,5)="Solar",$D423="Wind"),INDEX(Land_Use[MIN],MATCH(LEFT($D423,5),Land_Use[Tech],0)),0)*$E423</f>
        <v>0</v>
      </c>
      <c r="M423" s="30">
        <f>IF(OR(LEFT($D423,5)="Solar",$D423="Wind"),INDEX(Land_Use[MAX],MATCH(LEFT($D423,5),Land_Use[Tech],0)),0)*$E423</f>
        <v>0</v>
      </c>
      <c r="N423" s="15">
        <f t="shared" si="118"/>
        <v>0</v>
      </c>
      <c r="O423" s="11">
        <f t="shared" si="119"/>
        <v>0</v>
      </c>
      <c r="P423" s="11">
        <f t="shared" si="120"/>
        <v>0</v>
      </c>
      <c r="Q423" s="11">
        <f t="shared" si="121"/>
        <v>0</v>
      </c>
      <c r="R423" s="11">
        <f t="shared" si="122"/>
        <v>0</v>
      </c>
      <c r="S423" s="30">
        <f t="shared" si="126"/>
        <v>0</v>
      </c>
      <c r="T423" s="30">
        <f t="shared" si="127"/>
        <v>0</v>
      </c>
      <c r="U423" s="30">
        <f t="shared" si="128"/>
        <v>0</v>
      </c>
      <c r="V423" s="30">
        <f t="shared" si="129"/>
        <v>0</v>
      </c>
      <c r="W423" s="30">
        <f t="shared" si="130"/>
        <v>0</v>
      </c>
      <c r="X423" s="30">
        <f t="shared" si="131"/>
        <v>0</v>
      </c>
      <c r="Z423" s="23" t="s">
        <v>76</v>
      </c>
      <c r="AA423" s="40" t="str">
        <f>IF(C423="Electricity",E423*SUMIFS(Electricity!S:S,Electricity!P:P,UserMade_Scenario!B423,Electricity!M:M,UserMade_Scenario!Z423,Electricity!O:O,UserMade_Scenario!D423),"")</f>
        <v/>
      </c>
      <c r="AB423" s="67">
        <v>1.093E-6</v>
      </c>
      <c r="AC423" s="67" t="s">
        <v>90</v>
      </c>
      <c r="AD423" s="39">
        <f>IFERROR(INDEX(Assumptions!B$145:B$146,MATCH($D423,Assumptions!$A$145:$A$146,0)),0)</f>
        <v>-34.209999999999994</v>
      </c>
      <c r="AE423" s="39">
        <f>IFERROR(INDEX(Assumptions!C$145:C$146,MATCH($D423,Assumptions!$A$145:$A$146,0)),0)</f>
        <v>-34.209999999999994</v>
      </c>
      <c r="AF423" s="39">
        <f>IFERROR(INDEX(Assumptions!D$145:D$146,MATCH($D423,Assumptions!$A$145:$A$146,0)),0)</f>
        <v>-133.26499999999999</v>
      </c>
      <c r="AG423" s="68">
        <f>IFERROR(INDEX(WaterUseH2[Average Direct Water Consumption (Gal/ kg h2)],MATCH(LEFT(D423,3),WaterUseH2[Key],0)),0)</f>
        <v>0</v>
      </c>
      <c r="AH423">
        <v>14</v>
      </c>
      <c r="AI423">
        <v>1.4</v>
      </c>
      <c r="AJ423">
        <v>250</v>
      </c>
      <c r="AK423">
        <v>0.31</v>
      </c>
      <c r="AL423" s="63">
        <f>IFERROR(INDEX(Job_Training[[Solar]:[Wind]],MATCH(AL$1,Job_Training[[`Typical Entry Level Education`]:[`Typical Entry Level Education`]],0),MATCH(LEFT($D423,5),Job_Training[[#Headers],[Solar]:[Wind]],0)),0)</f>
        <v>0</v>
      </c>
      <c r="AM423" s="63">
        <f>IFERROR(INDEX(Job_Training[[Solar]:[Wind]],MATCH(AM$1,Job_Training[[`Typical Entry Level Education`]:[`Typical Entry Level Education`]],0),MATCH(LEFT($D423,5),Job_Training[[#Headers],[Solar]:[Wind]],0)),0)</f>
        <v>0</v>
      </c>
      <c r="AN423" s="63">
        <f>IFERROR(INDEX(Job_Training[[Solar]:[Wind]],MATCH(AN$1,Job_Training[[`Typical Entry Level Education`]:[`Typical Entry Level Education`]],0),MATCH(LEFT($D423,5),Job_Training[[#Headers],[Solar]:[Wind]],0)),0)</f>
        <v>0</v>
      </c>
      <c r="AO423" s="63">
        <f>IFERROR(INDEX(Job_Training[[Solar]:[Wind]],MATCH(AO$1,Job_Training[[`Typical Entry Level Education`]:[`Typical Entry Level Education`]],0),MATCH(LEFT($D423,5),Job_Training[[#Headers],[Solar]:[Wind]],0)),0)</f>
        <v>0</v>
      </c>
      <c r="AP423">
        <f t="shared" si="132"/>
        <v>0</v>
      </c>
      <c r="AQ423" s="63">
        <f>IF(AP423&gt;0,IFERROR(INDEX(Assumptions!$C$165:$D$165,MATCH(LEFT($D423,5),Job_Training[[#Headers],[Solar]:[Wind]],0)),0),0)</f>
        <v>0</v>
      </c>
      <c r="AR423">
        <f>IF(AP423&gt;0,IFERROR(INDEX(Assumptions!$C$166:$D$166,MATCH(LEFT($D423,5),Job_Training[[#Headers],[Solar]:[Wind]],0)),0),0)</f>
        <v>0</v>
      </c>
    </row>
    <row r="424" spans="1:44" hidden="1" x14ac:dyDescent="0.35">
      <c r="A424" t="str">
        <f>UserInput!$B$30</f>
        <v>State Policy Aligned</v>
      </c>
      <c r="B424">
        <v>2027</v>
      </c>
      <c r="C424" t="s">
        <v>87</v>
      </c>
      <c r="D424" t="s">
        <v>91</v>
      </c>
      <c r="E424" s="66">
        <f>INDEX(UserInput!$C$30:$M$50,MATCH(UserMade_Scenario!B424,UserInput!$A$30:$A$50,0),MATCH(LEFT(IF(RIGHT(C424,2)="H2",UserMade_Scenario!C424,D424),3),UserInput!$C$25:$M$25,0))</f>
        <v>858</v>
      </c>
      <c r="F424" t="s">
        <v>89</v>
      </c>
      <c r="G424" s="14">
        <f t="shared" si="133"/>
        <v>9.3779399999999993E-4</v>
      </c>
      <c r="H424" s="63">
        <f t="shared" si="123"/>
        <v>3.2081932739999992E-2</v>
      </c>
      <c r="I424" s="63">
        <f t="shared" si="124"/>
        <v>3.2081932739999992E-2</v>
      </c>
      <c r="J424" s="63">
        <f t="shared" si="125"/>
        <v>0.12497511740999998</v>
      </c>
      <c r="K424" s="30">
        <f>IF(OR(LEFT($D424,5)="Solar",$D424="Wind"),INDEX(Land_Use[AVG],MATCH(LEFT($D424,5),Land_Use[Tech],0)),0)*$E424</f>
        <v>0</v>
      </c>
      <c r="L424" s="30">
        <f>IF(OR(LEFT($D424,5)="Solar",$D424="Wind"),INDEX(Land_Use[MIN],MATCH(LEFT($D424,5),Land_Use[Tech],0)),0)*$E424</f>
        <v>0</v>
      </c>
      <c r="M424" s="30">
        <f>IF(OR(LEFT($D424,5)="Solar",$D424="Wind"),INDEX(Land_Use[MAX],MATCH(LEFT($D424,5),Land_Use[Tech],0)),0)*$E424</f>
        <v>0</v>
      </c>
      <c r="N424" s="15">
        <f t="shared" si="118"/>
        <v>0</v>
      </c>
      <c r="O424" s="11">
        <f t="shared" si="119"/>
        <v>0</v>
      </c>
      <c r="P424" s="11">
        <f t="shared" si="120"/>
        <v>0</v>
      </c>
      <c r="Q424" s="11">
        <f t="shared" si="121"/>
        <v>0</v>
      </c>
      <c r="R424" s="11">
        <f t="shared" si="122"/>
        <v>0</v>
      </c>
      <c r="S424" s="30">
        <f t="shared" si="126"/>
        <v>0</v>
      </c>
      <c r="T424" s="30">
        <f t="shared" si="127"/>
        <v>0</v>
      </c>
      <c r="U424" s="30">
        <f t="shared" si="128"/>
        <v>0</v>
      </c>
      <c r="V424" s="30">
        <f t="shared" si="129"/>
        <v>0</v>
      </c>
      <c r="W424" s="30">
        <f t="shared" si="130"/>
        <v>0</v>
      </c>
      <c r="X424" s="30">
        <f t="shared" si="131"/>
        <v>0</v>
      </c>
      <c r="Z424" s="23" t="s">
        <v>76</v>
      </c>
      <c r="AA424" s="40" t="str">
        <f>IF(C424="Electricity",E424*SUMIFS(Electricity!S:S,Electricity!P:P,UserMade_Scenario!B424,Electricity!M:M,UserMade_Scenario!Z424,Electricity!O:O,UserMade_Scenario!D424),"")</f>
        <v/>
      </c>
      <c r="AB424" s="67">
        <v>1.093E-6</v>
      </c>
      <c r="AC424" s="67" t="s">
        <v>90</v>
      </c>
      <c r="AD424" s="39">
        <f>IFERROR(INDEX(Assumptions!B$145:B$146,MATCH($D424,Assumptions!$A$145:$A$146,0)),0)</f>
        <v>-34.209999999999994</v>
      </c>
      <c r="AE424" s="39">
        <f>IFERROR(INDEX(Assumptions!C$145:C$146,MATCH($D424,Assumptions!$A$145:$A$146,0)),0)</f>
        <v>-34.209999999999994</v>
      </c>
      <c r="AF424" s="39">
        <f>IFERROR(INDEX(Assumptions!D$145:D$146,MATCH($D424,Assumptions!$A$145:$A$146,0)),0)</f>
        <v>-133.26499999999999</v>
      </c>
      <c r="AG424" s="68">
        <f>IFERROR(INDEX(WaterUseH2[Average Direct Water Consumption (Gal/ kg h2)],MATCH(LEFT(D424,3),WaterUseH2[Key],0)),0)</f>
        <v>0</v>
      </c>
      <c r="AH424">
        <v>14</v>
      </c>
      <c r="AI424">
        <v>1.4</v>
      </c>
      <c r="AJ424">
        <v>250</v>
      </c>
      <c r="AK424">
        <v>0.31</v>
      </c>
      <c r="AL424" s="63">
        <f>IFERROR(INDEX(Job_Training[[Solar]:[Wind]],MATCH(AL$1,Job_Training[[`Typical Entry Level Education`]:[`Typical Entry Level Education`]],0),MATCH(LEFT($D424,5),Job_Training[[#Headers],[Solar]:[Wind]],0)),0)</f>
        <v>0</v>
      </c>
      <c r="AM424" s="63">
        <f>IFERROR(INDEX(Job_Training[[Solar]:[Wind]],MATCH(AM$1,Job_Training[[`Typical Entry Level Education`]:[`Typical Entry Level Education`]],0),MATCH(LEFT($D424,5),Job_Training[[#Headers],[Solar]:[Wind]],0)),0)</f>
        <v>0</v>
      </c>
      <c r="AN424" s="63">
        <f>IFERROR(INDEX(Job_Training[[Solar]:[Wind]],MATCH(AN$1,Job_Training[[`Typical Entry Level Education`]:[`Typical Entry Level Education`]],0),MATCH(LEFT($D424,5),Job_Training[[#Headers],[Solar]:[Wind]],0)),0)</f>
        <v>0</v>
      </c>
      <c r="AO424" s="63">
        <f>IFERROR(INDEX(Job_Training[[Solar]:[Wind]],MATCH(AO$1,Job_Training[[`Typical Entry Level Education`]:[`Typical Entry Level Education`]],0),MATCH(LEFT($D424,5),Job_Training[[#Headers],[Solar]:[Wind]],0)),0)</f>
        <v>0</v>
      </c>
      <c r="AP424">
        <f t="shared" si="132"/>
        <v>0</v>
      </c>
      <c r="AQ424" s="63">
        <f>IF(AP424&gt;0,IFERROR(INDEX(Assumptions!$C$165:$D$165,MATCH(LEFT($D424,5),Job_Training[[#Headers],[Solar]:[Wind]],0)),0),0)</f>
        <v>0</v>
      </c>
      <c r="AR424">
        <f>IF(AP424&gt;0,IFERROR(INDEX(Assumptions!$C$166:$D$166,MATCH(LEFT($D424,5),Job_Training[[#Headers],[Solar]:[Wind]],0)),0),0)</f>
        <v>0</v>
      </c>
    </row>
    <row r="425" spans="1:44" hidden="1" x14ac:dyDescent="0.35">
      <c r="A425" t="str">
        <f>UserInput!$B$30</f>
        <v>State Policy Aligned</v>
      </c>
      <c r="B425">
        <v>2028</v>
      </c>
      <c r="C425" t="s">
        <v>87</v>
      </c>
      <c r="D425" t="s">
        <v>91</v>
      </c>
      <c r="E425" s="66">
        <f>INDEX(UserInput!$C$30:$M$50,MATCH(UserMade_Scenario!B425,UserInput!$A$30:$A$50,0),MATCH(LEFT(IF(RIGHT(C425,2)="H2",UserMade_Scenario!C425,D425),3),UserInput!$C$25:$M$25,0))</f>
        <v>957</v>
      </c>
      <c r="F425" t="s">
        <v>89</v>
      </c>
      <c r="G425" s="14">
        <f t="shared" si="133"/>
        <v>1.046001E-3</v>
      </c>
      <c r="H425" s="63">
        <f t="shared" si="123"/>
        <v>3.5783694209999994E-2</v>
      </c>
      <c r="I425" s="63">
        <f t="shared" si="124"/>
        <v>3.5783694209999994E-2</v>
      </c>
      <c r="J425" s="63">
        <f t="shared" si="125"/>
        <v>0.13939532326499998</v>
      </c>
      <c r="K425" s="30">
        <f>IF(OR(LEFT($D425,5)="Solar",$D425="Wind"),INDEX(Land_Use[AVG],MATCH(LEFT($D425,5),Land_Use[Tech],0)),0)*$E425</f>
        <v>0</v>
      </c>
      <c r="L425" s="30">
        <f>IF(OR(LEFT($D425,5)="Solar",$D425="Wind"),INDEX(Land_Use[MIN],MATCH(LEFT($D425,5),Land_Use[Tech],0)),0)*$E425</f>
        <v>0</v>
      </c>
      <c r="M425" s="30">
        <f>IF(OR(LEFT($D425,5)="Solar",$D425="Wind"),INDEX(Land_Use[MAX],MATCH(LEFT($D425,5),Land_Use[Tech],0)),0)*$E425</f>
        <v>0</v>
      </c>
      <c r="N425" s="15">
        <f t="shared" si="118"/>
        <v>0</v>
      </c>
      <c r="O425" s="11">
        <f t="shared" si="119"/>
        <v>0</v>
      </c>
      <c r="P425" s="11">
        <f t="shared" si="120"/>
        <v>0</v>
      </c>
      <c r="Q425" s="11">
        <f t="shared" si="121"/>
        <v>0</v>
      </c>
      <c r="R425" s="11">
        <f t="shared" si="122"/>
        <v>0</v>
      </c>
      <c r="S425" s="30">
        <f t="shared" si="126"/>
        <v>0</v>
      </c>
      <c r="T425" s="30">
        <f t="shared" si="127"/>
        <v>0</v>
      </c>
      <c r="U425" s="30">
        <f t="shared" si="128"/>
        <v>0</v>
      </c>
      <c r="V425" s="30">
        <f t="shared" si="129"/>
        <v>0</v>
      </c>
      <c r="W425" s="30">
        <f t="shared" si="130"/>
        <v>0</v>
      </c>
      <c r="X425" s="30">
        <f t="shared" si="131"/>
        <v>0</v>
      </c>
      <c r="Z425" s="23" t="s">
        <v>76</v>
      </c>
      <c r="AA425" s="40" t="str">
        <f>IF(C425="Electricity",E425*SUMIFS(Electricity!S:S,Electricity!P:P,UserMade_Scenario!B425,Electricity!M:M,UserMade_Scenario!Z425,Electricity!O:O,UserMade_Scenario!D425),"")</f>
        <v/>
      </c>
      <c r="AB425" s="67">
        <v>1.093E-6</v>
      </c>
      <c r="AC425" s="67" t="s">
        <v>90</v>
      </c>
      <c r="AD425" s="39">
        <f>IFERROR(INDEX(Assumptions!B$145:B$146,MATCH($D425,Assumptions!$A$145:$A$146,0)),0)</f>
        <v>-34.209999999999994</v>
      </c>
      <c r="AE425" s="39">
        <f>IFERROR(INDEX(Assumptions!C$145:C$146,MATCH($D425,Assumptions!$A$145:$A$146,0)),0)</f>
        <v>-34.209999999999994</v>
      </c>
      <c r="AF425" s="39">
        <f>IFERROR(INDEX(Assumptions!D$145:D$146,MATCH($D425,Assumptions!$A$145:$A$146,0)),0)</f>
        <v>-133.26499999999999</v>
      </c>
      <c r="AG425" s="68">
        <f>IFERROR(INDEX(WaterUseH2[Average Direct Water Consumption (Gal/ kg h2)],MATCH(LEFT(D425,3),WaterUseH2[Key],0)),0)</f>
        <v>0</v>
      </c>
      <c r="AH425">
        <v>14</v>
      </c>
      <c r="AI425">
        <v>1.4</v>
      </c>
      <c r="AJ425">
        <v>250</v>
      </c>
      <c r="AK425">
        <v>0.31</v>
      </c>
      <c r="AL425" s="63">
        <f>IFERROR(INDEX(Job_Training[[Solar]:[Wind]],MATCH(AL$1,Job_Training[[`Typical Entry Level Education`]:[`Typical Entry Level Education`]],0),MATCH(LEFT($D425,5),Job_Training[[#Headers],[Solar]:[Wind]],0)),0)</f>
        <v>0</v>
      </c>
      <c r="AM425" s="63">
        <f>IFERROR(INDEX(Job_Training[[Solar]:[Wind]],MATCH(AM$1,Job_Training[[`Typical Entry Level Education`]:[`Typical Entry Level Education`]],0),MATCH(LEFT($D425,5),Job_Training[[#Headers],[Solar]:[Wind]],0)),0)</f>
        <v>0</v>
      </c>
      <c r="AN425" s="63">
        <f>IFERROR(INDEX(Job_Training[[Solar]:[Wind]],MATCH(AN$1,Job_Training[[`Typical Entry Level Education`]:[`Typical Entry Level Education`]],0),MATCH(LEFT($D425,5),Job_Training[[#Headers],[Solar]:[Wind]],0)),0)</f>
        <v>0</v>
      </c>
      <c r="AO425" s="63">
        <f>IFERROR(INDEX(Job_Training[[Solar]:[Wind]],MATCH(AO$1,Job_Training[[`Typical Entry Level Education`]:[`Typical Entry Level Education`]],0),MATCH(LEFT($D425,5),Job_Training[[#Headers],[Solar]:[Wind]],0)),0)</f>
        <v>0</v>
      </c>
      <c r="AP425">
        <f t="shared" si="132"/>
        <v>0</v>
      </c>
      <c r="AQ425" s="63">
        <f>IF(AP425&gt;0,IFERROR(INDEX(Assumptions!$C$165:$D$165,MATCH(LEFT($D425,5),Job_Training[[#Headers],[Solar]:[Wind]],0)),0),0)</f>
        <v>0</v>
      </c>
      <c r="AR425">
        <f>IF(AP425&gt;0,IFERROR(INDEX(Assumptions!$C$166:$D$166,MATCH(LEFT($D425,5),Job_Training[[#Headers],[Solar]:[Wind]],0)),0),0)</f>
        <v>0</v>
      </c>
    </row>
    <row r="426" spans="1:44" hidden="1" x14ac:dyDescent="0.35">
      <c r="A426" t="str">
        <f>UserInput!$B$30</f>
        <v>State Policy Aligned</v>
      </c>
      <c r="B426">
        <v>2029</v>
      </c>
      <c r="C426" t="s">
        <v>87</v>
      </c>
      <c r="D426" t="s">
        <v>91</v>
      </c>
      <c r="E426" s="66">
        <f>INDEX(UserInput!$C$30:$M$50,MATCH(UserMade_Scenario!B426,UserInput!$A$30:$A$50,0),MATCH(LEFT(IF(RIGHT(C426,2)="H2",UserMade_Scenario!C426,D426),3),UserInput!$C$25:$M$25,0))</f>
        <v>1057</v>
      </c>
      <c r="F426" t="s">
        <v>89</v>
      </c>
      <c r="G426" s="14">
        <f t="shared" si="133"/>
        <v>1.1553009999999999E-3</v>
      </c>
      <c r="H426" s="63">
        <f t="shared" si="123"/>
        <v>3.9522847209999989E-2</v>
      </c>
      <c r="I426" s="63">
        <f t="shared" si="124"/>
        <v>3.9522847209999989E-2</v>
      </c>
      <c r="J426" s="63">
        <f t="shared" si="125"/>
        <v>0.15396118776499995</v>
      </c>
      <c r="K426" s="30">
        <f>IF(OR(LEFT($D426,5)="Solar",$D426="Wind"),INDEX(Land_Use[AVG],MATCH(LEFT($D426,5),Land_Use[Tech],0)),0)*$E426</f>
        <v>0</v>
      </c>
      <c r="L426" s="30">
        <f>IF(OR(LEFT($D426,5)="Solar",$D426="Wind"),INDEX(Land_Use[MIN],MATCH(LEFT($D426,5),Land_Use[Tech],0)),0)*$E426</f>
        <v>0</v>
      </c>
      <c r="M426" s="30">
        <f>IF(OR(LEFT($D426,5)="Solar",$D426="Wind"),INDEX(Land_Use[MAX],MATCH(LEFT($D426,5),Land_Use[Tech],0)),0)*$E426</f>
        <v>0</v>
      </c>
      <c r="N426" s="15">
        <f t="shared" si="118"/>
        <v>0</v>
      </c>
      <c r="O426" s="11">
        <f t="shared" si="119"/>
        <v>0</v>
      </c>
      <c r="P426" s="11">
        <f t="shared" si="120"/>
        <v>0</v>
      </c>
      <c r="Q426" s="11">
        <f t="shared" si="121"/>
        <v>0</v>
      </c>
      <c r="R426" s="11">
        <f t="shared" si="122"/>
        <v>0</v>
      </c>
      <c r="S426" s="30">
        <f t="shared" si="126"/>
        <v>0</v>
      </c>
      <c r="T426" s="30">
        <f t="shared" si="127"/>
        <v>0</v>
      </c>
      <c r="U426" s="30">
        <f t="shared" si="128"/>
        <v>0</v>
      </c>
      <c r="V426" s="30">
        <f t="shared" si="129"/>
        <v>0</v>
      </c>
      <c r="W426" s="30">
        <f t="shared" si="130"/>
        <v>0</v>
      </c>
      <c r="X426" s="30">
        <f t="shared" si="131"/>
        <v>0</v>
      </c>
      <c r="Z426" s="23" t="s">
        <v>76</v>
      </c>
      <c r="AA426" s="40" t="str">
        <f>IF(C426="Electricity",E426*SUMIFS(Electricity!S:S,Electricity!P:P,UserMade_Scenario!B426,Electricity!M:M,UserMade_Scenario!Z426,Electricity!O:O,UserMade_Scenario!D426),"")</f>
        <v/>
      </c>
      <c r="AB426" s="67">
        <v>1.093E-6</v>
      </c>
      <c r="AC426" s="67" t="s">
        <v>90</v>
      </c>
      <c r="AD426" s="39">
        <f>IFERROR(INDEX(Assumptions!B$145:B$146,MATCH($D426,Assumptions!$A$145:$A$146,0)),0)</f>
        <v>-34.209999999999994</v>
      </c>
      <c r="AE426" s="39">
        <f>IFERROR(INDEX(Assumptions!C$145:C$146,MATCH($D426,Assumptions!$A$145:$A$146,0)),0)</f>
        <v>-34.209999999999994</v>
      </c>
      <c r="AF426" s="39">
        <f>IFERROR(INDEX(Assumptions!D$145:D$146,MATCH($D426,Assumptions!$A$145:$A$146,0)),0)</f>
        <v>-133.26499999999999</v>
      </c>
      <c r="AG426" s="68">
        <f>IFERROR(INDEX(WaterUseH2[Average Direct Water Consumption (Gal/ kg h2)],MATCH(LEFT(D426,3),WaterUseH2[Key],0)),0)</f>
        <v>0</v>
      </c>
      <c r="AH426">
        <v>14</v>
      </c>
      <c r="AI426">
        <v>1.4</v>
      </c>
      <c r="AJ426">
        <v>250</v>
      </c>
      <c r="AK426">
        <v>0.31</v>
      </c>
      <c r="AL426" s="63">
        <f>IFERROR(INDEX(Job_Training[[Solar]:[Wind]],MATCH(AL$1,Job_Training[[`Typical Entry Level Education`]:[`Typical Entry Level Education`]],0),MATCH(LEFT($D426,5),Job_Training[[#Headers],[Solar]:[Wind]],0)),0)</f>
        <v>0</v>
      </c>
      <c r="AM426" s="63">
        <f>IFERROR(INDEX(Job_Training[[Solar]:[Wind]],MATCH(AM$1,Job_Training[[`Typical Entry Level Education`]:[`Typical Entry Level Education`]],0),MATCH(LEFT($D426,5),Job_Training[[#Headers],[Solar]:[Wind]],0)),0)</f>
        <v>0</v>
      </c>
      <c r="AN426" s="63">
        <f>IFERROR(INDEX(Job_Training[[Solar]:[Wind]],MATCH(AN$1,Job_Training[[`Typical Entry Level Education`]:[`Typical Entry Level Education`]],0),MATCH(LEFT($D426,5),Job_Training[[#Headers],[Solar]:[Wind]],0)),0)</f>
        <v>0</v>
      </c>
      <c r="AO426" s="63">
        <f>IFERROR(INDEX(Job_Training[[Solar]:[Wind]],MATCH(AO$1,Job_Training[[`Typical Entry Level Education`]:[`Typical Entry Level Education`]],0),MATCH(LEFT($D426,5),Job_Training[[#Headers],[Solar]:[Wind]],0)),0)</f>
        <v>0</v>
      </c>
      <c r="AP426">
        <f t="shared" si="132"/>
        <v>0</v>
      </c>
      <c r="AQ426" s="63">
        <f>IF(AP426&gt;0,IFERROR(INDEX(Assumptions!$C$165:$D$165,MATCH(LEFT($D426,5),Job_Training[[#Headers],[Solar]:[Wind]],0)),0),0)</f>
        <v>0</v>
      </c>
      <c r="AR426">
        <f>IF(AP426&gt;0,IFERROR(INDEX(Assumptions!$C$166:$D$166,MATCH(LEFT($D426,5),Job_Training[[#Headers],[Solar]:[Wind]],0)),0),0)</f>
        <v>0</v>
      </c>
    </row>
    <row r="427" spans="1:44" hidden="1" x14ac:dyDescent="0.35">
      <c r="A427" t="str">
        <f>UserInput!$B$30</f>
        <v>State Policy Aligned</v>
      </c>
      <c r="B427">
        <v>2030</v>
      </c>
      <c r="C427" t="s">
        <v>87</v>
      </c>
      <c r="D427" t="s">
        <v>91</v>
      </c>
      <c r="E427" s="66">
        <f>INDEX(UserInput!$C$30:$M$50,MATCH(UserMade_Scenario!B427,UserInput!$A$30:$A$50,0),MATCH(LEFT(IF(RIGHT(C427,2)="H2",UserMade_Scenario!C427,D427),3),UserInput!$C$25:$M$25,0))</f>
        <v>1156</v>
      </c>
      <c r="F427" t="s">
        <v>89</v>
      </c>
      <c r="G427" s="14">
        <f t="shared" si="133"/>
        <v>1.263508E-3</v>
      </c>
      <c r="H427" s="63">
        <f t="shared" si="123"/>
        <v>4.3224608679999992E-2</v>
      </c>
      <c r="I427" s="63">
        <f t="shared" si="124"/>
        <v>4.3224608679999992E-2</v>
      </c>
      <c r="J427" s="63">
        <f t="shared" si="125"/>
        <v>0.16838139361999999</v>
      </c>
      <c r="K427" s="30">
        <f>IF(OR(LEFT($D427,5)="Solar",$D427="Wind"),INDEX(Land_Use[AVG],MATCH(LEFT($D427,5),Land_Use[Tech],0)),0)*$E427</f>
        <v>0</v>
      </c>
      <c r="L427" s="30">
        <f>IF(OR(LEFT($D427,5)="Solar",$D427="Wind"),INDEX(Land_Use[MIN],MATCH(LEFT($D427,5),Land_Use[Tech],0)),0)*$E427</f>
        <v>0</v>
      </c>
      <c r="M427" s="30">
        <f>IF(OR(LEFT($D427,5)="Solar",$D427="Wind"),INDEX(Land_Use[MAX],MATCH(LEFT($D427,5),Land_Use[Tech],0)),0)*$E427</f>
        <v>0</v>
      </c>
      <c r="N427" s="15">
        <f t="shared" ref="N427:N490" si="134">E427*AG427*1000/1000000</f>
        <v>0</v>
      </c>
      <c r="O427" s="11">
        <f t="shared" ref="O427:O490" si="135">$K427*AH$2</f>
        <v>0</v>
      </c>
      <c r="P427" s="11">
        <f t="shared" ref="P427:P490" si="136">$K427*AI$2</f>
        <v>0</v>
      </c>
      <c r="Q427" s="11">
        <f t="shared" ref="Q427:Q490" si="137">$K427*AJ$2</f>
        <v>0</v>
      </c>
      <c r="R427" s="11">
        <f t="shared" ref="R427:R490" si="138">$K427*AK$2</f>
        <v>0</v>
      </c>
      <c r="S427" s="30">
        <f t="shared" si="126"/>
        <v>0</v>
      </c>
      <c r="T427" s="30">
        <f t="shared" si="127"/>
        <v>0</v>
      </c>
      <c r="U427" s="30">
        <f t="shared" si="128"/>
        <v>0</v>
      </c>
      <c r="V427" s="30">
        <f t="shared" si="129"/>
        <v>0</v>
      </c>
      <c r="W427" s="30">
        <f t="shared" si="130"/>
        <v>0</v>
      </c>
      <c r="X427" s="30">
        <f t="shared" si="131"/>
        <v>0</v>
      </c>
      <c r="Z427" s="23" t="s">
        <v>76</v>
      </c>
      <c r="AA427" s="40" t="str">
        <f>IF(C427="Electricity",E427*SUMIFS(Electricity!S:S,Electricity!P:P,UserMade_Scenario!B427,Electricity!M:M,UserMade_Scenario!Z427,Electricity!O:O,UserMade_Scenario!D427),"")</f>
        <v/>
      </c>
      <c r="AB427" s="67">
        <v>1.093E-6</v>
      </c>
      <c r="AC427" s="67" t="s">
        <v>90</v>
      </c>
      <c r="AD427" s="39">
        <f>IFERROR(INDEX(Assumptions!B$145:B$146,MATCH($D427,Assumptions!$A$145:$A$146,0)),0)</f>
        <v>-34.209999999999994</v>
      </c>
      <c r="AE427" s="39">
        <f>IFERROR(INDEX(Assumptions!C$145:C$146,MATCH($D427,Assumptions!$A$145:$A$146,0)),0)</f>
        <v>-34.209999999999994</v>
      </c>
      <c r="AF427" s="39">
        <f>IFERROR(INDEX(Assumptions!D$145:D$146,MATCH($D427,Assumptions!$A$145:$A$146,0)),0)</f>
        <v>-133.26499999999999</v>
      </c>
      <c r="AG427" s="68">
        <f>IFERROR(INDEX(WaterUseH2[Average Direct Water Consumption (Gal/ kg h2)],MATCH(LEFT(D427,3),WaterUseH2[Key],0)),0)</f>
        <v>0</v>
      </c>
      <c r="AH427">
        <v>14</v>
      </c>
      <c r="AI427">
        <v>1.4</v>
      </c>
      <c r="AJ427">
        <v>250</v>
      </c>
      <c r="AK427">
        <v>0.31</v>
      </c>
      <c r="AL427" s="63">
        <f>IFERROR(INDEX(Job_Training[[Solar]:[Wind]],MATCH(AL$1,Job_Training[[`Typical Entry Level Education`]:[`Typical Entry Level Education`]],0),MATCH(LEFT($D427,5),Job_Training[[#Headers],[Solar]:[Wind]],0)),0)</f>
        <v>0</v>
      </c>
      <c r="AM427" s="63">
        <f>IFERROR(INDEX(Job_Training[[Solar]:[Wind]],MATCH(AM$1,Job_Training[[`Typical Entry Level Education`]:[`Typical Entry Level Education`]],0),MATCH(LEFT($D427,5),Job_Training[[#Headers],[Solar]:[Wind]],0)),0)</f>
        <v>0</v>
      </c>
      <c r="AN427" s="63">
        <f>IFERROR(INDEX(Job_Training[[Solar]:[Wind]],MATCH(AN$1,Job_Training[[`Typical Entry Level Education`]:[`Typical Entry Level Education`]],0),MATCH(LEFT($D427,5),Job_Training[[#Headers],[Solar]:[Wind]],0)),0)</f>
        <v>0</v>
      </c>
      <c r="AO427" s="63">
        <f>IFERROR(INDEX(Job_Training[[Solar]:[Wind]],MATCH(AO$1,Job_Training[[`Typical Entry Level Education`]:[`Typical Entry Level Education`]],0),MATCH(LEFT($D427,5),Job_Training[[#Headers],[Solar]:[Wind]],0)),0)</f>
        <v>0</v>
      </c>
      <c r="AP427">
        <f t="shared" si="132"/>
        <v>0</v>
      </c>
      <c r="AQ427" s="63">
        <f>IF(AP427&gt;0,IFERROR(INDEX(Assumptions!$C$165:$D$165,MATCH(LEFT($D427,5),Job_Training[[#Headers],[Solar]:[Wind]],0)),0),0)</f>
        <v>0</v>
      </c>
      <c r="AR427">
        <f>IF(AP427&gt;0,IFERROR(INDEX(Assumptions!$C$166:$D$166,MATCH(LEFT($D427,5),Job_Training[[#Headers],[Solar]:[Wind]],0)),0),0)</f>
        <v>0</v>
      </c>
    </row>
    <row r="428" spans="1:44" hidden="1" x14ac:dyDescent="0.35">
      <c r="A428" t="str">
        <f>UserInput!$B$30</f>
        <v>State Policy Aligned</v>
      </c>
      <c r="B428">
        <v>2031</v>
      </c>
      <c r="C428" t="s">
        <v>87</v>
      </c>
      <c r="D428" t="s">
        <v>91</v>
      </c>
      <c r="E428" s="66">
        <f>INDEX(UserInput!$C$30:$M$50,MATCH(UserMade_Scenario!B428,UserInput!$A$30:$A$50,0),MATCH(LEFT(IF(RIGHT(C428,2)="H2",UserMade_Scenario!C428,D428),3),UserInput!$C$25:$M$25,0))</f>
        <v>1255</v>
      </c>
      <c r="F428" t="s">
        <v>89</v>
      </c>
      <c r="G428" s="14">
        <f t="shared" si="133"/>
        <v>1.3717149999999999E-3</v>
      </c>
      <c r="H428" s="63">
        <f t="shared" si="123"/>
        <v>4.6926370149999987E-2</v>
      </c>
      <c r="I428" s="63">
        <f t="shared" si="124"/>
        <v>4.6926370149999987E-2</v>
      </c>
      <c r="J428" s="63">
        <f t="shared" si="125"/>
        <v>0.18280159947499997</v>
      </c>
      <c r="K428" s="30">
        <f>IF(OR(LEFT($D428,5)="Solar",$D428="Wind"),INDEX(Land_Use[AVG],MATCH(LEFT($D428,5),Land_Use[Tech],0)),0)*$E428</f>
        <v>0</v>
      </c>
      <c r="L428" s="30">
        <f>IF(OR(LEFT($D428,5)="Solar",$D428="Wind"),INDEX(Land_Use[MIN],MATCH(LEFT($D428,5),Land_Use[Tech],0)),0)*$E428</f>
        <v>0</v>
      </c>
      <c r="M428" s="30">
        <f>IF(OR(LEFT($D428,5)="Solar",$D428="Wind"),INDEX(Land_Use[MAX],MATCH(LEFT($D428,5),Land_Use[Tech],0)),0)*$E428</f>
        <v>0</v>
      </c>
      <c r="N428" s="15">
        <f t="shared" si="134"/>
        <v>0</v>
      </c>
      <c r="O428" s="11">
        <f t="shared" si="135"/>
        <v>0</v>
      </c>
      <c r="P428" s="11">
        <f t="shared" si="136"/>
        <v>0</v>
      </c>
      <c r="Q428" s="11">
        <f t="shared" si="137"/>
        <v>0</v>
      </c>
      <c r="R428" s="11">
        <f t="shared" si="138"/>
        <v>0</v>
      </c>
      <c r="S428" s="30">
        <f t="shared" si="126"/>
        <v>0</v>
      </c>
      <c r="T428" s="30">
        <f t="shared" si="127"/>
        <v>0</v>
      </c>
      <c r="U428" s="30">
        <f t="shared" si="128"/>
        <v>0</v>
      </c>
      <c r="V428" s="30">
        <f t="shared" si="129"/>
        <v>0</v>
      </c>
      <c r="W428" s="30">
        <f t="shared" si="130"/>
        <v>0</v>
      </c>
      <c r="X428" s="30">
        <f t="shared" si="131"/>
        <v>0</v>
      </c>
      <c r="Z428" s="23" t="s">
        <v>76</v>
      </c>
      <c r="AA428" s="40" t="str">
        <f>IF(C428="Electricity",E428*SUMIFS(Electricity!S:S,Electricity!P:P,UserMade_Scenario!B428,Electricity!M:M,UserMade_Scenario!Z428,Electricity!O:O,UserMade_Scenario!D428),"")</f>
        <v/>
      </c>
      <c r="AB428" s="67">
        <v>1.093E-6</v>
      </c>
      <c r="AC428" s="67" t="s">
        <v>90</v>
      </c>
      <c r="AD428" s="39">
        <f>IFERROR(INDEX(Assumptions!B$145:B$146,MATCH($D428,Assumptions!$A$145:$A$146,0)),0)</f>
        <v>-34.209999999999994</v>
      </c>
      <c r="AE428" s="39">
        <f>IFERROR(INDEX(Assumptions!C$145:C$146,MATCH($D428,Assumptions!$A$145:$A$146,0)),0)</f>
        <v>-34.209999999999994</v>
      </c>
      <c r="AF428" s="39">
        <f>IFERROR(INDEX(Assumptions!D$145:D$146,MATCH($D428,Assumptions!$A$145:$A$146,0)),0)</f>
        <v>-133.26499999999999</v>
      </c>
      <c r="AG428" s="68">
        <f>IFERROR(INDEX(WaterUseH2[Average Direct Water Consumption (Gal/ kg h2)],MATCH(LEFT(D428,3),WaterUseH2[Key],0)),0)</f>
        <v>0</v>
      </c>
      <c r="AH428">
        <v>14</v>
      </c>
      <c r="AI428">
        <v>1.4</v>
      </c>
      <c r="AJ428">
        <v>250</v>
      </c>
      <c r="AK428">
        <v>0.31</v>
      </c>
      <c r="AL428" s="63">
        <f>IFERROR(INDEX(Job_Training[[Solar]:[Wind]],MATCH(AL$1,Job_Training[[`Typical Entry Level Education`]:[`Typical Entry Level Education`]],0),MATCH(LEFT($D428,5),Job_Training[[#Headers],[Solar]:[Wind]],0)),0)</f>
        <v>0</v>
      </c>
      <c r="AM428" s="63">
        <f>IFERROR(INDEX(Job_Training[[Solar]:[Wind]],MATCH(AM$1,Job_Training[[`Typical Entry Level Education`]:[`Typical Entry Level Education`]],0),MATCH(LEFT($D428,5),Job_Training[[#Headers],[Solar]:[Wind]],0)),0)</f>
        <v>0</v>
      </c>
      <c r="AN428" s="63">
        <f>IFERROR(INDEX(Job_Training[[Solar]:[Wind]],MATCH(AN$1,Job_Training[[`Typical Entry Level Education`]:[`Typical Entry Level Education`]],0),MATCH(LEFT($D428,5),Job_Training[[#Headers],[Solar]:[Wind]],0)),0)</f>
        <v>0</v>
      </c>
      <c r="AO428" s="63">
        <f>IFERROR(INDEX(Job_Training[[Solar]:[Wind]],MATCH(AO$1,Job_Training[[`Typical Entry Level Education`]:[`Typical Entry Level Education`]],0),MATCH(LEFT($D428,5),Job_Training[[#Headers],[Solar]:[Wind]],0)),0)</f>
        <v>0</v>
      </c>
      <c r="AP428">
        <f t="shared" si="132"/>
        <v>0</v>
      </c>
      <c r="AQ428" s="63">
        <f>IF(AP428&gt;0,IFERROR(INDEX(Assumptions!$C$165:$D$165,MATCH(LEFT($D428,5),Job_Training[[#Headers],[Solar]:[Wind]],0)),0),0)</f>
        <v>0</v>
      </c>
      <c r="AR428">
        <f>IF(AP428&gt;0,IFERROR(INDEX(Assumptions!$C$166:$D$166,MATCH(LEFT($D428,5),Job_Training[[#Headers],[Solar]:[Wind]],0)),0),0)</f>
        <v>0</v>
      </c>
    </row>
    <row r="429" spans="1:44" hidden="1" x14ac:dyDescent="0.35">
      <c r="A429" t="str">
        <f>UserInput!$B$30</f>
        <v>State Policy Aligned</v>
      </c>
      <c r="B429">
        <v>2032</v>
      </c>
      <c r="C429" t="s">
        <v>87</v>
      </c>
      <c r="D429" t="s">
        <v>91</v>
      </c>
      <c r="E429" s="66">
        <f>INDEX(UserInput!$C$30:$M$50,MATCH(UserMade_Scenario!B429,UserInput!$A$30:$A$50,0),MATCH(LEFT(IF(RIGHT(C429,2)="H2",UserMade_Scenario!C429,D429),3),UserInput!$C$25:$M$25,0))</f>
        <v>1355</v>
      </c>
      <c r="F429" t="s">
        <v>89</v>
      </c>
      <c r="G429" s="14">
        <f t="shared" si="133"/>
        <v>1.481015E-3</v>
      </c>
      <c r="H429" s="63">
        <f t="shared" si="123"/>
        <v>5.0665523149999989E-2</v>
      </c>
      <c r="I429" s="63">
        <f t="shared" si="124"/>
        <v>5.0665523149999989E-2</v>
      </c>
      <c r="J429" s="63">
        <f t="shared" si="125"/>
        <v>0.19736746397499999</v>
      </c>
      <c r="K429" s="30">
        <f>IF(OR(LEFT($D429,5)="Solar",$D429="Wind"),INDEX(Land_Use[AVG],MATCH(LEFT($D429,5),Land_Use[Tech],0)),0)*$E429</f>
        <v>0</v>
      </c>
      <c r="L429" s="30">
        <f>IF(OR(LEFT($D429,5)="Solar",$D429="Wind"),INDEX(Land_Use[MIN],MATCH(LEFT($D429,5),Land_Use[Tech],0)),0)*$E429</f>
        <v>0</v>
      </c>
      <c r="M429" s="30">
        <f>IF(OR(LEFT($D429,5)="Solar",$D429="Wind"),INDEX(Land_Use[MAX],MATCH(LEFT($D429,5),Land_Use[Tech],0)),0)*$E429</f>
        <v>0</v>
      </c>
      <c r="N429" s="15">
        <f t="shared" si="134"/>
        <v>0</v>
      </c>
      <c r="O429" s="11">
        <f t="shared" si="135"/>
        <v>0</v>
      </c>
      <c r="P429" s="11">
        <f t="shared" si="136"/>
        <v>0</v>
      </c>
      <c r="Q429" s="11">
        <f t="shared" si="137"/>
        <v>0</v>
      </c>
      <c r="R429" s="11">
        <f t="shared" si="138"/>
        <v>0</v>
      </c>
      <c r="S429" s="30">
        <f t="shared" si="126"/>
        <v>0</v>
      </c>
      <c r="T429" s="30">
        <f t="shared" si="127"/>
        <v>0</v>
      </c>
      <c r="U429" s="30">
        <f t="shared" si="128"/>
        <v>0</v>
      </c>
      <c r="V429" s="30">
        <f t="shared" si="129"/>
        <v>0</v>
      </c>
      <c r="W429" s="30">
        <f t="shared" si="130"/>
        <v>0</v>
      </c>
      <c r="X429" s="30">
        <f t="shared" si="131"/>
        <v>0</v>
      </c>
      <c r="Z429" s="23" t="s">
        <v>76</v>
      </c>
      <c r="AA429" s="40" t="str">
        <f>IF(C429="Electricity",E429*SUMIFS(Electricity!S:S,Electricity!P:P,UserMade_Scenario!B429,Electricity!M:M,UserMade_Scenario!Z429,Electricity!O:O,UserMade_Scenario!D429),"")</f>
        <v/>
      </c>
      <c r="AB429" s="67">
        <v>1.093E-6</v>
      </c>
      <c r="AC429" s="67" t="s">
        <v>90</v>
      </c>
      <c r="AD429" s="39">
        <f>IFERROR(INDEX(Assumptions!B$145:B$146,MATCH($D429,Assumptions!$A$145:$A$146,0)),0)</f>
        <v>-34.209999999999994</v>
      </c>
      <c r="AE429" s="39">
        <f>IFERROR(INDEX(Assumptions!C$145:C$146,MATCH($D429,Assumptions!$A$145:$A$146,0)),0)</f>
        <v>-34.209999999999994</v>
      </c>
      <c r="AF429" s="39">
        <f>IFERROR(INDEX(Assumptions!D$145:D$146,MATCH($D429,Assumptions!$A$145:$A$146,0)),0)</f>
        <v>-133.26499999999999</v>
      </c>
      <c r="AG429" s="68">
        <f>IFERROR(INDEX(WaterUseH2[Average Direct Water Consumption (Gal/ kg h2)],MATCH(LEFT(D429,3),WaterUseH2[Key],0)),0)</f>
        <v>0</v>
      </c>
      <c r="AH429">
        <v>14</v>
      </c>
      <c r="AI429">
        <v>1.4</v>
      </c>
      <c r="AJ429">
        <v>250</v>
      </c>
      <c r="AK429">
        <v>0.31</v>
      </c>
      <c r="AL429" s="63">
        <f>IFERROR(INDEX(Job_Training[[Solar]:[Wind]],MATCH(AL$1,Job_Training[[`Typical Entry Level Education`]:[`Typical Entry Level Education`]],0),MATCH(LEFT($D429,5),Job_Training[[#Headers],[Solar]:[Wind]],0)),0)</f>
        <v>0</v>
      </c>
      <c r="AM429" s="63">
        <f>IFERROR(INDEX(Job_Training[[Solar]:[Wind]],MATCH(AM$1,Job_Training[[`Typical Entry Level Education`]:[`Typical Entry Level Education`]],0),MATCH(LEFT($D429,5),Job_Training[[#Headers],[Solar]:[Wind]],0)),0)</f>
        <v>0</v>
      </c>
      <c r="AN429" s="63">
        <f>IFERROR(INDEX(Job_Training[[Solar]:[Wind]],MATCH(AN$1,Job_Training[[`Typical Entry Level Education`]:[`Typical Entry Level Education`]],0),MATCH(LEFT($D429,5),Job_Training[[#Headers],[Solar]:[Wind]],0)),0)</f>
        <v>0</v>
      </c>
      <c r="AO429" s="63">
        <f>IFERROR(INDEX(Job_Training[[Solar]:[Wind]],MATCH(AO$1,Job_Training[[`Typical Entry Level Education`]:[`Typical Entry Level Education`]],0),MATCH(LEFT($D429,5),Job_Training[[#Headers],[Solar]:[Wind]],0)),0)</f>
        <v>0</v>
      </c>
      <c r="AP429">
        <f t="shared" si="132"/>
        <v>0</v>
      </c>
      <c r="AQ429" s="63">
        <f>IF(AP429&gt;0,IFERROR(INDEX(Assumptions!$C$165:$D$165,MATCH(LEFT($D429,5),Job_Training[[#Headers],[Solar]:[Wind]],0)),0),0)</f>
        <v>0</v>
      </c>
      <c r="AR429">
        <f>IF(AP429&gt;0,IFERROR(INDEX(Assumptions!$C$166:$D$166,MATCH(LEFT($D429,5),Job_Training[[#Headers],[Solar]:[Wind]],0)),0),0)</f>
        <v>0</v>
      </c>
    </row>
    <row r="430" spans="1:44" hidden="1" x14ac:dyDescent="0.35">
      <c r="A430" t="str">
        <f>UserInput!$B$30</f>
        <v>State Policy Aligned</v>
      </c>
      <c r="B430">
        <v>2033</v>
      </c>
      <c r="C430" t="s">
        <v>87</v>
      </c>
      <c r="D430" t="s">
        <v>91</v>
      </c>
      <c r="E430" s="66">
        <f>INDEX(UserInput!$C$30:$M$50,MATCH(UserMade_Scenario!B430,UserInput!$A$30:$A$50,0),MATCH(LEFT(IF(RIGHT(C430,2)="H2",UserMade_Scenario!C430,D430),3),UserInput!$C$25:$M$25,0))</f>
        <v>1454</v>
      </c>
      <c r="F430" t="s">
        <v>89</v>
      </c>
      <c r="G430" s="14">
        <f t="shared" si="133"/>
        <v>1.5892219999999999E-3</v>
      </c>
      <c r="H430" s="63">
        <f t="shared" si="123"/>
        <v>5.4367284619999991E-2</v>
      </c>
      <c r="I430" s="63">
        <f t="shared" si="124"/>
        <v>5.4367284619999991E-2</v>
      </c>
      <c r="J430" s="63">
        <f t="shared" si="125"/>
        <v>0.21178766982999997</v>
      </c>
      <c r="K430" s="30">
        <f>IF(OR(LEFT($D430,5)="Solar",$D430="Wind"),INDEX(Land_Use[AVG],MATCH(LEFT($D430,5),Land_Use[Tech],0)),0)*$E430</f>
        <v>0</v>
      </c>
      <c r="L430" s="30">
        <f>IF(OR(LEFT($D430,5)="Solar",$D430="Wind"),INDEX(Land_Use[MIN],MATCH(LEFT($D430,5),Land_Use[Tech],0)),0)*$E430</f>
        <v>0</v>
      </c>
      <c r="M430" s="30">
        <f>IF(OR(LEFT($D430,5)="Solar",$D430="Wind"),INDEX(Land_Use[MAX],MATCH(LEFT($D430,5),Land_Use[Tech],0)),0)*$E430</f>
        <v>0</v>
      </c>
      <c r="N430" s="15">
        <f t="shared" si="134"/>
        <v>0</v>
      </c>
      <c r="O430" s="11">
        <f t="shared" si="135"/>
        <v>0</v>
      </c>
      <c r="P430" s="11">
        <f t="shared" si="136"/>
        <v>0</v>
      </c>
      <c r="Q430" s="11">
        <f t="shared" si="137"/>
        <v>0</v>
      </c>
      <c r="R430" s="11">
        <f t="shared" si="138"/>
        <v>0</v>
      </c>
      <c r="S430" s="30">
        <f t="shared" si="126"/>
        <v>0</v>
      </c>
      <c r="T430" s="30">
        <f t="shared" si="127"/>
        <v>0</v>
      </c>
      <c r="U430" s="30">
        <f t="shared" si="128"/>
        <v>0</v>
      </c>
      <c r="V430" s="30">
        <f t="shared" si="129"/>
        <v>0</v>
      </c>
      <c r="W430" s="30">
        <f t="shared" si="130"/>
        <v>0</v>
      </c>
      <c r="X430" s="30">
        <f t="shared" si="131"/>
        <v>0</v>
      </c>
      <c r="Z430" s="23" t="s">
        <v>76</v>
      </c>
      <c r="AA430" s="40" t="str">
        <f>IF(C430="Electricity",E430*SUMIFS(Electricity!S:S,Electricity!P:P,UserMade_Scenario!B430,Electricity!M:M,UserMade_Scenario!Z430,Electricity!O:O,UserMade_Scenario!D430),"")</f>
        <v/>
      </c>
      <c r="AB430" s="67">
        <v>1.093E-6</v>
      </c>
      <c r="AC430" s="67" t="s">
        <v>90</v>
      </c>
      <c r="AD430" s="39">
        <f>IFERROR(INDEX(Assumptions!B$145:B$146,MATCH($D430,Assumptions!$A$145:$A$146,0)),0)</f>
        <v>-34.209999999999994</v>
      </c>
      <c r="AE430" s="39">
        <f>IFERROR(INDEX(Assumptions!C$145:C$146,MATCH($D430,Assumptions!$A$145:$A$146,0)),0)</f>
        <v>-34.209999999999994</v>
      </c>
      <c r="AF430" s="39">
        <f>IFERROR(INDEX(Assumptions!D$145:D$146,MATCH($D430,Assumptions!$A$145:$A$146,0)),0)</f>
        <v>-133.26499999999999</v>
      </c>
      <c r="AG430" s="68">
        <f>IFERROR(INDEX(WaterUseH2[Average Direct Water Consumption (Gal/ kg h2)],MATCH(LEFT(D430,3),WaterUseH2[Key],0)),0)</f>
        <v>0</v>
      </c>
      <c r="AH430">
        <v>14</v>
      </c>
      <c r="AI430">
        <v>1.4</v>
      </c>
      <c r="AJ430">
        <v>250</v>
      </c>
      <c r="AK430">
        <v>0.31</v>
      </c>
      <c r="AL430" s="63">
        <f>IFERROR(INDEX(Job_Training[[Solar]:[Wind]],MATCH(AL$1,Job_Training[[`Typical Entry Level Education`]:[`Typical Entry Level Education`]],0),MATCH(LEFT($D430,5),Job_Training[[#Headers],[Solar]:[Wind]],0)),0)</f>
        <v>0</v>
      </c>
      <c r="AM430" s="63">
        <f>IFERROR(INDEX(Job_Training[[Solar]:[Wind]],MATCH(AM$1,Job_Training[[`Typical Entry Level Education`]:[`Typical Entry Level Education`]],0),MATCH(LEFT($D430,5),Job_Training[[#Headers],[Solar]:[Wind]],0)),0)</f>
        <v>0</v>
      </c>
      <c r="AN430" s="63">
        <f>IFERROR(INDEX(Job_Training[[Solar]:[Wind]],MATCH(AN$1,Job_Training[[`Typical Entry Level Education`]:[`Typical Entry Level Education`]],0),MATCH(LEFT($D430,5),Job_Training[[#Headers],[Solar]:[Wind]],0)),0)</f>
        <v>0</v>
      </c>
      <c r="AO430" s="63">
        <f>IFERROR(INDEX(Job_Training[[Solar]:[Wind]],MATCH(AO$1,Job_Training[[`Typical Entry Level Education`]:[`Typical Entry Level Education`]],0),MATCH(LEFT($D430,5),Job_Training[[#Headers],[Solar]:[Wind]],0)),0)</f>
        <v>0</v>
      </c>
      <c r="AP430">
        <f t="shared" si="132"/>
        <v>0</v>
      </c>
      <c r="AQ430" s="63">
        <f>IF(AP430&gt;0,IFERROR(INDEX(Assumptions!$C$165:$D$165,MATCH(LEFT($D430,5),Job_Training[[#Headers],[Solar]:[Wind]],0)),0),0)</f>
        <v>0</v>
      </c>
      <c r="AR430">
        <f>IF(AP430&gt;0,IFERROR(INDEX(Assumptions!$C$166:$D$166,MATCH(LEFT($D430,5),Job_Training[[#Headers],[Solar]:[Wind]],0)),0),0)</f>
        <v>0</v>
      </c>
    </row>
    <row r="431" spans="1:44" hidden="1" x14ac:dyDescent="0.35">
      <c r="A431" t="str">
        <f>UserInput!$B$30</f>
        <v>State Policy Aligned</v>
      </c>
      <c r="B431">
        <v>2034</v>
      </c>
      <c r="C431" t="s">
        <v>87</v>
      </c>
      <c r="D431" t="s">
        <v>91</v>
      </c>
      <c r="E431" s="66">
        <f>INDEX(UserInput!$C$30:$M$50,MATCH(UserMade_Scenario!B431,UserInput!$A$30:$A$50,0),MATCH(LEFT(IF(RIGHT(C431,2)="H2",UserMade_Scenario!C431,D431),3),UserInput!$C$25:$M$25,0))</f>
        <v>1553</v>
      </c>
      <c r="F431" t="s">
        <v>89</v>
      </c>
      <c r="G431" s="14">
        <f t="shared" si="133"/>
        <v>1.6974290000000003E-3</v>
      </c>
      <c r="H431" s="63">
        <f t="shared" si="123"/>
        <v>5.806904609E-2</v>
      </c>
      <c r="I431" s="63">
        <f t="shared" si="124"/>
        <v>5.806904609E-2</v>
      </c>
      <c r="J431" s="63">
        <f t="shared" si="125"/>
        <v>0.226207875685</v>
      </c>
      <c r="K431" s="30">
        <f>IF(OR(LEFT($D431,5)="Solar",$D431="Wind"),INDEX(Land_Use[AVG],MATCH(LEFT($D431,5),Land_Use[Tech],0)),0)*$E431</f>
        <v>0</v>
      </c>
      <c r="L431" s="30">
        <f>IF(OR(LEFT($D431,5)="Solar",$D431="Wind"),INDEX(Land_Use[MIN],MATCH(LEFT($D431,5),Land_Use[Tech],0)),0)*$E431</f>
        <v>0</v>
      </c>
      <c r="M431" s="30">
        <f>IF(OR(LEFT($D431,5)="Solar",$D431="Wind"),INDEX(Land_Use[MAX],MATCH(LEFT($D431,5),Land_Use[Tech],0)),0)*$E431</f>
        <v>0</v>
      </c>
      <c r="N431" s="15">
        <f t="shared" si="134"/>
        <v>0</v>
      </c>
      <c r="O431" s="11">
        <f t="shared" si="135"/>
        <v>0</v>
      </c>
      <c r="P431" s="11">
        <f t="shared" si="136"/>
        <v>0</v>
      </c>
      <c r="Q431" s="11">
        <f t="shared" si="137"/>
        <v>0</v>
      </c>
      <c r="R431" s="11">
        <f t="shared" si="138"/>
        <v>0</v>
      </c>
      <c r="S431" s="30">
        <f t="shared" si="126"/>
        <v>0</v>
      </c>
      <c r="T431" s="30">
        <f t="shared" si="127"/>
        <v>0</v>
      </c>
      <c r="U431" s="30">
        <f t="shared" si="128"/>
        <v>0</v>
      </c>
      <c r="V431" s="30">
        <f t="shared" si="129"/>
        <v>0</v>
      </c>
      <c r="W431" s="30">
        <f t="shared" si="130"/>
        <v>0</v>
      </c>
      <c r="X431" s="30">
        <f t="shared" si="131"/>
        <v>0</v>
      </c>
      <c r="Z431" s="23" t="s">
        <v>76</v>
      </c>
      <c r="AA431" s="40" t="str">
        <f>IF(C431="Electricity",E431*SUMIFS(Electricity!S:S,Electricity!P:P,UserMade_Scenario!B431,Electricity!M:M,UserMade_Scenario!Z431,Electricity!O:O,UserMade_Scenario!D431),"")</f>
        <v/>
      </c>
      <c r="AB431" s="67">
        <v>1.0930000000000002E-6</v>
      </c>
      <c r="AC431" s="67" t="s">
        <v>90</v>
      </c>
      <c r="AD431" s="39">
        <f>IFERROR(INDEX(Assumptions!B$145:B$146,MATCH($D431,Assumptions!$A$145:$A$146,0)),0)</f>
        <v>-34.209999999999994</v>
      </c>
      <c r="AE431" s="39">
        <f>IFERROR(INDEX(Assumptions!C$145:C$146,MATCH($D431,Assumptions!$A$145:$A$146,0)),0)</f>
        <v>-34.209999999999994</v>
      </c>
      <c r="AF431" s="39">
        <f>IFERROR(INDEX(Assumptions!D$145:D$146,MATCH($D431,Assumptions!$A$145:$A$146,0)),0)</f>
        <v>-133.26499999999999</v>
      </c>
      <c r="AG431" s="68">
        <f>IFERROR(INDEX(WaterUseH2[Average Direct Water Consumption (Gal/ kg h2)],MATCH(LEFT(D431,3),WaterUseH2[Key],0)),0)</f>
        <v>0</v>
      </c>
      <c r="AH431">
        <v>14</v>
      </c>
      <c r="AI431">
        <v>1.4</v>
      </c>
      <c r="AJ431">
        <v>250</v>
      </c>
      <c r="AK431">
        <v>0.31</v>
      </c>
      <c r="AL431" s="63">
        <f>IFERROR(INDEX(Job_Training[[Solar]:[Wind]],MATCH(AL$1,Job_Training[[`Typical Entry Level Education`]:[`Typical Entry Level Education`]],0),MATCH(LEFT($D431,5),Job_Training[[#Headers],[Solar]:[Wind]],0)),0)</f>
        <v>0</v>
      </c>
      <c r="AM431" s="63">
        <f>IFERROR(INDEX(Job_Training[[Solar]:[Wind]],MATCH(AM$1,Job_Training[[`Typical Entry Level Education`]:[`Typical Entry Level Education`]],0),MATCH(LEFT($D431,5),Job_Training[[#Headers],[Solar]:[Wind]],0)),0)</f>
        <v>0</v>
      </c>
      <c r="AN431" s="63">
        <f>IFERROR(INDEX(Job_Training[[Solar]:[Wind]],MATCH(AN$1,Job_Training[[`Typical Entry Level Education`]:[`Typical Entry Level Education`]],0),MATCH(LEFT($D431,5),Job_Training[[#Headers],[Solar]:[Wind]],0)),0)</f>
        <v>0</v>
      </c>
      <c r="AO431" s="63">
        <f>IFERROR(INDEX(Job_Training[[Solar]:[Wind]],MATCH(AO$1,Job_Training[[`Typical Entry Level Education`]:[`Typical Entry Level Education`]],0),MATCH(LEFT($D431,5),Job_Training[[#Headers],[Solar]:[Wind]],0)),0)</f>
        <v>0</v>
      </c>
      <c r="AP431">
        <f t="shared" si="132"/>
        <v>0</v>
      </c>
      <c r="AQ431" s="63">
        <f>IF(AP431&gt;0,IFERROR(INDEX(Assumptions!$C$165:$D$165,MATCH(LEFT($D431,5),Job_Training[[#Headers],[Solar]:[Wind]],0)),0),0)</f>
        <v>0</v>
      </c>
      <c r="AR431">
        <f>IF(AP431&gt;0,IFERROR(INDEX(Assumptions!$C$166:$D$166,MATCH(LEFT($D431,5),Job_Training[[#Headers],[Solar]:[Wind]],0)),0),0)</f>
        <v>0</v>
      </c>
    </row>
    <row r="432" spans="1:44" hidden="1" x14ac:dyDescent="0.35">
      <c r="A432" t="str">
        <f>UserInput!$B$30</f>
        <v>State Policy Aligned</v>
      </c>
      <c r="B432">
        <v>2035</v>
      </c>
      <c r="C432" t="s">
        <v>87</v>
      </c>
      <c r="D432" t="s">
        <v>91</v>
      </c>
      <c r="E432" s="66">
        <f>INDEX(UserInput!$C$30:$M$50,MATCH(UserMade_Scenario!B432,UserInput!$A$30:$A$50,0),MATCH(LEFT(IF(RIGHT(C432,2)="H2",UserMade_Scenario!C432,D432),3),UserInput!$C$25:$M$25,0))</f>
        <v>1653</v>
      </c>
      <c r="F432" t="s">
        <v>89</v>
      </c>
      <c r="G432" s="14">
        <f t="shared" si="133"/>
        <v>1.8067290000000002E-3</v>
      </c>
      <c r="H432" s="63">
        <f t="shared" si="123"/>
        <v>6.1808199089999995E-2</v>
      </c>
      <c r="I432" s="63">
        <f t="shared" si="124"/>
        <v>6.1808199089999995E-2</v>
      </c>
      <c r="J432" s="63">
        <f t="shared" si="125"/>
        <v>0.240773740185</v>
      </c>
      <c r="K432" s="30">
        <f>IF(OR(LEFT($D432,5)="Solar",$D432="Wind"),INDEX(Land_Use[AVG],MATCH(LEFT($D432,5),Land_Use[Tech],0)),0)*$E432</f>
        <v>0</v>
      </c>
      <c r="L432" s="30">
        <f>IF(OR(LEFT($D432,5)="Solar",$D432="Wind"),INDEX(Land_Use[MIN],MATCH(LEFT($D432,5),Land_Use[Tech],0)),0)*$E432</f>
        <v>0</v>
      </c>
      <c r="M432" s="30">
        <f>IF(OR(LEFT($D432,5)="Solar",$D432="Wind"),INDEX(Land_Use[MAX],MATCH(LEFT($D432,5),Land_Use[Tech],0)),0)*$E432</f>
        <v>0</v>
      </c>
      <c r="N432" s="15">
        <f t="shared" si="134"/>
        <v>0</v>
      </c>
      <c r="O432" s="11">
        <f t="shared" si="135"/>
        <v>0</v>
      </c>
      <c r="P432" s="11">
        <f t="shared" si="136"/>
        <v>0</v>
      </c>
      <c r="Q432" s="11">
        <f t="shared" si="137"/>
        <v>0</v>
      </c>
      <c r="R432" s="11">
        <f t="shared" si="138"/>
        <v>0</v>
      </c>
      <c r="S432" s="30">
        <f t="shared" si="126"/>
        <v>0</v>
      </c>
      <c r="T432" s="30">
        <f t="shared" si="127"/>
        <v>0</v>
      </c>
      <c r="U432" s="30">
        <f t="shared" si="128"/>
        <v>0</v>
      </c>
      <c r="V432" s="30">
        <f t="shared" si="129"/>
        <v>0</v>
      </c>
      <c r="W432" s="30">
        <f t="shared" si="130"/>
        <v>0</v>
      </c>
      <c r="X432" s="30">
        <f t="shared" si="131"/>
        <v>0</v>
      </c>
      <c r="Z432" s="23" t="s">
        <v>76</v>
      </c>
      <c r="AA432" s="40" t="str">
        <f>IF(C432="Electricity",E432*SUMIFS(Electricity!S:S,Electricity!P:P,UserMade_Scenario!B432,Electricity!M:M,UserMade_Scenario!Z432,Electricity!O:O,UserMade_Scenario!D432),"")</f>
        <v/>
      </c>
      <c r="AB432" s="67">
        <v>1.0930000000000002E-6</v>
      </c>
      <c r="AC432" s="67" t="s">
        <v>90</v>
      </c>
      <c r="AD432" s="39">
        <f>IFERROR(INDEX(Assumptions!B$145:B$146,MATCH($D432,Assumptions!$A$145:$A$146,0)),0)</f>
        <v>-34.209999999999994</v>
      </c>
      <c r="AE432" s="39">
        <f>IFERROR(INDEX(Assumptions!C$145:C$146,MATCH($D432,Assumptions!$A$145:$A$146,0)),0)</f>
        <v>-34.209999999999994</v>
      </c>
      <c r="AF432" s="39">
        <f>IFERROR(INDEX(Assumptions!D$145:D$146,MATCH($D432,Assumptions!$A$145:$A$146,0)),0)</f>
        <v>-133.26499999999999</v>
      </c>
      <c r="AG432" s="68">
        <f>IFERROR(INDEX(WaterUseH2[Average Direct Water Consumption (Gal/ kg h2)],MATCH(LEFT(D432,3),WaterUseH2[Key],0)),0)</f>
        <v>0</v>
      </c>
      <c r="AH432">
        <v>14</v>
      </c>
      <c r="AI432">
        <v>1.4</v>
      </c>
      <c r="AJ432">
        <v>250</v>
      </c>
      <c r="AK432">
        <v>0.31</v>
      </c>
      <c r="AL432" s="63">
        <f>IFERROR(INDEX(Job_Training[[Solar]:[Wind]],MATCH(AL$1,Job_Training[[`Typical Entry Level Education`]:[`Typical Entry Level Education`]],0),MATCH(LEFT($D432,5),Job_Training[[#Headers],[Solar]:[Wind]],0)),0)</f>
        <v>0</v>
      </c>
      <c r="AM432" s="63">
        <f>IFERROR(INDEX(Job_Training[[Solar]:[Wind]],MATCH(AM$1,Job_Training[[`Typical Entry Level Education`]:[`Typical Entry Level Education`]],0),MATCH(LEFT($D432,5),Job_Training[[#Headers],[Solar]:[Wind]],0)),0)</f>
        <v>0</v>
      </c>
      <c r="AN432" s="63">
        <f>IFERROR(INDEX(Job_Training[[Solar]:[Wind]],MATCH(AN$1,Job_Training[[`Typical Entry Level Education`]:[`Typical Entry Level Education`]],0),MATCH(LEFT($D432,5),Job_Training[[#Headers],[Solar]:[Wind]],0)),0)</f>
        <v>0</v>
      </c>
      <c r="AO432" s="63">
        <f>IFERROR(INDEX(Job_Training[[Solar]:[Wind]],MATCH(AO$1,Job_Training[[`Typical Entry Level Education`]:[`Typical Entry Level Education`]],0),MATCH(LEFT($D432,5),Job_Training[[#Headers],[Solar]:[Wind]],0)),0)</f>
        <v>0</v>
      </c>
      <c r="AP432">
        <f t="shared" si="132"/>
        <v>0</v>
      </c>
      <c r="AQ432" s="63">
        <f>IF(AP432&gt;0,IFERROR(INDEX(Assumptions!$C$165:$D$165,MATCH(LEFT($D432,5),Job_Training[[#Headers],[Solar]:[Wind]],0)),0),0)</f>
        <v>0</v>
      </c>
      <c r="AR432">
        <f>IF(AP432&gt;0,IFERROR(INDEX(Assumptions!$C$166:$D$166,MATCH(LEFT($D432,5),Job_Training[[#Headers],[Solar]:[Wind]],0)),0),0)</f>
        <v>0</v>
      </c>
    </row>
    <row r="433" spans="1:44" hidden="1" x14ac:dyDescent="0.35">
      <c r="A433" t="str">
        <f>UserInput!$B$30</f>
        <v>State Policy Aligned</v>
      </c>
      <c r="B433">
        <v>2036</v>
      </c>
      <c r="C433" t="s">
        <v>87</v>
      </c>
      <c r="D433" t="s">
        <v>91</v>
      </c>
      <c r="E433" s="66">
        <f>INDEX(UserInput!$C$30:$M$50,MATCH(UserMade_Scenario!B433,UserInput!$A$30:$A$50,0),MATCH(LEFT(IF(RIGHT(C433,2)="H2",UserMade_Scenario!C433,D433),3),UserInput!$C$25:$M$25,0))</f>
        <v>1752</v>
      </c>
      <c r="F433" t="s">
        <v>89</v>
      </c>
      <c r="G433" s="14">
        <f t="shared" si="133"/>
        <v>1.9149360000000003E-3</v>
      </c>
      <c r="H433" s="63">
        <f t="shared" si="123"/>
        <v>6.5509960559999997E-2</v>
      </c>
      <c r="I433" s="63">
        <f t="shared" si="124"/>
        <v>6.5509960559999997E-2</v>
      </c>
      <c r="J433" s="63">
        <f t="shared" si="125"/>
        <v>0.25519394604000001</v>
      </c>
      <c r="K433" s="30">
        <f>IF(OR(LEFT($D433,5)="Solar",$D433="Wind"),INDEX(Land_Use[AVG],MATCH(LEFT($D433,5),Land_Use[Tech],0)),0)*$E433</f>
        <v>0</v>
      </c>
      <c r="L433" s="30">
        <f>IF(OR(LEFT($D433,5)="Solar",$D433="Wind"),INDEX(Land_Use[MIN],MATCH(LEFT($D433,5),Land_Use[Tech],0)),0)*$E433</f>
        <v>0</v>
      </c>
      <c r="M433" s="30">
        <f>IF(OR(LEFT($D433,5)="Solar",$D433="Wind"),INDEX(Land_Use[MAX],MATCH(LEFT($D433,5),Land_Use[Tech],0)),0)*$E433</f>
        <v>0</v>
      </c>
      <c r="N433" s="15">
        <f t="shared" si="134"/>
        <v>0</v>
      </c>
      <c r="O433" s="11">
        <f t="shared" si="135"/>
        <v>0</v>
      </c>
      <c r="P433" s="11">
        <f t="shared" si="136"/>
        <v>0</v>
      </c>
      <c r="Q433" s="11">
        <f t="shared" si="137"/>
        <v>0</v>
      </c>
      <c r="R433" s="11">
        <f t="shared" si="138"/>
        <v>0</v>
      </c>
      <c r="S433" s="30">
        <f t="shared" si="126"/>
        <v>0</v>
      </c>
      <c r="T433" s="30">
        <f t="shared" si="127"/>
        <v>0</v>
      </c>
      <c r="U433" s="30">
        <f t="shared" si="128"/>
        <v>0</v>
      </c>
      <c r="V433" s="30">
        <f t="shared" si="129"/>
        <v>0</v>
      </c>
      <c r="W433" s="30">
        <f t="shared" si="130"/>
        <v>0</v>
      </c>
      <c r="X433" s="30">
        <f t="shared" si="131"/>
        <v>0</v>
      </c>
      <c r="Z433" s="23" t="s">
        <v>76</v>
      </c>
      <c r="AA433" s="40" t="str">
        <f>IF(C433="Electricity",E433*SUMIFS(Electricity!S:S,Electricity!P:P,UserMade_Scenario!B433,Electricity!M:M,UserMade_Scenario!Z433,Electricity!O:O,UserMade_Scenario!D433),"")</f>
        <v/>
      </c>
      <c r="AB433" s="67">
        <v>1.0930000000000002E-6</v>
      </c>
      <c r="AC433" s="67" t="s">
        <v>90</v>
      </c>
      <c r="AD433" s="39">
        <f>IFERROR(INDEX(Assumptions!B$145:B$146,MATCH($D433,Assumptions!$A$145:$A$146,0)),0)</f>
        <v>-34.209999999999994</v>
      </c>
      <c r="AE433" s="39">
        <f>IFERROR(INDEX(Assumptions!C$145:C$146,MATCH($D433,Assumptions!$A$145:$A$146,0)),0)</f>
        <v>-34.209999999999994</v>
      </c>
      <c r="AF433" s="39">
        <f>IFERROR(INDEX(Assumptions!D$145:D$146,MATCH($D433,Assumptions!$A$145:$A$146,0)),0)</f>
        <v>-133.26499999999999</v>
      </c>
      <c r="AG433" s="68">
        <f>IFERROR(INDEX(WaterUseH2[Average Direct Water Consumption (Gal/ kg h2)],MATCH(LEFT(D433,3),WaterUseH2[Key],0)),0)</f>
        <v>0</v>
      </c>
      <c r="AH433">
        <v>14</v>
      </c>
      <c r="AI433">
        <v>1.4</v>
      </c>
      <c r="AJ433">
        <v>250</v>
      </c>
      <c r="AK433">
        <v>0.31</v>
      </c>
      <c r="AL433" s="63">
        <f>IFERROR(INDEX(Job_Training[[Solar]:[Wind]],MATCH(AL$1,Job_Training[[`Typical Entry Level Education`]:[`Typical Entry Level Education`]],0),MATCH(LEFT($D433,5),Job_Training[[#Headers],[Solar]:[Wind]],0)),0)</f>
        <v>0</v>
      </c>
      <c r="AM433" s="63">
        <f>IFERROR(INDEX(Job_Training[[Solar]:[Wind]],MATCH(AM$1,Job_Training[[`Typical Entry Level Education`]:[`Typical Entry Level Education`]],0),MATCH(LEFT($D433,5),Job_Training[[#Headers],[Solar]:[Wind]],0)),0)</f>
        <v>0</v>
      </c>
      <c r="AN433" s="63">
        <f>IFERROR(INDEX(Job_Training[[Solar]:[Wind]],MATCH(AN$1,Job_Training[[`Typical Entry Level Education`]:[`Typical Entry Level Education`]],0),MATCH(LEFT($D433,5),Job_Training[[#Headers],[Solar]:[Wind]],0)),0)</f>
        <v>0</v>
      </c>
      <c r="AO433" s="63">
        <f>IFERROR(INDEX(Job_Training[[Solar]:[Wind]],MATCH(AO$1,Job_Training[[`Typical Entry Level Education`]:[`Typical Entry Level Education`]],0),MATCH(LEFT($D433,5),Job_Training[[#Headers],[Solar]:[Wind]],0)),0)</f>
        <v>0</v>
      </c>
      <c r="AP433">
        <f t="shared" si="132"/>
        <v>0</v>
      </c>
      <c r="AQ433" s="63">
        <f>IF(AP433&gt;0,IFERROR(INDEX(Assumptions!$C$165:$D$165,MATCH(LEFT($D433,5),Job_Training[[#Headers],[Solar]:[Wind]],0)),0),0)</f>
        <v>0</v>
      </c>
      <c r="AR433">
        <f>IF(AP433&gt;0,IFERROR(INDEX(Assumptions!$C$166:$D$166,MATCH(LEFT($D433,5),Job_Training[[#Headers],[Solar]:[Wind]],0)),0),0)</f>
        <v>0</v>
      </c>
    </row>
    <row r="434" spans="1:44" hidden="1" x14ac:dyDescent="0.35">
      <c r="A434" t="str">
        <f>UserInput!$B$30</f>
        <v>State Policy Aligned</v>
      </c>
      <c r="B434">
        <v>2037</v>
      </c>
      <c r="C434" t="s">
        <v>87</v>
      </c>
      <c r="D434" t="s">
        <v>91</v>
      </c>
      <c r="E434" s="66">
        <f>INDEX(UserInput!$C$30:$M$50,MATCH(UserMade_Scenario!B434,UserInput!$A$30:$A$50,0),MATCH(LEFT(IF(RIGHT(C434,2)="H2",UserMade_Scenario!C434,D434),3),UserInput!$C$25:$M$25,0))</f>
        <v>1852</v>
      </c>
      <c r="F434" t="s">
        <v>89</v>
      </c>
      <c r="G434" s="14">
        <f t="shared" si="133"/>
        <v>2.0242360000000004E-3</v>
      </c>
      <c r="H434" s="63">
        <f t="shared" si="123"/>
        <v>6.9249113560000006E-2</v>
      </c>
      <c r="I434" s="63">
        <f t="shared" si="124"/>
        <v>6.9249113560000006E-2</v>
      </c>
      <c r="J434" s="63">
        <f t="shared" si="125"/>
        <v>0.26975981054000003</v>
      </c>
      <c r="K434" s="30">
        <f>IF(OR(LEFT($D434,5)="Solar",$D434="Wind"),INDEX(Land_Use[AVG],MATCH(LEFT($D434,5),Land_Use[Tech],0)),0)*$E434</f>
        <v>0</v>
      </c>
      <c r="L434" s="30">
        <f>IF(OR(LEFT($D434,5)="Solar",$D434="Wind"),INDEX(Land_Use[MIN],MATCH(LEFT($D434,5),Land_Use[Tech],0)),0)*$E434</f>
        <v>0</v>
      </c>
      <c r="M434" s="30">
        <f>IF(OR(LEFT($D434,5)="Solar",$D434="Wind"),INDEX(Land_Use[MAX],MATCH(LEFT($D434,5),Land_Use[Tech],0)),0)*$E434</f>
        <v>0</v>
      </c>
      <c r="N434" s="15">
        <f t="shared" si="134"/>
        <v>0</v>
      </c>
      <c r="O434" s="11">
        <f t="shared" si="135"/>
        <v>0</v>
      </c>
      <c r="P434" s="11">
        <f t="shared" si="136"/>
        <v>0</v>
      </c>
      <c r="Q434" s="11">
        <f t="shared" si="137"/>
        <v>0</v>
      </c>
      <c r="R434" s="11">
        <f t="shared" si="138"/>
        <v>0</v>
      </c>
      <c r="S434" s="30">
        <f t="shared" si="126"/>
        <v>0</v>
      </c>
      <c r="T434" s="30">
        <f t="shared" si="127"/>
        <v>0</v>
      </c>
      <c r="U434" s="30">
        <f t="shared" si="128"/>
        <v>0</v>
      </c>
      <c r="V434" s="30">
        <f t="shared" si="129"/>
        <v>0</v>
      </c>
      <c r="W434" s="30">
        <f t="shared" si="130"/>
        <v>0</v>
      </c>
      <c r="X434" s="30">
        <f t="shared" si="131"/>
        <v>0</v>
      </c>
      <c r="Z434" s="23" t="s">
        <v>76</v>
      </c>
      <c r="AA434" s="40" t="str">
        <f>IF(C434="Electricity",E434*SUMIFS(Electricity!S:S,Electricity!P:P,UserMade_Scenario!B434,Electricity!M:M,UserMade_Scenario!Z434,Electricity!O:O,UserMade_Scenario!D434),"")</f>
        <v/>
      </c>
      <c r="AB434" s="67">
        <v>1.0930000000000002E-6</v>
      </c>
      <c r="AC434" s="67" t="s">
        <v>90</v>
      </c>
      <c r="AD434" s="39">
        <f>IFERROR(INDEX(Assumptions!B$145:B$146,MATCH($D434,Assumptions!$A$145:$A$146,0)),0)</f>
        <v>-34.209999999999994</v>
      </c>
      <c r="AE434" s="39">
        <f>IFERROR(INDEX(Assumptions!C$145:C$146,MATCH($D434,Assumptions!$A$145:$A$146,0)),0)</f>
        <v>-34.209999999999994</v>
      </c>
      <c r="AF434" s="39">
        <f>IFERROR(INDEX(Assumptions!D$145:D$146,MATCH($D434,Assumptions!$A$145:$A$146,0)),0)</f>
        <v>-133.26499999999999</v>
      </c>
      <c r="AG434" s="68">
        <f>IFERROR(INDEX(WaterUseH2[Average Direct Water Consumption (Gal/ kg h2)],MATCH(LEFT(D434,3),WaterUseH2[Key],0)),0)</f>
        <v>0</v>
      </c>
      <c r="AH434">
        <v>14</v>
      </c>
      <c r="AI434">
        <v>1.4</v>
      </c>
      <c r="AJ434">
        <v>250</v>
      </c>
      <c r="AK434">
        <v>0.31</v>
      </c>
      <c r="AL434" s="63">
        <f>IFERROR(INDEX(Job_Training[[Solar]:[Wind]],MATCH(AL$1,Job_Training[[`Typical Entry Level Education`]:[`Typical Entry Level Education`]],0),MATCH(LEFT($D434,5),Job_Training[[#Headers],[Solar]:[Wind]],0)),0)</f>
        <v>0</v>
      </c>
      <c r="AM434" s="63">
        <f>IFERROR(INDEX(Job_Training[[Solar]:[Wind]],MATCH(AM$1,Job_Training[[`Typical Entry Level Education`]:[`Typical Entry Level Education`]],0),MATCH(LEFT($D434,5),Job_Training[[#Headers],[Solar]:[Wind]],0)),0)</f>
        <v>0</v>
      </c>
      <c r="AN434" s="63">
        <f>IFERROR(INDEX(Job_Training[[Solar]:[Wind]],MATCH(AN$1,Job_Training[[`Typical Entry Level Education`]:[`Typical Entry Level Education`]],0),MATCH(LEFT($D434,5),Job_Training[[#Headers],[Solar]:[Wind]],0)),0)</f>
        <v>0</v>
      </c>
      <c r="AO434" s="63">
        <f>IFERROR(INDEX(Job_Training[[Solar]:[Wind]],MATCH(AO$1,Job_Training[[`Typical Entry Level Education`]:[`Typical Entry Level Education`]],0),MATCH(LEFT($D434,5),Job_Training[[#Headers],[Solar]:[Wind]],0)),0)</f>
        <v>0</v>
      </c>
      <c r="AP434">
        <f t="shared" si="132"/>
        <v>0</v>
      </c>
      <c r="AQ434" s="63">
        <f>IF(AP434&gt;0,IFERROR(INDEX(Assumptions!$C$165:$D$165,MATCH(LEFT($D434,5),Job_Training[[#Headers],[Solar]:[Wind]],0)),0),0)</f>
        <v>0</v>
      </c>
      <c r="AR434">
        <f>IF(AP434&gt;0,IFERROR(INDEX(Assumptions!$C$166:$D$166,MATCH(LEFT($D434,5),Job_Training[[#Headers],[Solar]:[Wind]],0)),0),0)</f>
        <v>0</v>
      </c>
    </row>
    <row r="435" spans="1:44" hidden="1" x14ac:dyDescent="0.35">
      <c r="A435" t="str">
        <f>UserInput!$B$30</f>
        <v>State Policy Aligned</v>
      </c>
      <c r="B435">
        <v>2038</v>
      </c>
      <c r="C435" t="s">
        <v>87</v>
      </c>
      <c r="D435" t="s">
        <v>91</v>
      </c>
      <c r="E435" s="66">
        <f>INDEX(UserInput!$C$30:$M$50,MATCH(UserMade_Scenario!B435,UserInput!$A$30:$A$50,0),MATCH(LEFT(IF(RIGHT(C435,2)="H2",UserMade_Scenario!C435,D435),3),UserInput!$C$25:$M$25,0))</f>
        <v>1951</v>
      </c>
      <c r="F435" t="s">
        <v>89</v>
      </c>
      <c r="G435" s="14">
        <f t="shared" si="133"/>
        <v>2.1324430000000004E-3</v>
      </c>
      <c r="H435" s="63">
        <f t="shared" si="123"/>
        <v>7.2950875030000001E-2</v>
      </c>
      <c r="I435" s="63">
        <f t="shared" si="124"/>
        <v>7.2950875030000001E-2</v>
      </c>
      <c r="J435" s="63">
        <f t="shared" si="125"/>
        <v>0.28418001639500001</v>
      </c>
      <c r="K435" s="30">
        <f>IF(OR(LEFT($D435,5)="Solar",$D435="Wind"),INDEX(Land_Use[AVG],MATCH(LEFT($D435,5),Land_Use[Tech],0)),0)*$E435</f>
        <v>0</v>
      </c>
      <c r="L435" s="30">
        <f>IF(OR(LEFT($D435,5)="Solar",$D435="Wind"),INDEX(Land_Use[MIN],MATCH(LEFT($D435,5),Land_Use[Tech],0)),0)*$E435</f>
        <v>0</v>
      </c>
      <c r="M435" s="30">
        <f>IF(OR(LEFT($D435,5)="Solar",$D435="Wind"),INDEX(Land_Use[MAX],MATCH(LEFT($D435,5),Land_Use[Tech],0)),0)*$E435</f>
        <v>0</v>
      </c>
      <c r="N435" s="15">
        <f t="shared" si="134"/>
        <v>0</v>
      </c>
      <c r="O435" s="11">
        <f t="shared" si="135"/>
        <v>0</v>
      </c>
      <c r="P435" s="11">
        <f t="shared" si="136"/>
        <v>0</v>
      </c>
      <c r="Q435" s="11">
        <f t="shared" si="137"/>
        <v>0</v>
      </c>
      <c r="R435" s="11">
        <f t="shared" si="138"/>
        <v>0</v>
      </c>
      <c r="S435" s="30">
        <f t="shared" si="126"/>
        <v>0</v>
      </c>
      <c r="T435" s="30">
        <f t="shared" si="127"/>
        <v>0</v>
      </c>
      <c r="U435" s="30">
        <f t="shared" si="128"/>
        <v>0</v>
      </c>
      <c r="V435" s="30">
        <f t="shared" si="129"/>
        <v>0</v>
      </c>
      <c r="W435" s="30">
        <f t="shared" si="130"/>
        <v>0</v>
      </c>
      <c r="X435" s="30">
        <f t="shared" si="131"/>
        <v>0</v>
      </c>
      <c r="Z435" s="23" t="s">
        <v>76</v>
      </c>
      <c r="AA435" s="40" t="str">
        <f>IF(C435="Electricity",E435*SUMIFS(Electricity!S:S,Electricity!P:P,UserMade_Scenario!B435,Electricity!M:M,UserMade_Scenario!Z435,Electricity!O:O,UserMade_Scenario!D435),"")</f>
        <v/>
      </c>
      <c r="AB435" s="67">
        <v>1.0930000000000002E-6</v>
      </c>
      <c r="AC435" s="67" t="s">
        <v>90</v>
      </c>
      <c r="AD435" s="39">
        <f>IFERROR(INDEX(Assumptions!B$145:B$146,MATCH($D435,Assumptions!$A$145:$A$146,0)),0)</f>
        <v>-34.209999999999994</v>
      </c>
      <c r="AE435" s="39">
        <f>IFERROR(INDEX(Assumptions!C$145:C$146,MATCH($D435,Assumptions!$A$145:$A$146,0)),0)</f>
        <v>-34.209999999999994</v>
      </c>
      <c r="AF435" s="39">
        <f>IFERROR(INDEX(Assumptions!D$145:D$146,MATCH($D435,Assumptions!$A$145:$A$146,0)),0)</f>
        <v>-133.26499999999999</v>
      </c>
      <c r="AG435" s="68">
        <f>IFERROR(INDEX(WaterUseH2[Average Direct Water Consumption (Gal/ kg h2)],MATCH(LEFT(D435,3),WaterUseH2[Key],0)),0)</f>
        <v>0</v>
      </c>
      <c r="AH435">
        <v>14</v>
      </c>
      <c r="AI435">
        <v>1.4</v>
      </c>
      <c r="AJ435">
        <v>250</v>
      </c>
      <c r="AK435">
        <v>0.31</v>
      </c>
      <c r="AL435" s="63">
        <f>IFERROR(INDEX(Job_Training[[Solar]:[Wind]],MATCH(AL$1,Job_Training[[`Typical Entry Level Education`]:[`Typical Entry Level Education`]],0),MATCH(LEFT($D435,5),Job_Training[[#Headers],[Solar]:[Wind]],0)),0)</f>
        <v>0</v>
      </c>
      <c r="AM435" s="63">
        <f>IFERROR(INDEX(Job_Training[[Solar]:[Wind]],MATCH(AM$1,Job_Training[[`Typical Entry Level Education`]:[`Typical Entry Level Education`]],0),MATCH(LEFT($D435,5),Job_Training[[#Headers],[Solar]:[Wind]],0)),0)</f>
        <v>0</v>
      </c>
      <c r="AN435" s="63">
        <f>IFERROR(INDEX(Job_Training[[Solar]:[Wind]],MATCH(AN$1,Job_Training[[`Typical Entry Level Education`]:[`Typical Entry Level Education`]],0),MATCH(LEFT($D435,5),Job_Training[[#Headers],[Solar]:[Wind]],0)),0)</f>
        <v>0</v>
      </c>
      <c r="AO435" s="63">
        <f>IFERROR(INDEX(Job_Training[[Solar]:[Wind]],MATCH(AO$1,Job_Training[[`Typical Entry Level Education`]:[`Typical Entry Level Education`]],0),MATCH(LEFT($D435,5),Job_Training[[#Headers],[Solar]:[Wind]],0)),0)</f>
        <v>0</v>
      </c>
      <c r="AP435">
        <f t="shared" si="132"/>
        <v>0</v>
      </c>
      <c r="AQ435" s="63">
        <f>IF(AP435&gt;0,IFERROR(INDEX(Assumptions!$C$165:$D$165,MATCH(LEFT($D435,5),Job_Training[[#Headers],[Solar]:[Wind]],0)),0),0)</f>
        <v>0</v>
      </c>
      <c r="AR435">
        <f>IF(AP435&gt;0,IFERROR(INDEX(Assumptions!$C$166:$D$166,MATCH(LEFT($D435,5),Job_Training[[#Headers],[Solar]:[Wind]],0)),0),0)</f>
        <v>0</v>
      </c>
    </row>
    <row r="436" spans="1:44" hidden="1" x14ac:dyDescent="0.35">
      <c r="A436" t="str">
        <f>UserInput!$B$30</f>
        <v>State Policy Aligned</v>
      </c>
      <c r="B436">
        <v>2039</v>
      </c>
      <c r="C436" t="s">
        <v>87</v>
      </c>
      <c r="D436" t="s">
        <v>91</v>
      </c>
      <c r="E436" s="66">
        <f>INDEX(UserInput!$C$30:$M$50,MATCH(UserMade_Scenario!B436,UserInput!$A$30:$A$50,0),MATCH(LEFT(IF(RIGHT(C436,2)="H2",UserMade_Scenario!C436,D436),3),UserInput!$C$25:$M$25,0))</f>
        <v>2050</v>
      </c>
      <c r="F436" t="s">
        <v>89</v>
      </c>
      <c r="G436" s="14">
        <f t="shared" si="133"/>
        <v>2.2406500000000003E-3</v>
      </c>
      <c r="H436" s="63">
        <f t="shared" si="123"/>
        <v>7.6652636499999996E-2</v>
      </c>
      <c r="I436" s="63">
        <f t="shared" si="124"/>
        <v>7.6652636499999996E-2</v>
      </c>
      <c r="J436" s="63">
        <f t="shared" si="125"/>
        <v>0.29860022224999999</v>
      </c>
      <c r="K436" s="30">
        <f>IF(OR(LEFT($D436,5)="Solar",$D436="Wind"),INDEX(Land_Use[AVG],MATCH(LEFT($D436,5),Land_Use[Tech],0)),0)*$E436</f>
        <v>0</v>
      </c>
      <c r="L436" s="30">
        <f>IF(OR(LEFT($D436,5)="Solar",$D436="Wind"),INDEX(Land_Use[MIN],MATCH(LEFT($D436,5),Land_Use[Tech],0)),0)*$E436</f>
        <v>0</v>
      </c>
      <c r="M436" s="30">
        <f>IF(OR(LEFT($D436,5)="Solar",$D436="Wind"),INDEX(Land_Use[MAX],MATCH(LEFT($D436,5),Land_Use[Tech],0)),0)*$E436</f>
        <v>0</v>
      </c>
      <c r="N436" s="15">
        <f t="shared" si="134"/>
        <v>0</v>
      </c>
      <c r="O436" s="11">
        <f t="shared" si="135"/>
        <v>0</v>
      </c>
      <c r="P436" s="11">
        <f t="shared" si="136"/>
        <v>0</v>
      </c>
      <c r="Q436" s="11">
        <f t="shared" si="137"/>
        <v>0</v>
      </c>
      <c r="R436" s="11">
        <f t="shared" si="138"/>
        <v>0</v>
      </c>
      <c r="S436" s="30">
        <f t="shared" si="126"/>
        <v>0</v>
      </c>
      <c r="T436" s="30">
        <f t="shared" si="127"/>
        <v>0</v>
      </c>
      <c r="U436" s="30">
        <f t="shared" si="128"/>
        <v>0</v>
      </c>
      <c r="V436" s="30">
        <f t="shared" si="129"/>
        <v>0</v>
      </c>
      <c r="W436" s="30">
        <f t="shared" si="130"/>
        <v>0</v>
      </c>
      <c r="X436" s="30">
        <f t="shared" si="131"/>
        <v>0</v>
      </c>
      <c r="Z436" s="23" t="s">
        <v>76</v>
      </c>
      <c r="AA436" s="40" t="str">
        <f>IF(C436="Electricity",E436*SUMIFS(Electricity!S:S,Electricity!P:P,UserMade_Scenario!B436,Electricity!M:M,UserMade_Scenario!Z436,Electricity!O:O,UserMade_Scenario!D436),"")</f>
        <v/>
      </c>
      <c r="AB436" s="67">
        <v>1.0930000000000002E-6</v>
      </c>
      <c r="AC436" s="67" t="s">
        <v>90</v>
      </c>
      <c r="AD436" s="39">
        <f>IFERROR(INDEX(Assumptions!B$145:B$146,MATCH($D436,Assumptions!$A$145:$A$146,0)),0)</f>
        <v>-34.209999999999994</v>
      </c>
      <c r="AE436" s="39">
        <f>IFERROR(INDEX(Assumptions!C$145:C$146,MATCH($D436,Assumptions!$A$145:$A$146,0)),0)</f>
        <v>-34.209999999999994</v>
      </c>
      <c r="AF436" s="39">
        <f>IFERROR(INDEX(Assumptions!D$145:D$146,MATCH($D436,Assumptions!$A$145:$A$146,0)),0)</f>
        <v>-133.26499999999999</v>
      </c>
      <c r="AG436" s="68">
        <f>IFERROR(INDEX(WaterUseH2[Average Direct Water Consumption (Gal/ kg h2)],MATCH(LEFT(D436,3),WaterUseH2[Key],0)),0)</f>
        <v>0</v>
      </c>
      <c r="AH436">
        <v>14</v>
      </c>
      <c r="AI436">
        <v>1.4</v>
      </c>
      <c r="AJ436">
        <v>250</v>
      </c>
      <c r="AK436">
        <v>0.31</v>
      </c>
      <c r="AL436" s="63">
        <f>IFERROR(INDEX(Job_Training[[Solar]:[Wind]],MATCH(AL$1,Job_Training[[`Typical Entry Level Education`]:[`Typical Entry Level Education`]],0),MATCH(LEFT($D436,5),Job_Training[[#Headers],[Solar]:[Wind]],0)),0)</f>
        <v>0</v>
      </c>
      <c r="AM436" s="63">
        <f>IFERROR(INDEX(Job_Training[[Solar]:[Wind]],MATCH(AM$1,Job_Training[[`Typical Entry Level Education`]:[`Typical Entry Level Education`]],0),MATCH(LEFT($D436,5),Job_Training[[#Headers],[Solar]:[Wind]],0)),0)</f>
        <v>0</v>
      </c>
      <c r="AN436" s="63">
        <f>IFERROR(INDEX(Job_Training[[Solar]:[Wind]],MATCH(AN$1,Job_Training[[`Typical Entry Level Education`]:[`Typical Entry Level Education`]],0),MATCH(LEFT($D436,5),Job_Training[[#Headers],[Solar]:[Wind]],0)),0)</f>
        <v>0</v>
      </c>
      <c r="AO436" s="63">
        <f>IFERROR(INDEX(Job_Training[[Solar]:[Wind]],MATCH(AO$1,Job_Training[[`Typical Entry Level Education`]:[`Typical Entry Level Education`]],0),MATCH(LEFT($D436,5),Job_Training[[#Headers],[Solar]:[Wind]],0)),0)</f>
        <v>0</v>
      </c>
      <c r="AP436">
        <f t="shared" si="132"/>
        <v>0</v>
      </c>
      <c r="AQ436" s="63">
        <f>IF(AP436&gt;0,IFERROR(INDEX(Assumptions!$C$165:$D$165,MATCH(LEFT($D436,5),Job_Training[[#Headers],[Solar]:[Wind]],0)),0),0)</f>
        <v>0</v>
      </c>
      <c r="AR436">
        <f>IF(AP436&gt;0,IFERROR(INDEX(Assumptions!$C$166:$D$166,MATCH(LEFT($D436,5),Job_Training[[#Headers],[Solar]:[Wind]],0)),0),0)</f>
        <v>0</v>
      </c>
    </row>
    <row r="437" spans="1:44" hidden="1" x14ac:dyDescent="0.35">
      <c r="A437" t="str">
        <f>UserInput!$B$30</f>
        <v>State Policy Aligned</v>
      </c>
      <c r="B437">
        <v>2040</v>
      </c>
      <c r="C437" t="s">
        <v>87</v>
      </c>
      <c r="D437" t="s">
        <v>91</v>
      </c>
      <c r="E437" s="66">
        <f>INDEX(UserInput!$C$30:$M$50,MATCH(UserMade_Scenario!B437,UserInput!$A$30:$A$50,0),MATCH(LEFT(IF(RIGHT(C437,2)="H2",UserMade_Scenario!C437,D437),3),UserInput!$C$25:$M$25,0))</f>
        <v>2150</v>
      </c>
      <c r="F437" t="s">
        <v>89</v>
      </c>
      <c r="G437" s="14">
        <f t="shared" si="133"/>
        <v>2.3499500000000004E-3</v>
      </c>
      <c r="H437" s="63">
        <f t="shared" si="123"/>
        <v>8.0391789500000005E-2</v>
      </c>
      <c r="I437" s="63">
        <f t="shared" si="124"/>
        <v>8.0391789500000005E-2</v>
      </c>
      <c r="J437" s="63">
        <f t="shared" si="125"/>
        <v>0.31316608675000002</v>
      </c>
      <c r="K437" s="30">
        <f>IF(OR(LEFT($D437,5)="Solar",$D437="Wind"),INDEX(Land_Use[AVG],MATCH(LEFT($D437,5),Land_Use[Tech],0)),0)*$E437</f>
        <v>0</v>
      </c>
      <c r="L437" s="30">
        <f>IF(OR(LEFT($D437,5)="Solar",$D437="Wind"),INDEX(Land_Use[MIN],MATCH(LEFT($D437,5),Land_Use[Tech],0)),0)*$E437</f>
        <v>0</v>
      </c>
      <c r="M437" s="30">
        <f>IF(OR(LEFT($D437,5)="Solar",$D437="Wind"),INDEX(Land_Use[MAX],MATCH(LEFT($D437,5),Land_Use[Tech],0)),0)*$E437</f>
        <v>0</v>
      </c>
      <c r="N437" s="15">
        <f t="shared" si="134"/>
        <v>0</v>
      </c>
      <c r="O437" s="11">
        <f t="shared" si="135"/>
        <v>0</v>
      </c>
      <c r="P437" s="11">
        <f t="shared" si="136"/>
        <v>0</v>
      </c>
      <c r="Q437" s="11">
        <f t="shared" si="137"/>
        <v>0</v>
      </c>
      <c r="R437" s="11">
        <f t="shared" si="138"/>
        <v>0</v>
      </c>
      <c r="S437" s="30">
        <f t="shared" si="126"/>
        <v>0</v>
      </c>
      <c r="T437" s="30">
        <f t="shared" si="127"/>
        <v>0</v>
      </c>
      <c r="U437" s="30">
        <f t="shared" si="128"/>
        <v>0</v>
      </c>
      <c r="V437" s="30">
        <f t="shared" si="129"/>
        <v>0</v>
      </c>
      <c r="W437" s="30">
        <f t="shared" si="130"/>
        <v>0</v>
      </c>
      <c r="X437" s="30">
        <f t="shared" si="131"/>
        <v>0</v>
      </c>
      <c r="Z437" s="23" t="s">
        <v>76</v>
      </c>
      <c r="AA437" s="40" t="str">
        <f>IF(C437="Electricity",E437*SUMIFS(Electricity!S:S,Electricity!P:P,UserMade_Scenario!B437,Electricity!M:M,UserMade_Scenario!Z437,Electricity!O:O,UserMade_Scenario!D437),"")</f>
        <v/>
      </c>
      <c r="AB437" s="67">
        <v>1.0930000000000002E-6</v>
      </c>
      <c r="AC437" s="67" t="s">
        <v>90</v>
      </c>
      <c r="AD437" s="39">
        <f>IFERROR(INDEX(Assumptions!B$145:B$146,MATCH($D437,Assumptions!$A$145:$A$146,0)),0)</f>
        <v>-34.209999999999994</v>
      </c>
      <c r="AE437" s="39">
        <f>IFERROR(INDEX(Assumptions!C$145:C$146,MATCH($D437,Assumptions!$A$145:$A$146,0)),0)</f>
        <v>-34.209999999999994</v>
      </c>
      <c r="AF437" s="39">
        <f>IFERROR(INDEX(Assumptions!D$145:D$146,MATCH($D437,Assumptions!$A$145:$A$146,0)),0)</f>
        <v>-133.26499999999999</v>
      </c>
      <c r="AG437" s="68">
        <f>IFERROR(INDEX(WaterUseH2[Average Direct Water Consumption (Gal/ kg h2)],MATCH(LEFT(D437,3),WaterUseH2[Key],0)),0)</f>
        <v>0</v>
      </c>
      <c r="AH437">
        <v>14</v>
      </c>
      <c r="AI437">
        <v>1.4</v>
      </c>
      <c r="AJ437">
        <v>250</v>
      </c>
      <c r="AK437">
        <v>0.31</v>
      </c>
      <c r="AL437" s="63">
        <f>IFERROR(INDEX(Job_Training[[Solar]:[Wind]],MATCH(AL$1,Job_Training[[`Typical Entry Level Education`]:[`Typical Entry Level Education`]],0),MATCH(LEFT($D437,5),Job_Training[[#Headers],[Solar]:[Wind]],0)),0)</f>
        <v>0</v>
      </c>
      <c r="AM437" s="63">
        <f>IFERROR(INDEX(Job_Training[[Solar]:[Wind]],MATCH(AM$1,Job_Training[[`Typical Entry Level Education`]:[`Typical Entry Level Education`]],0),MATCH(LEFT($D437,5),Job_Training[[#Headers],[Solar]:[Wind]],0)),0)</f>
        <v>0</v>
      </c>
      <c r="AN437" s="63">
        <f>IFERROR(INDEX(Job_Training[[Solar]:[Wind]],MATCH(AN$1,Job_Training[[`Typical Entry Level Education`]:[`Typical Entry Level Education`]],0),MATCH(LEFT($D437,5),Job_Training[[#Headers],[Solar]:[Wind]],0)),0)</f>
        <v>0</v>
      </c>
      <c r="AO437" s="63">
        <f>IFERROR(INDEX(Job_Training[[Solar]:[Wind]],MATCH(AO$1,Job_Training[[`Typical Entry Level Education`]:[`Typical Entry Level Education`]],0),MATCH(LEFT($D437,5),Job_Training[[#Headers],[Solar]:[Wind]],0)),0)</f>
        <v>0</v>
      </c>
      <c r="AP437">
        <f t="shared" si="132"/>
        <v>0</v>
      </c>
      <c r="AQ437" s="63">
        <f>IF(AP437&gt;0,IFERROR(INDEX(Assumptions!$C$165:$D$165,MATCH(LEFT($D437,5),Job_Training[[#Headers],[Solar]:[Wind]],0)),0),0)</f>
        <v>0</v>
      </c>
      <c r="AR437">
        <f>IF(AP437&gt;0,IFERROR(INDEX(Assumptions!$C$166:$D$166,MATCH(LEFT($D437,5),Job_Training[[#Headers],[Solar]:[Wind]],0)),0),0)</f>
        <v>0</v>
      </c>
    </row>
    <row r="438" spans="1:44" hidden="1" x14ac:dyDescent="0.35">
      <c r="A438" t="str">
        <f>UserInput!$B$30</f>
        <v>State Policy Aligned</v>
      </c>
      <c r="B438">
        <v>2041</v>
      </c>
      <c r="C438" t="s">
        <v>87</v>
      </c>
      <c r="D438" t="s">
        <v>91</v>
      </c>
      <c r="E438" s="66">
        <f>INDEX(UserInput!$C$30:$M$50,MATCH(UserMade_Scenario!B438,UserInput!$A$30:$A$50,0),MATCH(LEFT(IF(RIGHT(C438,2)="H2",UserMade_Scenario!C438,D438),3),UserInput!$C$25:$M$25,0))</f>
        <v>2249</v>
      </c>
      <c r="F438" t="s">
        <v>89</v>
      </c>
      <c r="G438" s="14">
        <f t="shared" si="133"/>
        <v>2.4581570000000003E-3</v>
      </c>
      <c r="H438" s="63">
        <f t="shared" si="123"/>
        <v>8.409355097E-2</v>
      </c>
      <c r="I438" s="63">
        <f t="shared" si="124"/>
        <v>8.409355097E-2</v>
      </c>
      <c r="J438" s="63">
        <f t="shared" si="125"/>
        <v>0.327586292605</v>
      </c>
      <c r="K438" s="30">
        <f>IF(OR(LEFT($D438,5)="Solar",$D438="Wind"),INDEX(Land_Use[AVG],MATCH(LEFT($D438,5),Land_Use[Tech],0)),0)*$E438</f>
        <v>0</v>
      </c>
      <c r="L438" s="30">
        <f>IF(OR(LEFT($D438,5)="Solar",$D438="Wind"),INDEX(Land_Use[MIN],MATCH(LEFT($D438,5),Land_Use[Tech],0)),0)*$E438</f>
        <v>0</v>
      </c>
      <c r="M438" s="30">
        <f>IF(OR(LEFT($D438,5)="Solar",$D438="Wind"),INDEX(Land_Use[MAX],MATCH(LEFT($D438,5),Land_Use[Tech],0)),0)*$E438</f>
        <v>0</v>
      </c>
      <c r="N438" s="15">
        <f t="shared" si="134"/>
        <v>0</v>
      </c>
      <c r="O438" s="11">
        <f t="shared" si="135"/>
        <v>0</v>
      </c>
      <c r="P438" s="11">
        <f t="shared" si="136"/>
        <v>0</v>
      </c>
      <c r="Q438" s="11">
        <f t="shared" si="137"/>
        <v>0</v>
      </c>
      <c r="R438" s="11">
        <f t="shared" si="138"/>
        <v>0</v>
      </c>
      <c r="S438" s="30">
        <f t="shared" si="126"/>
        <v>0</v>
      </c>
      <c r="T438" s="30">
        <f t="shared" si="127"/>
        <v>0</v>
      </c>
      <c r="U438" s="30">
        <f t="shared" si="128"/>
        <v>0</v>
      </c>
      <c r="V438" s="30">
        <f t="shared" si="129"/>
        <v>0</v>
      </c>
      <c r="W438" s="30">
        <f t="shared" si="130"/>
        <v>0</v>
      </c>
      <c r="X438" s="30">
        <f t="shared" si="131"/>
        <v>0</v>
      </c>
      <c r="Z438" s="23" t="s">
        <v>76</v>
      </c>
      <c r="AA438" s="40" t="str">
        <f>IF(C438="Electricity",E438*SUMIFS(Electricity!S:S,Electricity!P:P,UserMade_Scenario!B438,Electricity!M:M,UserMade_Scenario!Z438,Electricity!O:O,UserMade_Scenario!D438),"")</f>
        <v/>
      </c>
      <c r="AB438" s="67">
        <v>1.0930000000000002E-6</v>
      </c>
      <c r="AC438" s="67" t="s">
        <v>90</v>
      </c>
      <c r="AD438" s="39">
        <f>IFERROR(INDEX(Assumptions!B$145:B$146,MATCH($D438,Assumptions!$A$145:$A$146,0)),0)</f>
        <v>-34.209999999999994</v>
      </c>
      <c r="AE438" s="39">
        <f>IFERROR(INDEX(Assumptions!C$145:C$146,MATCH($D438,Assumptions!$A$145:$A$146,0)),0)</f>
        <v>-34.209999999999994</v>
      </c>
      <c r="AF438" s="39">
        <f>IFERROR(INDEX(Assumptions!D$145:D$146,MATCH($D438,Assumptions!$A$145:$A$146,0)),0)</f>
        <v>-133.26499999999999</v>
      </c>
      <c r="AG438" s="68">
        <f>IFERROR(INDEX(WaterUseH2[Average Direct Water Consumption (Gal/ kg h2)],MATCH(LEFT(D438,3),WaterUseH2[Key],0)),0)</f>
        <v>0</v>
      </c>
      <c r="AH438">
        <v>14</v>
      </c>
      <c r="AI438">
        <v>1.4</v>
      </c>
      <c r="AJ438">
        <v>250</v>
      </c>
      <c r="AK438">
        <v>0.31</v>
      </c>
      <c r="AL438" s="63">
        <f>IFERROR(INDEX(Job_Training[[Solar]:[Wind]],MATCH(AL$1,Job_Training[[`Typical Entry Level Education`]:[`Typical Entry Level Education`]],0),MATCH(LEFT($D438,5),Job_Training[[#Headers],[Solar]:[Wind]],0)),0)</f>
        <v>0</v>
      </c>
      <c r="AM438" s="63">
        <f>IFERROR(INDEX(Job_Training[[Solar]:[Wind]],MATCH(AM$1,Job_Training[[`Typical Entry Level Education`]:[`Typical Entry Level Education`]],0),MATCH(LEFT($D438,5),Job_Training[[#Headers],[Solar]:[Wind]],0)),0)</f>
        <v>0</v>
      </c>
      <c r="AN438" s="63">
        <f>IFERROR(INDEX(Job_Training[[Solar]:[Wind]],MATCH(AN$1,Job_Training[[`Typical Entry Level Education`]:[`Typical Entry Level Education`]],0),MATCH(LEFT($D438,5),Job_Training[[#Headers],[Solar]:[Wind]],0)),0)</f>
        <v>0</v>
      </c>
      <c r="AO438" s="63">
        <f>IFERROR(INDEX(Job_Training[[Solar]:[Wind]],MATCH(AO$1,Job_Training[[`Typical Entry Level Education`]:[`Typical Entry Level Education`]],0),MATCH(LEFT($D438,5),Job_Training[[#Headers],[Solar]:[Wind]],0)),0)</f>
        <v>0</v>
      </c>
      <c r="AP438">
        <f t="shared" si="132"/>
        <v>0</v>
      </c>
      <c r="AQ438" s="63">
        <f>IF(AP438&gt;0,IFERROR(INDEX(Assumptions!$C$165:$D$165,MATCH(LEFT($D438,5),Job_Training[[#Headers],[Solar]:[Wind]],0)),0),0)</f>
        <v>0</v>
      </c>
      <c r="AR438">
        <f>IF(AP438&gt;0,IFERROR(INDEX(Assumptions!$C$166:$D$166,MATCH(LEFT($D438,5),Job_Training[[#Headers],[Solar]:[Wind]],0)),0),0)</f>
        <v>0</v>
      </c>
    </row>
    <row r="439" spans="1:44" hidden="1" x14ac:dyDescent="0.35">
      <c r="A439" t="str">
        <f>UserInput!$B$30</f>
        <v>State Policy Aligned</v>
      </c>
      <c r="B439">
        <v>2042</v>
      </c>
      <c r="C439" t="s">
        <v>87</v>
      </c>
      <c r="D439" t="s">
        <v>91</v>
      </c>
      <c r="E439" s="66">
        <f>INDEX(UserInput!$C$30:$M$50,MATCH(UserMade_Scenario!B439,UserInput!$A$30:$A$50,0),MATCH(LEFT(IF(RIGHT(C439,2)="H2",UserMade_Scenario!C439,D439),3),UserInput!$C$25:$M$25,0))</f>
        <v>2348</v>
      </c>
      <c r="F439" t="s">
        <v>89</v>
      </c>
      <c r="G439" s="14">
        <f t="shared" si="133"/>
        <v>2.5663640000000002E-3</v>
      </c>
      <c r="H439" s="63">
        <f t="shared" si="123"/>
        <v>8.7795312439999995E-2</v>
      </c>
      <c r="I439" s="63">
        <f t="shared" si="124"/>
        <v>8.7795312439999995E-2</v>
      </c>
      <c r="J439" s="63">
        <f t="shared" si="125"/>
        <v>0.34200649845999997</v>
      </c>
      <c r="K439" s="30">
        <f>IF(OR(LEFT($D439,5)="Solar",$D439="Wind"),INDEX(Land_Use[AVG],MATCH(LEFT($D439,5),Land_Use[Tech],0)),0)*$E439</f>
        <v>0</v>
      </c>
      <c r="L439" s="30">
        <f>IF(OR(LEFT($D439,5)="Solar",$D439="Wind"),INDEX(Land_Use[MIN],MATCH(LEFT($D439,5),Land_Use[Tech],0)),0)*$E439</f>
        <v>0</v>
      </c>
      <c r="M439" s="30">
        <f>IF(OR(LEFT($D439,5)="Solar",$D439="Wind"),INDEX(Land_Use[MAX],MATCH(LEFT($D439,5),Land_Use[Tech],0)),0)*$E439</f>
        <v>0</v>
      </c>
      <c r="N439" s="15">
        <f t="shared" si="134"/>
        <v>0</v>
      </c>
      <c r="O439" s="11">
        <f t="shared" si="135"/>
        <v>0</v>
      </c>
      <c r="P439" s="11">
        <f t="shared" si="136"/>
        <v>0</v>
      </c>
      <c r="Q439" s="11">
        <f t="shared" si="137"/>
        <v>0</v>
      </c>
      <c r="R439" s="11">
        <f t="shared" si="138"/>
        <v>0</v>
      </c>
      <c r="S439" s="30">
        <f t="shared" si="126"/>
        <v>0</v>
      </c>
      <c r="T439" s="30">
        <f t="shared" si="127"/>
        <v>0</v>
      </c>
      <c r="U439" s="30">
        <f t="shared" si="128"/>
        <v>0</v>
      </c>
      <c r="V439" s="30">
        <f t="shared" si="129"/>
        <v>0</v>
      </c>
      <c r="W439" s="30">
        <f t="shared" si="130"/>
        <v>0</v>
      </c>
      <c r="X439" s="30">
        <f t="shared" si="131"/>
        <v>0</v>
      </c>
      <c r="Z439" s="23" t="s">
        <v>76</v>
      </c>
      <c r="AA439" s="40" t="str">
        <f>IF(C439="Electricity",E439*SUMIFS(Electricity!S:S,Electricity!P:P,UserMade_Scenario!B439,Electricity!M:M,UserMade_Scenario!Z439,Electricity!O:O,UserMade_Scenario!D439),"")</f>
        <v/>
      </c>
      <c r="AB439" s="67">
        <v>1.0930000000000002E-6</v>
      </c>
      <c r="AC439" s="67" t="s">
        <v>90</v>
      </c>
      <c r="AD439" s="39">
        <f>IFERROR(INDEX(Assumptions!B$145:B$146,MATCH($D439,Assumptions!$A$145:$A$146,0)),0)</f>
        <v>-34.209999999999994</v>
      </c>
      <c r="AE439" s="39">
        <f>IFERROR(INDEX(Assumptions!C$145:C$146,MATCH($D439,Assumptions!$A$145:$A$146,0)),0)</f>
        <v>-34.209999999999994</v>
      </c>
      <c r="AF439" s="39">
        <f>IFERROR(INDEX(Assumptions!D$145:D$146,MATCH($D439,Assumptions!$A$145:$A$146,0)),0)</f>
        <v>-133.26499999999999</v>
      </c>
      <c r="AG439" s="68">
        <f>IFERROR(INDEX(WaterUseH2[Average Direct Water Consumption (Gal/ kg h2)],MATCH(LEFT(D439,3),WaterUseH2[Key],0)),0)</f>
        <v>0</v>
      </c>
      <c r="AH439">
        <v>14</v>
      </c>
      <c r="AI439">
        <v>1.4</v>
      </c>
      <c r="AJ439">
        <v>250</v>
      </c>
      <c r="AK439">
        <v>0.31</v>
      </c>
      <c r="AL439" s="63">
        <f>IFERROR(INDEX(Job_Training[[Solar]:[Wind]],MATCH(AL$1,Job_Training[[`Typical Entry Level Education`]:[`Typical Entry Level Education`]],0),MATCH(LEFT($D439,5),Job_Training[[#Headers],[Solar]:[Wind]],0)),0)</f>
        <v>0</v>
      </c>
      <c r="AM439" s="63">
        <f>IFERROR(INDEX(Job_Training[[Solar]:[Wind]],MATCH(AM$1,Job_Training[[`Typical Entry Level Education`]:[`Typical Entry Level Education`]],0),MATCH(LEFT($D439,5),Job_Training[[#Headers],[Solar]:[Wind]],0)),0)</f>
        <v>0</v>
      </c>
      <c r="AN439" s="63">
        <f>IFERROR(INDEX(Job_Training[[Solar]:[Wind]],MATCH(AN$1,Job_Training[[`Typical Entry Level Education`]:[`Typical Entry Level Education`]],0),MATCH(LEFT($D439,5),Job_Training[[#Headers],[Solar]:[Wind]],0)),0)</f>
        <v>0</v>
      </c>
      <c r="AO439" s="63">
        <f>IFERROR(INDEX(Job_Training[[Solar]:[Wind]],MATCH(AO$1,Job_Training[[`Typical Entry Level Education`]:[`Typical Entry Level Education`]],0),MATCH(LEFT($D439,5),Job_Training[[#Headers],[Solar]:[Wind]],0)),0)</f>
        <v>0</v>
      </c>
      <c r="AP439">
        <f t="shared" si="132"/>
        <v>0</v>
      </c>
      <c r="AQ439" s="63">
        <f>IF(AP439&gt;0,IFERROR(INDEX(Assumptions!$C$165:$D$165,MATCH(LEFT($D439,5),Job_Training[[#Headers],[Solar]:[Wind]],0)),0),0)</f>
        <v>0</v>
      </c>
      <c r="AR439">
        <f>IF(AP439&gt;0,IFERROR(INDEX(Assumptions!$C$166:$D$166,MATCH(LEFT($D439,5),Job_Training[[#Headers],[Solar]:[Wind]],0)),0),0)</f>
        <v>0</v>
      </c>
    </row>
    <row r="440" spans="1:44" hidden="1" x14ac:dyDescent="0.35">
      <c r="A440" t="str">
        <f>UserInput!$B$30</f>
        <v>State Policy Aligned</v>
      </c>
      <c r="B440">
        <v>2043</v>
      </c>
      <c r="C440" t="s">
        <v>87</v>
      </c>
      <c r="D440" t="s">
        <v>91</v>
      </c>
      <c r="E440" s="66">
        <f>INDEX(UserInput!$C$30:$M$50,MATCH(UserMade_Scenario!B440,UserInput!$A$30:$A$50,0),MATCH(LEFT(IF(RIGHT(C440,2)="H2",UserMade_Scenario!C440,D440),3),UserInput!$C$25:$M$25,0))</f>
        <v>2448</v>
      </c>
      <c r="F440" t="s">
        <v>89</v>
      </c>
      <c r="G440" s="14">
        <f t="shared" si="133"/>
        <v>2.6756640000000003E-3</v>
      </c>
      <c r="H440" s="63">
        <f t="shared" si="123"/>
        <v>9.153446543999999E-2</v>
      </c>
      <c r="I440" s="63">
        <f t="shared" si="124"/>
        <v>9.153446543999999E-2</v>
      </c>
      <c r="J440" s="63">
        <f t="shared" si="125"/>
        <v>0.35657236296</v>
      </c>
      <c r="K440" s="30">
        <f>IF(OR(LEFT($D440,5)="Solar",$D440="Wind"),INDEX(Land_Use[AVG],MATCH(LEFT($D440,5),Land_Use[Tech],0)),0)*$E440</f>
        <v>0</v>
      </c>
      <c r="L440" s="30">
        <f>IF(OR(LEFT($D440,5)="Solar",$D440="Wind"),INDEX(Land_Use[MIN],MATCH(LEFT($D440,5),Land_Use[Tech],0)),0)*$E440</f>
        <v>0</v>
      </c>
      <c r="M440" s="30">
        <f>IF(OR(LEFT($D440,5)="Solar",$D440="Wind"),INDEX(Land_Use[MAX],MATCH(LEFT($D440,5),Land_Use[Tech],0)),0)*$E440</f>
        <v>0</v>
      </c>
      <c r="N440" s="15">
        <f t="shared" si="134"/>
        <v>0</v>
      </c>
      <c r="O440" s="11">
        <f t="shared" si="135"/>
        <v>0</v>
      </c>
      <c r="P440" s="11">
        <f t="shared" si="136"/>
        <v>0</v>
      </c>
      <c r="Q440" s="11">
        <f t="shared" si="137"/>
        <v>0</v>
      </c>
      <c r="R440" s="11">
        <f t="shared" si="138"/>
        <v>0</v>
      </c>
      <c r="S440" s="30">
        <f t="shared" si="126"/>
        <v>0</v>
      </c>
      <c r="T440" s="30">
        <f t="shared" si="127"/>
        <v>0</v>
      </c>
      <c r="U440" s="30">
        <f t="shared" si="128"/>
        <v>0</v>
      </c>
      <c r="V440" s="30">
        <f t="shared" si="129"/>
        <v>0</v>
      </c>
      <c r="W440" s="30">
        <f t="shared" si="130"/>
        <v>0</v>
      </c>
      <c r="X440" s="30">
        <f t="shared" si="131"/>
        <v>0</v>
      </c>
      <c r="Z440" s="23" t="s">
        <v>76</v>
      </c>
      <c r="AA440" s="40" t="str">
        <f>IF(C440="Electricity",E440*SUMIFS(Electricity!S:S,Electricity!P:P,UserMade_Scenario!B440,Electricity!M:M,UserMade_Scenario!Z440,Electricity!O:O,UserMade_Scenario!D440),"")</f>
        <v/>
      </c>
      <c r="AB440" s="67">
        <v>1.0930000000000002E-6</v>
      </c>
      <c r="AC440" s="67" t="s">
        <v>90</v>
      </c>
      <c r="AD440" s="39">
        <f>IFERROR(INDEX(Assumptions!B$145:B$146,MATCH($D440,Assumptions!$A$145:$A$146,0)),0)</f>
        <v>-34.209999999999994</v>
      </c>
      <c r="AE440" s="39">
        <f>IFERROR(INDEX(Assumptions!C$145:C$146,MATCH($D440,Assumptions!$A$145:$A$146,0)),0)</f>
        <v>-34.209999999999994</v>
      </c>
      <c r="AF440" s="39">
        <f>IFERROR(INDEX(Assumptions!D$145:D$146,MATCH($D440,Assumptions!$A$145:$A$146,0)),0)</f>
        <v>-133.26499999999999</v>
      </c>
      <c r="AG440" s="68">
        <f>IFERROR(INDEX(WaterUseH2[Average Direct Water Consumption (Gal/ kg h2)],MATCH(LEFT(D440,3),WaterUseH2[Key],0)),0)</f>
        <v>0</v>
      </c>
      <c r="AH440">
        <v>14</v>
      </c>
      <c r="AI440">
        <v>1.4</v>
      </c>
      <c r="AJ440">
        <v>250</v>
      </c>
      <c r="AK440">
        <v>0.31</v>
      </c>
      <c r="AL440" s="63">
        <f>IFERROR(INDEX(Job_Training[[Solar]:[Wind]],MATCH(AL$1,Job_Training[[`Typical Entry Level Education`]:[`Typical Entry Level Education`]],0),MATCH(LEFT($D440,5),Job_Training[[#Headers],[Solar]:[Wind]],0)),0)</f>
        <v>0</v>
      </c>
      <c r="AM440" s="63">
        <f>IFERROR(INDEX(Job_Training[[Solar]:[Wind]],MATCH(AM$1,Job_Training[[`Typical Entry Level Education`]:[`Typical Entry Level Education`]],0),MATCH(LEFT($D440,5),Job_Training[[#Headers],[Solar]:[Wind]],0)),0)</f>
        <v>0</v>
      </c>
      <c r="AN440" s="63">
        <f>IFERROR(INDEX(Job_Training[[Solar]:[Wind]],MATCH(AN$1,Job_Training[[`Typical Entry Level Education`]:[`Typical Entry Level Education`]],0),MATCH(LEFT($D440,5),Job_Training[[#Headers],[Solar]:[Wind]],0)),0)</f>
        <v>0</v>
      </c>
      <c r="AO440" s="63">
        <f>IFERROR(INDEX(Job_Training[[Solar]:[Wind]],MATCH(AO$1,Job_Training[[`Typical Entry Level Education`]:[`Typical Entry Level Education`]],0),MATCH(LEFT($D440,5),Job_Training[[#Headers],[Solar]:[Wind]],0)),0)</f>
        <v>0</v>
      </c>
      <c r="AP440">
        <f t="shared" si="132"/>
        <v>0</v>
      </c>
      <c r="AQ440" s="63">
        <f>IF(AP440&gt;0,IFERROR(INDEX(Assumptions!$C$165:$D$165,MATCH(LEFT($D440,5),Job_Training[[#Headers],[Solar]:[Wind]],0)),0),0)</f>
        <v>0</v>
      </c>
      <c r="AR440">
        <f>IF(AP440&gt;0,IFERROR(INDEX(Assumptions!$C$166:$D$166,MATCH(LEFT($D440,5),Job_Training[[#Headers],[Solar]:[Wind]],0)),0),0)</f>
        <v>0</v>
      </c>
    </row>
    <row r="441" spans="1:44" hidden="1" x14ac:dyDescent="0.35">
      <c r="A441" t="str">
        <f>UserInput!$B$30</f>
        <v>State Policy Aligned</v>
      </c>
      <c r="B441">
        <v>2044</v>
      </c>
      <c r="C441" t="s">
        <v>87</v>
      </c>
      <c r="D441" t="s">
        <v>91</v>
      </c>
      <c r="E441" s="66">
        <f>INDEX(UserInput!$C$30:$M$50,MATCH(UserMade_Scenario!B441,UserInput!$A$30:$A$50,0),MATCH(LEFT(IF(RIGHT(C441,2)="H2",UserMade_Scenario!C441,D441),3),UserInput!$C$25:$M$25,0))</f>
        <v>2547</v>
      </c>
      <c r="F441" t="s">
        <v>89</v>
      </c>
      <c r="G441" s="14">
        <f t="shared" si="133"/>
        <v>2.7838710000000003E-3</v>
      </c>
      <c r="H441" s="63">
        <f t="shared" si="123"/>
        <v>9.5236226909999985E-2</v>
      </c>
      <c r="I441" s="63">
        <f t="shared" si="124"/>
        <v>9.5236226909999985E-2</v>
      </c>
      <c r="J441" s="63">
        <f t="shared" si="125"/>
        <v>0.37099256881499998</v>
      </c>
      <c r="K441" s="30">
        <f>IF(OR(LEFT($D441,5)="Solar",$D441="Wind"),INDEX(Land_Use[AVG],MATCH(LEFT($D441,5),Land_Use[Tech],0)),0)*$E441</f>
        <v>0</v>
      </c>
      <c r="L441" s="30">
        <f>IF(OR(LEFT($D441,5)="Solar",$D441="Wind"),INDEX(Land_Use[MIN],MATCH(LEFT($D441,5),Land_Use[Tech],0)),0)*$E441</f>
        <v>0</v>
      </c>
      <c r="M441" s="30">
        <f>IF(OR(LEFT($D441,5)="Solar",$D441="Wind"),INDEX(Land_Use[MAX],MATCH(LEFT($D441,5),Land_Use[Tech],0)),0)*$E441</f>
        <v>0</v>
      </c>
      <c r="N441" s="15">
        <f t="shared" si="134"/>
        <v>0</v>
      </c>
      <c r="O441" s="11">
        <f t="shared" si="135"/>
        <v>0</v>
      </c>
      <c r="P441" s="11">
        <f t="shared" si="136"/>
        <v>0</v>
      </c>
      <c r="Q441" s="11">
        <f t="shared" si="137"/>
        <v>0</v>
      </c>
      <c r="R441" s="11">
        <f t="shared" si="138"/>
        <v>0</v>
      </c>
      <c r="S441" s="30">
        <f t="shared" si="126"/>
        <v>0</v>
      </c>
      <c r="T441" s="30">
        <f t="shared" si="127"/>
        <v>0</v>
      </c>
      <c r="U441" s="30">
        <f t="shared" si="128"/>
        <v>0</v>
      </c>
      <c r="V441" s="30">
        <f t="shared" si="129"/>
        <v>0</v>
      </c>
      <c r="W441" s="30">
        <f t="shared" si="130"/>
        <v>0</v>
      </c>
      <c r="X441" s="30">
        <f t="shared" si="131"/>
        <v>0</v>
      </c>
      <c r="Z441" s="23" t="s">
        <v>76</v>
      </c>
      <c r="AA441" s="40" t="str">
        <f>IF(C441="Electricity",E441*SUMIFS(Electricity!S:S,Electricity!P:P,UserMade_Scenario!B441,Electricity!M:M,UserMade_Scenario!Z441,Electricity!O:O,UserMade_Scenario!D441),"")</f>
        <v/>
      </c>
      <c r="AB441" s="67">
        <v>1.0930000000000002E-6</v>
      </c>
      <c r="AC441" s="67" t="s">
        <v>90</v>
      </c>
      <c r="AD441" s="39">
        <f>IFERROR(INDEX(Assumptions!B$145:B$146,MATCH($D441,Assumptions!$A$145:$A$146,0)),0)</f>
        <v>-34.209999999999994</v>
      </c>
      <c r="AE441" s="39">
        <f>IFERROR(INDEX(Assumptions!C$145:C$146,MATCH($D441,Assumptions!$A$145:$A$146,0)),0)</f>
        <v>-34.209999999999994</v>
      </c>
      <c r="AF441" s="39">
        <f>IFERROR(INDEX(Assumptions!D$145:D$146,MATCH($D441,Assumptions!$A$145:$A$146,0)),0)</f>
        <v>-133.26499999999999</v>
      </c>
      <c r="AG441" s="68">
        <f>IFERROR(INDEX(WaterUseH2[Average Direct Water Consumption (Gal/ kg h2)],MATCH(LEFT(D441,3),WaterUseH2[Key],0)),0)</f>
        <v>0</v>
      </c>
      <c r="AH441">
        <v>14</v>
      </c>
      <c r="AI441">
        <v>1.4</v>
      </c>
      <c r="AJ441">
        <v>250</v>
      </c>
      <c r="AK441">
        <v>0.31</v>
      </c>
      <c r="AL441" s="63">
        <f>IFERROR(INDEX(Job_Training[[Solar]:[Wind]],MATCH(AL$1,Job_Training[[`Typical Entry Level Education`]:[`Typical Entry Level Education`]],0),MATCH(LEFT($D441,5),Job_Training[[#Headers],[Solar]:[Wind]],0)),0)</f>
        <v>0</v>
      </c>
      <c r="AM441" s="63">
        <f>IFERROR(INDEX(Job_Training[[Solar]:[Wind]],MATCH(AM$1,Job_Training[[`Typical Entry Level Education`]:[`Typical Entry Level Education`]],0),MATCH(LEFT($D441,5),Job_Training[[#Headers],[Solar]:[Wind]],0)),0)</f>
        <v>0</v>
      </c>
      <c r="AN441" s="63">
        <f>IFERROR(INDEX(Job_Training[[Solar]:[Wind]],MATCH(AN$1,Job_Training[[`Typical Entry Level Education`]:[`Typical Entry Level Education`]],0),MATCH(LEFT($D441,5),Job_Training[[#Headers],[Solar]:[Wind]],0)),0)</f>
        <v>0</v>
      </c>
      <c r="AO441" s="63">
        <f>IFERROR(INDEX(Job_Training[[Solar]:[Wind]],MATCH(AO$1,Job_Training[[`Typical Entry Level Education`]:[`Typical Entry Level Education`]],0),MATCH(LEFT($D441,5),Job_Training[[#Headers],[Solar]:[Wind]],0)),0)</f>
        <v>0</v>
      </c>
      <c r="AP441">
        <f t="shared" si="132"/>
        <v>0</v>
      </c>
      <c r="AQ441" s="63">
        <f>IF(AP441&gt;0,IFERROR(INDEX(Assumptions!$C$165:$D$165,MATCH(LEFT($D441,5),Job_Training[[#Headers],[Solar]:[Wind]],0)),0),0)</f>
        <v>0</v>
      </c>
      <c r="AR441">
        <f>IF(AP441&gt;0,IFERROR(INDEX(Assumptions!$C$166:$D$166,MATCH(LEFT($D441,5),Job_Training[[#Headers],[Solar]:[Wind]],0)),0),0)</f>
        <v>0</v>
      </c>
    </row>
    <row r="442" spans="1:44" hidden="1" x14ac:dyDescent="0.35">
      <c r="A442" t="str">
        <f>UserInput!$B$30</f>
        <v>State Policy Aligned</v>
      </c>
      <c r="B442">
        <v>2045</v>
      </c>
      <c r="C442" t="s">
        <v>87</v>
      </c>
      <c r="D442" t="s">
        <v>91</v>
      </c>
      <c r="E442" s="66">
        <f>INDEX(UserInput!$C$30:$M$50,MATCH(UserMade_Scenario!B442,UserInput!$A$30:$A$50,0),MATCH(LEFT(IF(RIGHT(C442,2)="H2",UserMade_Scenario!C442,D442),3),UserInput!$C$25:$M$25,0))</f>
        <v>2647</v>
      </c>
      <c r="F442" t="s">
        <v>89</v>
      </c>
      <c r="G442" s="14">
        <f t="shared" si="133"/>
        <v>2.8931710000000004E-3</v>
      </c>
      <c r="H442" s="63">
        <f t="shared" si="123"/>
        <v>9.8975379909999994E-2</v>
      </c>
      <c r="I442" s="63">
        <f t="shared" si="124"/>
        <v>9.8975379909999994E-2</v>
      </c>
      <c r="J442" s="63">
        <f t="shared" si="125"/>
        <v>0.385558433315</v>
      </c>
      <c r="K442" s="30">
        <f>IF(OR(LEFT($D442,5)="Solar",$D442="Wind"),INDEX(Land_Use[AVG],MATCH(LEFT($D442,5),Land_Use[Tech],0)),0)*$E442</f>
        <v>0</v>
      </c>
      <c r="L442" s="30">
        <f>IF(OR(LEFT($D442,5)="Solar",$D442="Wind"),INDEX(Land_Use[MIN],MATCH(LEFT($D442,5),Land_Use[Tech],0)),0)*$E442</f>
        <v>0</v>
      </c>
      <c r="M442" s="30">
        <f>IF(OR(LEFT($D442,5)="Solar",$D442="Wind"),INDEX(Land_Use[MAX],MATCH(LEFT($D442,5),Land_Use[Tech],0)),0)*$E442</f>
        <v>0</v>
      </c>
      <c r="N442" s="15">
        <f t="shared" si="134"/>
        <v>0</v>
      </c>
      <c r="O442" s="11">
        <f t="shared" si="135"/>
        <v>0</v>
      </c>
      <c r="P442" s="11">
        <f t="shared" si="136"/>
        <v>0</v>
      </c>
      <c r="Q442" s="11">
        <f t="shared" si="137"/>
        <v>0</v>
      </c>
      <c r="R442" s="11">
        <f t="shared" si="138"/>
        <v>0</v>
      </c>
      <c r="S442" s="30">
        <f t="shared" si="126"/>
        <v>0</v>
      </c>
      <c r="T442" s="30">
        <f t="shared" si="127"/>
        <v>0</v>
      </c>
      <c r="U442" s="30">
        <f t="shared" si="128"/>
        <v>0</v>
      </c>
      <c r="V442" s="30">
        <f t="shared" si="129"/>
        <v>0</v>
      </c>
      <c r="W442" s="30">
        <f t="shared" si="130"/>
        <v>0</v>
      </c>
      <c r="X442" s="30">
        <f t="shared" si="131"/>
        <v>0</v>
      </c>
      <c r="Z442" s="23" t="s">
        <v>76</v>
      </c>
      <c r="AA442" s="40" t="str">
        <f>IF(C442="Electricity",E442*SUMIFS(Electricity!S:S,Electricity!P:P,UserMade_Scenario!B442,Electricity!M:M,UserMade_Scenario!Z442,Electricity!O:O,UserMade_Scenario!D442),"")</f>
        <v/>
      </c>
      <c r="AB442" s="67">
        <v>1.0930000000000002E-6</v>
      </c>
      <c r="AC442" s="67" t="s">
        <v>90</v>
      </c>
      <c r="AD442" s="39">
        <f>IFERROR(INDEX(Assumptions!B$145:B$146,MATCH($D442,Assumptions!$A$145:$A$146,0)),0)</f>
        <v>-34.209999999999994</v>
      </c>
      <c r="AE442" s="39">
        <f>IFERROR(INDEX(Assumptions!C$145:C$146,MATCH($D442,Assumptions!$A$145:$A$146,0)),0)</f>
        <v>-34.209999999999994</v>
      </c>
      <c r="AF442" s="39">
        <f>IFERROR(INDEX(Assumptions!D$145:D$146,MATCH($D442,Assumptions!$A$145:$A$146,0)),0)</f>
        <v>-133.26499999999999</v>
      </c>
      <c r="AG442" s="68">
        <f>IFERROR(INDEX(WaterUseH2[Average Direct Water Consumption (Gal/ kg h2)],MATCH(LEFT(D442,3),WaterUseH2[Key],0)),0)</f>
        <v>0</v>
      </c>
      <c r="AH442">
        <v>14</v>
      </c>
      <c r="AI442">
        <v>1.4</v>
      </c>
      <c r="AJ442">
        <v>250</v>
      </c>
      <c r="AK442">
        <v>0.31</v>
      </c>
      <c r="AL442" s="63">
        <f>IFERROR(INDEX(Job_Training[[Solar]:[Wind]],MATCH(AL$1,Job_Training[[`Typical Entry Level Education`]:[`Typical Entry Level Education`]],0),MATCH(LEFT($D442,5),Job_Training[[#Headers],[Solar]:[Wind]],0)),0)</f>
        <v>0</v>
      </c>
      <c r="AM442" s="63">
        <f>IFERROR(INDEX(Job_Training[[Solar]:[Wind]],MATCH(AM$1,Job_Training[[`Typical Entry Level Education`]:[`Typical Entry Level Education`]],0),MATCH(LEFT($D442,5),Job_Training[[#Headers],[Solar]:[Wind]],0)),0)</f>
        <v>0</v>
      </c>
      <c r="AN442" s="63">
        <f>IFERROR(INDEX(Job_Training[[Solar]:[Wind]],MATCH(AN$1,Job_Training[[`Typical Entry Level Education`]:[`Typical Entry Level Education`]],0),MATCH(LEFT($D442,5),Job_Training[[#Headers],[Solar]:[Wind]],0)),0)</f>
        <v>0</v>
      </c>
      <c r="AO442" s="63">
        <f>IFERROR(INDEX(Job_Training[[Solar]:[Wind]],MATCH(AO$1,Job_Training[[`Typical Entry Level Education`]:[`Typical Entry Level Education`]],0),MATCH(LEFT($D442,5),Job_Training[[#Headers],[Solar]:[Wind]],0)),0)</f>
        <v>0</v>
      </c>
      <c r="AP442">
        <f t="shared" si="132"/>
        <v>0</v>
      </c>
      <c r="AQ442" s="63">
        <f>IF(AP442&gt;0,IFERROR(INDEX(Assumptions!$C$165:$D$165,MATCH(LEFT($D442,5),Job_Training[[#Headers],[Solar]:[Wind]],0)),0),0)</f>
        <v>0</v>
      </c>
      <c r="AR442">
        <f>IF(AP442&gt;0,IFERROR(INDEX(Assumptions!$C$166:$D$166,MATCH(LEFT($D442,5),Job_Training[[#Headers],[Solar]:[Wind]],0)),0),0)</f>
        <v>0</v>
      </c>
    </row>
    <row r="443" spans="1:44" hidden="1" x14ac:dyDescent="0.35">
      <c r="A443" t="str">
        <f>UserInput!$B$30</f>
        <v>State Policy Aligned</v>
      </c>
      <c r="B443">
        <v>2025</v>
      </c>
      <c r="C443" t="s">
        <v>92</v>
      </c>
      <c r="D443" t="s">
        <v>93</v>
      </c>
      <c r="E443" s="66">
        <f>INDEX(UserInput!$C$30:$M$50,MATCH(UserMade_Scenario!B443,UserInput!$A$30:$A$50,0),MATCH(LEFT(IF(RIGHT(C443,2)="H2",UserMade_Scenario!C443,D443),3),UserInput!$C$25:$M$25,0))</f>
        <v>0</v>
      </c>
      <c r="F443" t="s">
        <v>94</v>
      </c>
      <c r="G443" s="14">
        <f t="shared" si="133"/>
        <v>0</v>
      </c>
      <c r="H443" s="63">
        <f t="shared" si="123"/>
        <v>0</v>
      </c>
      <c r="I443" s="63">
        <f t="shared" si="124"/>
        <v>0</v>
      </c>
      <c r="J443" s="63">
        <f t="shared" si="125"/>
        <v>0</v>
      </c>
      <c r="K443" s="30">
        <f>IF(OR(LEFT($D443,5)="Solar",$D443="Wind"),INDEX(Land_Use[AVG],MATCH(LEFT($D443,5),Land_Use[Tech],0)),0)*$E443</f>
        <v>0</v>
      </c>
      <c r="L443" s="30">
        <f>IF(OR(LEFT($D443,5)="Solar",$D443="Wind"),INDEX(Land_Use[MIN],MATCH(LEFT($D443,5),Land_Use[Tech],0)),0)*$E443</f>
        <v>0</v>
      </c>
      <c r="M443" s="30">
        <f>IF(OR(LEFT($D443,5)="Solar",$D443="Wind"),INDEX(Land_Use[MAX],MATCH(LEFT($D443,5),Land_Use[Tech],0)),0)*$E443</f>
        <v>0</v>
      </c>
      <c r="N443" s="15">
        <f t="shared" si="134"/>
        <v>0</v>
      </c>
      <c r="O443" s="11">
        <f t="shared" si="135"/>
        <v>0</v>
      </c>
      <c r="P443" s="11">
        <f t="shared" si="136"/>
        <v>0</v>
      </c>
      <c r="Q443" s="11">
        <f t="shared" si="137"/>
        <v>0</v>
      </c>
      <c r="R443" s="11">
        <f t="shared" si="138"/>
        <v>0</v>
      </c>
      <c r="S443" s="30">
        <f t="shared" si="126"/>
        <v>0</v>
      </c>
      <c r="T443" s="30">
        <f t="shared" si="127"/>
        <v>0</v>
      </c>
      <c r="U443" s="30">
        <f t="shared" si="128"/>
        <v>0</v>
      </c>
      <c r="V443" s="30">
        <f t="shared" si="129"/>
        <v>0</v>
      </c>
      <c r="W443" s="30">
        <f t="shared" si="130"/>
        <v>0</v>
      </c>
      <c r="X443" s="30">
        <f t="shared" si="131"/>
        <v>0</v>
      </c>
      <c r="Z443" s="23" t="s">
        <v>76</v>
      </c>
      <c r="AA443" s="40" t="str">
        <f>IF(C443="Electricity",E443*SUMIFS(Electricity!S:S,Electricity!P:P,UserMade_Scenario!B443,Electricity!M:M,UserMade_Scenario!Z443,Electricity!O:O,UserMade_Scenario!D443),"")</f>
        <v/>
      </c>
      <c r="AB443" s="67">
        <v>1.4243253975000002E-4</v>
      </c>
      <c r="AC443" s="67" t="s">
        <v>95</v>
      </c>
      <c r="AD443" s="39">
        <f>INDEX(Assumptions!E$120:E$141,MATCH(UserMade_Scenario!$B443,Assumptions!$A$120:$A$141,0))</f>
        <v>-16.64</v>
      </c>
      <c r="AE443" s="39">
        <f>INDEX(Assumptions!F$120:F$141,MATCH(UserMade_Scenario!$B443,Assumptions!$A$120:$A$141,0))</f>
        <v>-16.64</v>
      </c>
      <c r="AF443" s="39">
        <f>INDEX(Assumptions!G$120:G$141,MATCH(UserMade_Scenario!$B443,Assumptions!$A$120:$A$141,0))</f>
        <v>-39.14</v>
      </c>
      <c r="AG443" s="68">
        <f>IFERROR(INDEX(WaterUseH2[Average Direct Water Consumption (Gal/ kg h2)],MATCH(LEFT(D443,3),WaterUseH2[Key],0)),0)</f>
        <v>0</v>
      </c>
      <c r="AH443">
        <v>14</v>
      </c>
      <c r="AI443">
        <v>1.4</v>
      </c>
      <c r="AJ443">
        <v>250</v>
      </c>
      <c r="AK443">
        <v>0.31</v>
      </c>
      <c r="AL443" s="63">
        <f>IFERROR(INDEX(Job_Training[[Solar]:[Wind]],MATCH(AL$1,Job_Training[[`Typical Entry Level Education`]:[`Typical Entry Level Education`]],0),MATCH(LEFT($D443,5),Job_Training[[#Headers],[Solar]:[Wind]],0)),0)</f>
        <v>0</v>
      </c>
      <c r="AM443" s="63">
        <f>IFERROR(INDEX(Job_Training[[Solar]:[Wind]],MATCH(AM$1,Job_Training[[`Typical Entry Level Education`]:[`Typical Entry Level Education`]],0),MATCH(LEFT($D443,5),Job_Training[[#Headers],[Solar]:[Wind]],0)),0)</f>
        <v>0</v>
      </c>
      <c r="AN443" s="63">
        <f>IFERROR(INDEX(Job_Training[[Solar]:[Wind]],MATCH(AN$1,Job_Training[[`Typical Entry Level Education`]:[`Typical Entry Level Education`]],0),MATCH(LEFT($D443,5),Job_Training[[#Headers],[Solar]:[Wind]],0)),0)</f>
        <v>0</v>
      </c>
      <c r="AO443" s="63">
        <f>IFERROR(INDEX(Job_Training[[Solar]:[Wind]],MATCH(AO$1,Job_Training[[`Typical Entry Level Education`]:[`Typical Entry Level Education`]],0),MATCH(LEFT($D443,5),Job_Training[[#Headers],[Solar]:[Wind]],0)),0)</f>
        <v>0</v>
      </c>
      <c r="AP443">
        <f t="shared" si="132"/>
        <v>0</v>
      </c>
      <c r="AQ443" s="63">
        <f>IF(AP443&gt;0,IFERROR(INDEX(Assumptions!$C$165:$D$165,MATCH(LEFT($D443,5),Job_Training[[#Headers],[Solar]:[Wind]],0)),0),0)</f>
        <v>0</v>
      </c>
      <c r="AR443">
        <f>IF(AP443&gt;0,IFERROR(INDEX(Assumptions!$C$166:$D$166,MATCH(LEFT($D443,5),Job_Training[[#Headers],[Solar]:[Wind]],0)),0),0)</f>
        <v>0</v>
      </c>
    </row>
    <row r="444" spans="1:44" hidden="1" x14ac:dyDescent="0.35">
      <c r="A444" t="str">
        <f>UserInput!$B$30</f>
        <v>State Policy Aligned</v>
      </c>
      <c r="B444">
        <v>2026</v>
      </c>
      <c r="C444" t="s">
        <v>92</v>
      </c>
      <c r="D444" t="s">
        <v>93</v>
      </c>
      <c r="E444" s="66">
        <f>INDEX(UserInput!$C$30:$M$50,MATCH(UserMade_Scenario!B444,UserInput!$A$30:$A$50,0),MATCH(LEFT(IF(RIGHT(C444,2)="H2",UserMade_Scenario!C444,D444),3),UserInput!$C$25:$M$25,0))</f>
        <v>0</v>
      </c>
      <c r="F444" t="s">
        <v>94</v>
      </c>
      <c r="G444" s="14">
        <f t="shared" si="133"/>
        <v>0</v>
      </c>
      <c r="H444" s="63">
        <f t="shared" si="123"/>
        <v>0</v>
      </c>
      <c r="I444" s="63">
        <f t="shared" si="124"/>
        <v>0</v>
      </c>
      <c r="J444" s="63">
        <f t="shared" si="125"/>
        <v>0</v>
      </c>
      <c r="K444" s="30">
        <f>IF(OR(LEFT($D444,5)="Solar",$D444="Wind"),INDEX(Land_Use[AVG],MATCH(LEFT($D444,5),Land_Use[Tech],0)),0)*$E444</f>
        <v>0</v>
      </c>
      <c r="L444" s="30">
        <f>IF(OR(LEFT($D444,5)="Solar",$D444="Wind"),INDEX(Land_Use[MIN],MATCH(LEFT($D444,5),Land_Use[Tech],0)),0)*$E444</f>
        <v>0</v>
      </c>
      <c r="M444" s="30">
        <f>IF(OR(LEFT($D444,5)="Solar",$D444="Wind"),INDEX(Land_Use[MAX],MATCH(LEFT($D444,5),Land_Use[Tech],0)),0)*$E444</f>
        <v>0</v>
      </c>
      <c r="N444" s="15">
        <f t="shared" si="134"/>
        <v>0</v>
      </c>
      <c r="O444" s="11">
        <f t="shared" si="135"/>
        <v>0</v>
      </c>
      <c r="P444" s="11">
        <f t="shared" si="136"/>
        <v>0</v>
      </c>
      <c r="Q444" s="11">
        <f t="shared" si="137"/>
        <v>0</v>
      </c>
      <c r="R444" s="11">
        <f t="shared" si="138"/>
        <v>0</v>
      </c>
      <c r="S444" s="30">
        <f t="shared" si="126"/>
        <v>0</v>
      </c>
      <c r="T444" s="30">
        <f t="shared" si="127"/>
        <v>0</v>
      </c>
      <c r="U444" s="30">
        <f t="shared" si="128"/>
        <v>0</v>
      </c>
      <c r="V444" s="30">
        <f t="shared" si="129"/>
        <v>0</v>
      </c>
      <c r="W444" s="30">
        <f t="shared" si="130"/>
        <v>0</v>
      </c>
      <c r="X444" s="30">
        <f t="shared" si="131"/>
        <v>0</v>
      </c>
      <c r="Z444" s="23" t="s">
        <v>76</v>
      </c>
      <c r="AA444" s="40" t="str">
        <f>IF(C444="Electricity",E444*SUMIFS(Electricity!S:S,Electricity!P:P,UserMade_Scenario!B444,Electricity!M:M,UserMade_Scenario!Z444,Electricity!O:O,UserMade_Scenario!D444),"")</f>
        <v/>
      </c>
      <c r="AB444" s="67">
        <v>1.4243253975000002E-4</v>
      </c>
      <c r="AC444" s="67" t="s">
        <v>95</v>
      </c>
      <c r="AD444" s="39">
        <f>INDEX(Assumptions!E$120:E$141,MATCH(UserMade_Scenario!$B444,Assumptions!$A$120:$A$141,0))</f>
        <v>-15.379999999999995</v>
      </c>
      <c r="AE444" s="39">
        <f>INDEX(Assumptions!F$120:F$141,MATCH(UserMade_Scenario!$B444,Assumptions!$A$120:$A$141,0))</f>
        <v>-15.379999999999995</v>
      </c>
      <c r="AF444" s="39">
        <f>INDEX(Assumptions!G$120:G$141,MATCH(UserMade_Scenario!$B444,Assumptions!$A$120:$A$141,0))</f>
        <v>-37.879999999999995</v>
      </c>
      <c r="AG444" s="68">
        <f>IFERROR(INDEX(WaterUseH2[Average Direct Water Consumption (Gal/ kg h2)],MATCH(LEFT(D444,3),WaterUseH2[Key],0)),0)</f>
        <v>0</v>
      </c>
      <c r="AH444">
        <v>14</v>
      </c>
      <c r="AI444">
        <v>1.4</v>
      </c>
      <c r="AJ444">
        <v>250</v>
      </c>
      <c r="AK444">
        <v>0.31</v>
      </c>
      <c r="AL444" s="63">
        <f>IFERROR(INDEX(Job_Training[[Solar]:[Wind]],MATCH(AL$1,Job_Training[[`Typical Entry Level Education`]:[`Typical Entry Level Education`]],0),MATCH(LEFT($D444,5),Job_Training[[#Headers],[Solar]:[Wind]],0)),0)</f>
        <v>0</v>
      </c>
      <c r="AM444" s="63">
        <f>IFERROR(INDEX(Job_Training[[Solar]:[Wind]],MATCH(AM$1,Job_Training[[`Typical Entry Level Education`]:[`Typical Entry Level Education`]],0),MATCH(LEFT($D444,5),Job_Training[[#Headers],[Solar]:[Wind]],0)),0)</f>
        <v>0</v>
      </c>
      <c r="AN444" s="63">
        <f>IFERROR(INDEX(Job_Training[[Solar]:[Wind]],MATCH(AN$1,Job_Training[[`Typical Entry Level Education`]:[`Typical Entry Level Education`]],0),MATCH(LEFT($D444,5),Job_Training[[#Headers],[Solar]:[Wind]],0)),0)</f>
        <v>0</v>
      </c>
      <c r="AO444" s="63">
        <f>IFERROR(INDEX(Job_Training[[Solar]:[Wind]],MATCH(AO$1,Job_Training[[`Typical Entry Level Education`]:[`Typical Entry Level Education`]],0),MATCH(LEFT($D444,5),Job_Training[[#Headers],[Solar]:[Wind]],0)),0)</f>
        <v>0</v>
      </c>
      <c r="AP444">
        <f t="shared" si="132"/>
        <v>0</v>
      </c>
      <c r="AQ444" s="63">
        <f>IF(AP444&gt;0,IFERROR(INDEX(Assumptions!$C$165:$D$165,MATCH(LEFT($D444,5),Job_Training[[#Headers],[Solar]:[Wind]],0)),0),0)</f>
        <v>0</v>
      </c>
      <c r="AR444">
        <f>IF(AP444&gt;0,IFERROR(INDEX(Assumptions!$C$166:$D$166,MATCH(LEFT($D444,5),Job_Training[[#Headers],[Solar]:[Wind]],0)),0),0)</f>
        <v>0</v>
      </c>
    </row>
    <row r="445" spans="1:44" hidden="1" x14ac:dyDescent="0.35">
      <c r="A445" t="str">
        <f>UserInput!$B$30</f>
        <v>State Policy Aligned</v>
      </c>
      <c r="B445">
        <v>2027</v>
      </c>
      <c r="C445" t="s">
        <v>92</v>
      </c>
      <c r="D445" t="s">
        <v>93</v>
      </c>
      <c r="E445" s="66">
        <f>INDEX(UserInput!$C$30:$M$50,MATCH(UserMade_Scenario!B445,UserInput!$A$30:$A$50,0),MATCH(LEFT(IF(RIGHT(C445,2)="H2",UserMade_Scenario!C445,D445),3),UserInput!$C$25:$M$25,0))</f>
        <v>0</v>
      </c>
      <c r="F445" t="s">
        <v>94</v>
      </c>
      <c r="G445" s="14">
        <f t="shared" si="133"/>
        <v>0</v>
      </c>
      <c r="H445" s="63">
        <f t="shared" si="123"/>
        <v>0</v>
      </c>
      <c r="I445" s="63">
        <f t="shared" si="124"/>
        <v>0</v>
      </c>
      <c r="J445" s="63">
        <f t="shared" si="125"/>
        <v>0</v>
      </c>
      <c r="K445" s="30">
        <f>IF(OR(LEFT($D445,5)="Solar",$D445="Wind"),INDEX(Land_Use[AVG],MATCH(LEFT($D445,5),Land_Use[Tech],0)),0)*$E445</f>
        <v>0</v>
      </c>
      <c r="L445" s="30">
        <f>IF(OR(LEFT($D445,5)="Solar",$D445="Wind"),INDEX(Land_Use[MIN],MATCH(LEFT($D445,5),Land_Use[Tech],0)),0)*$E445</f>
        <v>0</v>
      </c>
      <c r="M445" s="30">
        <f>IF(OR(LEFT($D445,5)="Solar",$D445="Wind"),INDEX(Land_Use[MAX],MATCH(LEFT($D445,5),Land_Use[Tech],0)),0)*$E445</f>
        <v>0</v>
      </c>
      <c r="N445" s="15">
        <f t="shared" si="134"/>
        <v>0</v>
      </c>
      <c r="O445" s="11">
        <f t="shared" si="135"/>
        <v>0</v>
      </c>
      <c r="P445" s="11">
        <f t="shared" si="136"/>
        <v>0</v>
      </c>
      <c r="Q445" s="11">
        <f t="shared" si="137"/>
        <v>0</v>
      </c>
      <c r="R445" s="11">
        <f t="shared" si="138"/>
        <v>0</v>
      </c>
      <c r="S445" s="30">
        <f t="shared" si="126"/>
        <v>0</v>
      </c>
      <c r="T445" s="30">
        <f t="shared" si="127"/>
        <v>0</v>
      </c>
      <c r="U445" s="30">
        <f t="shared" si="128"/>
        <v>0</v>
      </c>
      <c r="V445" s="30">
        <f t="shared" si="129"/>
        <v>0</v>
      </c>
      <c r="W445" s="30">
        <f t="shared" si="130"/>
        <v>0</v>
      </c>
      <c r="X445" s="30">
        <f t="shared" si="131"/>
        <v>0</v>
      </c>
      <c r="Z445" s="23" t="s">
        <v>76</v>
      </c>
      <c r="AA445" s="40" t="str">
        <f>IF(C445="Electricity",E445*SUMIFS(Electricity!S:S,Electricity!P:P,UserMade_Scenario!B445,Electricity!M:M,UserMade_Scenario!Z445,Electricity!O:O,UserMade_Scenario!D445),"")</f>
        <v/>
      </c>
      <c r="AB445" s="67">
        <v>1.4243253975000002E-4</v>
      </c>
      <c r="AC445" s="67" t="s">
        <v>95</v>
      </c>
      <c r="AD445" s="39">
        <f>INDEX(Assumptions!E$120:E$141,MATCH(UserMade_Scenario!$B445,Assumptions!$A$120:$A$141,0))</f>
        <v>-14.129999999999995</v>
      </c>
      <c r="AE445" s="39">
        <f>INDEX(Assumptions!F$120:F$141,MATCH(UserMade_Scenario!$B445,Assumptions!$A$120:$A$141,0))</f>
        <v>-14.129999999999995</v>
      </c>
      <c r="AF445" s="39">
        <f>INDEX(Assumptions!G$120:G$141,MATCH(UserMade_Scenario!$B445,Assumptions!$A$120:$A$141,0))</f>
        <v>-36.629999999999995</v>
      </c>
      <c r="AG445" s="68">
        <f>IFERROR(INDEX(WaterUseH2[Average Direct Water Consumption (Gal/ kg h2)],MATCH(LEFT(D445,3),WaterUseH2[Key],0)),0)</f>
        <v>0</v>
      </c>
      <c r="AH445">
        <v>14</v>
      </c>
      <c r="AI445">
        <v>1.4</v>
      </c>
      <c r="AJ445">
        <v>250</v>
      </c>
      <c r="AK445">
        <v>0.31</v>
      </c>
      <c r="AL445" s="63">
        <f>IFERROR(INDEX(Job_Training[[Solar]:[Wind]],MATCH(AL$1,Job_Training[[`Typical Entry Level Education`]:[`Typical Entry Level Education`]],0),MATCH(LEFT($D445,5),Job_Training[[#Headers],[Solar]:[Wind]],0)),0)</f>
        <v>0</v>
      </c>
      <c r="AM445" s="63">
        <f>IFERROR(INDEX(Job_Training[[Solar]:[Wind]],MATCH(AM$1,Job_Training[[`Typical Entry Level Education`]:[`Typical Entry Level Education`]],0),MATCH(LEFT($D445,5),Job_Training[[#Headers],[Solar]:[Wind]],0)),0)</f>
        <v>0</v>
      </c>
      <c r="AN445" s="63">
        <f>IFERROR(INDEX(Job_Training[[Solar]:[Wind]],MATCH(AN$1,Job_Training[[`Typical Entry Level Education`]:[`Typical Entry Level Education`]],0),MATCH(LEFT($D445,5),Job_Training[[#Headers],[Solar]:[Wind]],0)),0)</f>
        <v>0</v>
      </c>
      <c r="AO445" s="63">
        <f>IFERROR(INDEX(Job_Training[[Solar]:[Wind]],MATCH(AO$1,Job_Training[[`Typical Entry Level Education`]:[`Typical Entry Level Education`]],0),MATCH(LEFT($D445,5),Job_Training[[#Headers],[Solar]:[Wind]],0)),0)</f>
        <v>0</v>
      </c>
      <c r="AP445">
        <f t="shared" si="132"/>
        <v>0</v>
      </c>
      <c r="AQ445" s="63">
        <f>IF(AP445&gt;0,IFERROR(INDEX(Assumptions!$C$165:$D$165,MATCH(LEFT($D445,5),Job_Training[[#Headers],[Solar]:[Wind]],0)),0),0)</f>
        <v>0</v>
      </c>
      <c r="AR445">
        <f>IF(AP445&gt;0,IFERROR(INDEX(Assumptions!$C$166:$D$166,MATCH(LEFT($D445,5),Job_Training[[#Headers],[Solar]:[Wind]],0)),0),0)</f>
        <v>0</v>
      </c>
    </row>
    <row r="446" spans="1:44" hidden="1" x14ac:dyDescent="0.35">
      <c r="A446" t="str">
        <f>UserInput!$B$30</f>
        <v>State Policy Aligned</v>
      </c>
      <c r="B446">
        <v>2028</v>
      </c>
      <c r="C446" t="s">
        <v>92</v>
      </c>
      <c r="D446" t="s">
        <v>93</v>
      </c>
      <c r="E446" s="66">
        <f>INDEX(UserInput!$C$30:$M$50,MATCH(UserMade_Scenario!B446,UserInput!$A$30:$A$50,0),MATCH(LEFT(IF(RIGHT(C446,2)="H2",UserMade_Scenario!C446,D446),3),UserInput!$C$25:$M$25,0))</f>
        <v>0</v>
      </c>
      <c r="F446" t="s">
        <v>94</v>
      </c>
      <c r="G446" s="14">
        <f t="shared" si="133"/>
        <v>0</v>
      </c>
      <c r="H446" s="63">
        <f t="shared" si="123"/>
        <v>0</v>
      </c>
      <c r="I446" s="63">
        <f t="shared" si="124"/>
        <v>0</v>
      </c>
      <c r="J446" s="63">
        <f t="shared" si="125"/>
        <v>0</v>
      </c>
      <c r="K446" s="30">
        <f>IF(OR(LEFT($D446,5)="Solar",$D446="Wind"),INDEX(Land_Use[AVG],MATCH(LEFT($D446,5),Land_Use[Tech],0)),0)*$E446</f>
        <v>0</v>
      </c>
      <c r="L446" s="30">
        <f>IF(OR(LEFT($D446,5)="Solar",$D446="Wind"),INDEX(Land_Use[MIN],MATCH(LEFT($D446,5),Land_Use[Tech],0)),0)*$E446</f>
        <v>0</v>
      </c>
      <c r="M446" s="30">
        <f>IF(OR(LEFT($D446,5)="Solar",$D446="Wind"),INDEX(Land_Use[MAX],MATCH(LEFT($D446,5),Land_Use[Tech],0)),0)*$E446</f>
        <v>0</v>
      </c>
      <c r="N446" s="15">
        <f t="shared" si="134"/>
        <v>0</v>
      </c>
      <c r="O446" s="11">
        <f t="shared" si="135"/>
        <v>0</v>
      </c>
      <c r="P446" s="11">
        <f t="shared" si="136"/>
        <v>0</v>
      </c>
      <c r="Q446" s="11">
        <f t="shared" si="137"/>
        <v>0</v>
      </c>
      <c r="R446" s="11">
        <f t="shared" si="138"/>
        <v>0</v>
      </c>
      <c r="S446" s="30">
        <f t="shared" si="126"/>
        <v>0</v>
      </c>
      <c r="T446" s="30">
        <f t="shared" si="127"/>
        <v>0</v>
      </c>
      <c r="U446" s="30">
        <f t="shared" si="128"/>
        <v>0</v>
      </c>
      <c r="V446" s="30">
        <f t="shared" si="129"/>
        <v>0</v>
      </c>
      <c r="W446" s="30">
        <f t="shared" si="130"/>
        <v>0</v>
      </c>
      <c r="X446" s="30">
        <f t="shared" si="131"/>
        <v>0</v>
      </c>
      <c r="Z446" s="23" t="s">
        <v>76</v>
      </c>
      <c r="AA446" s="40" t="str">
        <f>IF(C446="Electricity",E446*SUMIFS(Electricity!S:S,Electricity!P:P,UserMade_Scenario!B446,Electricity!M:M,UserMade_Scenario!Z446,Electricity!O:O,UserMade_Scenario!D446),"")</f>
        <v/>
      </c>
      <c r="AB446" s="67">
        <v>1.4243253975000002E-4</v>
      </c>
      <c r="AC446" s="67" t="s">
        <v>95</v>
      </c>
      <c r="AD446" s="39">
        <f>INDEX(Assumptions!E$120:E$141,MATCH(UserMade_Scenario!$B446,Assumptions!$A$120:$A$141,0))</f>
        <v>-12.870000000000005</v>
      </c>
      <c r="AE446" s="39">
        <f>INDEX(Assumptions!F$120:F$141,MATCH(UserMade_Scenario!$B446,Assumptions!$A$120:$A$141,0))</f>
        <v>-12.870000000000005</v>
      </c>
      <c r="AF446" s="39">
        <f>INDEX(Assumptions!G$120:G$141,MATCH(UserMade_Scenario!$B446,Assumptions!$A$120:$A$141,0))</f>
        <v>-35.370000000000005</v>
      </c>
      <c r="AG446" s="68">
        <f>IFERROR(INDEX(WaterUseH2[Average Direct Water Consumption (Gal/ kg h2)],MATCH(LEFT(D446,3),WaterUseH2[Key],0)),0)</f>
        <v>0</v>
      </c>
      <c r="AH446">
        <v>14</v>
      </c>
      <c r="AI446">
        <v>1.4</v>
      </c>
      <c r="AJ446">
        <v>250</v>
      </c>
      <c r="AK446">
        <v>0.31</v>
      </c>
      <c r="AL446" s="63">
        <f>IFERROR(INDEX(Job_Training[[Solar]:[Wind]],MATCH(AL$1,Job_Training[[`Typical Entry Level Education`]:[`Typical Entry Level Education`]],0),MATCH(LEFT($D446,5),Job_Training[[#Headers],[Solar]:[Wind]],0)),0)</f>
        <v>0</v>
      </c>
      <c r="AM446" s="63">
        <f>IFERROR(INDEX(Job_Training[[Solar]:[Wind]],MATCH(AM$1,Job_Training[[`Typical Entry Level Education`]:[`Typical Entry Level Education`]],0),MATCH(LEFT($D446,5),Job_Training[[#Headers],[Solar]:[Wind]],0)),0)</f>
        <v>0</v>
      </c>
      <c r="AN446" s="63">
        <f>IFERROR(INDEX(Job_Training[[Solar]:[Wind]],MATCH(AN$1,Job_Training[[`Typical Entry Level Education`]:[`Typical Entry Level Education`]],0),MATCH(LEFT($D446,5),Job_Training[[#Headers],[Solar]:[Wind]],0)),0)</f>
        <v>0</v>
      </c>
      <c r="AO446" s="63">
        <f>IFERROR(INDEX(Job_Training[[Solar]:[Wind]],MATCH(AO$1,Job_Training[[`Typical Entry Level Education`]:[`Typical Entry Level Education`]],0),MATCH(LEFT($D446,5),Job_Training[[#Headers],[Solar]:[Wind]],0)),0)</f>
        <v>0</v>
      </c>
      <c r="AP446">
        <f t="shared" si="132"/>
        <v>0</v>
      </c>
      <c r="AQ446" s="63">
        <f>IF(AP446&gt;0,IFERROR(INDEX(Assumptions!$C$165:$D$165,MATCH(LEFT($D446,5),Job_Training[[#Headers],[Solar]:[Wind]],0)),0),0)</f>
        <v>0</v>
      </c>
      <c r="AR446">
        <f>IF(AP446&gt;0,IFERROR(INDEX(Assumptions!$C$166:$D$166,MATCH(LEFT($D446,5),Job_Training[[#Headers],[Solar]:[Wind]],0)),0),0)</f>
        <v>0</v>
      </c>
    </row>
    <row r="447" spans="1:44" hidden="1" x14ac:dyDescent="0.35">
      <c r="A447" t="str">
        <f>UserInput!$B$30</f>
        <v>State Policy Aligned</v>
      </c>
      <c r="B447">
        <v>2029</v>
      </c>
      <c r="C447" t="s">
        <v>92</v>
      </c>
      <c r="D447" t="s">
        <v>93</v>
      </c>
      <c r="E447" s="66">
        <f>INDEX(UserInput!$C$30:$M$50,MATCH(UserMade_Scenario!B447,UserInput!$A$30:$A$50,0),MATCH(LEFT(IF(RIGHT(C447,2)="H2",UserMade_Scenario!C447,D447),3),UserInput!$C$25:$M$25,0))</f>
        <v>0</v>
      </c>
      <c r="F447" t="s">
        <v>94</v>
      </c>
      <c r="G447" s="14">
        <f t="shared" si="133"/>
        <v>0</v>
      </c>
      <c r="H447" s="63">
        <f t="shared" ref="H447:H484" si="139">IF($C447="Electricity",$AA447/1000000,$G447)*AD447*-1</f>
        <v>0</v>
      </c>
      <c r="I447" s="63">
        <f t="shared" ref="I447:I484" si="140">IF($C447="Electricity",$AA447/1000000,$G447)*AE447*-1</f>
        <v>0</v>
      </c>
      <c r="J447" s="63">
        <f t="shared" ref="J447:J484" si="141">IF($C447="Electricity",$AA447/1000000,$G447)*AF447*-1</f>
        <v>0</v>
      </c>
      <c r="K447" s="30">
        <f>IF(OR(LEFT($D447,5)="Solar",$D447="Wind"),INDEX(Land_Use[AVG],MATCH(LEFT($D447,5),Land_Use[Tech],0)),0)*$E447</f>
        <v>0</v>
      </c>
      <c r="L447" s="30">
        <f>IF(OR(LEFT($D447,5)="Solar",$D447="Wind"),INDEX(Land_Use[MIN],MATCH(LEFT($D447,5),Land_Use[Tech],0)),0)*$E447</f>
        <v>0</v>
      </c>
      <c r="M447" s="30">
        <f>IF(OR(LEFT($D447,5)="Solar",$D447="Wind"),INDEX(Land_Use[MAX],MATCH(LEFT($D447,5),Land_Use[Tech],0)),0)*$E447</f>
        <v>0</v>
      </c>
      <c r="N447" s="15">
        <f t="shared" si="134"/>
        <v>0</v>
      </c>
      <c r="O447" s="11">
        <f t="shared" si="135"/>
        <v>0</v>
      </c>
      <c r="P447" s="11">
        <f t="shared" si="136"/>
        <v>0</v>
      </c>
      <c r="Q447" s="11">
        <f t="shared" si="137"/>
        <v>0</v>
      </c>
      <c r="R447" s="11">
        <f t="shared" si="138"/>
        <v>0</v>
      </c>
      <c r="S447" s="30">
        <f t="shared" si="126"/>
        <v>0</v>
      </c>
      <c r="T447" s="30">
        <f t="shared" si="127"/>
        <v>0</v>
      </c>
      <c r="U447" s="30">
        <f t="shared" si="128"/>
        <v>0</v>
      </c>
      <c r="V447" s="30">
        <f t="shared" si="129"/>
        <v>0</v>
      </c>
      <c r="W447" s="30">
        <f t="shared" si="130"/>
        <v>0</v>
      </c>
      <c r="X447" s="30">
        <f t="shared" si="131"/>
        <v>0</v>
      </c>
      <c r="Y447" s="31"/>
      <c r="Z447" s="23" t="s">
        <v>76</v>
      </c>
      <c r="AA447" s="40" t="str">
        <f>IF(C447="Electricity",E447*SUMIFS(Electricity!S:S,Electricity!P:P,UserMade_Scenario!B447,Electricity!M:M,UserMade_Scenario!Z447,Electricity!O:O,UserMade_Scenario!D447),"")</f>
        <v/>
      </c>
      <c r="AB447" s="67">
        <v>1.4243253975000002E-4</v>
      </c>
      <c r="AC447" s="67" t="s">
        <v>95</v>
      </c>
      <c r="AD447" s="39">
        <f>INDEX(Assumptions!E$120:E$141,MATCH(UserMade_Scenario!$B447,Assumptions!$A$120:$A$141,0))</f>
        <v>-11.620000000000005</v>
      </c>
      <c r="AE447" s="39">
        <f>INDEX(Assumptions!F$120:F$141,MATCH(UserMade_Scenario!$B447,Assumptions!$A$120:$A$141,0))</f>
        <v>-11.620000000000005</v>
      </c>
      <c r="AF447" s="39">
        <f>INDEX(Assumptions!G$120:G$141,MATCH(UserMade_Scenario!$B447,Assumptions!$A$120:$A$141,0))</f>
        <v>-34.120000000000005</v>
      </c>
      <c r="AG447" s="68">
        <f>IFERROR(INDEX(WaterUseH2[Average Direct Water Consumption (Gal/ kg h2)],MATCH(LEFT(D447,3),WaterUseH2[Key],0)),0)</f>
        <v>0</v>
      </c>
      <c r="AH447">
        <v>14</v>
      </c>
      <c r="AI447">
        <v>1.4</v>
      </c>
      <c r="AJ447">
        <v>250</v>
      </c>
      <c r="AK447">
        <v>0.31</v>
      </c>
      <c r="AL447" s="63">
        <f>IFERROR(INDEX(Job_Training[[Solar]:[Wind]],MATCH(AL$1,Job_Training[[`Typical Entry Level Education`]:[`Typical Entry Level Education`]],0),MATCH(LEFT($D447,5),Job_Training[[#Headers],[Solar]:[Wind]],0)),0)</f>
        <v>0</v>
      </c>
      <c r="AM447" s="63">
        <f>IFERROR(INDEX(Job_Training[[Solar]:[Wind]],MATCH(AM$1,Job_Training[[`Typical Entry Level Education`]:[`Typical Entry Level Education`]],0),MATCH(LEFT($D447,5),Job_Training[[#Headers],[Solar]:[Wind]],0)),0)</f>
        <v>0</v>
      </c>
      <c r="AN447" s="63">
        <f>IFERROR(INDEX(Job_Training[[Solar]:[Wind]],MATCH(AN$1,Job_Training[[`Typical Entry Level Education`]:[`Typical Entry Level Education`]],0),MATCH(LEFT($D447,5),Job_Training[[#Headers],[Solar]:[Wind]],0)),0)</f>
        <v>0</v>
      </c>
      <c r="AO447" s="63">
        <f>IFERROR(INDEX(Job_Training[[Solar]:[Wind]],MATCH(AO$1,Job_Training[[`Typical Entry Level Education`]:[`Typical Entry Level Education`]],0),MATCH(LEFT($D447,5),Job_Training[[#Headers],[Solar]:[Wind]],0)),0)</f>
        <v>0</v>
      </c>
      <c r="AP447">
        <f t="shared" si="132"/>
        <v>0</v>
      </c>
      <c r="AQ447" s="63">
        <f>IF(AP447&gt;0,IFERROR(INDEX(Assumptions!$C$165:$D$165,MATCH(LEFT($D447,5),Job_Training[[#Headers],[Solar]:[Wind]],0)),0),0)</f>
        <v>0</v>
      </c>
      <c r="AR447">
        <f>IF(AP447&gt;0,IFERROR(INDEX(Assumptions!$C$166:$D$166,MATCH(LEFT($D447,5),Job_Training[[#Headers],[Solar]:[Wind]],0)),0),0)</f>
        <v>0</v>
      </c>
    </row>
    <row r="448" spans="1:44" hidden="1" x14ac:dyDescent="0.35">
      <c r="A448" t="str">
        <f>UserInput!$B$30</f>
        <v>State Policy Aligned</v>
      </c>
      <c r="B448">
        <v>2030</v>
      </c>
      <c r="C448" t="s">
        <v>92</v>
      </c>
      <c r="D448" t="s">
        <v>93</v>
      </c>
      <c r="E448" s="66">
        <f>INDEX(UserInput!$C$30:$M$50,MATCH(UserMade_Scenario!B448,UserInput!$A$30:$A$50,0),MATCH(LEFT(IF(RIGHT(C448,2)="H2",UserMade_Scenario!C448,D448),3),UserInput!$C$25:$M$25,0))</f>
        <v>0</v>
      </c>
      <c r="F448" t="s">
        <v>94</v>
      </c>
      <c r="G448" s="14">
        <f t="shared" si="133"/>
        <v>0</v>
      </c>
      <c r="H448" s="63">
        <f t="shared" si="139"/>
        <v>0</v>
      </c>
      <c r="I448" s="63">
        <f t="shared" si="140"/>
        <v>0</v>
      </c>
      <c r="J448" s="63">
        <f t="shared" si="141"/>
        <v>0</v>
      </c>
      <c r="K448" s="30">
        <f>IF(OR(LEFT($D448,5)="Solar",$D448="Wind"),INDEX(Land_Use[AVG],MATCH(LEFT($D448,5),Land_Use[Tech],0)),0)*$E448</f>
        <v>0</v>
      </c>
      <c r="L448" s="30">
        <f>IF(OR(LEFT($D448,5)="Solar",$D448="Wind"),INDEX(Land_Use[MIN],MATCH(LEFT($D448,5),Land_Use[Tech],0)),0)*$E448</f>
        <v>0</v>
      </c>
      <c r="M448" s="30">
        <f>IF(OR(LEFT($D448,5)="Solar",$D448="Wind"),INDEX(Land_Use[MAX],MATCH(LEFT($D448,5),Land_Use[Tech],0)),0)*$E448</f>
        <v>0</v>
      </c>
      <c r="N448" s="15">
        <f t="shared" si="134"/>
        <v>0</v>
      </c>
      <c r="O448" s="11">
        <f t="shared" si="135"/>
        <v>0</v>
      </c>
      <c r="P448" s="11">
        <f t="shared" si="136"/>
        <v>0</v>
      </c>
      <c r="Q448" s="11">
        <f t="shared" si="137"/>
        <v>0</v>
      </c>
      <c r="R448" s="11">
        <f t="shared" si="138"/>
        <v>0</v>
      </c>
      <c r="S448" s="30">
        <f t="shared" si="126"/>
        <v>0</v>
      </c>
      <c r="T448" s="30">
        <f t="shared" si="127"/>
        <v>0</v>
      </c>
      <c r="U448" s="30">
        <f t="shared" si="128"/>
        <v>0</v>
      </c>
      <c r="V448" s="30">
        <f t="shared" si="129"/>
        <v>0</v>
      </c>
      <c r="W448" s="30">
        <f t="shared" si="130"/>
        <v>0</v>
      </c>
      <c r="X448" s="30">
        <f t="shared" si="131"/>
        <v>0</v>
      </c>
      <c r="Z448" s="23" t="s">
        <v>76</v>
      </c>
      <c r="AA448" s="40" t="str">
        <f>IF(C448="Electricity",E448*SUMIFS(Electricity!S:S,Electricity!P:P,UserMade_Scenario!B448,Electricity!M:M,UserMade_Scenario!Z448,Electricity!O:O,UserMade_Scenario!D448),"")</f>
        <v/>
      </c>
      <c r="AB448" s="67">
        <v>1.4243253975000002E-4</v>
      </c>
      <c r="AC448" s="67" t="s">
        <v>95</v>
      </c>
      <c r="AD448" s="39">
        <f>INDEX(Assumptions!E$120:E$141,MATCH(UserMade_Scenario!$B448,Assumptions!$A$120:$A$141,0))</f>
        <v>-10.36</v>
      </c>
      <c r="AE448" s="39">
        <f>INDEX(Assumptions!F$120:F$141,MATCH(UserMade_Scenario!$B448,Assumptions!$A$120:$A$141,0))</f>
        <v>-10.36</v>
      </c>
      <c r="AF448" s="39">
        <f>INDEX(Assumptions!G$120:G$141,MATCH(UserMade_Scenario!$B448,Assumptions!$A$120:$A$141,0))</f>
        <v>-32.86</v>
      </c>
      <c r="AG448" s="68">
        <f>IFERROR(INDEX(WaterUseH2[Average Direct Water Consumption (Gal/ kg h2)],MATCH(LEFT(D448,3),WaterUseH2[Key],0)),0)</f>
        <v>0</v>
      </c>
      <c r="AH448">
        <v>14</v>
      </c>
      <c r="AI448">
        <v>1.4</v>
      </c>
      <c r="AJ448">
        <v>250</v>
      </c>
      <c r="AK448">
        <v>0.31</v>
      </c>
      <c r="AL448" s="63">
        <f>IFERROR(INDEX(Job_Training[[Solar]:[Wind]],MATCH(AL$1,Job_Training[[`Typical Entry Level Education`]:[`Typical Entry Level Education`]],0),MATCH(LEFT($D448,5),Job_Training[[#Headers],[Solar]:[Wind]],0)),0)</f>
        <v>0</v>
      </c>
      <c r="AM448" s="63">
        <f>IFERROR(INDEX(Job_Training[[Solar]:[Wind]],MATCH(AM$1,Job_Training[[`Typical Entry Level Education`]:[`Typical Entry Level Education`]],0),MATCH(LEFT($D448,5),Job_Training[[#Headers],[Solar]:[Wind]],0)),0)</f>
        <v>0</v>
      </c>
      <c r="AN448" s="63">
        <f>IFERROR(INDEX(Job_Training[[Solar]:[Wind]],MATCH(AN$1,Job_Training[[`Typical Entry Level Education`]:[`Typical Entry Level Education`]],0),MATCH(LEFT($D448,5),Job_Training[[#Headers],[Solar]:[Wind]],0)),0)</f>
        <v>0</v>
      </c>
      <c r="AO448" s="63">
        <f>IFERROR(INDEX(Job_Training[[Solar]:[Wind]],MATCH(AO$1,Job_Training[[`Typical Entry Level Education`]:[`Typical Entry Level Education`]],0),MATCH(LEFT($D448,5),Job_Training[[#Headers],[Solar]:[Wind]],0)),0)</f>
        <v>0</v>
      </c>
      <c r="AP448">
        <f t="shared" si="132"/>
        <v>0</v>
      </c>
      <c r="AQ448" s="63">
        <f>IF(AP448&gt;0,IFERROR(INDEX(Assumptions!$C$165:$D$165,MATCH(LEFT($D448,5),Job_Training[[#Headers],[Solar]:[Wind]],0)),0),0)</f>
        <v>0</v>
      </c>
      <c r="AR448">
        <f>IF(AP448&gt;0,IFERROR(INDEX(Assumptions!$C$166:$D$166,MATCH(LEFT($D448,5),Job_Training[[#Headers],[Solar]:[Wind]],0)),0),0)</f>
        <v>0</v>
      </c>
    </row>
    <row r="449" spans="1:44" hidden="1" x14ac:dyDescent="0.35">
      <c r="A449" t="str">
        <f>UserInput!$B$30</f>
        <v>State Policy Aligned</v>
      </c>
      <c r="B449">
        <v>2031</v>
      </c>
      <c r="C449" t="s">
        <v>92</v>
      </c>
      <c r="D449" t="s">
        <v>93</v>
      </c>
      <c r="E449" s="66">
        <f>INDEX(UserInput!$C$30:$M$50,MATCH(UserMade_Scenario!B449,UserInput!$A$30:$A$50,0),MATCH(LEFT(IF(RIGHT(C449,2)="H2",UserMade_Scenario!C449,D449),3),UserInput!$C$25:$M$25,0))</f>
        <v>0.7</v>
      </c>
      <c r="F449" t="s">
        <v>94</v>
      </c>
      <c r="G449" s="14">
        <f t="shared" si="133"/>
        <v>9.9702777825000008E-5</v>
      </c>
      <c r="H449" s="63">
        <f t="shared" si="139"/>
        <v>1.032920778267E-3</v>
      </c>
      <c r="I449" s="63">
        <f t="shared" si="140"/>
        <v>1.032920778267E-3</v>
      </c>
      <c r="J449" s="63">
        <f t="shared" si="141"/>
        <v>3.2762332793295004E-3</v>
      </c>
      <c r="K449" s="30">
        <f>IF(OR(LEFT($D449,5)="Solar",$D449="Wind"),INDEX(Land_Use[AVG],MATCH(LEFT($D449,5),Land_Use[Tech],0)),0)*$E449</f>
        <v>0</v>
      </c>
      <c r="L449" s="30">
        <f>IF(OR(LEFT($D449,5)="Solar",$D449="Wind"),INDEX(Land_Use[MIN],MATCH(LEFT($D449,5),Land_Use[Tech],0)),0)*$E449</f>
        <v>0</v>
      </c>
      <c r="M449" s="30">
        <f>IF(OR(LEFT($D449,5)="Solar",$D449="Wind"),INDEX(Land_Use[MAX],MATCH(LEFT($D449,5),Land_Use[Tech],0)),0)*$E449</f>
        <v>0</v>
      </c>
      <c r="N449" s="15">
        <f t="shared" si="134"/>
        <v>0</v>
      </c>
      <c r="O449" s="11">
        <f t="shared" si="135"/>
        <v>0</v>
      </c>
      <c r="P449" s="11">
        <f t="shared" si="136"/>
        <v>0</v>
      </c>
      <c r="Q449" s="11">
        <f t="shared" si="137"/>
        <v>0</v>
      </c>
      <c r="R449" s="11">
        <f t="shared" si="138"/>
        <v>0</v>
      </c>
      <c r="S449" s="30">
        <f t="shared" si="126"/>
        <v>0</v>
      </c>
      <c r="T449" s="30">
        <f t="shared" si="127"/>
        <v>0</v>
      </c>
      <c r="U449" s="30">
        <f t="shared" si="128"/>
        <v>0</v>
      </c>
      <c r="V449" s="30">
        <f t="shared" si="129"/>
        <v>0</v>
      </c>
      <c r="W449" s="30">
        <f t="shared" si="130"/>
        <v>0</v>
      </c>
      <c r="X449" s="30">
        <f t="shared" si="131"/>
        <v>0</v>
      </c>
      <c r="Z449" s="23" t="s">
        <v>76</v>
      </c>
      <c r="AA449" s="40" t="str">
        <f>IF(C449="Electricity",E449*SUMIFS(Electricity!S:S,Electricity!P:P,UserMade_Scenario!B449,Electricity!M:M,UserMade_Scenario!Z449,Electricity!O:O,UserMade_Scenario!D449),"")</f>
        <v/>
      </c>
      <c r="AB449" s="67">
        <v>1.4243253975000002E-4</v>
      </c>
      <c r="AC449" s="67" t="s">
        <v>95</v>
      </c>
      <c r="AD449" s="39">
        <f>INDEX(Assumptions!E$120:E$141,MATCH(UserMade_Scenario!$B449,Assumptions!$A$120:$A$141,0))</f>
        <v>-10.36</v>
      </c>
      <c r="AE449" s="39">
        <f>INDEX(Assumptions!F$120:F$141,MATCH(UserMade_Scenario!$B449,Assumptions!$A$120:$A$141,0))</f>
        <v>-10.36</v>
      </c>
      <c r="AF449" s="39">
        <f>INDEX(Assumptions!G$120:G$141,MATCH(UserMade_Scenario!$B449,Assumptions!$A$120:$A$141,0))</f>
        <v>-32.86</v>
      </c>
      <c r="AG449" s="68">
        <f>IFERROR(INDEX(WaterUseH2[Average Direct Water Consumption (Gal/ kg h2)],MATCH(LEFT(D449,3),WaterUseH2[Key],0)),0)</f>
        <v>0</v>
      </c>
      <c r="AH449">
        <v>14</v>
      </c>
      <c r="AI449">
        <v>1.4</v>
      </c>
      <c r="AJ449">
        <v>250</v>
      </c>
      <c r="AK449">
        <v>0.31</v>
      </c>
      <c r="AL449" s="63">
        <f>IFERROR(INDEX(Job_Training[[Solar]:[Wind]],MATCH(AL$1,Job_Training[[`Typical Entry Level Education`]:[`Typical Entry Level Education`]],0),MATCH(LEFT($D449,5),Job_Training[[#Headers],[Solar]:[Wind]],0)),0)</f>
        <v>0</v>
      </c>
      <c r="AM449" s="63">
        <f>IFERROR(INDEX(Job_Training[[Solar]:[Wind]],MATCH(AM$1,Job_Training[[`Typical Entry Level Education`]:[`Typical Entry Level Education`]],0),MATCH(LEFT($D449,5),Job_Training[[#Headers],[Solar]:[Wind]],0)),0)</f>
        <v>0</v>
      </c>
      <c r="AN449" s="63">
        <f>IFERROR(INDEX(Job_Training[[Solar]:[Wind]],MATCH(AN$1,Job_Training[[`Typical Entry Level Education`]:[`Typical Entry Level Education`]],0),MATCH(LEFT($D449,5),Job_Training[[#Headers],[Solar]:[Wind]],0)),0)</f>
        <v>0</v>
      </c>
      <c r="AO449" s="63">
        <f>IFERROR(INDEX(Job_Training[[Solar]:[Wind]],MATCH(AO$1,Job_Training[[`Typical Entry Level Education`]:[`Typical Entry Level Education`]],0),MATCH(LEFT($D449,5),Job_Training[[#Headers],[Solar]:[Wind]],0)),0)</f>
        <v>0</v>
      </c>
      <c r="AP449">
        <f t="shared" si="132"/>
        <v>0</v>
      </c>
      <c r="AQ449" s="63">
        <f>IF(AP449&gt;0,IFERROR(INDEX(Assumptions!$C$165:$D$165,MATCH(LEFT($D449,5),Job_Training[[#Headers],[Solar]:[Wind]],0)),0),0)</f>
        <v>0</v>
      </c>
      <c r="AR449">
        <f>IF(AP449&gt;0,IFERROR(INDEX(Assumptions!$C$166:$D$166,MATCH(LEFT($D449,5),Job_Training[[#Headers],[Solar]:[Wind]],0)),0),0)</f>
        <v>0</v>
      </c>
    </row>
    <row r="450" spans="1:44" hidden="1" x14ac:dyDescent="0.35">
      <c r="A450" t="str">
        <f>UserInput!$B$30</f>
        <v>State Policy Aligned</v>
      </c>
      <c r="B450">
        <v>2032</v>
      </c>
      <c r="C450" t="s">
        <v>92</v>
      </c>
      <c r="D450" t="s">
        <v>93</v>
      </c>
      <c r="E450" s="66">
        <f>INDEX(UserInput!$C$30:$M$50,MATCH(UserMade_Scenario!B450,UserInput!$A$30:$A$50,0),MATCH(LEFT(IF(RIGHT(C450,2)="H2",UserMade_Scenario!C450,D450),3),UserInput!$C$25:$M$25,0))</f>
        <v>0.68571428571428572</v>
      </c>
      <c r="F450" t="s">
        <v>94</v>
      </c>
      <c r="G450" s="14">
        <f t="shared" si="133"/>
        <v>9.7668027257142873E-5</v>
      </c>
      <c r="H450" s="63">
        <f t="shared" si="139"/>
        <v>1.0118407623840001E-3</v>
      </c>
      <c r="I450" s="63">
        <f t="shared" si="140"/>
        <v>1.0118407623840001E-3</v>
      </c>
      <c r="J450" s="63">
        <f t="shared" si="141"/>
        <v>3.2093713756697149E-3</v>
      </c>
      <c r="K450" s="30">
        <f>IF(OR(LEFT($D450,5)="Solar",$D450="Wind"),INDEX(Land_Use[AVG],MATCH(LEFT($D450,5),Land_Use[Tech],0)),0)*$E450</f>
        <v>0</v>
      </c>
      <c r="L450" s="30">
        <f>IF(OR(LEFT($D450,5)="Solar",$D450="Wind"),INDEX(Land_Use[MIN],MATCH(LEFT($D450,5),Land_Use[Tech],0)),0)*$E450</f>
        <v>0</v>
      </c>
      <c r="M450" s="30">
        <f>IF(OR(LEFT($D450,5)="Solar",$D450="Wind"),INDEX(Land_Use[MAX],MATCH(LEFT($D450,5),Land_Use[Tech],0)),0)*$E450</f>
        <v>0</v>
      </c>
      <c r="N450" s="15">
        <f t="shared" si="134"/>
        <v>0</v>
      </c>
      <c r="O450" s="11">
        <f t="shared" si="135"/>
        <v>0</v>
      </c>
      <c r="P450" s="11">
        <f t="shared" si="136"/>
        <v>0</v>
      </c>
      <c r="Q450" s="11">
        <f t="shared" si="137"/>
        <v>0</v>
      </c>
      <c r="R450" s="11">
        <f t="shared" si="138"/>
        <v>0</v>
      </c>
      <c r="S450" s="30">
        <f t="shared" si="126"/>
        <v>0</v>
      </c>
      <c r="T450" s="30">
        <f t="shared" si="127"/>
        <v>0</v>
      </c>
      <c r="U450" s="30">
        <f t="shared" si="128"/>
        <v>0</v>
      </c>
      <c r="V450" s="30">
        <f t="shared" si="129"/>
        <v>0</v>
      </c>
      <c r="W450" s="30">
        <f t="shared" si="130"/>
        <v>0</v>
      </c>
      <c r="X450" s="30">
        <f t="shared" si="131"/>
        <v>0</v>
      </c>
      <c r="Z450" s="23" t="s">
        <v>76</v>
      </c>
      <c r="AA450" s="40" t="str">
        <f>IF(C450="Electricity",E450*SUMIFS(Electricity!S:S,Electricity!P:P,UserMade_Scenario!B450,Electricity!M:M,UserMade_Scenario!Z450,Electricity!O:O,UserMade_Scenario!D450),"")</f>
        <v/>
      </c>
      <c r="AB450" s="67">
        <v>1.4243253975000002E-4</v>
      </c>
      <c r="AC450" s="67" t="s">
        <v>95</v>
      </c>
      <c r="AD450" s="39">
        <f>INDEX(Assumptions!E$120:E$141,MATCH(UserMade_Scenario!$B450,Assumptions!$A$120:$A$141,0))</f>
        <v>-10.36</v>
      </c>
      <c r="AE450" s="39">
        <f>INDEX(Assumptions!F$120:F$141,MATCH(UserMade_Scenario!$B450,Assumptions!$A$120:$A$141,0))</f>
        <v>-10.36</v>
      </c>
      <c r="AF450" s="39">
        <f>INDEX(Assumptions!G$120:G$141,MATCH(UserMade_Scenario!$B450,Assumptions!$A$120:$A$141,0))</f>
        <v>-32.86</v>
      </c>
      <c r="AG450" s="68">
        <f>IFERROR(INDEX(WaterUseH2[Average Direct Water Consumption (Gal/ kg h2)],MATCH(LEFT(D450,3),WaterUseH2[Key],0)),0)</f>
        <v>0</v>
      </c>
      <c r="AH450">
        <v>14</v>
      </c>
      <c r="AI450">
        <v>1.4</v>
      </c>
      <c r="AJ450">
        <v>250</v>
      </c>
      <c r="AK450">
        <v>0.31</v>
      </c>
      <c r="AL450" s="63">
        <f>IFERROR(INDEX(Job_Training[[Solar]:[Wind]],MATCH(AL$1,Job_Training[[`Typical Entry Level Education`]:[`Typical Entry Level Education`]],0),MATCH(LEFT($D450,5),Job_Training[[#Headers],[Solar]:[Wind]],0)),0)</f>
        <v>0</v>
      </c>
      <c r="AM450" s="63">
        <f>IFERROR(INDEX(Job_Training[[Solar]:[Wind]],MATCH(AM$1,Job_Training[[`Typical Entry Level Education`]:[`Typical Entry Level Education`]],0),MATCH(LEFT($D450,5),Job_Training[[#Headers],[Solar]:[Wind]],0)),0)</f>
        <v>0</v>
      </c>
      <c r="AN450" s="63">
        <f>IFERROR(INDEX(Job_Training[[Solar]:[Wind]],MATCH(AN$1,Job_Training[[`Typical Entry Level Education`]:[`Typical Entry Level Education`]],0),MATCH(LEFT($D450,5),Job_Training[[#Headers],[Solar]:[Wind]],0)),0)</f>
        <v>0</v>
      </c>
      <c r="AO450" s="63">
        <f>IFERROR(INDEX(Job_Training[[Solar]:[Wind]],MATCH(AO$1,Job_Training[[`Typical Entry Level Education`]:[`Typical Entry Level Education`]],0),MATCH(LEFT($D450,5),Job_Training[[#Headers],[Solar]:[Wind]],0)),0)</f>
        <v>0</v>
      </c>
      <c r="AP450">
        <f t="shared" si="132"/>
        <v>0</v>
      </c>
      <c r="AQ450" s="63">
        <f>IF(AP450&gt;0,IFERROR(INDEX(Assumptions!$C$165:$D$165,MATCH(LEFT($D450,5),Job_Training[[#Headers],[Solar]:[Wind]],0)),0),0)</f>
        <v>0</v>
      </c>
      <c r="AR450">
        <f>IF(AP450&gt;0,IFERROR(INDEX(Assumptions!$C$166:$D$166,MATCH(LEFT($D450,5),Job_Training[[#Headers],[Solar]:[Wind]],0)),0),0)</f>
        <v>0</v>
      </c>
    </row>
    <row r="451" spans="1:44" hidden="1" x14ac:dyDescent="0.35">
      <c r="A451" t="str">
        <f>UserInput!$B$30</f>
        <v>State Policy Aligned</v>
      </c>
      <c r="B451">
        <v>2033</v>
      </c>
      <c r="C451" t="s">
        <v>92</v>
      </c>
      <c r="D451" t="s">
        <v>93</v>
      </c>
      <c r="E451" s="66">
        <f>INDEX(UserInput!$C$30:$M$50,MATCH(UserMade_Scenario!B451,UserInput!$A$30:$A$50,0),MATCH(LEFT(IF(RIGHT(C451,2)="H2",UserMade_Scenario!C451,D451),3),UserInput!$C$25:$M$25,0))</f>
        <v>0.67142857142857149</v>
      </c>
      <c r="F451" t="s">
        <v>94</v>
      </c>
      <c r="G451" s="14">
        <f t="shared" si="133"/>
        <v>9.5633276689285738E-5</v>
      </c>
      <c r="H451" s="63">
        <f t="shared" si="139"/>
        <v>9.9076074650100016E-4</v>
      </c>
      <c r="I451" s="63">
        <f t="shared" si="140"/>
        <v>9.9076074650100016E-4</v>
      </c>
      <c r="J451" s="63">
        <f t="shared" si="141"/>
        <v>3.1425094720099293E-3</v>
      </c>
      <c r="K451" s="30">
        <f>IF(OR(LEFT($D451,5)="Solar",$D451="Wind"),INDEX(Land_Use[AVG],MATCH(LEFT($D451,5),Land_Use[Tech],0)),0)*$E451</f>
        <v>0</v>
      </c>
      <c r="L451" s="30">
        <f>IF(OR(LEFT($D451,5)="Solar",$D451="Wind"),INDEX(Land_Use[MIN],MATCH(LEFT($D451,5),Land_Use[Tech],0)),0)*$E451</f>
        <v>0</v>
      </c>
      <c r="M451" s="30">
        <f>IF(OR(LEFT($D451,5)="Solar",$D451="Wind"),INDEX(Land_Use[MAX],MATCH(LEFT($D451,5),Land_Use[Tech],0)),0)*$E451</f>
        <v>0</v>
      </c>
      <c r="N451" s="15">
        <f t="shared" si="134"/>
        <v>0</v>
      </c>
      <c r="O451" s="11">
        <f t="shared" si="135"/>
        <v>0</v>
      </c>
      <c r="P451" s="11">
        <f t="shared" si="136"/>
        <v>0</v>
      </c>
      <c r="Q451" s="11">
        <f t="shared" si="137"/>
        <v>0</v>
      </c>
      <c r="R451" s="11">
        <f t="shared" si="138"/>
        <v>0</v>
      </c>
      <c r="S451" s="30">
        <f t="shared" ref="S451:S514" si="142">MAX($AP451*AL451,0)</f>
        <v>0</v>
      </c>
      <c r="T451" s="30">
        <f t="shared" ref="T451:T514" si="143">MAX($AP451*AM451,0)</f>
        <v>0</v>
      </c>
      <c r="U451" s="30">
        <f t="shared" ref="U451:U514" si="144">MAX($AP451*AN451,0)</f>
        <v>0</v>
      </c>
      <c r="V451" s="30">
        <f t="shared" ref="V451:V514" si="145">MAX($AP451*AO451,0)</f>
        <v>0</v>
      </c>
      <c r="W451" s="30">
        <f t="shared" ref="W451:W514" si="146">$AP451*AQ451</f>
        <v>0</v>
      </c>
      <c r="X451" s="30">
        <f t="shared" ref="X451:X514" si="147">$AP451*AR451</f>
        <v>0</v>
      </c>
      <c r="Z451" s="23" t="s">
        <v>76</v>
      </c>
      <c r="AA451" s="40" t="str">
        <f>IF(C451="Electricity",E451*SUMIFS(Electricity!S:S,Electricity!P:P,UserMade_Scenario!B451,Electricity!M:M,UserMade_Scenario!Z451,Electricity!O:O,UserMade_Scenario!D451),"")</f>
        <v/>
      </c>
      <c r="AB451" s="67">
        <v>1.4243253975000002E-4</v>
      </c>
      <c r="AC451" s="67" t="s">
        <v>95</v>
      </c>
      <c r="AD451" s="39">
        <f>INDEX(Assumptions!E$120:E$141,MATCH(UserMade_Scenario!$B451,Assumptions!$A$120:$A$141,0))</f>
        <v>-10.36</v>
      </c>
      <c r="AE451" s="39">
        <f>INDEX(Assumptions!F$120:F$141,MATCH(UserMade_Scenario!$B451,Assumptions!$A$120:$A$141,0))</f>
        <v>-10.36</v>
      </c>
      <c r="AF451" s="39">
        <f>INDEX(Assumptions!G$120:G$141,MATCH(UserMade_Scenario!$B451,Assumptions!$A$120:$A$141,0))</f>
        <v>-32.86</v>
      </c>
      <c r="AG451" s="68">
        <f>IFERROR(INDEX(WaterUseH2[Average Direct Water Consumption (Gal/ kg h2)],MATCH(LEFT(D451,3),WaterUseH2[Key],0)),0)</f>
        <v>0</v>
      </c>
      <c r="AH451">
        <v>14</v>
      </c>
      <c r="AI451">
        <v>1.4</v>
      </c>
      <c r="AJ451">
        <v>250</v>
      </c>
      <c r="AK451">
        <v>0.31</v>
      </c>
      <c r="AL451" s="63">
        <f>IFERROR(INDEX(Job_Training[[Solar]:[Wind]],MATCH(AL$1,Job_Training[[`Typical Entry Level Education`]:[`Typical Entry Level Education`]],0),MATCH(LEFT($D451,5),Job_Training[[#Headers],[Solar]:[Wind]],0)),0)</f>
        <v>0</v>
      </c>
      <c r="AM451" s="63">
        <f>IFERROR(INDEX(Job_Training[[Solar]:[Wind]],MATCH(AM$1,Job_Training[[`Typical Entry Level Education`]:[`Typical Entry Level Education`]],0),MATCH(LEFT($D451,5),Job_Training[[#Headers],[Solar]:[Wind]],0)),0)</f>
        <v>0</v>
      </c>
      <c r="AN451" s="63">
        <f>IFERROR(INDEX(Job_Training[[Solar]:[Wind]],MATCH(AN$1,Job_Training[[`Typical Entry Level Education`]:[`Typical Entry Level Education`]],0),MATCH(LEFT($D451,5),Job_Training[[#Headers],[Solar]:[Wind]],0)),0)</f>
        <v>0</v>
      </c>
      <c r="AO451" s="63">
        <f>IFERROR(INDEX(Job_Training[[Solar]:[Wind]],MATCH(AO$1,Job_Training[[`Typical Entry Level Education`]:[`Typical Entry Level Education`]],0),MATCH(LEFT($D451,5),Job_Training[[#Headers],[Solar]:[Wind]],0)),0)</f>
        <v>0</v>
      </c>
      <c r="AP451">
        <f t="shared" ref="AP451:AP514" si="148">IF(OR($C451="Electricity",$D451="Solar (Off-Grid)"),IF($B451=2025,$E451,$E451-$E450),0)</f>
        <v>0</v>
      </c>
      <c r="AQ451" s="63">
        <f>IF(AP451&gt;0,IFERROR(INDEX(Assumptions!$C$165:$D$165,MATCH(LEFT($D451,5),Job_Training[[#Headers],[Solar]:[Wind]],0)),0),0)</f>
        <v>0</v>
      </c>
      <c r="AR451">
        <f>IF(AP451&gt;0,IFERROR(INDEX(Assumptions!$C$166:$D$166,MATCH(LEFT($D451,5),Job_Training[[#Headers],[Solar]:[Wind]],0)),0),0)</f>
        <v>0</v>
      </c>
    </row>
    <row r="452" spans="1:44" hidden="1" x14ac:dyDescent="0.35">
      <c r="A452" t="str">
        <f>UserInput!$B$30</f>
        <v>State Policy Aligned</v>
      </c>
      <c r="B452">
        <v>2034</v>
      </c>
      <c r="C452" t="s">
        <v>92</v>
      </c>
      <c r="D452" t="s">
        <v>93</v>
      </c>
      <c r="E452" s="66">
        <f>INDEX(UserInput!$C$30:$M$50,MATCH(UserMade_Scenario!B452,UserInput!$A$30:$A$50,0),MATCH(LEFT(IF(RIGHT(C452,2)="H2",UserMade_Scenario!C452,D452),3),UserInput!$C$25:$M$25,0))</f>
        <v>0.65714285714285725</v>
      </c>
      <c r="F452" t="s">
        <v>94</v>
      </c>
      <c r="G452" s="14">
        <f t="shared" si="133"/>
        <v>9.3598526121428603E-5</v>
      </c>
      <c r="H452" s="63">
        <f t="shared" si="139"/>
        <v>9.6968073061800024E-4</v>
      </c>
      <c r="I452" s="63">
        <f t="shared" si="140"/>
        <v>9.6968073061800024E-4</v>
      </c>
      <c r="J452" s="63">
        <f t="shared" si="141"/>
        <v>3.0756475683501438E-3</v>
      </c>
      <c r="K452" s="30">
        <f>IF(OR(LEFT($D452,5)="Solar",$D452="Wind"),INDEX(Land_Use[AVG],MATCH(LEFT($D452,5),Land_Use[Tech],0)),0)*$E452</f>
        <v>0</v>
      </c>
      <c r="L452" s="30">
        <f>IF(OR(LEFT($D452,5)="Solar",$D452="Wind"),INDEX(Land_Use[MIN],MATCH(LEFT($D452,5),Land_Use[Tech],0)),0)*$E452</f>
        <v>0</v>
      </c>
      <c r="M452" s="30">
        <f>IF(OR(LEFT($D452,5)="Solar",$D452="Wind"),INDEX(Land_Use[MAX],MATCH(LEFT($D452,5),Land_Use[Tech],0)),0)*$E452</f>
        <v>0</v>
      </c>
      <c r="N452" s="15">
        <f t="shared" si="134"/>
        <v>0</v>
      </c>
      <c r="O452" s="11">
        <f t="shared" si="135"/>
        <v>0</v>
      </c>
      <c r="P452" s="11">
        <f t="shared" si="136"/>
        <v>0</v>
      </c>
      <c r="Q452" s="11">
        <f t="shared" si="137"/>
        <v>0</v>
      </c>
      <c r="R452" s="11">
        <f t="shared" si="138"/>
        <v>0</v>
      </c>
      <c r="S452" s="30">
        <f t="shared" si="142"/>
        <v>0</v>
      </c>
      <c r="T452" s="30">
        <f t="shared" si="143"/>
        <v>0</v>
      </c>
      <c r="U452" s="30">
        <f t="shared" si="144"/>
        <v>0</v>
      </c>
      <c r="V452" s="30">
        <f t="shared" si="145"/>
        <v>0</v>
      </c>
      <c r="W452" s="30">
        <f t="shared" si="146"/>
        <v>0</v>
      </c>
      <c r="X452" s="30">
        <f t="shared" si="147"/>
        <v>0</v>
      </c>
      <c r="Z452" s="23" t="s">
        <v>76</v>
      </c>
      <c r="AA452" s="40" t="str">
        <f>IF(C452="Electricity",E452*SUMIFS(Electricity!S:S,Electricity!P:P,UserMade_Scenario!B452,Electricity!M:M,UserMade_Scenario!Z452,Electricity!O:O,UserMade_Scenario!D452),"")</f>
        <v/>
      </c>
      <c r="AB452" s="67">
        <v>1.4243253975000002E-4</v>
      </c>
      <c r="AC452" s="67" t="s">
        <v>95</v>
      </c>
      <c r="AD452" s="39">
        <f>INDEX(Assumptions!E$120:E$141,MATCH(UserMade_Scenario!$B452,Assumptions!$A$120:$A$141,0))</f>
        <v>-10.36</v>
      </c>
      <c r="AE452" s="39">
        <f>INDEX(Assumptions!F$120:F$141,MATCH(UserMade_Scenario!$B452,Assumptions!$A$120:$A$141,0))</f>
        <v>-10.36</v>
      </c>
      <c r="AF452" s="39">
        <f>INDEX(Assumptions!G$120:G$141,MATCH(UserMade_Scenario!$B452,Assumptions!$A$120:$A$141,0))</f>
        <v>-32.86</v>
      </c>
      <c r="AG452" s="68">
        <f>IFERROR(INDEX(WaterUseH2[Average Direct Water Consumption (Gal/ kg h2)],MATCH(LEFT(D452,3),WaterUseH2[Key],0)),0)</f>
        <v>0</v>
      </c>
      <c r="AH452">
        <v>14</v>
      </c>
      <c r="AI452">
        <v>1.4</v>
      </c>
      <c r="AJ452">
        <v>250</v>
      </c>
      <c r="AK452">
        <v>0.31</v>
      </c>
      <c r="AL452" s="63">
        <f>IFERROR(INDEX(Job_Training[[Solar]:[Wind]],MATCH(AL$1,Job_Training[[`Typical Entry Level Education`]:[`Typical Entry Level Education`]],0),MATCH(LEFT($D452,5),Job_Training[[#Headers],[Solar]:[Wind]],0)),0)</f>
        <v>0</v>
      </c>
      <c r="AM452" s="63">
        <f>IFERROR(INDEX(Job_Training[[Solar]:[Wind]],MATCH(AM$1,Job_Training[[`Typical Entry Level Education`]:[`Typical Entry Level Education`]],0),MATCH(LEFT($D452,5),Job_Training[[#Headers],[Solar]:[Wind]],0)),0)</f>
        <v>0</v>
      </c>
      <c r="AN452" s="63">
        <f>IFERROR(INDEX(Job_Training[[Solar]:[Wind]],MATCH(AN$1,Job_Training[[`Typical Entry Level Education`]:[`Typical Entry Level Education`]],0),MATCH(LEFT($D452,5),Job_Training[[#Headers],[Solar]:[Wind]],0)),0)</f>
        <v>0</v>
      </c>
      <c r="AO452" s="63">
        <f>IFERROR(INDEX(Job_Training[[Solar]:[Wind]],MATCH(AO$1,Job_Training[[`Typical Entry Level Education`]:[`Typical Entry Level Education`]],0),MATCH(LEFT($D452,5),Job_Training[[#Headers],[Solar]:[Wind]],0)),0)</f>
        <v>0</v>
      </c>
      <c r="AP452">
        <f t="shared" si="148"/>
        <v>0</v>
      </c>
      <c r="AQ452" s="63">
        <f>IF(AP452&gt;0,IFERROR(INDEX(Assumptions!$C$165:$D$165,MATCH(LEFT($D452,5),Job_Training[[#Headers],[Solar]:[Wind]],0)),0),0)</f>
        <v>0</v>
      </c>
      <c r="AR452">
        <f>IF(AP452&gt;0,IFERROR(INDEX(Assumptions!$C$166:$D$166,MATCH(LEFT($D452,5),Job_Training[[#Headers],[Solar]:[Wind]],0)),0),0)</f>
        <v>0</v>
      </c>
    </row>
    <row r="453" spans="1:44" hidden="1" x14ac:dyDescent="0.35">
      <c r="A453" t="str">
        <f>UserInput!$B$30</f>
        <v>State Policy Aligned</v>
      </c>
      <c r="B453">
        <v>2035</v>
      </c>
      <c r="C453" t="s">
        <v>92</v>
      </c>
      <c r="D453" t="s">
        <v>93</v>
      </c>
      <c r="E453" s="66">
        <f>INDEX(UserInput!$C$30:$M$50,MATCH(UserMade_Scenario!B453,UserInput!$A$30:$A$50,0),MATCH(LEFT(IF(RIGHT(C453,2)="H2",UserMade_Scenario!C453,D453),3),UserInput!$C$25:$M$25,0))</f>
        <v>0.64285714285714302</v>
      </c>
      <c r="F453" t="s">
        <v>94</v>
      </c>
      <c r="G453" s="14">
        <f t="shared" si="133"/>
        <v>9.1563775553571468E-5</v>
      </c>
      <c r="H453" s="63">
        <f t="shared" si="139"/>
        <v>9.4860071473500032E-4</v>
      </c>
      <c r="I453" s="63">
        <f t="shared" si="140"/>
        <v>9.4860071473500032E-4</v>
      </c>
      <c r="J453" s="63">
        <f t="shared" si="141"/>
        <v>3.0087856646903582E-3</v>
      </c>
      <c r="K453" s="30">
        <f>IF(OR(LEFT($D453,5)="Solar",$D453="Wind"),INDEX(Land_Use[AVG],MATCH(LEFT($D453,5),Land_Use[Tech],0)),0)*$E453</f>
        <v>0</v>
      </c>
      <c r="L453" s="30">
        <f>IF(OR(LEFT($D453,5)="Solar",$D453="Wind"),INDEX(Land_Use[MIN],MATCH(LEFT($D453,5),Land_Use[Tech],0)),0)*$E453</f>
        <v>0</v>
      </c>
      <c r="M453" s="30">
        <f>IF(OR(LEFT($D453,5)="Solar",$D453="Wind"),INDEX(Land_Use[MAX],MATCH(LEFT($D453,5),Land_Use[Tech],0)),0)*$E453</f>
        <v>0</v>
      </c>
      <c r="N453" s="15">
        <f t="shared" si="134"/>
        <v>0</v>
      </c>
      <c r="O453" s="11">
        <f t="shared" si="135"/>
        <v>0</v>
      </c>
      <c r="P453" s="11">
        <f t="shared" si="136"/>
        <v>0</v>
      </c>
      <c r="Q453" s="11">
        <f t="shared" si="137"/>
        <v>0</v>
      </c>
      <c r="R453" s="11">
        <f t="shared" si="138"/>
        <v>0</v>
      </c>
      <c r="S453" s="30">
        <f t="shared" si="142"/>
        <v>0</v>
      </c>
      <c r="T453" s="30">
        <f t="shared" si="143"/>
        <v>0</v>
      </c>
      <c r="U453" s="30">
        <f t="shared" si="144"/>
        <v>0</v>
      </c>
      <c r="V453" s="30">
        <f t="shared" si="145"/>
        <v>0</v>
      </c>
      <c r="W453" s="30">
        <f t="shared" si="146"/>
        <v>0</v>
      </c>
      <c r="X453" s="30">
        <f t="shared" si="147"/>
        <v>0</v>
      </c>
      <c r="Z453" s="23" t="s">
        <v>76</v>
      </c>
      <c r="AA453" s="40" t="str">
        <f>IF(C453="Electricity",E453*SUMIFS(Electricity!S:S,Electricity!P:P,UserMade_Scenario!B453,Electricity!M:M,UserMade_Scenario!Z453,Electricity!O:O,UserMade_Scenario!D453),"")</f>
        <v/>
      </c>
      <c r="AB453" s="67">
        <v>1.4243253975000002E-4</v>
      </c>
      <c r="AC453" s="67" t="s">
        <v>95</v>
      </c>
      <c r="AD453" s="39">
        <f>INDEX(Assumptions!E$120:E$141,MATCH(UserMade_Scenario!$B453,Assumptions!$A$120:$A$141,0))</f>
        <v>-10.36</v>
      </c>
      <c r="AE453" s="39">
        <f>INDEX(Assumptions!F$120:F$141,MATCH(UserMade_Scenario!$B453,Assumptions!$A$120:$A$141,0))</f>
        <v>-10.36</v>
      </c>
      <c r="AF453" s="39">
        <f>INDEX(Assumptions!G$120:G$141,MATCH(UserMade_Scenario!$B453,Assumptions!$A$120:$A$141,0))</f>
        <v>-32.86</v>
      </c>
      <c r="AG453" s="68">
        <f>IFERROR(INDEX(WaterUseH2[Average Direct Water Consumption (Gal/ kg h2)],MATCH(LEFT(D453,3),WaterUseH2[Key],0)),0)</f>
        <v>0</v>
      </c>
      <c r="AH453">
        <v>14</v>
      </c>
      <c r="AI453">
        <v>1.4</v>
      </c>
      <c r="AJ453">
        <v>250</v>
      </c>
      <c r="AK453">
        <v>0.31</v>
      </c>
      <c r="AL453" s="63">
        <f>IFERROR(INDEX(Job_Training[[Solar]:[Wind]],MATCH(AL$1,Job_Training[[`Typical Entry Level Education`]:[`Typical Entry Level Education`]],0),MATCH(LEFT($D453,5),Job_Training[[#Headers],[Solar]:[Wind]],0)),0)</f>
        <v>0</v>
      </c>
      <c r="AM453" s="63">
        <f>IFERROR(INDEX(Job_Training[[Solar]:[Wind]],MATCH(AM$1,Job_Training[[`Typical Entry Level Education`]:[`Typical Entry Level Education`]],0),MATCH(LEFT($D453,5),Job_Training[[#Headers],[Solar]:[Wind]],0)),0)</f>
        <v>0</v>
      </c>
      <c r="AN453" s="63">
        <f>IFERROR(INDEX(Job_Training[[Solar]:[Wind]],MATCH(AN$1,Job_Training[[`Typical Entry Level Education`]:[`Typical Entry Level Education`]],0),MATCH(LEFT($D453,5),Job_Training[[#Headers],[Solar]:[Wind]],0)),0)</f>
        <v>0</v>
      </c>
      <c r="AO453" s="63">
        <f>IFERROR(INDEX(Job_Training[[Solar]:[Wind]],MATCH(AO$1,Job_Training[[`Typical Entry Level Education`]:[`Typical Entry Level Education`]],0),MATCH(LEFT($D453,5),Job_Training[[#Headers],[Solar]:[Wind]],0)),0)</f>
        <v>0</v>
      </c>
      <c r="AP453">
        <f t="shared" si="148"/>
        <v>0</v>
      </c>
      <c r="AQ453" s="63">
        <f>IF(AP453&gt;0,IFERROR(INDEX(Assumptions!$C$165:$D$165,MATCH(LEFT($D453,5),Job_Training[[#Headers],[Solar]:[Wind]],0)),0),0)</f>
        <v>0</v>
      </c>
      <c r="AR453">
        <f>IF(AP453&gt;0,IFERROR(INDEX(Assumptions!$C$166:$D$166,MATCH(LEFT($D453,5),Job_Training[[#Headers],[Solar]:[Wind]],0)),0),0)</f>
        <v>0</v>
      </c>
    </row>
    <row r="454" spans="1:44" hidden="1" x14ac:dyDescent="0.35">
      <c r="A454" t="str">
        <f>UserInput!$B$30</f>
        <v>State Policy Aligned</v>
      </c>
      <c r="B454">
        <v>2036</v>
      </c>
      <c r="C454" t="s">
        <v>92</v>
      </c>
      <c r="D454" t="s">
        <v>93</v>
      </c>
      <c r="E454" s="66">
        <f>INDEX(UserInput!$C$30:$M$50,MATCH(UserMade_Scenario!B454,UserInput!$A$30:$A$50,0),MATCH(LEFT(IF(RIGHT(C454,2)="H2",UserMade_Scenario!C454,D454),3),UserInput!$C$25:$M$25,0))</f>
        <v>0.62857142857142878</v>
      </c>
      <c r="F454" t="s">
        <v>94</v>
      </c>
      <c r="G454" s="14">
        <f t="shared" si="133"/>
        <v>8.9529024985714333E-5</v>
      </c>
      <c r="H454" s="63">
        <f t="shared" si="139"/>
        <v>9.2752069885200039E-4</v>
      </c>
      <c r="I454" s="63">
        <f t="shared" si="140"/>
        <v>9.2752069885200039E-4</v>
      </c>
      <c r="J454" s="63">
        <f t="shared" si="141"/>
        <v>2.9419237610305731E-3</v>
      </c>
      <c r="K454" s="30">
        <f>IF(OR(LEFT($D454,5)="Solar",$D454="Wind"),INDEX(Land_Use[AVG],MATCH(LEFT($D454,5),Land_Use[Tech],0)),0)*$E454</f>
        <v>0</v>
      </c>
      <c r="L454" s="30">
        <f>IF(OR(LEFT($D454,5)="Solar",$D454="Wind"),INDEX(Land_Use[MIN],MATCH(LEFT($D454,5),Land_Use[Tech],0)),0)*$E454</f>
        <v>0</v>
      </c>
      <c r="M454" s="30">
        <f>IF(OR(LEFT($D454,5)="Solar",$D454="Wind"),INDEX(Land_Use[MAX],MATCH(LEFT($D454,5),Land_Use[Tech],0)),0)*$E454</f>
        <v>0</v>
      </c>
      <c r="N454" s="15">
        <f t="shared" si="134"/>
        <v>0</v>
      </c>
      <c r="O454" s="11">
        <f t="shared" si="135"/>
        <v>0</v>
      </c>
      <c r="P454" s="11">
        <f t="shared" si="136"/>
        <v>0</v>
      </c>
      <c r="Q454" s="11">
        <f t="shared" si="137"/>
        <v>0</v>
      </c>
      <c r="R454" s="11">
        <f t="shared" si="138"/>
        <v>0</v>
      </c>
      <c r="S454" s="30">
        <f t="shared" si="142"/>
        <v>0</v>
      </c>
      <c r="T454" s="30">
        <f t="shared" si="143"/>
        <v>0</v>
      </c>
      <c r="U454" s="30">
        <f t="shared" si="144"/>
        <v>0</v>
      </c>
      <c r="V454" s="30">
        <f t="shared" si="145"/>
        <v>0</v>
      </c>
      <c r="W454" s="30">
        <f t="shared" si="146"/>
        <v>0</v>
      </c>
      <c r="X454" s="30">
        <f t="shared" si="147"/>
        <v>0</v>
      </c>
      <c r="Z454" s="23" t="s">
        <v>76</v>
      </c>
      <c r="AA454" s="40" t="str">
        <f>IF(C454="Electricity",E454*SUMIFS(Electricity!S:S,Electricity!P:P,UserMade_Scenario!B454,Electricity!M:M,UserMade_Scenario!Z454,Electricity!O:O,UserMade_Scenario!D454),"")</f>
        <v/>
      </c>
      <c r="AB454" s="67">
        <v>1.4243253975000002E-4</v>
      </c>
      <c r="AC454" s="67" t="s">
        <v>95</v>
      </c>
      <c r="AD454" s="39">
        <f>INDEX(Assumptions!E$120:E$141,MATCH(UserMade_Scenario!$B454,Assumptions!$A$120:$A$141,0))</f>
        <v>-10.36</v>
      </c>
      <c r="AE454" s="39">
        <f>INDEX(Assumptions!F$120:F$141,MATCH(UserMade_Scenario!$B454,Assumptions!$A$120:$A$141,0))</f>
        <v>-10.36</v>
      </c>
      <c r="AF454" s="39">
        <f>INDEX(Assumptions!G$120:G$141,MATCH(UserMade_Scenario!$B454,Assumptions!$A$120:$A$141,0))</f>
        <v>-32.86</v>
      </c>
      <c r="AG454" s="68">
        <f>IFERROR(INDEX(WaterUseH2[Average Direct Water Consumption (Gal/ kg h2)],MATCH(LEFT(D454,3),WaterUseH2[Key],0)),0)</f>
        <v>0</v>
      </c>
      <c r="AH454">
        <v>14</v>
      </c>
      <c r="AI454">
        <v>1.4</v>
      </c>
      <c r="AJ454">
        <v>250</v>
      </c>
      <c r="AK454">
        <v>0.31</v>
      </c>
      <c r="AL454" s="63">
        <f>IFERROR(INDEX(Job_Training[[Solar]:[Wind]],MATCH(AL$1,Job_Training[[`Typical Entry Level Education`]:[`Typical Entry Level Education`]],0),MATCH(LEFT($D454,5),Job_Training[[#Headers],[Solar]:[Wind]],0)),0)</f>
        <v>0</v>
      </c>
      <c r="AM454" s="63">
        <f>IFERROR(INDEX(Job_Training[[Solar]:[Wind]],MATCH(AM$1,Job_Training[[`Typical Entry Level Education`]:[`Typical Entry Level Education`]],0),MATCH(LEFT($D454,5),Job_Training[[#Headers],[Solar]:[Wind]],0)),0)</f>
        <v>0</v>
      </c>
      <c r="AN454" s="63">
        <f>IFERROR(INDEX(Job_Training[[Solar]:[Wind]],MATCH(AN$1,Job_Training[[`Typical Entry Level Education`]:[`Typical Entry Level Education`]],0),MATCH(LEFT($D454,5),Job_Training[[#Headers],[Solar]:[Wind]],0)),0)</f>
        <v>0</v>
      </c>
      <c r="AO454" s="63">
        <f>IFERROR(INDEX(Job_Training[[Solar]:[Wind]],MATCH(AO$1,Job_Training[[`Typical Entry Level Education`]:[`Typical Entry Level Education`]],0),MATCH(LEFT($D454,5),Job_Training[[#Headers],[Solar]:[Wind]],0)),0)</f>
        <v>0</v>
      </c>
      <c r="AP454">
        <f t="shared" si="148"/>
        <v>0</v>
      </c>
      <c r="AQ454" s="63">
        <f>IF(AP454&gt;0,IFERROR(INDEX(Assumptions!$C$165:$D$165,MATCH(LEFT($D454,5),Job_Training[[#Headers],[Solar]:[Wind]],0)),0),0)</f>
        <v>0</v>
      </c>
      <c r="AR454">
        <f>IF(AP454&gt;0,IFERROR(INDEX(Assumptions!$C$166:$D$166,MATCH(LEFT($D454,5),Job_Training[[#Headers],[Solar]:[Wind]],0)),0),0)</f>
        <v>0</v>
      </c>
    </row>
    <row r="455" spans="1:44" hidden="1" x14ac:dyDescent="0.35">
      <c r="A455" t="str">
        <f>UserInput!$B$30</f>
        <v>State Policy Aligned</v>
      </c>
      <c r="B455">
        <v>2037</v>
      </c>
      <c r="C455" t="s">
        <v>92</v>
      </c>
      <c r="D455" t="s">
        <v>93</v>
      </c>
      <c r="E455" s="66">
        <f>INDEX(UserInput!$C$30:$M$50,MATCH(UserMade_Scenario!B455,UserInput!$A$30:$A$50,0),MATCH(LEFT(IF(RIGHT(C455,2)="H2",UserMade_Scenario!C455,D455),3),UserInput!$C$25:$M$25,0))</f>
        <v>0.61428571428571455</v>
      </c>
      <c r="F455" t="s">
        <v>94</v>
      </c>
      <c r="G455" s="14">
        <f t="shared" si="133"/>
        <v>8.7494274417857198E-5</v>
      </c>
      <c r="H455" s="63">
        <f t="shared" si="139"/>
        <v>9.0644068296900047E-4</v>
      </c>
      <c r="I455" s="63">
        <f t="shared" si="140"/>
        <v>9.0644068296900047E-4</v>
      </c>
      <c r="J455" s="63">
        <f t="shared" si="141"/>
        <v>2.8750618573707876E-3</v>
      </c>
      <c r="K455" s="30">
        <f>IF(OR(LEFT($D455,5)="Solar",$D455="Wind"),INDEX(Land_Use[AVG],MATCH(LEFT($D455,5),Land_Use[Tech],0)),0)*$E455</f>
        <v>0</v>
      </c>
      <c r="L455" s="30">
        <f>IF(OR(LEFT($D455,5)="Solar",$D455="Wind"),INDEX(Land_Use[MIN],MATCH(LEFT($D455,5),Land_Use[Tech],0)),0)*$E455</f>
        <v>0</v>
      </c>
      <c r="M455" s="30">
        <f>IF(OR(LEFT($D455,5)="Solar",$D455="Wind"),INDEX(Land_Use[MAX],MATCH(LEFT($D455,5),Land_Use[Tech],0)),0)*$E455</f>
        <v>0</v>
      </c>
      <c r="N455" s="15">
        <f t="shared" si="134"/>
        <v>0</v>
      </c>
      <c r="O455" s="11">
        <f t="shared" si="135"/>
        <v>0</v>
      </c>
      <c r="P455" s="11">
        <f t="shared" si="136"/>
        <v>0</v>
      </c>
      <c r="Q455" s="11">
        <f t="shared" si="137"/>
        <v>0</v>
      </c>
      <c r="R455" s="11">
        <f t="shared" si="138"/>
        <v>0</v>
      </c>
      <c r="S455" s="30">
        <f t="shared" si="142"/>
        <v>0</v>
      </c>
      <c r="T455" s="30">
        <f t="shared" si="143"/>
        <v>0</v>
      </c>
      <c r="U455" s="30">
        <f t="shared" si="144"/>
        <v>0</v>
      </c>
      <c r="V455" s="30">
        <f t="shared" si="145"/>
        <v>0</v>
      </c>
      <c r="W455" s="30">
        <f t="shared" si="146"/>
        <v>0</v>
      </c>
      <c r="X455" s="30">
        <f t="shared" si="147"/>
        <v>0</v>
      </c>
      <c r="Z455" s="23" t="s">
        <v>76</v>
      </c>
      <c r="AA455" s="40" t="str">
        <f>IF(C455="Electricity",E455*SUMIFS(Electricity!S:S,Electricity!P:P,UserMade_Scenario!B455,Electricity!M:M,UserMade_Scenario!Z455,Electricity!O:O,UserMade_Scenario!D455),"")</f>
        <v/>
      </c>
      <c r="AB455" s="67">
        <v>1.4243253975000002E-4</v>
      </c>
      <c r="AC455" s="67" t="s">
        <v>95</v>
      </c>
      <c r="AD455" s="39">
        <f>INDEX(Assumptions!E$120:E$141,MATCH(UserMade_Scenario!$B455,Assumptions!$A$120:$A$141,0))</f>
        <v>-10.36</v>
      </c>
      <c r="AE455" s="39">
        <f>INDEX(Assumptions!F$120:F$141,MATCH(UserMade_Scenario!$B455,Assumptions!$A$120:$A$141,0))</f>
        <v>-10.36</v>
      </c>
      <c r="AF455" s="39">
        <f>INDEX(Assumptions!G$120:G$141,MATCH(UserMade_Scenario!$B455,Assumptions!$A$120:$A$141,0))</f>
        <v>-32.86</v>
      </c>
      <c r="AG455" s="68">
        <f>IFERROR(INDEX(WaterUseH2[Average Direct Water Consumption (Gal/ kg h2)],MATCH(LEFT(D455,3),WaterUseH2[Key],0)),0)</f>
        <v>0</v>
      </c>
      <c r="AH455">
        <v>14</v>
      </c>
      <c r="AI455">
        <v>1.4</v>
      </c>
      <c r="AJ455">
        <v>250</v>
      </c>
      <c r="AK455">
        <v>0.31</v>
      </c>
      <c r="AL455" s="63">
        <f>IFERROR(INDEX(Job_Training[[Solar]:[Wind]],MATCH(AL$1,Job_Training[[`Typical Entry Level Education`]:[`Typical Entry Level Education`]],0),MATCH(LEFT($D455,5),Job_Training[[#Headers],[Solar]:[Wind]],0)),0)</f>
        <v>0</v>
      </c>
      <c r="AM455" s="63">
        <f>IFERROR(INDEX(Job_Training[[Solar]:[Wind]],MATCH(AM$1,Job_Training[[`Typical Entry Level Education`]:[`Typical Entry Level Education`]],0),MATCH(LEFT($D455,5),Job_Training[[#Headers],[Solar]:[Wind]],0)),0)</f>
        <v>0</v>
      </c>
      <c r="AN455" s="63">
        <f>IFERROR(INDEX(Job_Training[[Solar]:[Wind]],MATCH(AN$1,Job_Training[[`Typical Entry Level Education`]:[`Typical Entry Level Education`]],0),MATCH(LEFT($D455,5),Job_Training[[#Headers],[Solar]:[Wind]],0)),0)</f>
        <v>0</v>
      </c>
      <c r="AO455" s="63">
        <f>IFERROR(INDEX(Job_Training[[Solar]:[Wind]],MATCH(AO$1,Job_Training[[`Typical Entry Level Education`]:[`Typical Entry Level Education`]],0),MATCH(LEFT($D455,5),Job_Training[[#Headers],[Solar]:[Wind]],0)),0)</f>
        <v>0</v>
      </c>
      <c r="AP455">
        <f t="shared" si="148"/>
        <v>0</v>
      </c>
      <c r="AQ455" s="63">
        <f>IF(AP455&gt;0,IFERROR(INDEX(Assumptions!$C$165:$D$165,MATCH(LEFT($D455,5),Job_Training[[#Headers],[Solar]:[Wind]],0)),0),0)</f>
        <v>0</v>
      </c>
      <c r="AR455">
        <f>IF(AP455&gt;0,IFERROR(INDEX(Assumptions!$C$166:$D$166,MATCH(LEFT($D455,5),Job_Training[[#Headers],[Solar]:[Wind]],0)),0),0)</f>
        <v>0</v>
      </c>
    </row>
    <row r="456" spans="1:44" hidden="1" x14ac:dyDescent="0.35">
      <c r="A456" t="str">
        <f>UserInput!$B$30</f>
        <v>State Policy Aligned</v>
      </c>
      <c r="B456">
        <v>2038</v>
      </c>
      <c r="C456" t="s">
        <v>92</v>
      </c>
      <c r="D456" t="s">
        <v>93</v>
      </c>
      <c r="E456" s="66">
        <f>INDEX(UserInput!$C$30:$M$50,MATCH(UserMade_Scenario!B456,UserInput!$A$30:$A$50,0),MATCH(LEFT(IF(RIGHT(C456,2)="H2",UserMade_Scenario!C456,D456),3),UserInput!$C$25:$M$25,0))</f>
        <v>0.60000000000000031</v>
      </c>
      <c r="F456" t="s">
        <v>94</v>
      </c>
      <c r="G456" s="14">
        <f t="shared" si="133"/>
        <v>8.545952385000005E-5</v>
      </c>
      <c r="H456" s="63">
        <f t="shared" si="139"/>
        <v>8.8536066708600045E-4</v>
      </c>
      <c r="I456" s="63">
        <f t="shared" si="140"/>
        <v>8.8536066708600045E-4</v>
      </c>
      <c r="J456" s="63">
        <f t="shared" si="141"/>
        <v>2.8081999537110016E-3</v>
      </c>
      <c r="K456" s="30">
        <f>IF(OR(LEFT($D456,5)="Solar",$D456="Wind"),INDEX(Land_Use[AVG],MATCH(LEFT($D456,5),Land_Use[Tech],0)),0)*$E456</f>
        <v>0</v>
      </c>
      <c r="L456" s="30">
        <f>IF(OR(LEFT($D456,5)="Solar",$D456="Wind"),INDEX(Land_Use[MIN],MATCH(LEFT($D456,5),Land_Use[Tech],0)),0)*$E456</f>
        <v>0</v>
      </c>
      <c r="M456" s="30">
        <f>IF(OR(LEFT($D456,5)="Solar",$D456="Wind"),INDEX(Land_Use[MAX],MATCH(LEFT($D456,5),Land_Use[Tech],0)),0)*$E456</f>
        <v>0</v>
      </c>
      <c r="N456" s="15">
        <f t="shared" si="134"/>
        <v>0</v>
      </c>
      <c r="O456" s="11">
        <f t="shared" si="135"/>
        <v>0</v>
      </c>
      <c r="P456" s="11">
        <f t="shared" si="136"/>
        <v>0</v>
      </c>
      <c r="Q456" s="11">
        <f t="shared" si="137"/>
        <v>0</v>
      </c>
      <c r="R456" s="11">
        <f t="shared" si="138"/>
        <v>0</v>
      </c>
      <c r="S456" s="30">
        <f t="shared" si="142"/>
        <v>0</v>
      </c>
      <c r="T456" s="30">
        <f t="shared" si="143"/>
        <v>0</v>
      </c>
      <c r="U456" s="30">
        <f t="shared" si="144"/>
        <v>0</v>
      </c>
      <c r="V456" s="30">
        <f t="shared" si="145"/>
        <v>0</v>
      </c>
      <c r="W456" s="30">
        <f t="shared" si="146"/>
        <v>0</v>
      </c>
      <c r="X456" s="30">
        <f t="shared" si="147"/>
        <v>0</v>
      </c>
      <c r="Z456" s="23" t="s">
        <v>76</v>
      </c>
      <c r="AA456" s="40" t="str">
        <f>IF(C456="Electricity",E456*SUMIFS(Electricity!S:S,Electricity!P:P,UserMade_Scenario!B456,Electricity!M:M,UserMade_Scenario!Z456,Electricity!O:O,UserMade_Scenario!D456),"")</f>
        <v/>
      </c>
      <c r="AB456" s="67">
        <v>1.4243253975000002E-4</v>
      </c>
      <c r="AC456" s="67" t="s">
        <v>95</v>
      </c>
      <c r="AD456" s="39">
        <f>INDEX(Assumptions!E$120:E$141,MATCH(UserMade_Scenario!$B456,Assumptions!$A$120:$A$141,0))</f>
        <v>-10.36</v>
      </c>
      <c r="AE456" s="39">
        <f>INDEX(Assumptions!F$120:F$141,MATCH(UserMade_Scenario!$B456,Assumptions!$A$120:$A$141,0))</f>
        <v>-10.36</v>
      </c>
      <c r="AF456" s="39">
        <f>INDEX(Assumptions!G$120:G$141,MATCH(UserMade_Scenario!$B456,Assumptions!$A$120:$A$141,0))</f>
        <v>-32.86</v>
      </c>
      <c r="AG456" s="68">
        <f>IFERROR(INDEX(WaterUseH2[Average Direct Water Consumption (Gal/ kg h2)],MATCH(LEFT(D456,3),WaterUseH2[Key],0)),0)</f>
        <v>0</v>
      </c>
      <c r="AH456">
        <v>14</v>
      </c>
      <c r="AI456">
        <v>1.4</v>
      </c>
      <c r="AJ456">
        <v>250</v>
      </c>
      <c r="AK456">
        <v>0.31</v>
      </c>
      <c r="AL456" s="63">
        <f>IFERROR(INDEX(Job_Training[[Solar]:[Wind]],MATCH(AL$1,Job_Training[[`Typical Entry Level Education`]:[`Typical Entry Level Education`]],0),MATCH(LEFT($D456,5),Job_Training[[#Headers],[Solar]:[Wind]],0)),0)</f>
        <v>0</v>
      </c>
      <c r="AM456" s="63">
        <f>IFERROR(INDEX(Job_Training[[Solar]:[Wind]],MATCH(AM$1,Job_Training[[`Typical Entry Level Education`]:[`Typical Entry Level Education`]],0),MATCH(LEFT($D456,5),Job_Training[[#Headers],[Solar]:[Wind]],0)),0)</f>
        <v>0</v>
      </c>
      <c r="AN456" s="63">
        <f>IFERROR(INDEX(Job_Training[[Solar]:[Wind]],MATCH(AN$1,Job_Training[[`Typical Entry Level Education`]:[`Typical Entry Level Education`]],0),MATCH(LEFT($D456,5),Job_Training[[#Headers],[Solar]:[Wind]],0)),0)</f>
        <v>0</v>
      </c>
      <c r="AO456" s="63">
        <f>IFERROR(INDEX(Job_Training[[Solar]:[Wind]],MATCH(AO$1,Job_Training[[`Typical Entry Level Education`]:[`Typical Entry Level Education`]],0),MATCH(LEFT($D456,5),Job_Training[[#Headers],[Solar]:[Wind]],0)),0)</f>
        <v>0</v>
      </c>
      <c r="AP456">
        <f t="shared" si="148"/>
        <v>0</v>
      </c>
      <c r="AQ456" s="63">
        <f>IF(AP456&gt;0,IFERROR(INDEX(Assumptions!$C$165:$D$165,MATCH(LEFT($D456,5),Job_Training[[#Headers],[Solar]:[Wind]],0)),0),0)</f>
        <v>0</v>
      </c>
      <c r="AR456">
        <f>IF(AP456&gt;0,IFERROR(INDEX(Assumptions!$C$166:$D$166,MATCH(LEFT($D456,5),Job_Training[[#Headers],[Solar]:[Wind]],0)),0),0)</f>
        <v>0</v>
      </c>
    </row>
    <row r="457" spans="1:44" hidden="1" x14ac:dyDescent="0.35">
      <c r="A457" t="str">
        <f>UserInput!$B$30</f>
        <v>State Policy Aligned</v>
      </c>
      <c r="B457">
        <v>2039</v>
      </c>
      <c r="C457" t="s">
        <v>92</v>
      </c>
      <c r="D457" t="s">
        <v>93</v>
      </c>
      <c r="E457" s="66">
        <f>INDEX(UserInput!$C$30:$M$50,MATCH(UserMade_Scenario!B457,UserInput!$A$30:$A$50,0),MATCH(LEFT(IF(RIGHT(C457,2)="H2",UserMade_Scenario!C457,D457),3),UserInput!$C$25:$M$25,0))</f>
        <v>0.58571428571428608</v>
      </c>
      <c r="F457" t="s">
        <v>94</v>
      </c>
      <c r="G457" s="14">
        <f t="shared" si="133"/>
        <v>8.3424773282142915E-5</v>
      </c>
      <c r="H457" s="63">
        <f t="shared" si="139"/>
        <v>8.6428065120300053E-4</v>
      </c>
      <c r="I457" s="63">
        <f t="shared" si="140"/>
        <v>8.6428065120300053E-4</v>
      </c>
      <c r="J457" s="63">
        <f t="shared" si="141"/>
        <v>2.7413380500512161E-3</v>
      </c>
      <c r="K457" s="30">
        <f>IF(OR(LEFT($D457,5)="Solar",$D457="Wind"),INDEX(Land_Use[AVG],MATCH(LEFT($D457,5),Land_Use[Tech],0)),0)*$E457</f>
        <v>0</v>
      </c>
      <c r="L457" s="30">
        <f>IF(OR(LEFT($D457,5)="Solar",$D457="Wind"),INDEX(Land_Use[MIN],MATCH(LEFT($D457,5),Land_Use[Tech],0)),0)*$E457</f>
        <v>0</v>
      </c>
      <c r="M457" s="30">
        <f>IF(OR(LEFT($D457,5)="Solar",$D457="Wind"),INDEX(Land_Use[MAX],MATCH(LEFT($D457,5),Land_Use[Tech],0)),0)*$E457</f>
        <v>0</v>
      </c>
      <c r="N457" s="15">
        <f t="shared" si="134"/>
        <v>0</v>
      </c>
      <c r="O457" s="11">
        <f t="shared" si="135"/>
        <v>0</v>
      </c>
      <c r="P457" s="11">
        <f t="shared" si="136"/>
        <v>0</v>
      </c>
      <c r="Q457" s="11">
        <f t="shared" si="137"/>
        <v>0</v>
      </c>
      <c r="R457" s="11">
        <f t="shared" si="138"/>
        <v>0</v>
      </c>
      <c r="S457" s="30">
        <f t="shared" si="142"/>
        <v>0</v>
      </c>
      <c r="T457" s="30">
        <f t="shared" si="143"/>
        <v>0</v>
      </c>
      <c r="U457" s="30">
        <f t="shared" si="144"/>
        <v>0</v>
      </c>
      <c r="V457" s="30">
        <f t="shared" si="145"/>
        <v>0</v>
      </c>
      <c r="W457" s="30">
        <f t="shared" si="146"/>
        <v>0</v>
      </c>
      <c r="X457" s="30">
        <f t="shared" si="147"/>
        <v>0</v>
      </c>
      <c r="Z457" s="23" t="s">
        <v>76</v>
      </c>
      <c r="AA457" s="40" t="str">
        <f>IF(C457="Electricity",E457*SUMIFS(Electricity!S:S,Electricity!P:P,UserMade_Scenario!B457,Electricity!M:M,UserMade_Scenario!Z457,Electricity!O:O,UserMade_Scenario!D457),"")</f>
        <v/>
      </c>
      <c r="AB457" s="67">
        <v>1.4243253975000002E-4</v>
      </c>
      <c r="AC457" s="67" t="s">
        <v>95</v>
      </c>
      <c r="AD457" s="39">
        <f>INDEX(Assumptions!E$120:E$141,MATCH(UserMade_Scenario!$B457,Assumptions!$A$120:$A$141,0))</f>
        <v>-10.36</v>
      </c>
      <c r="AE457" s="39">
        <f>INDEX(Assumptions!F$120:F$141,MATCH(UserMade_Scenario!$B457,Assumptions!$A$120:$A$141,0))</f>
        <v>-10.36</v>
      </c>
      <c r="AF457" s="39">
        <f>INDEX(Assumptions!G$120:G$141,MATCH(UserMade_Scenario!$B457,Assumptions!$A$120:$A$141,0))</f>
        <v>-32.86</v>
      </c>
      <c r="AG457" s="68">
        <f>IFERROR(INDEX(WaterUseH2[Average Direct Water Consumption (Gal/ kg h2)],MATCH(LEFT(D457,3),WaterUseH2[Key],0)),0)</f>
        <v>0</v>
      </c>
      <c r="AH457">
        <v>14</v>
      </c>
      <c r="AI457">
        <v>1.4</v>
      </c>
      <c r="AJ457">
        <v>250</v>
      </c>
      <c r="AK457">
        <v>0.31</v>
      </c>
      <c r="AL457" s="63">
        <f>IFERROR(INDEX(Job_Training[[Solar]:[Wind]],MATCH(AL$1,Job_Training[[`Typical Entry Level Education`]:[`Typical Entry Level Education`]],0),MATCH(LEFT($D457,5),Job_Training[[#Headers],[Solar]:[Wind]],0)),0)</f>
        <v>0</v>
      </c>
      <c r="AM457" s="63">
        <f>IFERROR(INDEX(Job_Training[[Solar]:[Wind]],MATCH(AM$1,Job_Training[[`Typical Entry Level Education`]:[`Typical Entry Level Education`]],0),MATCH(LEFT($D457,5),Job_Training[[#Headers],[Solar]:[Wind]],0)),0)</f>
        <v>0</v>
      </c>
      <c r="AN457" s="63">
        <f>IFERROR(INDEX(Job_Training[[Solar]:[Wind]],MATCH(AN$1,Job_Training[[`Typical Entry Level Education`]:[`Typical Entry Level Education`]],0),MATCH(LEFT($D457,5),Job_Training[[#Headers],[Solar]:[Wind]],0)),0)</f>
        <v>0</v>
      </c>
      <c r="AO457" s="63">
        <f>IFERROR(INDEX(Job_Training[[Solar]:[Wind]],MATCH(AO$1,Job_Training[[`Typical Entry Level Education`]:[`Typical Entry Level Education`]],0),MATCH(LEFT($D457,5),Job_Training[[#Headers],[Solar]:[Wind]],0)),0)</f>
        <v>0</v>
      </c>
      <c r="AP457">
        <f t="shared" si="148"/>
        <v>0</v>
      </c>
      <c r="AQ457" s="63">
        <f>IF(AP457&gt;0,IFERROR(INDEX(Assumptions!$C$165:$D$165,MATCH(LEFT($D457,5),Job_Training[[#Headers],[Solar]:[Wind]],0)),0),0)</f>
        <v>0</v>
      </c>
      <c r="AR457">
        <f>IF(AP457&gt;0,IFERROR(INDEX(Assumptions!$C$166:$D$166,MATCH(LEFT($D457,5),Job_Training[[#Headers],[Solar]:[Wind]],0)),0),0)</f>
        <v>0</v>
      </c>
    </row>
    <row r="458" spans="1:44" hidden="1" x14ac:dyDescent="0.35">
      <c r="A458" t="str">
        <f>UserInput!$B$30</f>
        <v>State Policy Aligned</v>
      </c>
      <c r="B458">
        <v>2040</v>
      </c>
      <c r="C458" t="s">
        <v>92</v>
      </c>
      <c r="D458" t="s">
        <v>93</v>
      </c>
      <c r="E458" s="66">
        <f>INDEX(UserInput!$C$30:$M$50,MATCH(UserMade_Scenario!B458,UserInput!$A$30:$A$50,0),MATCH(LEFT(IF(RIGHT(C458,2)="H2",UserMade_Scenario!C458,D458),3),UserInput!$C$25:$M$25,0))</f>
        <v>0.57142857142857184</v>
      </c>
      <c r="F458" t="s">
        <v>94</v>
      </c>
      <c r="G458" s="14">
        <f t="shared" si="133"/>
        <v>8.139002271428578E-5</v>
      </c>
      <c r="H458" s="63">
        <f t="shared" si="139"/>
        <v>8.4320063532000061E-4</v>
      </c>
      <c r="I458" s="63">
        <f t="shared" si="140"/>
        <v>8.4320063532000061E-4</v>
      </c>
      <c r="J458" s="63">
        <f t="shared" si="141"/>
        <v>2.6744761463914305E-3</v>
      </c>
      <c r="K458" s="30">
        <f>IF(OR(LEFT($D458,5)="Solar",$D458="Wind"),INDEX(Land_Use[AVG],MATCH(LEFT($D458,5),Land_Use[Tech],0)),0)*$E458</f>
        <v>0</v>
      </c>
      <c r="L458" s="30">
        <f>IF(OR(LEFT($D458,5)="Solar",$D458="Wind"),INDEX(Land_Use[MIN],MATCH(LEFT($D458,5),Land_Use[Tech],0)),0)*$E458</f>
        <v>0</v>
      </c>
      <c r="M458" s="30">
        <f>IF(OR(LEFT($D458,5)="Solar",$D458="Wind"),INDEX(Land_Use[MAX],MATCH(LEFT($D458,5),Land_Use[Tech],0)),0)*$E458</f>
        <v>0</v>
      </c>
      <c r="N458" s="15">
        <f t="shared" si="134"/>
        <v>0</v>
      </c>
      <c r="O458" s="11">
        <f t="shared" si="135"/>
        <v>0</v>
      </c>
      <c r="P458" s="11">
        <f t="shared" si="136"/>
        <v>0</v>
      </c>
      <c r="Q458" s="11">
        <f t="shared" si="137"/>
        <v>0</v>
      </c>
      <c r="R458" s="11">
        <f t="shared" si="138"/>
        <v>0</v>
      </c>
      <c r="S458" s="30">
        <f t="shared" si="142"/>
        <v>0</v>
      </c>
      <c r="T458" s="30">
        <f t="shared" si="143"/>
        <v>0</v>
      </c>
      <c r="U458" s="30">
        <f t="shared" si="144"/>
        <v>0</v>
      </c>
      <c r="V458" s="30">
        <f t="shared" si="145"/>
        <v>0</v>
      </c>
      <c r="W458" s="30">
        <f t="shared" si="146"/>
        <v>0</v>
      </c>
      <c r="X458" s="30">
        <f t="shared" si="147"/>
        <v>0</v>
      </c>
      <c r="Z458" s="23" t="s">
        <v>76</v>
      </c>
      <c r="AA458" s="40" t="str">
        <f>IF(C458="Electricity",E458*SUMIFS(Electricity!S:S,Electricity!P:P,UserMade_Scenario!B458,Electricity!M:M,UserMade_Scenario!Z458,Electricity!O:O,UserMade_Scenario!D458),"")</f>
        <v/>
      </c>
      <c r="AB458" s="67">
        <v>1.4243253975000002E-4</v>
      </c>
      <c r="AC458" s="67" t="s">
        <v>95</v>
      </c>
      <c r="AD458" s="39">
        <f>INDEX(Assumptions!E$120:E$141,MATCH(UserMade_Scenario!$B458,Assumptions!$A$120:$A$141,0))</f>
        <v>-10.36</v>
      </c>
      <c r="AE458" s="39">
        <f>INDEX(Assumptions!F$120:F$141,MATCH(UserMade_Scenario!$B458,Assumptions!$A$120:$A$141,0))</f>
        <v>-10.36</v>
      </c>
      <c r="AF458" s="39">
        <f>INDEX(Assumptions!G$120:G$141,MATCH(UserMade_Scenario!$B458,Assumptions!$A$120:$A$141,0))</f>
        <v>-32.86</v>
      </c>
      <c r="AG458" s="68">
        <f>IFERROR(INDEX(WaterUseH2[Average Direct Water Consumption (Gal/ kg h2)],MATCH(LEFT(D458,3),WaterUseH2[Key],0)),0)</f>
        <v>0</v>
      </c>
      <c r="AH458">
        <v>14</v>
      </c>
      <c r="AI458">
        <v>1.4</v>
      </c>
      <c r="AJ458">
        <v>250</v>
      </c>
      <c r="AK458">
        <v>0.31</v>
      </c>
      <c r="AL458" s="63">
        <f>IFERROR(INDEX(Job_Training[[Solar]:[Wind]],MATCH(AL$1,Job_Training[[`Typical Entry Level Education`]:[`Typical Entry Level Education`]],0),MATCH(LEFT($D458,5),Job_Training[[#Headers],[Solar]:[Wind]],0)),0)</f>
        <v>0</v>
      </c>
      <c r="AM458" s="63">
        <f>IFERROR(INDEX(Job_Training[[Solar]:[Wind]],MATCH(AM$1,Job_Training[[`Typical Entry Level Education`]:[`Typical Entry Level Education`]],0),MATCH(LEFT($D458,5),Job_Training[[#Headers],[Solar]:[Wind]],0)),0)</f>
        <v>0</v>
      </c>
      <c r="AN458" s="63">
        <f>IFERROR(INDEX(Job_Training[[Solar]:[Wind]],MATCH(AN$1,Job_Training[[`Typical Entry Level Education`]:[`Typical Entry Level Education`]],0),MATCH(LEFT($D458,5),Job_Training[[#Headers],[Solar]:[Wind]],0)),0)</f>
        <v>0</v>
      </c>
      <c r="AO458" s="63">
        <f>IFERROR(INDEX(Job_Training[[Solar]:[Wind]],MATCH(AO$1,Job_Training[[`Typical Entry Level Education`]:[`Typical Entry Level Education`]],0),MATCH(LEFT($D458,5),Job_Training[[#Headers],[Solar]:[Wind]],0)),0)</f>
        <v>0</v>
      </c>
      <c r="AP458">
        <f t="shared" si="148"/>
        <v>0</v>
      </c>
      <c r="AQ458" s="63">
        <f>IF(AP458&gt;0,IFERROR(INDEX(Assumptions!$C$165:$D$165,MATCH(LEFT($D458,5),Job_Training[[#Headers],[Solar]:[Wind]],0)),0),0)</f>
        <v>0</v>
      </c>
      <c r="AR458">
        <f>IF(AP458&gt;0,IFERROR(INDEX(Assumptions!$C$166:$D$166,MATCH(LEFT($D458,5),Job_Training[[#Headers],[Solar]:[Wind]],0)),0),0)</f>
        <v>0</v>
      </c>
    </row>
    <row r="459" spans="1:44" hidden="1" x14ac:dyDescent="0.35">
      <c r="A459" t="str">
        <f>UserInput!$B$30</f>
        <v>State Policy Aligned</v>
      </c>
      <c r="B459">
        <v>2041</v>
      </c>
      <c r="C459" t="s">
        <v>92</v>
      </c>
      <c r="D459" t="s">
        <v>93</v>
      </c>
      <c r="E459" s="66">
        <f>INDEX(UserInput!$C$30:$M$50,MATCH(UserMade_Scenario!B459,UserInput!$A$30:$A$50,0),MATCH(LEFT(IF(RIGHT(C459,2)="H2",UserMade_Scenario!C459,D459),3),UserInput!$C$25:$M$25,0))</f>
        <v>0.55714285714285761</v>
      </c>
      <c r="F459" t="s">
        <v>94</v>
      </c>
      <c r="G459" s="14">
        <f t="shared" si="133"/>
        <v>7.9355272146428645E-5</v>
      </c>
      <c r="H459" s="63">
        <f t="shared" si="139"/>
        <v>8.2212061943700069E-4</v>
      </c>
      <c r="I459" s="63">
        <f t="shared" si="140"/>
        <v>8.2212061943700069E-4</v>
      </c>
      <c r="J459" s="63">
        <f t="shared" si="141"/>
        <v>2.6076142427316454E-3</v>
      </c>
      <c r="K459" s="30">
        <f>IF(OR(LEFT($D459,5)="Solar",$D459="Wind"),INDEX(Land_Use[AVG],MATCH(LEFT($D459,5),Land_Use[Tech],0)),0)*$E459</f>
        <v>0</v>
      </c>
      <c r="L459" s="30">
        <f>IF(OR(LEFT($D459,5)="Solar",$D459="Wind"),INDEX(Land_Use[MIN],MATCH(LEFT($D459,5),Land_Use[Tech],0)),0)*$E459</f>
        <v>0</v>
      </c>
      <c r="M459" s="30">
        <f>IF(OR(LEFT($D459,5)="Solar",$D459="Wind"),INDEX(Land_Use[MAX],MATCH(LEFT($D459,5),Land_Use[Tech],0)),0)*$E459</f>
        <v>0</v>
      </c>
      <c r="N459" s="15">
        <f t="shared" si="134"/>
        <v>0</v>
      </c>
      <c r="O459" s="11">
        <f t="shared" si="135"/>
        <v>0</v>
      </c>
      <c r="P459" s="11">
        <f t="shared" si="136"/>
        <v>0</v>
      </c>
      <c r="Q459" s="11">
        <f t="shared" si="137"/>
        <v>0</v>
      </c>
      <c r="R459" s="11">
        <f t="shared" si="138"/>
        <v>0</v>
      </c>
      <c r="S459" s="30">
        <f t="shared" si="142"/>
        <v>0</v>
      </c>
      <c r="T459" s="30">
        <f t="shared" si="143"/>
        <v>0</v>
      </c>
      <c r="U459" s="30">
        <f t="shared" si="144"/>
        <v>0</v>
      </c>
      <c r="V459" s="30">
        <f t="shared" si="145"/>
        <v>0</v>
      </c>
      <c r="W459" s="30">
        <f t="shared" si="146"/>
        <v>0</v>
      </c>
      <c r="X459" s="30">
        <f t="shared" si="147"/>
        <v>0</v>
      </c>
      <c r="Z459" s="23" t="s">
        <v>76</v>
      </c>
      <c r="AA459" s="40" t="str">
        <f>IF(C459="Electricity",E459*SUMIFS(Electricity!S:S,Electricity!P:P,UserMade_Scenario!B459,Electricity!M:M,UserMade_Scenario!Z459,Electricity!O:O,UserMade_Scenario!D459),"")</f>
        <v/>
      </c>
      <c r="AB459" s="67">
        <v>1.4243253975000002E-4</v>
      </c>
      <c r="AC459" s="67" t="s">
        <v>95</v>
      </c>
      <c r="AD459" s="39">
        <f>INDEX(Assumptions!E$120:E$141,MATCH(UserMade_Scenario!$B459,Assumptions!$A$120:$A$141,0))</f>
        <v>-10.36</v>
      </c>
      <c r="AE459" s="39">
        <f>INDEX(Assumptions!F$120:F$141,MATCH(UserMade_Scenario!$B459,Assumptions!$A$120:$A$141,0))</f>
        <v>-10.36</v>
      </c>
      <c r="AF459" s="39">
        <f>INDEX(Assumptions!G$120:G$141,MATCH(UserMade_Scenario!$B459,Assumptions!$A$120:$A$141,0))</f>
        <v>-32.86</v>
      </c>
      <c r="AG459" s="68">
        <f>IFERROR(INDEX(WaterUseH2[Average Direct Water Consumption (Gal/ kg h2)],MATCH(LEFT(D459,3),WaterUseH2[Key],0)),0)</f>
        <v>0</v>
      </c>
      <c r="AH459">
        <v>14</v>
      </c>
      <c r="AI459">
        <v>1.4</v>
      </c>
      <c r="AJ459">
        <v>250</v>
      </c>
      <c r="AK459">
        <v>0.31</v>
      </c>
      <c r="AL459" s="63">
        <f>IFERROR(INDEX(Job_Training[[Solar]:[Wind]],MATCH(AL$1,Job_Training[[`Typical Entry Level Education`]:[`Typical Entry Level Education`]],0),MATCH(LEFT($D459,5),Job_Training[[#Headers],[Solar]:[Wind]],0)),0)</f>
        <v>0</v>
      </c>
      <c r="AM459" s="63">
        <f>IFERROR(INDEX(Job_Training[[Solar]:[Wind]],MATCH(AM$1,Job_Training[[`Typical Entry Level Education`]:[`Typical Entry Level Education`]],0),MATCH(LEFT($D459,5),Job_Training[[#Headers],[Solar]:[Wind]],0)),0)</f>
        <v>0</v>
      </c>
      <c r="AN459" s="63">
        <f>IFERROR(INDEX(Job_Training[[Solar]:[Wind]],MATCH(AN$1,Job_Training[[`Typical Entry Level Education`]:[`Typical Entry Level Education`]],0),MATCH(LEFT($D459,5),Job_Training[[#Headers],[Solar]:[Wind]],0)),0)</f>
        <v>0</v>
      </c>
      <c r="AO459" s="63">
        <f>IFERROR(INDEX(Job_Training[[Solar]:[Wind]],MATCH(AO$1,Job_Training[[`Typical Entry Level Education`]:[`Typical Entry Level Education`]],0),MATCH(LEFT($D459,5),Job_Training[[#Headers],[Solar]:[Wind]],0)),0)</f>
        <v>0</v>
      </c>
      <c r="AP459">
        <f t="shared" si="148"/>
        <v>0</v>
      </c>
      <c r="AQ459" s="63">
        <f>IF(AP459&gt;0,IFERROR(INDEX(Assumptions!$C$165:$D$165,MATCH(LEFT($D459,5),Job_Training[[#Headers],[Solar]:[Wind]],0)),0),0)</f>
        <v>0</v>
      </c>
      <c r="AR459">
        <f>IF(AP459&gt;0,IFERROR(INDEX(Assumptions!$C$166:$D$166,MATCH(LEFT($D459,5),Job_Training[[#Headers],[Solar]:[Wind]],0)),0),0)</f>
        <v>0</v>
      </c>
    </row>
    <row r="460" spans="1:44" hidden="1" x14ac:dyDescent="0.35">
      <c r="A460" t="str">
        <f>UserInput!$B$30</f>
        <v>State Policy Aligned</v>
      </c>
      <c r="B460">
        <v>2042</v>
      </c>
      <c r="C460" t="s">
        <v>92</v>
      </c>
      <c r="D460" t="s">
        <v>93</v>
      </c>
      <c r="E460" s="66">
        <f>INDEX(UserInput!$C$30:$M$50,MATCH(UserMade_Scenario!B460,UserInput!$A$30:$A$50,0),MATCH(LEFT(IF(RIGHT(C460,2)="H2",UserMade_Scenario!C460,D460),3),UserInput!$C$25:$M$25,0))</f>
        <v>0.54285714285714337</v>
      </c>
      <c r="F460" t="s">
        <v>94</v>
      </c>
      <c r="G460" s="14">
        <f t="shared" si="133"/>
        <v>7.732052157857151E-5</v>
      </c>
      <c r="H460" s="63">
        <f t="shared" si="139"/>
        <v>8.0104060355400076E-4</v>
      </c>
      <c r="I460" s="63">
        <f t="shared" si="140"/>
        <v>8.0104060355400076E-4</v>
      </c>
      <c r="J460" s="63">
        <f t="shared" si="141"/>
        <v>2.5407523390718599E-3</v>
      </c>
      <c r="K460" s="30">
        <f>IF(OR(LEFT($D460,5)="Solar",$D460="Wind"),INDEX(Land_Use[AVG],MATCH(LEFT($D460,5),Land_Use[Tech],0)),0)*$E460</f>
        <v>0</v>
      </c>
      <c r="L460" s="30">
        <f>IF(OR(LEFT($D460,5)="Solar",$D460="Wind"),INDEX(Land_Use[MIN],MATCH(LEFT($D460,5),Land_Use[Tech],0)),0)*$E460</f>
        <v>0</v>
      </c>
      <c r="M460" s="30">
        <f>IF(OR(LEFT($D460,5)="Solar",$D460="Wind"),INDEX(Land_Use[MAX],MATCH(LEFT($D460,5),Land_Use[Tech],0)),0)*$E460</f>
        <v>0</v>
      </c>
      <c r="N460" s="15">
        <f t="shared" si="134"/>
        <v>0</v>
      </c>
      <c r="O460" s="11">
        <f t="shared" si="135"/>
        <v>0</v>
      </c>
      <c r="P460" s="11">
        <f t="shared" si="136"/>
        <v>0</v>
      </c>
      <c r="Q460" s="11">
        <f t="shared" si="137"/>
        <v>0</v>
      </c>
      <c r="R460" s="11">
        <f t="shared" si="138"/>
        <v>0</v>
      </c>
      <c r="S460" s="30">
        <f t="shared" si="142"/>
        <v>0</v>
      </c>
      <c r="T460" s="30">
        <f t="shared" si="143"/>
        <v>0</v>
      </c>
      <c r="U460" s="30">
        <f t="shared" si="144"/>
        <v>0</v>
      </c>
      <c r="V460" s="30">
        <f t="shared" si="145"/>
        <v>0</v>
      </c>
      <c r="W460" s="30">
        <f t="shared" si="146"/>
        <v>0</v>
      </c>
      <c r="X460" s="30">
        <f t="shared" si="147"/>
        <v>0</v>
      </c>
      <c r="Z460" s="23" t="s">
        <v>76</v>
      </c>
      <c r="AA460" s="40" t="str">
        <f>IF(C460="Electricity",E460*SUMIFS(Electricity!S:S,Electricity!P:P,UserMade_Scenario!B460,Electricity!M:M,UserMade_Scenario!Z460,Electricity!O:O,UserMade_Scenario!D460),"")</f>
        <v/>
      </c>
      <c r="AB460" s="67">
        <v>1.4243253975000002E-4</v>
      </c>
      <c r="AC460" s="67" t="s">
        <v>95</v>
      </c>
      <c r="AD460" s="39">
        <f>INDEX(Assumptions!E$120:E$141,MATCH(UserMade_Scenario!$B460,Assumptions!$A$120:$A$141,0))</f>
        <v>-10.36</v>
      </c>
      <c r="AE460" s="39">
        <f>INDEX(Assumptions!F$120:F$141,MATCH(UserMade_Scenario!$B460,Assumptions!$A$120:$A$141,0))</f>
        <v>-10.36</v>
      </c>
      <c r="AF460" s="39">
        <f>INDEX(Assumptions!G$120:G$141,MATCH(UserMade_Scenario!$B460,Assumptions!$A$120:$A$141,0))</f>
        <v>-32.86</v>
      </c>
      <c r="AG460" s="68">
        <f>IFERROR(INDEX(WaterUseH2[Average Direct Water Consumption (Gal/ kg h2)],MATCH(LEFT(D460,3),WaterUseH2[Key],0)),0)</f>
        <v>0</v>
      </c>
      <c r="AH460">
        <v>14</v>
      </c>
      <c r="AI460">
        <v>1.4</v>
      </c>
      <c r="AJ460">
        <v>250</v>
      </c>
      <c r="AK460">
        <v>0.31</v>
      </c>
      <c r="AL460" s="63">
        <f>IFERROR(INDEX(Job_Training[[Solar]:[Wind]],MATCH(AL$1,Job_Training[[`Typical Entry Level Education`]:[`Typical Entry Level Education`]],0),MATCH(LEFT($D460,5),Job_Training[[#Headers],[Solar]:[Wind]],0)),0)</f>
        <v>0</v>
      </c>
      <c r="AM460" s="63">
        <f>IFERROR(INDEX(Job_Training[[Solar]:[Wind]],MATCH(AM$1,Job_Training[[`Typical Entry Level Education`]:[`Typical Entry Level Education`]],0),MATCH(LEFT($D460,5),Job_Training[[#Headers],[Solar]:[Wind]],0)),0)</f>
        <v>0</v>
      </c>
      <c r="AN460" s="63">
        <f>IFERROR(INDEX(Job_Training[[Solar]:[Wind]],MATCH(AN$1,Job_Training[[`Typical Entry Level Education`]:[`Typical Entry Level Education`]],0),MATCH(LEFT($D460,5),Job_Training[[#Headers],[Solar]:[Wind]],0)),0)</f>
        <v>0</v>
      </c>
      <c r="AO460" s="63">
        <f>IFERROR(INDEX(Job_Training[[Solar]:[Wind]],MATCH(AO$1,Job_Training[[`Typical Entry Level Education`]:[`Typical Entry Level Education`]],0),MATCH(LEFT($D460,5),Job_Training[[#Headers],[Solar]:[Wind]],0)),0)</f>
        <v>0</v>
      </c>
      <c r="AP460">
        <f t="shared" si="148"/>
        <v>0</v>
      </c>
      <c r="AQ460" s="63">
        <f>IF(AP460&gt;0,IFERROR(INDEX(Assumptions!$C$165:$D$165,MATCH(LEFT($D460,5),Job_Training[[#Headers],[Solar]:[Wind]],0)),0),0)</f>
        <v>0</v>
      </c>
      <c r="AR460">
        <f>IF(AP460&gt;0,IFERROR(INDEX(Assumptions!$C$166:$D$166,MATCH(LEFT($D460,5),Job_Training[[#Headers],[Solar]:[Wind]],0)),0),0)</f>
        <v>0</v>
      </c>
    </row>
    <row r="461" spans="1:44" hidden="1" x14ac:dyDescent="0.35">
      <c r="A461" t="str">
        <f>UserInput!$B$30</f>
        <v>State Policy Aligned</v>
      </c>
      <c r="B461">
        <v>2043</v>
      </c>
      <c r="C461" t="s">
        <v>92</v>
      </c>
      <c r="D461" t="s">
        <v>93</v>
      </c>
      <c r="E461" s="66">
        <f>INDEX(UserInput!$C$30:$M$50,MATCH(UserMade_Scenario!B461,UserInput!$A$30:$A$50,0),MATCH(LEFT(IF(RIGHT(C461,2)="H2",UserMade_Scenario!C461,D461),3),UserInput!$C$25:$M$25,0))</f>
        <v>0.52857142857142914</v>
      </c>
      <c r="F461" t="s">
        <v>94</v>
      </c>
      <c r="G461" s="14">
        <f t="shared" si="133"/>
        <v>7.5285771010714375E-5</v>
      </c>
      <c r="H461" s="63">
        <f t="shared" si="139"/>
        <v>7.7996058767100084E-4</v>
      </c>
      <c r="I461" s="63">
        <f t="shared" si="140"/>
        <v>7.7996058767100084E-4</v>
      </c>
      <c r="J461" s="63">
        <f t="shared" si="141"/>
        <v>2.4738904354120743E-3</v>
      </c>
      <c r="K461" s="30">
        <f>IF(OR(LEFT($D461,5)="Solar",$D461="Wind"),INDEX(Land_Use[AVG],MATCH(LEFT($D461,5),Land_Use[Tech],0)),0)*$E461</f>
        <v>0</v>
      </c>
      <c r="L461" s="30">
        <f>IF(OR(LEFT($D461,5)="Solar",$D461="Wind"),INDEX(Land_Use[MIN],MATCH(LEFT($D461,5),Land_Use[Tech],0)),0)*$E461</f>
        <v>0</v>
      </c>
      <c r="M461" s="30">
        <f>IF(OR(LEFT($D461,5)="Solar",$D461="Wind"),INDEX(Land_Use[MAX],MATCH(LEFT($D461,5),Land_Use[Tech],0)),0)*$E461</f>
        <v>0</v>
      </c>
      <c r="N461" s="15">
        <f t="shared" si="134"/>
        <v>0</v>
      </c>
      <c r="O461" s="11">
        <f t="shared" si="135"/>
        <v>0</v>
      </c>
      <c r="P461" s="11">
        <f t="shared" si="136"/>
        <v>0</v>
      </c>
      <c r="Q461" s="11">
        <f t="shared" si="137"/>
        <v>0</v>
      </c>
      <c r="R461" s="11">
        <f t="shared" si="138"/>
        <v>0</v>
      </c>
      <c r="S461" s="30">
        <f t="shared" si="142"/>
        <v>0</v>
      </c>
      <c r="T461" s="30">
        <f t="shared" si="143"/>
        <v>0</v>
      </c>
      <c r="U461" s="30">
        <f t="shared" si="144"/>
        <v>0</v>
      </c>
      <c r="V461" s="30">
        <f t="shared" si="145"/>
        <v>0</v>
      </c>
      <c r="W461" s="30">
        <f t="shared" si="146"/>
        <v>0</v>
      </c>
      <c r="X461" s="30">
        <f t="shared" si="147"/>
        <v>0</v>
      </c>
      <c r="Z461" s="23" t="s">
        <v>76</v>
      </c>
      <c r="AA461" s="40" t="str">
        <f>IF(C461="Electricity",E461*SUMIFS(Electricity!S:S,Electricity!P:P,UserMade_Scenario!B461,Electricity!M:M,UserMade_Scenario!Z461,Electricity!O:O,UserMade_Scenario!D461),"")</f>
        <v/>
      </c>
      <c r="AB461" s="67">
        <v>1.4243253975000002E-4</v>
      </c>
      <c r="AC461" s="67" t="s">
        <v>95</v>
      </c>
      <c r="AD461" s="39">
        <f>INDEX(Assumptions!E$120:E$141,MATCH(UserMade_Scenario!$B461,Assumptions!$A$120:$A$141,0))</f>
        <v>-10.36</v>
      </c>
      <c r="AE461" s="39">
        <f>INDEX(Assumptions!F$120:F$141,MATCH(UserMade_Scenario!$B461,Assumptions!$A$120:$A$141,0))</f>
        <v>-10.36</v>
      </c>
      <c r="AF461" s="39">
        <f>INDEX(Assumptions!G$120:G$141,MATCH(UserMade_Scenario!$B461,Assumptions!$A$120:$A$141,0))</f>
        <v>-32.86</v>
      </c>
      <c r="AG461" s="68">
        <f>IFERROR(INDEX(WaterUseH2[Average Direct Water Consumption (Gal/ kg h2)],MATCH(LEFT(D461,3),WaterUseH2[Key],0)),0)</f>
        <v>0</v>
      </c>
      <c r="AH461">
        <v>14</v>
      </c>
      <c r="AI461">
        <v>1.4</v>
      </c>
      <c r="AJ461">
        <v>250</v>
      </c>
      <c r="AK461">
        <v>0.31</v>
      </c>
      <c r="AL461" s="63">
        <f>IFERROR(INDEX(Job_Training[[Solar]:[Wind]],MATCH(AL$1,Job_Training[[`Typical Entry Level Education`]:[`Typical Entry Level Education`]],0),MATCH(LEFT($D461,5),Job_Training[[#Headers],[Solar]:[Wind]],0)),0)</f>
        <v>0</v>
      </c>
      <c r="AM461" s="63">
        <f>IFERROR(INDEX(Job_Training[[Solar]:[Wind]],MATCH(AM$1,Job_Training[[`Typical Entry Level Education`]:[`Typical Entry Level Education`]],0),MATCH(LEFT($D461,5),Job_Training[[#Headers],[Solar]:[Wind]],0)),0)</f>
        <v>0</v>
      </c>
      <c r="AN461" s="63">
        <f>IFERROR(INDEX(Job_Training[[Solar]:[Wind]],MATCH(AN$1,Job_Training[[`Typical Entry Level Education`]:[`Typical Entry Level Education`]],0),MATCH(LEFT($D461,5),Job_Training[[#Headers],[Solar]:[Wind]],0)),0)</f>
        <v>0</v>
      </c>
      <c r="AO461" s="63">
        <f>IFERROR(INDEX(Job_Training[[Solar]:[Wind]],MATCH(AO$1,Job_Training[[`Typical Entry Level Education`]:[`Typical Entry Level Education`]],0),MATCH(LEFT($D461,5),Job_Training[[#Headers],[Solar]:[Wind]],0)),0)</f>
        <v>0</v>
      </c>
      <c r="AP461">
        <f t="shared" si="148"/>
        <v>0</v>
      </c>
      <c r="AQ461" s="63">
        <f>IF(AP461&gt;0,IFERROR(INDEX(Assumptions!$C$165:$D$165,MATCH(LEFT($D461,5),Job_Training[[#Headers],[Solar]:[Wind]],0)),0),0)</f>
        <v>0</v>
      </c>
      <c r="AR461">
        <f>IF(AP461&gt;0,IFERROR(INDEX(Assumptions!$C$166:$D$166,MATCH(LEFT($D461,5),Job_Training[[#Headers],[Solar]:[Wind]],0)),0),0)</f>
        <v>0</v>
      </c>
    </row>
    <row r="462" spans="1:44" hidden="1" x14ac:dyDescent="0.35">
      <c r="A462" t="str">
        <f>UserInput!$B$30</f>
        <v>State Policy Aligned</v>
      </c>
      <c r="B462">
        <v>2044</v>
      </c>
      <c r="C462" t="s">
        <v>92</v>
      </c>
      <c r="D462" t="s">
        <v>93</v>
      </c>
      <c r="E462" s="66">
        <f>INDEX(UserInput!$C$30:$M$50,MATCH(UserMade_Scenario!B462,UserInput!$A$30:$A$50,0),MATCH(LEFT(IF(RIGHT(C462,2)="H2",UserMade_Scenario!C462,D462),3),UserInput!$C$25:$M$25,0))</f>
        <v>0.5142857142857149</v>
      </c>
      <c r="F462" t="s">
        <v>94</v>
      </c>
      <c r="G462" s="14">
        <f t="shared" si="133"/>
        <v>7.325102044285724E-5</v>
      </c>
      <c r="H462" s="63">
        <f t="shared" si="139"/>
        <v>7.5888057178800092E-4</v>
      </c>
      <c r="I462" s="63">
        <f t="shared" si="140"/>
        <v>7.5888057178800092E-4</v>
      </c>
      <c r="J462" s="63">
        <f t="shared" si="141"/>
        <v>2.4070285317522888E-3</v>
      </c>
      <c r="K462" s="30">
        <f>IF(OR(LEFT($D462,5)="Solar",$D462="Wind"),INDEX(Land_Use[AVG],MATCH(LEFT($D462,5),Land_Use[Tech],0)),0)*$E462</f>
        <v>0</v>
      </c>
      <c r="L462" s="30">
        <f>IF(OR(LEFT($D462,5)="Solar",$D462="Wind"),INDEX(Land_Use[MIN],MATCH(LEFT($D462,5),Land_Use[Tech],0)),0)*$E462</f>
        <v>0</v>
      </c>
      <c r="M462" s="30">
        <f>IF(OR(LEFT($D462,5)="Solar",$D462="Wind"),INDEX(Land_Use[MAX],MATCH(LEFT($D462,5),Land_Use[Tech],0)),0)*$E462</f>
        <v>0</v>
      </c>
      <c r="N462" s="15">
        <f t="shared" si="134"/>
        <v>0</v>
      </c>
      <c r="O462" s="11">
        <f t="shared" si="135"/>
        <v>0</v>
      </c>
      <c r="P462" s="11">
        <f t="shared" si="136"/>
        <v>0</v>
      </c>
      <c r="Q462" s="11">
        <f t="shared" si="137"/>
        <v>0</v>
      </c>
      <c r="R462" s="11">
        <f t="shared" si="138"/>
        <v>0</v>
      </c>
      <c r="S462" s="30">
        <f t="shared" si="142"/>
        <v>0</v>
      </c>
      <c r="T462" s="30">
        <f t="shared" si="143"/>
        <v>0</v>
      </c>
      <c r="U462" s="30">
        <f t="shared" si="144"/>
        <v>0</v>
      </c>
      <c r="V462" s="30">
        <f t="shared" si="145"/>
        <v>0</v>
      </c>
      <c r="W462" s="30">
        <f t="shared" si="146"/>
        <v>0</v>
      </c>
      <c r="X462" s="30">
        <f t="shared" si="147"/>
        <v>0</v>
      </c>
      <c r="Z462" s="23" t="s">
        <v>76</v>
      </c>
      <c r="AA462" s="40" t="str">
        <f>IF(C462="Electricity",E462*SUMIFS(Electricity!S:S,Electricity!P:P,UserMade_Scenario!B462,Electricity!M:M,UserMade_Scenario!Z462,Electricity!O:O,UserMade_Scenario!D462),"")</f>
        <v/>
      </c>
      <c r="AB462" s="67">
        <v>1.4243253975000002E-4</v>
      </c>
      <c r="AC462" s="67" t="s">
        <v>95</v>
      </c>
      <c r="AD462" s="39">
        <f>INDEX(Assumptions!E$120:E$141,MATCH(UserMade_Scenario!$B462,Assumptions!$A$120:$A$141,0))</f>
        <v>-10.36</v>
      </c>
      <c r="AE462" s="39">
        <f>INDEX(Assumptions!F$120:F$141,MATCH(UserMade_Scenario!$B462,Assumptions!$A$120:$A$141,0))</f>
        <v>-10.36</v>
      </c>
      <c r="AF462" s="39">
        <f>INDEX(Assumptions!G$120:G$141,MATCH(UserMade_Scenario!$B462,Assumptions!$A$120:$A$141,0))</f>
        <v>-32.86</v>
      </c>
      <c r="AG462" s="68">
        <f>IFERROR(INDEX(WaterUseH2[Average Direct Water Consumption (Gal/ kg h2)],MATCH(LEFT(D462,3),WaterUseH2[Key],0)),0)</f>
        <v>0</v>
      </c>
      <c r="AH462">
        <v>14</v>
      </c>
      <c r="AI462">
        <v>1.4</v>
      </c>
      <c r="AJ462">
        <v>250</v>
      </c>
      <c r="AK462">
        <v>0.31</v>
      </c>
      <c r="AL462" s="63">
        <f>IFERROR(INDEX(Job_Training[[Solar]:[Wind]],MATCH(AL$1,Job_Training[[`Typical Entry Level Education`]:[`Typical Entry Level Education`]],0),MATCH(LEFT($D462,5),Job_Training[[#Headers],[Solar]:[Wind]],0)),0)</f>
        <v>0</v>
      </c>
      <c r="AM462" s="63">
        <f>IFERROR(INDEX(Job_Training[[Solar]:[Wind]],MATCH(AM$1,Job_Training[[`Typical Entry Level Education`]:[`Typical Entry Level Education`]],0),MATCH(LEFT($D462,5),Job_Training[[#Headers],[Solar]:[Wind]],0)),0)</f>
        <v>0</v>
      </c>
      <c r="AN462" s="63">
        <f>IFERROR(INDEX(Job_Training[[Solar]:[Wind]],MATCH(AN$1,Job_Training[[`Typical Entry Level Education`]:[`Typical Entry Level Education`]],0),MATCH(LEFT($D462,5),Job_Training[[#Headers],[Solar]:[Wind]],0)),0)</f>
        <v>0</v>
      </c>
      <c r="AO462" s="63">
        <f>IFERROR(INDEX(Job_Training[[Solar]:[Wind]],MATCH(AO$1,Job_Training[[`Typical Entry Level Education`]:[`Typical Entry Level Education`]],0),MATCH(LEFT($D462,5),Job_Training[[#Headers],[Solar]:[Wind]],0)),0)</f>
        <v>0</v>
      </c>
      <c r="AP462">
        <f t="shared" si="148"/>
        <v>0</v>
      </c>
      <c r="AQ462" s="63">
        <f>IF(AP462&gt;0,IFERROR(INDEX(Assumptions!$C$165:$D$165,MATCH(LEFT($D462,5),Job_Training[[#Headers],[Solar]:[Wind]],0)),0),0)</f>
        <v>0</v>
      </c>
      <c r="AR462">
        <f>IF(AP462&gt;0,IFERROR(INDEX(Assumptions!$C$166:$D$166,MATCH(LEFT($D462,5),Job_Training[[#Headers],[Solar]:[Wind]],0)),0),0)</f>
        <v>0</v>
      </c>
    </row>
    <row r="463" spans="1:44" hidden="1" x14ac:dyDescent="0.35">
      <c r="A463" t="str">
        <f>UserInput!$B$30</f>
        <v>State Policy Aligned</v>
      </c>
      <c r="B463">
        <v>2045</v>
      </c>
      <c r="C463" t="s">
        <v>92</v>
      </c>
      <c r="D463" t="s">
        <v>93</v>
      </c>
      <c r="E463" s="66">
        <f>INDEX(UserInput!$C$30:$M$50,MATCH(UserMade_Scenario!B463,UserInput!$A$30:$A$50,0),MATCH(LEFT(IF(RIGHT(C463,2)="H2",UserMade_Scenario!C463,D463),3),UserInput!$C$25:$M$25,0))</f>
        <v>0.50000000000000067</v>
      </c>
      <c r="F463" t="s">
        <v>94</v>
      </c>
      <c r="G463" s="14">
        <f t="shared" si="133"/>
        <v>7.1216269875000105E-5</v>
      </c>
      <c r="H463" s="63">
        <f t="shared" si="139"/>
        <v>7.37800555905001E-4</v>
      </c>
      <c r="I463" s="63">
        <f t="shared" si="140"/>
        <v>7.37800555905001E-4</v>
      </c>
      <c r="J463" s="63">
        <f t="shared" si="141"/>
        <v>2.3401666280925032E-3</v>
      </c>
      <c r="K463" s="30">
        <f>IF(OR(LEFT($D463,5)="Solar",$D463="Wind"),INDEX(Land_Use[AVG],MATCH(LEFT($D463,5),Land_Use[Tech],0)),0)*$E463</f>
        <v>0</v>
      </c>
      <c r="L463" s="30">
        <f>IF(OR(LEFT($D463,5)="Solar",$D463="Wind"),INDEX(Land_Use[MIN],MATCH(LEFT($D463,5),Land_Use[Tech],0)),0)*$E463</f>
        <v>0</v>
      </c>
      <c r="M463" s="30">
        <f>IF(OR(LEFT($D463,5)="Solar",$D463="Wind"),INDEX(Land_Use[MAX],MATCH(LEFT($D463,5),Land_Use[Tech],0)),0)*$E463</f>
        <v>0</v>
      </c>
      <c r="N463" s="15">
        <f t="shared" si="134"/>
        <v>0</v>
      </c>
      <c r="O463" s="11">
        <f t="shared" si="135"/>
        <v>0</v>
      </c>
      <c r="P463" s="11">
        <f t="shared" si="136"/>
        <v>0</v>
      </c>
      <c r="Q463" s="11">
        <f t="shared" si="137"/>
        <v>0</v>
      </c>
      <c r="R463" s="11">
        <f t="shared" si="138"/>
        <v>0</v>
      </c>
      <c r="S463" s="30">
        <f t="shared" si="142"/>
        <v>0</v>
      </c>
      <c r="T463" s="30">
        <f t="shared" si="143"/>
        <v>0</v>
      </c>
      <c r="U463" s="30">
        <f t="shared" si="144"/>
        <v>0</v>
      </c>
      <c r="V463" s="30">
        <f t="shared" si="145"/>
        <v>0</v>
      </c>
      <c r="W463" s="30">
        <f t="shared" si="146"/>
        <v>0</v>
      </c>
      <c r="X463" s="30">
        <f t="shared" si="147"/>
        <v>0</v>
      </c>
      <c r="Z463" s="23" t="s">
        <v>76</v>
      </c>
      <c r="AA463" s="40" t="str">
        <f>IF(C463="Electricity",E463*SUMIFS(Electricity!S:S,Electricity!P:P,UserMade_Scenario!B463,Electricity!M:M,UserMade_Scenario!Z463,Electricity!O:O,UserMade_Scenario!D463),"")</f>
        <v/>
      </c>
      <c r="AB463" s="67">
        <v>1.4243253975000002E-4</v>
      </c>
      <c r="AC463" s="67" t="s">
        <v>95</v>
      </c>
      <c r="AD463" s="39">
        <f>INDEX(Assumptions!E$120:E$141,MATCH(UserMade_Scenario!$B463,Assumptions!$A$120:$A$141,0))</f>
        <v>-10.36</v>
      </c>
      <c r="AE463" s="39">
        <f>INDEX(Assumptions!F$120:F$141,MATCH(UserMade_Scenario!$B463,Assumptions!$A$120:$A$141,0))</f>
        <v>-10.36</v>
      </c>
      <c r="AF463" s="39">
        <f>INDEX(Assumptions!G$120:G$141,MATCH(UserMade_Scenario!$B463,Assumptions!$A$120:$A$141,0))</f>
        <v>-32.86</v>
      </c>
      <c r="AG463" s="68">
        <f>IFERROR(INDEX(WaterUseH2[Average Direct Water Consumption (Gal/ kg h2)],MATCH(LEFT(D463,3),WaterUseH2[Key],0)),0)</f>
        <v>0</v>
      </c>
      <c r="AH463">
        <v>14</v>
      </c>
      <c r="AI463">
        <v>1.4</v>
      </c>
      <c r="AJ463">
        <v>250</v>
      </c>
      <c r="AK463">
        <v>0.31</v>
      </c>
      <c r="AL463" s="63">
        <f>IFERROR(INDEX(Job_Training[[Solar]:[Wind]],MATCH(AL$1,Job_Training[[`Typical Entry Level Education`]:[`Typical Entry Level Education`]],0),MATCH(LEFT($D463,5),Job_Training[[#Headers],[Solar]:[Wind]],0)),0)</f>
        <v>0</v>
      </c>
      <c r="AM463" s="63">
        <f>IFERROR(INDEX(Job_Training[[Solar]:[Wind]],MATCH(AM$1,Job_Training[[`Typical Entry Level Education`]:[`Typical Entry Level Education`]],0),MATCH(LEFT($D463,5),Job_Training[[#Headers],[Solar]:[Wind]],0)),0)</f>
        <v>0</v>
      </c>
      <c r="AN463" s="63">
        <f>IFERROR(INDEX(Job_Training[[Solar]:[Wind]],MATCH(AN$1,Job_Training[[`Typical Entry Level Education`]:[`Typical Entry Level Education`]],0),MATCH(LEFT($D463,5),Job_Training[[#Headers],[Solar]:[Wind]],0)),0)</f>
        <v>0</v>
      </c>
      <c r="AO463" s="63">
        <f>IFERROR(INDEX(Job_Training[[Solar]:[Wind]],MATCH(AO$1,Job_Training[[`Typical Entry Level Education`]:[`Typical Entry Level Education`]],0),MATCH(LEFT($D463,5),Job_Training[[#Headers],[Solar]:[Wind]],0)),0)</f>
        <v>0</v>
      </c>
      <c r="AP463">
        <f t="shared" si="148"/>
        <v>0</v>
      </c>
      <c r="AQ463" s="63">
        <f>IF(AP463&gt;0,IFERROR(INDEX(Assumptions!$C$165:$D$165,MATCH(LEFT($D463,5),Job_Training[[#Headers],[Solar]:[Wind]],0)),0),0)</f>
        <v>0</v>
      </c>
      <c r="AR463">
        <f>IF(AP463&gt;0,IFERROR(INDEX(Assumptions!$C$166:$D$166,MATCH(LEFT($D463,5),Job_Training[[#Headers],[Solar]:[Wind]],0)),0),0)</f>
        <v>0</v>
      </c>
    </row>
    <row r="464" spans="1:44" hidden="1" x14ac:dyDescent="0.35">
      <c r="A464" t="str">
        <f>UserInput!$B$30</f>
        <v>State Policy Aligned</v>
      </c>
      <c r="B464">
        <v>2025</v>
      </c>
      <c r="C464" t="s">
        <v>92</v>
      </c>
      <c r="D464" t="s">
        <v>96</v>
      </c>
      <c r="E464" s="66">
        <f>INDEX(UserInput!$C$30:$M$50,MATCH(UserMade_Scenario!B464,UserInput!$A$30:$A$50,0),MATCH(LEFT(IF(RIGHT(C464,2)="H2",UserMade_Scenario!C464,D464),3),UserInput!$C$25:$M$25,0))</f>
        <v>0</v>
      </c>
      <c r="F464" t="s">
        <v>94</v>
      </c>
      <c r="G464" s="14">
        <f t="shared" si="133"/>
        <v>0</v>
      </c>
      <c r="H464" s="63">
        <f t="shared" si="139"/>
        <v>0</v>
      </c>
      <c r="I464" s="63">
        <f t="shared" si="140"/>
        <v>0</v>
      </c>
      <c r="J464" s="63">
        <f t="shared" si="141"/>
        <v>0</v>
      </c>
      <c r="K464" s="30">
        <f>IF(OR(LEFT($D464,5)="Solar",$D464="Wind"),INDEX(Land_Use[AVG],MATCH(LEFT($D464,5),Land_Use[Tech],0)),0)*$E464</f>
        <v>0</v>
      </c>
      <c r="L464" s="30">
        <f>IF(OR(LEFT($D464,5)="Solar",$D464="Wind"),INDEX(Land_Use[MIN],MATCH(LEFT($D464,5),Land_Use[Tech],0)),0)*$E464</f>
        <v>0</v>
      </c>
      <c r="M464" s="30">
        <f>IF(OR(LEFT($D464,5)="Solar",$D464="Wind"),INDEX(Land_Use[MAX],MATCH(LEFT($D464,5),Land_Use[Tech],0)),0)*$E464</f>
        <v>0</v>
      </c>
      <c r="N464" s="15">
        <f t="shared" si="134"/>
        <v>0</v>
      </c>
      <c r="O464" s="11">
        <f t="shared" si="135"/>
        <v>0</v>
      </c>
      <c r="P464" s="11">
        <f t="shared" si="136"/>
        <v>0</v>
      </c>
      <c r="Q464" s="11">
        <f t="shared" si="137"/>
        <v>0</v>
      </c>
      <c r="R464" s="11">
        <f t="shared" si="138"/>
        <v>0</v>
      </c>
      <c r="S464" s="30">
        <f t="shared" si="142"/>
        <v>0</v>
      </c>
      <c r="T464" s="30">
        <f t="shared" si="143"/>
        <v>0</v>
      </c>
      <c r="U464" s="30">
        <f t="shared" si="144"/>
        <v>0</v>
      </c>
      <c r="V464" s="30">
        <f t="shared" si="145"/>
        <v>0</v>
      </c>
      <c r="W464" s="30">
        <f t="shared" si="146"/>
        <v>0</v>
      </c>
      <c r="X464" s="30">
        <f t="shared" si="147"/>
        <v>0</v>
      </c>
      <c r="Z464" s="23" t="s">
        <v>76</v>
      </c>
      <c r="AA464" s="40" t="str">
        <f>IF(C464="Electricity",E464*SUMIFS(Electricity!S:S,Electricity!P:P,UserMade_Scenario!B464,Electricity!M:M,UserMade_Scenario!Z464,Electricity!O:O,UserMade_Scenario!D464),"")</f>
        <v/>
      </c>
      <c r="AB464" s="67">
        <v>1.4243253975000002E-4</v>
      </c>
      <c r="AC464" s="67" t="s">
        <v>95</v>
      </c>
      <c r="AD464" s="39">
        <f>INDEX(Assumptions!E$120:E$141,MATCH(UserMade_Scenario!$B464,Assumptions!$A$120:$A$141,0))</f>
        <v>-16.64</v>
      </c>
      <c r="AE464" s="39">
        <f>INDEX(Assumptions!F$120:F$141,MATCH(UserMade_Scenario!$B464,Assumptions!$A$120:$A$141,0))</f>
        <v>-16.64</v>
      </c>
      <c r="AF464" s="39">
        <f>INDEX(Assumptions!G$120:G$141,MATCH(UserMade_Scenario!$B464,Assumptions!$A$120:$A$141,0))</f>
        <v>-39.14</v>
      </c>
      <c r="AG464" s="68">
        <f>IFERROR(INDEX(WaterUseH2[Average Direct Water Consumption (Gal/ kg h2)],MATCH(LEFT(D464,3),WaterUseH2[Key],0)),0)</f>
        <v>0</v>
      </c>
      <c r="AH464">
        <v>14</v>
      </c>
      <c r="AI464">
        <v>1.4</v>
      </c>
      <c r="AJ464">
        <v>250</v>
      </c>
      <c r="AK464">
        <v>0.31</v>
      </c>
      <c r="AL464" s="63">
        <f>IFERROR(INDEX(Job_Training[[Solar]:[Wind]],MATCH(AL$1,Job_Training[[`Typical Entry Level Education`]:[`Typical Entry Level Education`]],0),MATCH(LEFT($D464,5),Job_Training[[#Headers],[Solar]:[Wind]],0)),0)</f>
        <v>0</v>
      </c>
      <c r="AM464" s="63">
        <f>IFERROR(INDEX(Job_Training[[Solar]:[Wind]],MATCH(AM$1,Job_Training[[`Typical Entry Level Education`]:[`Typical Entry Level Education`]],0),MATCH(LEFT($D464,5),Job_Training[[#Headers],[Solar]:[Wind]],0)),0)</f>
        <v>0</v>
      </c>
      <c r="AN464" s="63">
        <f>IFERROR(INDEX(Job_Training[[Solar]:[Wind]],MATCH(AN$1,Job_Training[[`Typical Entry Level Education`]:[`Typical Entry Level Education`]],0),MATCH(LEFT($D464,5),Job_Training[[#Headers],[Solar]:[Wind]],0)),0)</f>
        <v>0</v>
      </c>
      <c r="AO464" s="63">
        <f>IFERROR(INDEX(Job_Training[[Solar]:[Wind]],MATCH(AO$1,Job_Training[[`Typical Entry Level Education`]:[`Typical Entry Level Education`]],0),MATCH(LEFT($D464,5),Job_Training[[#Headers],[Solar]:[Wind]],0)),0)</f>
        <v>0</v>
      </c>
      <c r="AP464">
        <f t="shared" si="148"/>
        <v>0</v>
      </c>
      <c r="AQ464" s="63">
        <f>IF(AP464&gt;0,IFERROR(INDEX(Assumptions!$C$165:$D$165,MATCH(LEFT($D464,5),Job_Training[[#Headers],[Solar]:[Wind]],0)),0),0)</f>
        <v>0</v>
      </c>
      <c r="AR464">
        <f>IF(AP464&gt;0,IFERROR(INDEX(Assumptions!$C$166:$D$166,MATCH(LEFT($D464,5),Job_Training[[#Headers],[Solar]:[Wind]],0)),0),0)</f>
        <v>0</v>
      </c>
    </row>
    <row r="465" spans="1:44" ht="14.25" hidden="1" customHeight="1" x14ac:dyDescent="0.35">
      <c r="A465" t="str">
        <f>UserInput!$B$30</f>
        <v>State Policy Aligned</v>
      </c>
      <c r="B465">
        <v>2026</v>
      </c>
      <c r="C465" t="s">
        <v>92</v>
      </c>
      <c r="D465" t="s">
        <v>96</v>
      </c>
      <c r="E465" s="66">
        <f>INDEX(UserInput!$C$30:$M$50,MATCH(UserMade_Scenario!B465,UserInput!$A$30:$A$50,0),MATCH(LEFT(IF(RIGHT(C465,2)="H2",UserMade_Scenario!C465,D465),3),UserInput!$C$25:$M$25,0))</f>
        <v>0</v>
      </c>
      <c r="F465" t="s">
        <v>94</v>
      </c>
      <c r="G465" s="14">
        <f t="shared" ref="G465:G484" si="149">E465*AB465</f>
        <v>0</v>
      </c>
      <c r="H465" s="63">
        <f t="shared" si="139"/>
        <v>0</v>
      </c>
      <c r="I465" s="63">
        <f t="shared" si="140"/>
        <v>0</v>
      </c>
      <c r="J465" s="63">
        <f t="shared" si="141"/>
        <v>0</v>
      </c>
      <c r="K465" s="30">
        <f>IF(OR(LEFT($D465,5)="Solar",$D465="Wind"),INDEX(Land_Use[AVG],MATCH(LEFT($D465,5),Land_Use[Tech],0)),0)*$E465</f>
        <v>0</v>
      </c>
      <c r="L465" s="30">
        <f>IF(OR(LEFT($D465,5)="Solar",$D465="Wind"),INDEX(Land_Use[MIN],MATCH(LEFT($D465,5),Land_Use[Tech],0)),0)*$E465</f>
        <v>0</v>
      </c>
      <c r="M465" s="30">
        <f>IF(OR(LEFT($D465,5)="Solar",$D465="Wind"),INDEX(Land_Use[MAX],MATCH(LEFT($D465,5),Land_Use[Tech],0)),0)*$E465</f>
        <v>0</v>
      </c>
      <c r="N465" s="15">
        <f t="shared" si="134"/>
        <v>0</v>
      </c>
      <c r="O465" s="11">
        <f t="shared" si="135"/>
        <v>0</v>
      </c>
      <c r="P465" s="11">
        <f t="shared" si="136"/>
        <v>0</v>
      </c>
      <c r="Q465" s="11">
        <f t="shared" si="137"/>
        <v>0</v>
      </c>
      <c r="R465" s="11">
        <f t="shared" si="138"/>
        <v>0</v>
      </c>
      <c r="S465" s="30">
        <f t="shared" si="142"/>
        <v>0</v>
      </c>
      <c r="T465" s="30">
        <f t="shared" si="143"/>
        <v>0</v>
      </c>
      <c r="U465" s="30">
        <f t="shared" si="144"/>
        <v>0</v>
      </c>
      <c r="V465" s="30">
        <f t="shared" si="145"/>
        <v>0</v>
      </c>
      <c r="W465" s="30">
        <f t="shared" si="146"/>
        <v>0</v>
      </c>
      <c r="X465" s="30">
        <f t="shared" si="147"/>
        <v>0</v>
      </c>
      <c r="Z465" s="23" t="s">
        <v>76</v>
      </c>
      <c r="AA465" s="40" t="str">
        <f>IF(C465="Electricity",E465*SUMIFS(Electricity!S:S,Electricity!P:P,UserMade_Scenario!B465,Electricity!M:M,UserMade_Scenario!Z465,Electricity!O:O,UserMade_Scenario!D465),"")</f>
        <v/>
      </c>
      <c r="AB465" s="67">
        <v>1.4243253975000002E-4</v>
      </c>
      <c r="AC465" s="67" t="s">
        <v>95</v>
      </c>
      <c r="AD465" s="39">
        <f>INDEX(Assumptions!B$120:B$141,MATCH(UserMade_Scenario!$B464,Assumptions!$A$120:$A$141,0))</f>
        <v>-36.64</v>
      </c>
      <c r="AE465" s="39">
        <f>INDEX(Assumptions!C$120:C$141,MATCH(UserMade_Scenario!$B464,Assumptions!$A$120:$A$141,0))</f>
        <v>-36.64</v>
      </c>
      <c r="AF465" s="39">
        <f>INDEX(Assumptions!D$120:D$141,MATCH(UserMade_Scenario!$B464,Assumptions!$A$120:$A$141,0))</f>
        <v>-53.84</v>
      </c>
      <c r="AG465" s="68">
        <f>IFERROR(INDEX(WaterUseH2[Average Direct Water Consumption (Gal/ kg h2)],MATCH(LEFT(D465,3),WaterUseH2[Key],0)),0)</f>
        <v>0</v>
      </c>
      <c r="AH465">
        <v>14</v>
      </c>
      <c r="AI465">
        <v>1.4</v>
      </c>
      <c r="AJ465">
        <v>250</v>
      </c>
      <c r="AK465">
        <v>0.31</v>
      </c>
      <c r="AL465" s="63">
        <f>IFERROR(INDEX(Job_Training[[Solar]:[Wind]],MATCH(AL$1,Job_Training[[`Typical Entry Level Education`]:[`Typical Entry Level Education`]],0),MATCH(LEFT($D465,5),Job_Training[[#Headers],[Solar]:[Wind]],0)),0)</f>
        <v>0</v>
      </c>
      <c r="AM465" s="63">
        <f>IFERROR(INDEX(Job_Training[[Solar]:[Wind]],MATCH(AM$1,Job_Training[[`Typical Entry Level Education`]:[`Typical Entry Level Education`]],0),MATCH(LEFT($D465,5),Job_Training[[#Headers],[Solar]:[Wind]],0)),0)</f>
        <v>0</v>
      </c>
      <c r="AN465" s="63">
        <f>IFERROR(INDEX(Job_Training[[Solar]:[Wind]],MATCH(AN$1,Job_Training[[`Typical Entry Level Education`]:[`Typical Entry Level Education`]],0),MATCH(LEFT($D465,5),Job_Training[[#Headers],[Solar]:[Wind]],0)),0)</f>
        <v>0</v>
      </c>
      <c r="AO465" s="63">
        <f>IFERROR(INDEX(Job_Training[[Solar]:[Wind]],MATCH(AO$1,Job_Training[[`Typical Entry Level Education`]:[`Typical Entry Level Education`]],0),MATCH(LEFT($D465,5),Job_Training[[#Headers],[Solar]:[Wind]],0)),0)</f>
        <v>0</v>
      </c>
      <c r="AP465">
        <f t="shared" si="148"/>
        <v>0</v>
      </c>
      <c r="AQ465" s="63">
        <f>IF(AP465&gt;0,IFERROR(INDEX(Assumptions!$C$165:$D$165,MATCH(LEFT($D465,5),Job_Training[[#Headers],[Solar]:[Wind]],0)),0),0)</f>
        <v>0</v>
      </c>
      <c r="AR465">
        <f>IF(AP465&gt;0,IFERROR(INDEX(Assumptions!$C$166:$D$166,MATCH(LEFT($D465,5),Job_Training[[#Headers],[Solar]:[Wind]],0)),0),0)</f>
        <v>0</v>
      </c>
    </row>
    <row r="466" spans="1:44" hidden="1" x14ac:dyDescent="0.35">
      <c r="A466" t="str">
        <f>UserInput!$B$30</f>
        <v>State Policy Aligned</v>
      </c>
      <c r="B466">
        <v>2027</v>
      </c>
      <c r="C466" t="s">
        <v>92</v>
      </c>
      <c r="D466" t="s">
        <v>96</v>
      </c>
      <c r="E466" s="66">
        <f>INDEX(UserInput!$C$30:$M$50,MATCH(UserMade_Scenario!B466,UserInput!$A$30:$A$50,0),MATCH(LEFT(IF(RIGHT(C466,2)="H2",UserMade_Scenario!C466,D466),3),UserInput!$C$25:$M$25,0))</f>
        <v>0</v>
      </c>
      <c r="F466" t="s">
        <v>94</v>
      </c>
      <c r="G466" s="14">
        <f t="shared" si="149"/>
        <v>0</v>
      </c>
      <c r="H466" s="63">
        <f t="shared" si="139"/>
        <v>0</v>
      </c>
      <c r="I466" s="63">
        <f t="shared" si="140"/>
        <v>0</v>
      </c>
      <c r="J466" s="63">
        <f t="shared" si="141"/>
        <v>0</v>
      </c>
      <c r="K466" s="30">
        <f>IF(OR(LEFT($D466,5)="Solar",$D466="Wind"),INDEX(Land_Use[AVG],MATCH(LEFT($D466,5),Land_Use[Tech],0)),0)*$E466</f>
        <v>0</v>
      </c>
      <c r="L466" s="30">
        <f>IF(OR(LEFT($D466,5)="Solar",$D466="Wind"),INDEX(Land_Use[MIN],MATCH(LEFT($D466,5),Land_Use[Tech],0)),0)*$E466</f>
        <v>0</v>
      </c>
      <c r="M466" s="30">
        <f>IF(OR(LEFT($D466,5)="Solar",$D466="Wind"),INDEX(Land_Use[MAX],MATCH(LEFT($D466,5),Land_Use[Tech],0)),0)*$E466</f>
        <v>0</v>
      </c>
      <c r="N466" s="15">
        <f t="shared" si="134"/>
        <v>0</v>
      </c>
      <c r="O466" s="11">
        <f t="shared" si="135"/>
        <v>0</v>
      </c>
      <c r="P466" s="11">
        <f t="shared" si="136"/>
        <v>0</v>
      </c>
      <c r="Q466" s="11">
        <f t="shared" si="137"/>
        <v>0</v>
      </c>
      <c r="R466" s="11">
        <f t="shared" si="138"/>
        <v>0</v>
      </c>
      <c r="S466" s="30">
        <f t="shared" si="142"/>
        <v>0</v>
      </c>
      <c r="T466" s="30">
        <f t="shared" si="143"/>
        <v>0</v>
      </c>
      <c r="U466" s="30">
        <f t="shared" si="144"/>
        <v>0</v>
      </c>
      <c r="V466" s="30">
        <f t="shared" si="145"/>
        <v>0</v>
      </c>
      <c r="W466" s="30">
        <f t="shared" si="146"/>
        <v>0</v>
      </c>
      <c r="X466" s="30">
        <f t="shared" si="147"/>
        <v>0</v>
      </c>
      <c r="Z466" s="23" t="s">
        <v>76</v>
      </c>
      <c r="AA466" s="40" t="str">
        <f>IF(C466="Electricity",E466*SUMIFS(Electricity!S:S,Electricity!P:P,UserMade_Scenario!B466,Electricity!M:M,UserMade_Scenario!Z466,Electricity!O:O,UserMade_Scenario!D466),"")</f>
        <v/>
      </c>
      <c r="AB466" s="67">
        <v>1.4243253975000002E-4</v>
      </c>
      <c r="AC466" s="67" t="s">
        <v>95</v>
      </c>
      <c r="AD466" s="39">
        <f>INDEX(Assumptions!B$120:B$141,MATCH(UserMade_Scenario!$B465,Assumptions!$A$120:$A$141,0))</f>
        <v>-35.379999999999995</v>
      </c>
      <c r="AE466" s="39">
        <f>INDEX(Assumptions!C$120:C$141,MATCH(UserMade_Scenario!$B465,Assumptions!$A$120:$A$141,0))</f>
        <v>-35.379999999999995</v>
      </c>
      <c r="AF466" s="39">
        <f>INDEX(Assumptions!D$120:D$141,MATCH(UserMade_Scenario!$B465,Assumptions!$A$120:$A$141,0))</f>
        <v>-52.58</v>
      </c>
      <c r="AG466" s="68">
        <f>IFERROR(INDEX(WaterUseH2[Average Direct Water Consumption (Gal/ kg h2)],MATCH(LEFT(D466,3),WaterUseH2[Key],0)),0)</f>
        <v>0</v>
      </c>
      <c r="AH466">
        <v>14</v>
      </c>
      <c r="AI466">
        <v>1.4</v>
      </c>
      <c r="AJ466">
        <v>250</v>
      </c>
      <c r="AK466">
        <v>0.31</v>
      </c>
      <c r="AL466" s="63">
        <f>IFERROR(INDEX(Job_Training[[Solar]:[Wind]],MATCH(AL$1,Job_Training[[`Typical Entry Level Education`]:[`Typical Entry Level Education`]],0),MATCH(LEFT($D466,5),Job_Training[[#Headers],[Solar]:[Wind]],0)),0)</f>
        <v>0</v>
      </c>
      <c r="AM466" s="63">
        <f>IFERROR(INDEX(Job_Training[[Solar]:[Wind]],MATCH(AM$1,Job_Training[[`Typical Entry Level Education`]:[`Typical Entry Level Education`]],0),MATCH(LEFT($D466,5),Job_Training[[#Headers],[Solar]:[Wind]],0)),0)</f>
        <v>0</v>
      </c>
      <c r="AN466" s="63">
        <f>IFERROR(INDEX(Job_Training[[Solar]:[Wind]],MATCH(AN$1,Job_Training[[`Typical Entry Level Education`]:[`Typical Entry Level Education`]],0),MATCH(LEFT($D466,5),Job_Training[[#Headers],[Solar]:[Wind]],0)),0)</f>
        <v>0</v>
      </c>
      <c r="AO466" s="63">
        <f>IFERROR(INDEX(Job_Training[[Solar]:[Wind]],MATCH(AO$1,Job_Training[[`Typical Entry Level Education`]:[`Typical Entry Level Education`]],0),MATCH(LEFT($D466,5),Job_Training[[#Headers],[Solar]:[Wind]],0)),0)</f>
        <v>0</v>
      </c>
      <c r="AP466">
        <f t="shared" si="148"/>
        <v>0</v>
      </c>
      <c r="AQ466" s="63">
        <f>IF(AP466&gt;0,IFERROR(INDEX(Assumptions!$C$165:$D$165,MATCH(LEFT($D466,5),Job_Training[[#Headers],[Solar]:[Wind]],0)),0),0)</f>
        <v>0</v>
      </c>
      <c r="AR466">
        <f>IF(AP466&gt;0,IFERROR(INDEX(Assumptions!$C$166:$D$166,MATCH(LEFT($D466,5),Job_Training[[#Headers],[Solar]:[Wind]],0)),0),0)</f>
        <v>0</v>
      </c>
    </row>
    <row r="467" spans="1:44" hidden="1" x14ac:dyDescent="0.35">
      <c r="A467" t="str">
        <f>UserInput!$B$30</f>
        <v>State Policy Aligned</v>
      </c>
      <c r="B467">
        <v>2028</v>
      </c>
      <c r="C467" t="s">
        <v>92</v>
      </c>
      <c r="D467" t="s">
        <v>96</v>
      </c>
      <c r="E467" s="66">
        <f>INDEX(UserInput!$C$30:$M$50,MATCH(UserMade_Scenario!B467,UserInput!$A$30:$A$50,0),MATCH(LEFT(IF(RIGHT(C467,2)="H2",UserMade_Scenario!C467,D467),3),UserInput!$C$25:$M$25,0))</f>
        <v>0</v>
      </c>
      <c r="F467" t="s">
        <v>94</v>
      </c>
      <c r="G467" s="14">
        <f t="shared" si="149"/>
        <v>0</v>
      </c>
      <c r="H467" s="63">
        <f t="shared" si="139"/>
        <v>0</v>
      </c>
      <c r="I467" s="63">
        <f t="shared" si="140"/>
        <v>0</v>
      </c>
      <c r="J467" s="63">
        <f t="shared" si="141"/>
        <v>0</v>
      </c>
      <c r="K467" s="30">
        <f>IF(OR(LEFT($D467,5)="Solar",$D467="Wind"),INDEX(Land_Use[AVG],MATCH(LEFT($D467,5),Land_Use[Tech],0)),0)*$E467</f>
        <v>0</v>
      </c>
      <c r="L467" s="30">
        <f>IF(OR(LEFT($D467,5)="Solar",$D467="Wind"),INDEX(Land_Use[MIN],MATCH(LEFT($D467,5),Land_Use[Tech],0)),0)*$E467</f>
        <v>0</v>
      </c>
      <c r="M467" s="30">
        <f>IF(OR(LEFT($D467,5)="Solar",$D467="Wind"),INDEX(Land_Use[MAX],MATCH(LEFT($D467,5),Land_Use[Tech],0)),0)*$E467</f>
        <v>0</v>
      </c>
      <c r="N467" s="15">
        <f t="shared" si="134"/>
        <v>0</v>
      </c>
      <c r="O467" s="11">
        <f t="shared" si="135"/>
        <v>0</v>
      </c>
      <c r="P467" s="11">
        <f t="shared" si="136"/>
        <v>0</v>
      </c>
      <c r="Q467" s="11">
        <f t="shared" si="137"/>
        <v>0</v>
      </c>
      <c r="R467" s="11">
        <f t="shared" si="138"/>
        <v>0</v>
      </c>
      <c r="S467" s="30">
        <f t="shared" si="142"/>
        <v>0</v>
      </c>
      <c r="T467" s="30">
        <f t="shared" si="143"/>
        <v>0</v>
      </c>
      <c r="U467" s="30">
        <f t="shared" si="144"/>
        <v>0</v>
      </c>
      <c r="V467" s="30">
        <f t="shared" si="145"/>
        <v>0</v>
      </c>
      <c r="W467" s="30">
        <f t="shared" si="146"/>
        <v>0</v>
      </c>
      <c r="X467" s="30">
        <f t="shared" si="147"/>
        <v>0</v>
      </c>
      <c r="Z467" s="23" t="s">
        <v>76</v>
      </c>
      <c r="AA467" s="40" t="str">
        <f>IF(C467="Electricity",E467*SUMIFS(Electricity!S:S,Electricity!P:P,UserMade_Scenario!B467,Electricity!M:M,UserMade_Scenario!Z467,Electricity!O:O,UserMade_Scenario!D467),"")</f>
        <v/>
      </c>
      <c r="AB467" s="67">
        <v>1.4243253975000002E-4</v>
      </c>
      <c r="AC467" s="67" t="s">
        <v>95</v>
      </c>
      <c r="AD467" s="39">
        <f>INDEX(Assumptions!B$120:B$141,MATCH(UserMade_Scenario!$B466,Assumptions!$A$120:$A$141,0))</f>
        <v>-34.129999999999995</v>
      </c>
      <c r="AE467" s="39">
        <f>INDEX(Assumptions!C$120:C$141,MATCH(UserMade_Scenario!$B466,Assumptions!$A$120:$A$141,0))</f>
        <v>-34.129999999999995</v>
      </c>
      <c r="AF467" s="39">
        <f>INDEX(Assumptions!D$120:D$141,MATCH(UserMade_Scenario!$B466,Assumptions!$A$120:$A$141,0))</f>
        <v>-51.33</v>
      </c>
      <c r="AG467" s="68">
        <f>IFERROR(INDEX(WaterUseH2[Average Direct Water Consumption (Gal/ kg h2)],MATCH(LEFT(D467,3),WaterUseH2[Key],0)),0)</f>
        <v>0</v>
      </c>
      <c r="AH467">
        <v>14</v>
      </c>
      <c r="AI467">
        <v>1.4</v>
      </c>
      <c r="AJ467">
        <v>250</v>
      </c>
      <c r="AK467">
        <v>0.31</v>
      </c>
      <c r="AL467" s="63">
        <f>IFERROR(INDEX(Job_Training[[Solar]:[Wind]],MATCH(AL$1,Job_Training[[`Typical Entry Level Education`]:[`Typical Entry Level Education`]],0),MATCH(LEFT($D467,5),Job_Training[[#Headers],[Solar]:[Wind]],0)),0)</f>
        <v>0</v>
      </c>
      <c r="AM467" s="63">
        <f>IFERROR(INDEX(Job_Training[[Solar]:[Wind]],MATCH(AM$1,Job_Training[[`Typical Entry Level Education`]:[`Typical Entry Level Education`]],0),MATCH(LEFT($D467,5),Job_Training[[#Headers],[Solar]:[Wind]],0)),0)</f>
        <v>0</v>
      </c>
      <c r="AN467" s="63">
        <f>IFERROR(INDEX(Job_Training[[Solar]:[Wind]],MATCH(AN$1,Job_Training[[`Typical Entry Level Education`]:[`Typical Entry Level Education`]],0),MATCH(LEFT($D467,5),Job_Training[[#Headers],[Solar]:[Wind]],0)),0)</f>
        <v>0</v>
      </c>
      <c r="AO467" s="63">
        <f>IFERROR(INDEX(Job_Training[[Solar]:[Wind]],MATCH(AO$1,Job_Training[[`Typical Entry Level Education`]:[`Typical Entry Level Education`]],0),MATCH(LEFT($D467,5),Job_Training[[#Headers],[Solar]:[Wind]],0)),0)</f>
        <v>0</v>
      </c>
      <c r="AP467">
        <f t="shared" si="148"/>
        <v>0</v>
      </c>
      <c r="AQ467" s="63">
        <f>IF(AP467&gt;0,IFERROR(INDEX(Assumptions!$C$165:$D$165,MATCH(LEFT($D467,5),Job_Training[[#Headers],[Solar]:[Wind]],0)),0),0)</f>
        <v>0</v>
      </c>
      <c r="AR467">
        <f>IF(AP467&gt;0,IFERROR(INDEX(Assumptions!$C$166:$D$166,MATCH(LEFT($D467,5),Job_Training[[#Headers],[Solar]:[Wind]],0)),0),0)</f>
        <v>0</v>
      </c>
    </row>
    <row r="468" spans="1:44" hidden="1" x14ac:dyDescent="0.35">
      <c r="A468" t="str">
        <f>UserInput!$B$30</f>
        <v>State Policy Aligned</v>
      </c>
      <c r="B468">
        <v>2029</v>
      </c>
      <c r="C468" t="s">
        <v>92</v>
      </c>
      <c r="D468" t="s">
        <v>96</v>
      </c>
      <c r="E468" s="66">
        <f>INDEX(UserInput!$C$30:$M$50,MATCH(UserMade_Scenario!B468,UserInput!$A$30:$A$50,0),MATCH(LEFT(IF(RIGHT(C468,2)="H2",UserMade_Scenario!C468,D468),3),UserInput!$C$25:$M$25,0))</f>
        <v>0</v>
      </c>
      <c r="F468" t="s">
        <v>94</v>
      </c>
      <c r="G468" s="14">
        <f t="shared" si="149"/>
        <v>0</v>
      </c>
      <c r="H468" s="63">
        <f t="shared" si="139"/>
        <v>0</v>
      </c>
      <c r="I468" s="63">
        <f t="shared" si="140"/>
        <v>0</v>
      </c>
      <c r="J468" s="63">
        <f t="shared" si="141"/>
        <v>0</v>
      </c>
      <c r="K468" s="30">
        <f>IF(OR(LEFT($D468,5)="Solar",$D468="Wind"),INDEX(Land_Use[AVG],MATCH(LEFT($D468,5),Land_Use[Tech],0)),0)*$E468</f>
        <v>0</v>
      </c>
      <c r="L468" s="30">
        <f>IF(OR(LEFT($D468,5)="Solar",$D468="Wind"),INDEX(Land_Use[MIN],MATCH(LEFT($D468,5),Land_Use[Tech],0)),0)*$E468</f>
        <v>0</v>
      </c>
      <c r="M468" s="30">
        <f>IF(OR(LEFT($D468,5)="Solar",$D468="Wind"),INDEX(Land_Use[MAX],MATCH(LEFT($D468,5),Land_Use[Tech],0)),0)*$E468</f>
        <v>0</v>
      </c>
      <c r="N468" s="15">
        <f t="shared" si="134"/>
        <v>0</v>
      </c>
      <c r="O468" s="11">
        <f t="shared" si="135"/>
        <v>0</v>
      </c>
      <c r="P468" s="11">
        <f t="shared" si="136"/>
        <v>0</v>
      </c>
      <c r="Q468" s="11">
        <f t="shared" si="137"/>
        <v>0</v>
      </c>
      <c r="R468" s="11">
        <f t="shared" si="138"/>
        <v>0</v>
      </c>
      <c r="S468" s="30">
        <f t="shared" si="142"/>
        <v>0</v>
      </c>
      <c r="T468" s="30">
        <f t="shared" si="143"/>
        <v>0</v>
      </c>
      <c r="U468" s="30">
        <f t="shared" si="144"/>
        <v>0</v>
      </c>
      <c r="V468" s="30">
        <f t="shared" si="145"/>
        <v>0</v>
      </c>
      <c r="W468" s="30">
        <f t="shared" si="146"/>
        <v>0</v>
      </c>
      <c r="X468" s="30">
        <f t="shared" si="147"/>
        <v>0</v>
      </c>
      <c r="Z468" s="23" t="s">
        <v>76</v>
      </c>
      <c r="AA468" s="40" t="str">
        <f>IF(C468="Electricity",E468*SUMIFS(Electricity!S:S,Electricity!P:P,UserMade_Scenario!B468,Electricity!M:M,UserMade_Scenario!Z468,Electricity!O:O,UserMade_Scenario!D468),"")</f>
        <v/>
      </c>
      <c r="AB468" s="67">
        <v>1.4243253975000002E-4</v>
      </c>
      <c r="AC468" s="67" t="s">
        <v>95</v>
      </c>
      <c r="AD468" s="39">
        <f>INDEX(Assumptions!B$120:B$141,MATCH(UserMade_Scenario!$B467,Assumptions!$A$120:$A$141,0))</f>
        <v>-32.870000000000005</v>
      </c>
      <c r="AE468" s="39">
        <f>INDEX(Assumptions!C$120:C$141,MATCH(UserMade_Scenario!$B467,Assumptions!$A$120:$A$141,0))</f>
        <v>-32.870000000000005</v>
      </c>
      <c r="AF468" s="39">
        <f>INDEX(Assumptions!D$120:D$141,MATCH(UserMade_Scenario!$B467,Assumptions!$A$120:$A$141,0))</f>
        <v>-50.070000000000007</v>
      </c>
      <c r="AG468" s="68">
        <f>IFERROR(INDEX(WaterUseH2[Average Direct Water Consumption (Gal/ kg h2)],MATCH(LEFT(D468,3),WaterUseH2[Key],0)),0)</f>
        <v>0</v>
      </c>
      <c r="AH468">
        <v>14</v>
      </c>
      <c r="AI468">
        <v>1.4</v>
      </c>
      <c r="AJ468">
        <v>250</v>
      </c>
      <c r="AK468">
        <v>0.31</v>
      </c>
      <c r="AL468" s="63">
        <f>IFERROR(INDEX(Job_Training[[Solar]:[Wind]],MATCH(AL$1,Job_Training[[`Typical Entry Level Education`]:[`Typical Entry Level Education`]],0),MATCH(LEFT($D468,5),Job_Training[[#Headers],[Solar]:[Wind]],0)),0)</f>
        <v>0</v>
      </c>
      <c r="AM468" s="63">
        <f>IFERROR(INDEX(Job_Training[[Solar]:[Wind]],MATCH(AM$1,Job_Training[[`Typical Entry Level Education`]:[`Typical Entry Level Education`]],0),MATCH(LEFT($D468,5),Job_Training[[#Headers],[Solar]:[Wind]],0)),0)</f>
        <v>0</v>
      </c>
      <c r="AN468" s="63">
        <f>IFERROR(INDEX(Job_Training[[Solar]:[Wind]],MATCH(AN$1,Job_Training[[`Typical Entry Level Education`]:[`Typical Entry Level Education`]],0),MATCH(LEFT($D468,5),Job_Training[[#Headers],[Solar]:[Wind]],0)),0)</f>
        <v>0</v>
      </c>
      <c r="AO468" s="63">
        <f>IFERROR(INDEX(Job_Training[[Solar]:[Wind]],MATCH(AO$1,Job_Training[[`Typical Entry Level Education`]:[`Typical Entry Level Education`]],0),MATCH(LEFT($D468,5),Job_Training[[#Headers],[Solar]:[Wind]],0)),0)</f>
        <v>0</v>
      </c>
      <c r="AP468">
        <f t="shared" si="148"/>
        <v>0</v>
      </c>
      <c r="AQ468" s="63">
        <f>IF(AP468&gt;0,IFERROR(INDEX(Assumptions!$C$165:$D$165,MATCH(LEFT($D468,5),Job_Training[[#Headers],[Solar]:[Wind]],0)),0),0)</f>
        <v>0</v>
      </c>
      <c r="AR468">
        <f>IF(AP468&gt;0,IFERROR(INDEX(Assumptions!$C$166:$D$166,MATCH(LEFT($D468,5),Job_Training[[#Headers],[Solar]:[Wind]],0)),0),0)</f>
        <v>0</v>
      </c>
    </row>
    <row r="469" spans="1:44" hidden="1" x14ac:dyDescent="0.35">
      <c r="A469" t="str">
        <f>UserInput!$B$30</f>
        <v>State Policy Aligned</v>
      </c>
      <c r="B469">
        <v>2030</v>
      </c>
      <c r="C469" t="s">
        <v>92</v>
      </c>
      <c r="D469" t="s">
        <v>96</v>
      </c>
      <c r="E469" s="66">
        <f>INDEX(UserInput!$C$30:$M$50,MATCH(UserMade_Scenario!B469,UserInput!$A$30:$A$50,0),MATCH(LEFT(IF(RIGHT(C469,2)="H2",UserMade_Scenario!C469,D469),3),UserInput!$C$25:$M$25,0))</f>
        <v>0</v>
      </c>
      <c r="F469" t="s">
        <v>94</v>
      </c>
      <c r="G469" s="14">
        <f t="shared" si="149"/>
        <v>0</v>
      </c>
      <c r="H469" s="63">
        <f t="shared" si="139"/>
        <v>0</v>
      </c>
      <c r="I469" s="63">
        <f t="shared" si="140"/>
        <v>0</v>
      </c>
      <c r="J469" s="63">
        <f t="shared" si="141"/>
        <v>0</v>
      </c>
      <c r="K469" s="30">
        <f>IF(OR(LEFT($D469,5)="Solar",$D469="Wind"),INDEX(Land_Use[AVG],MATCH(LEFT($D469,5),Land_Use[Tech],0)),0)*$E469</f>
        <v>0</v>
      </c>
      <c r="L469" s="30">
        <f>IF(OR(LEFT($D469,5)="Solar",$D469="Wind"),INDEX(Land_Use[MIN],MATCH(LEFT($D469,5),Land_Use[Tech],0)),0)*$E469</f>
        <v>0</v>
      </c>
      <c r="M469" s="30">
        <f>IF(OR(LEFT($D469,5)="Solar",$D469="Wind"),INDEX(Land_Use[MAX],MATCH(LEFT($D469,5),Land_Use[Tech],0)),0)*$E469</f>
        <v>0</v>
      </c>
      <c r="N469" s="15">
        <f t="shared" si="134"/>
        <v>0</v>
      </c>
      <c r="O469" s="11">
        <f t="shared" si="135"/>
        <v>0</v>
      </c>
      <c r="P469" s="11">
        <f t="shared" si="136"/>
        <v>0</v>
      </c>
      <c r="Q469" s="11">
        <f t="shared" si="137"/>
        <v>0</v>
      </c>
      <c r="R469" s="11">
        <f t="shared" si="138"/>
        <v>0</v>
      </c>
      <c r="S469" s="30">
        <f t="shared" si="142"/>
        <v>0</v>
      </c>
      <c r="T469" s="30">
        <f t="shared" si="143"/>
        <v>0</v>
      </c>
      <c r="U469" s="30">
        <f t="shared" si="144"/>
        <v>0</v>
      </c>
      <c r="V469" s="30">
        <f t="shared" si="145"/>
        <v>0</v>
      </c>
      <c r="W469" s="30">
        <f t="shared" si="146"/>
        <v>0</v>
      </c>
      <c r="X469" s="30">
        <f t="shared" si="147"/>
        <v>0</v>
      </c>
      <c r="Z469" s="23" t="s">
        <v>76</v>
      </c>
      <c r="AA469" s="40" t="str">
        <f>IF(C469="Electricity",E469*SUMIFS(Electricity!S:S,Electricity!P:P,UserMade_Scenario!B469,Electricity!M:M,UserMade_Scenario!Z469,Electricity!O:O,UserMade_Scenario!D469),"")</f>
        <v/>
      </c>
      <c r="AB469" s="67">
        <v>1.4243253975000002E-4</v>
      </c>
      <c r="AC469" s="67" t="s">
        <v>95</v>
      </c>
      <c r="AD469" s="39">
        <f>INDEX(Assumptions!B$120:B$141,MATCH(UserMade_Scenario!$B468,Assumptions!$A$120:$A$141,0))</f>
        <v>-31.620000000000005</v>
      </c>
      <c r="AE469" s="39">
        <f>INDEX(Assumptions!C$120:C$141,MATCH(UserMade_Scenario!$B468,Assumptions!$A$120:$A$141,0))</f>
        <v>-31.620000000000005</v>
      </c>
      <c r="AF469" s="39">
        <f>INDEX(Assumptions!D$120:D$141,MATCH(UserMade_Scenario!$B468,Assumptions!$A$120:$A$141,0))</f>
        <v>-48.820000000000007</v>
      </c>
      <c r="AG469" s="68">
        <f>IFERROR(INDEX(WaterUseH2[Average Direct Water Consumption (Gal/ kg h2)],MATCH(LEFT(D469,3),WaterUseH2[Key],0)),0)</f>
        <v>0</v>
      </c>
      <c r="AH469">
        <v>14</v>
      </c>
      <c r="AI469">
        <v>1.4</v>
      </c>
      <c r="AJ469">
        <v>250</v>
      </c>
      <c r="AK469">
        <v>0.31</v>
      </c>
      <c r="AL469" s="63">
        <f>IFERROR(INDEX(Job_Training[[Solar]:[Wind]],MATCH(AL$1,Job_Training[[`Typical Entry Level Education`]:[`Typical Entry Level Education`]],0),MATCH(LEFT($D469,5),Job_Training[[#Headers],[Solar]:[Wind]],0)),0)</f>
        <v>0</v>
      </c>
      <c r="AM469" s="63">
        <f>IFERROR(INDEX(Job_Training[[Solar]:[Wind]],MATCH(AM$1,Job_Training[[`Typical Entry Level Education`]:[`Typical Entry Level Education`]],0),MATCH(LEFT($D469,5),Job_Training[[#Headers],[Solar]:[Wind]],0)),0)</f>
        <v>0</v>
      </c>
      <c r="AN469" s="63">
        <f>IFERROR(INDEX(Job_Training[[Solar]:[Wind]],MATCH(AN$1,Job_Training[[`Typical Entry Level Education`]:[`Typical Entry Level Education`]],0),MATCH(LEFT($D469,5),Job_Training[[#Headers],[Solar]:[Wind]],0)),0)</f>
        <v>0</v>
      </c>
      <c r="AO469" s="63">
        <f>IFERROR(INDEX(Job_Training[[Solar]:[Wind]],MATCH(AO$1,Job_Training[[`Typical Entry Level Education`]:[`Typical Entry Level Education`]],0),MATCH(LEFT($D469,5),Job_Training[[#Headers],[Solar]:[Wind]],0)),0)</f>
        <v>0</v>
      </c>
      <c r="AP469">
        <f t="shared" si="148"/>
        <v>0</v>
      </c>
      <c r="AQ469" s="63">
        <f>IF(AP469&gt;0,IFERROR(INDEX(Assumptions!$C$165:$D$165,MATCH(LEFT($D469,5),Job_Training[[#Headers],[Solar]:[Wind]],0)),0),0)</f>
        <v>0</v>
      </c>
      <c r="AR469">
        <f>IF(AP469&gt;0,IFERROR(INDEX(Assumptions!$C$166:$D$166,MATCH(LEFT($D469,5),Job_Training[[#Headers],[Solar]:[Wind]],0)),0),0)</f>
        <v>0</v>
      </c>
    </row>
    <row r="470" spans="1:44" hidden="1" x14ac:dyDescent="0.35">
      <c r="A470" t="str">
        <f>UserInput!$B$30</f>
        <v>State Policy Aligned</v>
      </c>
      <c r="B470">
        <v>2031</v>
      </c>
      <c r="C470" t="s">
        <v>92</v>
      </c>
      <c r="D470" t="s">
        <v>96</v>
      </c>
      <c r="E470" s="66">
        <f>INDEX(UserInput!$C$30:$M$50,MATCH(UserMade_Scenario!B470,UserInput!$A$30:$A$50,0),MATCH(LEFT(IF(RIGHT(C470,2)="H2",UserMade_Scenario!C470,D470),3),UserInput!$C$25:$M$25,0))</f>
        <v>6.4</v>
      </c>
      <c r="F470" t="s">
        <v>94</v>
      </c>
      <c r="G470" s="14">
        <f t="shared" si="149"/>
        <v>9.1156825440000017E-4</v>
      </c>
      <c r="H470" s="63">
        <f t="shared" si="139"/>
        <v>2.7675212203584005E-2</v>
      </c>
      <c r="I470" s="63">
        <f t="shared" si="140"/>
        <v>2.7675212203584005E-2</v>
      </c>
      <c r="J470" s="63">
        <f t="shared" si="141"/>
        <v>4.3354186179264009E-2</v>
      </c>
      <c r="K470" s="30">
        <f>IF(OR(LEFT($D470,5)="Solar",$D470="Wind"),INDEX(Land_Use[AVG],MATCH(LEFT($D470,5),Land_Use[Tech],0)),0)*$E470</f>
        <v>0</v>
      </c>
      <c r="L470" s="30">
        <f>IF(OR(LEFT($D470,5)="Solar",$D470="Wind"),INDEX(Land_Use[MIN],MATCH(LEFT($D470,5),Land_Use[Tech],0)),0)*$E470</f>
        <v>0</v>
      </c>
      <c r="M470" s="30">
        <f>IF(OR(LEFT($D470,5)="Solar",$D470="Wind"),INDEX(Land_Use[MAX],MATCH(LEFT($D470,5),Land_Use[Tech],0)),0)*$E470</f>
        <v>0</v>
      </c>
      <c r="N470" s="15">
        <f t="shared" si="134"/>
        <v>0</v>
      </c>
      <c r="O470" s="11">
        <f t="shared" si="135"/>
        <v>0</v>
      </c>
      <c r="P470" s="11">
        <f t="shared" si="136"/>
        <v>0</v>
      </c>
      <c r="Q470" s="11">
        <f t="shared" si="137"/>
        <v>0</v>
      </c>
      <c r="R470" s="11">
        <f t="shared" si="138"/>
        <v>0</v>
      </c>
      <c r="S470" s="30">
        <f t="shared" si="142"/>
        <v>0</v>
      </c>
      <c r="T470" s="30">
        <f t="shared" si="143"/>
        <v>0</v>
      </c>
      <c r="U470" s="30">
        <f t="shared" si="144"/>
        <v>0</v>
      </c>
      <c r="V470" s="30">
        <f t="shared" si="145"/>
        <v>0</v>
      </c>
      <c r="W470" s="30">
        <f t="shared" si="146"/>
        <v>0</v>
      </c>
      <c r="X470" s="30">
        <f t="shared" si="147"/>
        <v>0</v>
      </c>
      <c r="Z470" s="23" t="s">
        <v>76</v>
      </c>
      <c r="AA470" s="40" t="str">
        <f>IF(C470="Electricity",E470*SUMIFS(Electricity!S:S,Electricity!P:P,UserMade_Scenario!B470,Electricity!M:M,UserMade_Scenario!Z470,Electricity!O:O,UserMade_Scenario!D470),"")</f>
        <v/>
      </c>
      <c r="AB470" s="67">
        <v>1.4243253975000002E-4</v>
      </c>
      <c r="AC470" s="67" t="s">
        <v>95</v>
      </c>
      <c r="AD470" s="39">
        <f>INDEX(Assumptions!B$120:B$141,MATCH(UserMade_Scenario!$B469,Assumptions!$A$120:$A$141,0))</f>
        <v>-30.36</v>
      </c>
      <c r="AE470" s="39">
        <f>INDEX(Assumptions!C$120:C$141,MATCH(UserMade_Scenario!$B469,Assumptions!$A$120:$A$141,0))</f>
        <v>-30.36</v>
      </c>
      <c r="AF470" s="39">
        <f>INDEX(Assumptions!D$120:D$141,MATCH(UserMade_Scenario!$B469,Assumptions!$A$120:$A$141,0))</f>
        <v>-47.56</v>
      </c>
      <c r="AG470" s="68">
        <f>IFERROR(INDEX(WaterUseH2[Average Direct Water Consumption (Gal/ kg h2)],MATCH(LEFT(D470,3),WaterUseH2[Key],0)),0)</f>
        <v>0</v>
      </c>
      <c r="AH470">
        <v>14</v>
      </c>
      <c r="AI470">
        <v>1.4</v>
      </c>
      <c r="AJ470">
        <v>250</v>
      </c>
      <c r="AK470">
        <v>0.31</v>
      </c>
      <c r="AL470" s="63">
        <f>IFERROR(INDEX(Job_Training[[Solar]:[Wind]],MATCH(AL$1,Job_Training[[`Typical Entry Level Education`]:[`Typical Entry Level Education`]],0),MATCH(LEFT($D470,5),Job_Training[[#Headers],[Solar]:[Wind]],0)),0)</f>
        <v>0</v>
      </c>
      <c r="AM470" s="63">
        <f>IFERROR(INDEX(Job_Training[[Solar]:[Wind]],MATCH(AM$1,Job_Training[[`Typical Entry Level Education`]:[`Typical Entry Level Education`]],0),MATCH(LEFT($D470,5),Job_Training[[#Headers],[Solar]:[Wind]],0)),0)</f>
        <v>0</v>
      </c>
      <c r="AN470" s="63">
        <f>IFERROR(INDEX(Job_Training[[Solar]:[Wind]],MATCH(AN$1,Job_Training[[`Typical Entry Level Education`]:[`Typical Entry Level Education`]],0),MATCH(LEFT($D470,5),Job_Training[[#Headers],[Solar]:[Wind]],0)),0)</f>
        <v>0</v>
      </c>
      <c r="AO470" s="63">
        <f>IFERROR(INDEX(Job_Training[[Solar]:[Wind]],MATCH(AO$1,Job_Training[[`Typical Entry Level Education`]:[`Typical Entry Level Education`]],0),MATCH(LEFT($D470,5),Job_Training[[#Headers],[Solar]:[Wind]],0)),0)</f>
        <v>0</v>
      </c>
      <c r="AP470">
        <f t="shared" si="148"/>
        <v>0</v>
      </c>
      <c r="AQ470" s="63">
        <f>IF(AP470&gt;0,IFERROR(INDEX(Assumptions!$C$165:$D$165,MATCH(LEFT($D470,5),Job_Training[[#Headers],[Solar]:[Wind]],0)),0),0)</f>
        <v>0</v>
      </c>
      <c r="AR470">
        <f>IF(AP470&gt;0,IFERROR(INDEX(Assumptions!$C$166:$D$166,MATCH(LEFT($D470,5),Job_Training[[#Headers],[Solar]:[Wind]],0)),0),0)</f>
        <v>0</v>
      </c>
    </row>
    <row r="471" spans="1:44" hidden="1" x14ac:dyDescent="0.35">
      <c r="A471" t="str">
        <f>UserInput!$B$30</f>
        <v>State Policy Aligned</v>
      </c>
      <c r="B471">
        <v>2032</v>
      </c>
      <c r="C471" t="s">
        <v>92</v>
      </c>
      <c r="D471" t="s">
        <v>96</v>
      </c>
      <c r="E471" s="66">
        <f>INDEX(UserInput!$C$30:$M$50,MATCH(UserMade_Scenario!B471,UserInput!$A$30:$A$50,0),MATCH(LEFT(IF(RIGHT(C471,2)="H2",UserMade_Scenario!C471,D471),3),UserInput!$C$25:$M$25,0))</f>
        <v>6.6571428571428575</v>
      </c>
      <c r="F471" t="s">
        <v>94</v>
      </c>
      <c r="G471" s="14">
        <f t="shared" si="149"/>
        <v>9.4819376462142873E-4</v>
      </c>
      <c r="H471" s="63">
        <f t="shared" si="139"/>
        <v>2.8787162693906576E-2</v>
      </c>
      <c r="I471" s="63">
        <f t="shared" si="140"/>
        <v>2.8787162693906576E-2</v>
      </c>
      <c r="J471" s="63">
        <f t="shared" si="141"/>
        <v>4.5096095445395154E-2</v>
      </c>
      <c r="K471" s="30">
        <f>IF(OR(LEFT($D471,5)="Solar",$D471="Wind"),INDEX(Land_Use[AVG],MATCH(LEFT($D471,5),Land_Use[Tech],0)),0)*$E471</f>
        <v>0</v>
      </c>
      <c r="L471" s="30">
        <f>IF(OR(LEFT($D471,5)="Solar",$D471="Wind"),INDEX(Land_Use[MIN],MATCH(LEFT($D471,5),Land_Use[Tech],0)),0)*$E471</f>
        <v>0</v>
      </c>
      <c r="M471" s="30">
        <f>IF(OR(LEFT($D471,5)="Solar",$D471="Wind"),INDEX(Land_Use[MAX],MATCH(LEFT($D471,5),Land_Use[Tech],0)),0)*$E471</f>
        <v>0</v>
      </c>
      <c r="N471" s="15">
        <f t="shared" si="134"/>
        <v>0</v>
      </c>
      <c r="O471" s="11">
        <f t="shared" si="135"/>
        <v>0</v>
      </c>
      <c r="P471" s="11">
        <f t="shared" si="136"/>
        <v>0</v>
      </c>
      <c r="Q471" s="11">
        <f t="shared" si="137"/>
        <v>0</v>
      </c>
      <c r="R471" s="11">
        <f t="shared" si="138"/>
        <v>0</v>
      </c>
      <c r="S471" s="30">
        <f t="shared" si="142"/>
        <v>0</v>
      </c>
      <c r="T471" s="30">
        <f t="shared" si="143"/>
        <v>0</v>
      </c>
      <c r="U471" s="30">
        <f t="shared" si="144"/>
        <v>0</v>
      </c>
      <c r="V471" s="30">
        <f t="shared" si="145"/>
        <v>0</v>
      </c>
      <c r="W471" s="30">
        <f t="shared" si="146"/>
        <v>0</v>
      </c>
      <c r="X471" s="30">
        <f t="shared" si="147"/>
        <v>0</v>
      </c>
      <c r="Z471" s="23" t="s">
        <v>76</v>
      </c>
      <c r="AA471" s="40" t="str">
        <f>IF(C471="Electricity",E471*SUMIFS(Electricity!S:S,Electricity!P:P,UserMade_Scenario!B471,Electricity!M:M,UserMade_Scenario!Z471,Electricity!O:O,UserMade_Scenario!D471),"")</f>
        <v/>
      </c>
      <c r="AB471" s="67">
        <v>1.4243253975000002E-4</v>
      </c>
      <c r="AC471" s="67" t="s">
        <v>95</v>
      </c>
      <c r="AD471" s="39">
        <f>INDEX(Assumptions!B$120:B$141,MATCH(UserMade_Scenario!$B470,Assumptions!$A$120:$A$141,0))</f>
        <v>-30.36</v>
      </c>
      <c r="AE471" s="39">
        <f>INDEX(Assumptions!C$120:C$141,MATCH(UserMade_Scenario!$B470,Assumptions!$A$120:$A$141,0))</f>
        <v>-30.36</v>
      </c>
      <c r="AF471" s="39">
        <f>INDEX(Assumptions!D$120:D$141,MATCH(UserMade_Scenario!$B470,Assumptions!$A$120:$A$141,0))</f>
        <v>-47.56</v>
      </c>
      <c r="AG471" s="68">
        <f>IFERROR(INDEX(WaterUseH2[Average Direct Water Consumption (Gal/ kg h2)],MATCH(LEFT(D471,3),WaterUseH2[Key],0)),0)</f>
        <v>0</v>
      </c>
      <c r="AH471">
        <v>14</v>
      </c>
      <c r="AI471">
        <v>1.4</v>
      </c>
      <c r="AJ471">
        <v>250</v>
      </c>
      <c r="AK471">
        <v>0.31</v>
      </c>
      <c r="AL471" s="63">
        <f>IFERROR(INDEX(Job_Training[[Solar]:[Wind]],MATCH(AL$1,Job_Training[[`Typical Entry Level Education`]:[`Typical Entry Level Education`]],0),MATCH(LEFT($D471,5),Job_Training[[#Headers],[Solar]:[Wind]],0)),0)</f>
        <v>0</v>
      </c>
      <c r="AM471" s="63">
        <f>IFERROR(INDEX(Job_Training[[Solar]:[Wind]],MATCH(AM$1,Job_Training[[`Typical Entry Level Education`]:[`Typical Entry Level Education`]],0),MATCH(LEFT($D471,5),Job_Training[[#Headers],[Solar]:[Wind]],0)),0)</f>
        <v>0</v>
      </c>
      <c r="AN471" s="63">
        <f>IFERROR(INDEX(Job_Training[[Solar]:[Wind]],MATCH(AN$1,Job_Training[[`Typical Entry Level Education`]:[`Typical Entry Level Education`]],0),MATCH(LEFT($D471,5),Job_Training[[#Headers],[Solar]:[Wind]],0)),0)</f>
        <v>0</v>
      </c>
      <c r="AO471" s="63">
        <f>IFERROR(INDEX(Job_Training[[Solar]:[Wind]],MATCH(AO$1,Job_Training[[`Typical Entry Level Education`]:[`Typical Entry Level Education`]],0),MATCH(LEFT($D471,5),Job_Training[[#Headers],[Solar]:[Wind]],0)),0)</f>
        <v>0</v>
      </c>
      <c r="AP471">
        <f t="shared" si="148"/>
        <v>0</v>
      </c>
      <c r="AQ471" s="63">
        <f>IF(AP471&gt;0,IFERROR(INDEX(Assumptions!$C$165:$D$165,MATCH(LEFT($D471,5),Job_Training[[#Headers],[Solar]:[Wind]],0)),0),0)</f>
        <v>0</v>
      </c>
      <c r="AR471">
        <f>IF(AP471&gt;0,IFERROR(INDEX(Assumptions!$C$166:$D$166,MATCH(LEFT($D471,5),Job_Training[[#Headers],[Solar]:[Wind]],0)),0),0)</f>
        <v>0</v>
      </c>
    </row>
    <row r="472" spans="1:44" hidden="1" x14ac:dyDescent="0.35">
      <c r="A472" t="str">
        <f>UserInput!$B$30</f>
        <v>State Policy Aligned</v>
      </c>
      <c r="B472">
        <v>2033</v>
      </c>
      <c r="C472" t="s">
        <v>92</v>
      </c>
      <c r="D472" t="s">
        <v>96</v>
      </c>
      <c r="E472" s="66">
        <f>INDEX(UserInput!$C$30:$M$50,MATCH(UserMade_Scenario!B472,UserInput!$A$30:$A$50,0),MATCH(LEFT(IF(RIGHT(C472,2)="H2",UserMade_Scenario!C472,D472),3),UserInput!$C$25:$M$25,0))</f>
        <v>6.9142857142857146</v>
      </c>
      <c r="F472" t="s">
        <v>94</v>
      </c>
      <c r="G472" s="14">
        <f t="shared" si="149"/>
        <v>9.848192748428573E-4</v>
      </c>
      <c r="H472" s="63">
        <f t="shared" si="139"/>
        <v>2.9899113184229147E-2</v>
      </c>
      <c r="I472" s="63">
        <f t="shared" si="140"/>
        <v>2.9899113184229147E-2</v>
      </c>
      <c r="J472" s="63">
        <f t="shared" si="141"/>
        <v>4.6838004711526299E-2</v>
      </c>
      <c r="K472" s="30">
        <f>IF(OR(LEFT($D472,5)="Solar",$D472="Wind"),INDEX(Land_Use[AVG],MATCH(LEFT($D472,5),Land_Use[Tech],0)),0)*$E472</f>
        <v>0</v>
      </c>
      <c r="L472" s="30">
        <f>IF(OR(LEFT($D472,5)="Solar",$D472="Wind"),INDEX(Land_Use[MIN],MATCH(LEFT($D472,5),Land_Use[Tech],0)),0)*$E472</f>
        <v>0</v>
      </c>
      <c r="M472" s="30">
        <f>IF(OR(LEFT($D472,5)="Solar",$D472="Wind"),INDEX(Land_Use[MAX],MATCH(LEFT($D472,5),Land_Use[Tech],0)),0)*$E472</f>
        <v>0</v>
      </c>
      <c r="N472" s="15">
        <f t="shared" si="134"/>
        <v>0</v>
      </c>
      <c r="O472" s="11">
        <f t="shared" si="135"/>
        <v>0</v>
      </c>
      <c r="P472" s="11">
        <f t="shared" si="136"/>
        <v>0</v>
      </c>
      <c r="Q472" s="11">
        <f t="shared" si="137"/>
        <v>0</v>
      </c>
      <c r="R472" s="11">
        <f t="shared" si="138"/>
        <v>0</v>
      </c>
      <c r="S472" s="30">
        <f t="shared" si="142"/>
        <v>0</v>
      </c>
      <c r="T472" s="30">
        <f t="shared" si="143"/>
        <v>0</v>
      </c>
      <c r="U472" s="30">
        <f t="shared" si="144"/>
        <v>0</v>
      </c>
      <c r="V472" s="30">
        <f t="shared" si="145"/>
        <v>0</v>
      </c>
      <c r="W472" s="30">
        <f t="shared" si="146"/>
        <v>0</v>
      </c>
      <c r="X472" s="30">
        <f t="shared" si="147"/>
        <v>0</v>
      </c>
      <c r="Z472" s="23" t="s">
        <v>76</v>
      </c>
      <c r="AA472" s="40" t="str">
        <f>IF(C472="Electricity",E472*SUMIFS(Electricity!S:S,Electricity!P:P,UserMade_Scenario!B472,Electricity!M:M,UserMade_Scenario!Z472,Electricity!O:O,UserMade_Scenario!D472),"")</f>
        <v/>
      </c>
      <c r="AB472" s="67">
        <v>1.4243253975000002E-4</v>
      </c>
      <c r="AC472" s="67" t="s">
        <v>95</v>
      </c>
      <c r="AD472" s="39">
        <f>INDEX(Assumptions!B$120:B$141,MATCH(UserMade_Scenario!$B471,Assumptions!$A$120:$A$141,0))</f>
        <v>-30.36</v>
      </c>
      <c r="AE472" s="39">
        <f>INDEX(Assumptions!C$120:C$141,MATCH(UserMade_Scenario!$B471,Assumptions!$A$120:$A$141,0))</f>
        <v>-30.36</v>
      </c>
      <c r="AF472" s="39">
        <f>INDEX(Assumptions!D$120:D$141,MATCH(UserMade_Scenario!$B471,Assumptions!$A$120:$A$141,0))</f>
        <v>-47.56</v>
      </c>
      <c r="AG472" s="68">
        <f>IFERROR(INDEX(WaterUseH2[Average Direct Water Consumption (Gal/ kg h2)],MATCH(LEFT(D472,3),WaterUseH2[Key],0)),0)</f>
        <v>0</v>
      </c>
      <c r="AH472">
        <v>14</v>
      </c>
      <c r="AI472">
        <v>1.4</v>
      </c>
      <c r="AJ472">
        <v>250</v>
      </c>
      <c r="AK472">
        <v>0.31</v>
      </c>
      <c r="AL472" s="63">
        <f>IFERROR(INDEX(Job_Training[[Solar]:[Wind]],MATCH(AL$1,Job_Training[[`Typical Entry Level Education`]:[`Typical Entry Level Education`]],0),MATCH(LEFT($D472,5),Job_Training[[#Headers],[Solar]:[Wind]],0)),0)</f>
        <v>0</v>
      </c>
      <c r="AM472" s="63">
        <f>IFERROR(INDEX(Job_Training[[Solar]:[Wind]],MATCH(AM$1,Job_Training[[`Typical Entry Level Education`]:[`Typical Entry Level Education`]],0),MATCH(LEFT($D472,5),Job_Training[[#Headers],[Solar]:[Wind]],0)),0)</f>
        <v>0</v>
      </c>
      <c r="AN472" s="63">
        <f>IFERROR(INDEX(Job_Training[[Solar]:[Wind]],MATCH(AN$1,Job_Training[[`Typical Entry Level Education`]:[`Typical Entry Level Education`]],0),MATCH(LEFT($D472,5),Job_Training[[#Headers],[Solar]:[Wind]],0)),0)</f>
        <v>0</v>
      </c>
      <c r="AO472" s="63">
        <f>IFERROR(INDEX(Job_Training[[Solar]:[Wind]],MATCH(AO$1,Job_Training[[`Typical Entry Level Education`]:[`Typical Entry Level Education`]],0),MATCH(LEFT($D472,5),Job_Training[[#Headers],[Solar]:[Wind]],0)),0)</f>
        <v>0</v>
      </c>
      <c r="AP472">
        <f t="shared" si="148"/>
        <v>0</v>
      </c>
      <c r="AQ472" s="63">
        <f>IF(AP472&gt;0,IFERROR(INDEX(Assumptions!$C$165:$D$165,MATCH(LEFT($D472,5),Job_Training[[#Headers],[Solar]:[Wind]],0)),0),0)</f>
        <v>0</v>
      </c>
      <c r="AR472">
        <f>IF(AP472&gt;0,IFERROR(INDEX(Assumptions!$C$166:$D$166,MATCH(LEFT($D472,5),Job_Training[[#Headers],[Solar]:[Wind]],0)),0),0)</f>
        <v>0</v>
      </c>
    </row>
    <row r="473" spans="1:44" hidden="1" x14ac:dyDescent="0.35">
      <c r="A473" t="str">
        <f>UserInput!$B$30</f>
        <v>State Policy Aligned</v>
      </c>
      <c r="B473">
        <v>2034</v>
      </c>
      <c r="C473" t="s">
        <v>92</v>
      </c>
      <c r="D473" t="s">
        <v>96</v>
      </c>
      <c r="E473" s="66">
        <f>INDEX(UserInput!$C$30:$M$50,MATCH(UserMade_Scenario!B473,UserInput!$A$30:$A$50,0),MATCH(LEFT(IF(RIGHT(C473,2)="H2",UserMade_Scenario!C473,D473),3),UserInput!$C$25:$M$25,0))</f>
        <v>7.1714285714285717</v>
      </c>
      <c r="F473" t="s">
        <v>94</v>
      </c>
      <c r="G473" s="14">
        <f t="shared" si="149"/>
        <v>1.021444785064286E-3</v>
      </c>
      <c r="H473" s="63">
        <f t="shared" si="139"/>
        <v>3.1011063674551722E-2</v>
      </c>
      <c r="I473" s="63">
        <f t="shared" si="140"/>
        <v>3.1011063674551722E-2</v>
      </c>
      <c r="J473" s="63">
        <f t="shared" si="141"/>
        <v>4.8579913977657443E-2</v>
      </c>
      <c r="K473" s="30">
        <f>IF(OR(LEFT($D473,5)="Solar",$D473="Wind"),INDEX(Land_Use[AVG],MATCH(LEFT($D473,5),Land_Use[Tech],0)),0)*$E473</f>
        <v>0</v>
      </c>
      <c r="L473" s="30">
        <f>IF(OR(LEFT($D473,5)="Solar",$D473="Wind"),INDEX(Land_Use[MIN],MATCH(LEFT($D473,5),Land_Use[Tech],0)),0)*$E473</f>
        <v>0</v>
      </c>
      <c r="M473" s="30">
        <f>IF(OR(LEFT($D473,5)="Solar",$D473="Wind"),INDEX(Land_Use[MAX],MATCH(LEFT($D473,5),Land_Use[Tech],0)),0)*$E473</f>
        <v>0</v>
      </c>
      <c r="N473" s="15">
        <f t="shared" si="134"/>
        <v>0</v>
      </c>
      <c r="O473" s="11">
        <f t="shared" si="135"/>
        <v>0</v>
      </c>
      <c r="P473" s="11">
        <f t="shared" si="136"/>
        <v>0</v>
      </c>
      <c r="Q473" s="11">
        <f t="shared" si="137"/>
        <v>0</v>
      </c>
      <c r="R473" s="11">
        <f t="shared" si="138"/>
        <v>0</v>
      </c>
      <c r="S473" s="30">
        <f t="shared" si="142"/>
        <v>0</v>
      </c>
      <c r="T473" s="30">
        <f t="shared" si="143"/>
        <v>0</v>
      </c>
      <c r="U473" s="30">
        <f t="shared" si="144"/>
        <v>0</v>
      </c>
      <c r="V473" s="30">
        <f t="shared" si="145"/>
        <v>0</v>
      </c>
      <c r="W473" s="30">
        <f t="shared" si="146"/>
        <v>0</v>
      </c>
      <c r="X473" s="30">
        <f t="shared" si="147"/>
        <v>0</v>
      </c>
      <c r="Z473" s="23" t="s">
        <v>76</v>
      </c>
      <c r="AA473" s="40" t="str">
        <f>IF(C473="Electricity",E473*SUMIFS(Electricity!S:S,Electricity!P:P,UserMade_Scenario!B473,Electricity!M:M,UserMade_Scenario!Z473,Electricity!O:O,UserMade_Scenario!D473),"")</f>
        <v/>
      </c>
      <c r="AB473" s="67">
        <v>1.4243253975000002E-4</v>
      </c>
      <c r="AC473" s="67" t="s">
        <v>95</v>
      </c>
      <c r="AD473" s="39">
        <f>INDEX(Assumptions!B$120:B$141,MATCH(UserMade_Scenario!$B472,Assumptions!$A$120:$A$141,0))</f>
        <v>-30.36</v>
      </c>
      <c r="AE473" s="39">
        <f>INDEX(Assumptions!C$120:C$141,MATCH(UserMade_Scenario!$B472,Assumptions!$A$120:$A$141,0))</f>
        <v>-30.36</v>
      </c>
      <c r="AF473" s="39">
        <f>INDEX(Assumptions!D$120:D$141,MATCH(UserMade_Scenario!$B472,Assumptions!$A$120:$A$141,0))</f>
        <v>-47.56</v>
      </c>
      <c r="AG473" s="68">
        <f>IFERROR(INDEX(WaterUseH2[Average Direct Water Consumption (Gal/ kg h2)],MATCH(LEFT(D473,3),WaterUseH2[Key],0)),0)</f>
        <v>0</v>
      </c>
      <c r="AH473">
        <v>14</v>
      </c>
      <c r="AI473">
        <v>1.4</v>
      </c>
      <c r="AJ473">
        <v>250</v>
      </c>
      <c r="AK473">
        <v>0.31</v>
      </c>
      <c r="AL473" s="63">
        <f>IFERROR(INDEX(Job_Training[[Solar]:[Wind]],MATCH(AL$1,Job_Training[[`Typical Entry Level Education`]:[`Typical Entry Level Education`]],0),MATCH(LEFT($D473,5),Job_Training[[#Headers],[Solar]:[Wind]],0)),0)</f>
        <v>0</v>
      </c>
      <c r="AM473" s="63">
        <f>IFERROR(INDEX(Job_Training[[Solar]:[Wind]],MATCH(AM$1,Job_Training[[`Typical Entry Level Education`]:[`Typical Entry Level Education`]],0),MATCH(LEFT($D473,5),Job_Training[[#Headers],[Solar]:[Wind]],0)),0)</f>
        <v>0</v>
      </c>
      <c r="AN473" s="63">
        <f>IFERROR(INDEX(Job_Training[[Solar]:[Wind]],MATCH(AN$1,Job_Training[[`Typical Entry Level Education`]:[`Typical Entry Level Education`]],0),MATCH(LEFT($D473,5),Job_Training[[#Headers],[Solar]:[Wind]],0)),0)</f>
        <v>0</v>
      </c>
      <c r="AO473" s="63">
        <f>IFERROR(INDEX(Job_Training[[Solar]:[Wind]],MATCH(AO$1,Job_Training[[`Typical Entry Level Education`]:[`Typical Entry Level Education`]],0),MATCH(LEFT($D473,5),Job_Training[[#Headers],[Solar]:[Wind]],0)),0)</f>
        <v>0</v>
      </c>
      <c r="AP473">
        <f t="shared" si="148"/>
        <v>0</v>
      </c>
      <c r="AQ473" s="63">
        <f>IF(AP473&gt;0,IFERROR(INDEX(Assumptions!$C$165:$D$165,MATCH(LEFT($D473,5),Job_Training[[#Headers],[Solar]:[Wind]],0)),0),0)</f>
        <v>0</v>
      </c>
      <c r="AR473">
        <f>IF(AP473&gt;0,IFERROR(INDEX(Assumptions!$C$166:$D$166,MATCH(LEFT($D473,5),Job_Training[[#Headers],[Solar]:[Wind]],0)),0),0)</f>
        <v>0</v>
      </c>
    </row>
    <row r="474" spans="1:44" hidden="1" x14ac:dyDescent="0.35">
      <c r="A474" t="str">
        <f>UserInput!$B$30</f>
        <v>State Policy Aligned</v>
      </c>
      <c r="B474">
        <v>2035</v>
      </c>
      <c r="C474" t="s">
        <v>92</v>
      </c>
      <c r="D474" t="s">
        <v>96</v>
      </c>
      <c r="E474" s="66">
        <f>INDEX(UserInput!$C$30:$M$50,MATCH(UserMade_Scenario!B474,UserInput!$A$30:$A$50,0),MATCH(LEFT(IF(RIGHT(C474,2)="H2",UserMade_Scenario!C474,D474),3),UserInput!$C$25:$M$25,0))</f>
        <v>7.4285714285714288</v>
      </c>
      <c r="F474" t="s">
        <v>94</v>
      </c>
      <c r="G474" s="14">
        <f t="shared" si="149"/>
        <v>1.0580702952857144E-3</v>
      </c>
      <c r="H474" s="63">
        <f t="shared" si="139"/>
        <v>3.2123014164874286E-2</v>
      </c>
      <c r="I474" s="63">
        <f t="shared" si="140"/>
        <v>3.2123014164874286E-2</v>
      </c>
      <c r="J474" s="63">
        <f t="shared" si="141"/>
        <v>5.0321823243788581E-2</v>
      </c>
      <c r="K474" s="30">
        <f>IF(OR(LEFT($D474,5)="Solar",$D474="Wind"),INDEX(Land_Use[AVG],MATCH(LEFT($D474,5),Land_Use[Tech],0)),0)*$E474</f>
        <v>0</v>
      </c>
      <c r="L474" s="30">
        <f>IF(OR(LEFT($D474,5)="Solar",$D474="Wind"),INDEX(Land_Use[MIN],MATCH(LEFT($D474,5),Land_Use[Tech],0)),0)*$E474</f>
        <v>0</v>
      </c>
      <c r="M474" s="30">
        <f>IF(OR(LEFT($D474,5)="Solar",$D474="Wind"),INDEX(Land_Use[MAX],MATCH(LEFT($D474,5),Land_Use[Tech],0)),0)*$E474</f>
        <v>0</v>
      </c>
      <c r="N474" s="15">
        <f t="shared" si="134"/>
        <v>0</v>
      </c>
      <c r="O474" s="11">
        <f t="shared" si="135"/>
        <v>0</v>
      </c>
      <c r="P474" s="11">
        <f t="shared" si="136"/>
        <v>0</v>
      </c>
      <c r="Q474" s="11">
        <f t="shared" si="137"/>
        <v>0</v>
      </c>
      <c r="R474" s="11">
        <f t="shared" si="138"/>
        <v>0</v>
      </c>
      <c r="S474" s="30">
        <f t="shared" si="142"/>
        <v>0</v>
      </c>
      <c r="T474" s="30">
        <f t="shared" si="143"/>
        <v>0</v>
      </c>
      <c r="U474" s="30">
        <f t="shared" si="144"/>
        <v>0</v>
      </c>
      <c r="V474" s="30">
        <f t="shared" si="145"/>
        <v>0</v>
      </c>
      <c r="W474" s="30">
        <f t="shared" si="146"/>
        <v>0</v>
      </c>
      <c r="X474" s="30">
        <f t="shared" si="147"/>
        <v>0</v>
      </c>
      <c r="Z474" s="23" t="s">
        <v>76</v>
      </c>
      <c r="AA474" s="40" t="str">
        <f>IF(C474="Electricity",E474*SUMIFS(Electricity!S:S,Electricity!P:P,UserMade_Scenario!B474,Electricity!M:M,UserMade_Scenario!Z474,Electricity!O:O,UserMade_Scenario!D474),"")</f>
        <v/>
      </c>
      <c r="AB474" s="67">
        <v>1.4243253975000002E-4</v>
      </c>
      <c r="AC474" s="67" t="s">
        <v>95</v>
      </c>
      <c r="AD474" s="39">
        <f>INDEX(Assumptions!B$120:B$141,MATCH(UserMade_Scenario!$B473,Assumptions!$A$120:$A$141,0))</f>
        <v>-30.36</v>
      </c>
      <c r="AE474" s="39">
        <f>INDEX(Assumptions!C$120:C$141,MATCH(UserMade_Scenario!$B473,Assumptions!$A$120:$A$141,0))</f>
        <v>-30.36</v>
      </c>
      <c r="AF474" s="39">
        <f>INDEX(Assumptions!D$120:D$141,MATCH(UserMade_Scenario!$B473,Assumptions!$A$120:$A$141,0))</f>
        <v>-47.56</v>
      </c>
      <c r="AG474" s="68">
        <f>IFERROR(INDEX(WaterUseH2[Average Direct Water Consumption (Gal/ kg h2)],MATCH(LEFT(D474,3),WaterUseH2[Key],0)),0)</f>
        <v>0</v>
      </c>
      <c r="AH474">
        <v>14</v>
      </c>
      <c r="AI474">
        <v>1.4</v>
      </c>
      <c r="AJ474">
        <v>250</v>
      </c>
      <c r="AK474">
        <v>0.31</v>
      </c>
      <c r="AL474" s="63">
        <f>IFERROR(INDEX(Job_Training[[Solar]:[Wind]],MATCH(AL$1,Job_Training[[`Typical Entry Level Education`]:[`Typical Entry Level Education`]],0),MATCH(LEFT($D474,5),Job_Training[[#Headers],[Solar]:[Wind]],0)),0)</f>
        <v>0</v>
      </c>
      <c r="AM474" s="63">
        <f>IFERROR(INDEX(Job_Training[[Solar]:[Wind]],MATCH(AM$1,Job_Training[[`Typical Entry Level Education`]:[`Typical Entry Level Education`]],0),MATCH(LEFT($D474,5),Job_Training[[#Headers],[Solar]:[Wind]],0)),0)</f>
        <v>0</v>
      </c>
      <c r="AN474" s="63">
        <f>IFERROR(INDEX(Job_Training[[Solar]:[Wind]],MATCH(AN$1,Job_Training[[`Typical Entry Level Education`]:[`Typical Entry Level Education`]],0),MATCH(LEFT($D474,5),Job_Training[[#Headers],[Solar]:[Wind]],0)),0)</f>
        <v>0</v>
      </c>
      <c r="AO474" s="63">
        <f>IFERROR(INDEX(Job_Training[[Solar]:[Wind]],MATCH(AO$1,Job_Training[[`Typical Entry Level Education`]:[`Typical Entry Level Education`]],0),MATCH(LEFT($D474,5),Job_Training[[#Headers],[Solar]:[Wind]],0)),0)</f>
        <v>0</v>
      </c>
      <c r="AP474">
        <f t="shared" si="148"/>
        <v>0</v>
      </c>
      <c r="AQ474" s="63">
        <f>IF(AP474&gt;0,IFERROR(INDEX(Assumptions!$C$165:$D$165,MATCH(LEFT($D474,5),Job_Training[[#Headers],[Solar]:[Wind]],0)),0),0)</f>
        <v>0</v>
      </c>
      <c r="AR474">
        <f>IF(AP474&gt;0,IFERROR(INDEX(Assumptions!$C$166:$D$166,MATCH(LEFT($D474,5),Job_Training[[#Headers],[Solar]:[Wind]],0)),0),0)</f>
        <v>0</v>
      </c>
    </row>
    <row r="475" spans="1:44" hidden="1" x14ac:dyDescent="0.35">
      <c r="A475" t="str">
        <f>UserInput!$B$30</f>
        <v>State Policy Aligned</v>
      </c>
      <c r="B475">
        <v>2036</v>
      </c>
      <c r="C475" t="s">
        <v>92</v>
      </c>
      <c r="D475" t="s">
        <v>96</v>
      </c>
      <c r="E475" s="66">
        <f>INDEX(UserInput!$C$30:$M$50,MATCH(UserMade_Scenario!B475,UserInput!$A$30:$A$50,0),MATCH(LEFT(IF(RIGHT(C475,2)="H2",UserMade_Scenario!C475,D475),3),UserInput!$C$25:$M$25,0))</f>
        <v>7.6857142857142859</v>
      </c>
      <c r="F475" t="s">
        <v>94</v>
      </c>
      <c r="G475" s="14">
        <f t="shared" si="149"/>
        <v>1.0946958055071431E-3</v>
      </c>
      <c r="H475" s="63">
        <f t="shared" si="139"/>
        <v>3.3234964655196861E-2</v>
      </c>
      <c r="I475" s="63">
        <f t="shared" si="140"/>
        <v>3.3234964655196861E-2</v>
      </c>
      <c r="J475" s="63">
        <f t="shared" si="141"/>
        <v>5.2063732509919726E-2</v>
      </c>
      <c r="K475" s="30">
        <f>IF(OR(LEFT($D475,5)="Solar",$D475="Wind"),INDEX(Land_Use[AVG],MATCH(LEFT($D475,5),Land_Use[Tech],0)),0)*$E475</f>
        <v>0</v>
      </c>
      <c r="L475" s="30">
        <f>IF(OR(LEFT($D475,5)="Solar",$D475="Wind"),INDEX(Land_Use[MIN],MATCH(LEFT($D475,5),Land_Use[Tech],0)),0)*$E475</f>
        <v>0</v>
      </c>
      <c r="M475" s="30">
        <f>IF(OR(LEFT($D475,5)="Solar",$D475="Wind"),INDEX(Land_Use[MAX],MATCH(LEFT($D475,5),Land_Use[Tech],0)),0)*$E475</f>
        <v>0</v>
      </c>
      <c r="N475" s="15">
        <f t="shared" si="134"/>
        <v>0</v>
      </c>
      <c r="O475" s="11">
        <f t="shared" si="135"/>
        <v>0</v>
      </c>
      <c r="P475" s="11">
        <f t="shared" si="136"/>
        <v>0</v>
      </c>
      <c r="Q475" s="11">
        <f t="shared" si="137"/>
        <v>0</v>
      </c>
      <c r="R475" s="11">
        <f t="shared" si="138"/>
        <v>0</v>
      </c>
      <c r="S475" s="30">
        <f t="shared" si="142"/>
        <v>0</v>
      </c>
      <c r="T475" s="30">
        <f t="shared" si="143"/>
        <v>0</v>
      </c>
      <c r="U475" s="30">
        <f t="shared" si="144"/>
        <v>0</v>
      </c>
      <c r="V475" s="30">
        <f t="shared" si="145"/>
        <v>0</v>
      </c>
      <c r="W475" s="30">
        <f t="shared" si="146"/>
        <v>0</v>
      </c>
      <c r="X475" s="30">
        <f t="shared" si="147"/>
        <v>0</v>
      </c>
      <c r="Z475" s="23" t="s">
        <v>76</v>
      </c>
      <c r="AA475" s="40" t="str">
        <f>IF(C475="Electricity",E475*SUMIFS(Electricity!S:S,Electricity!P:P,UserMade_Scenario!B475,Electricity!M:M,UserMade_Scenario!Z475,Electricity!O:O,UserMade_Scenario!D475),"")</f>
        <v/>
      </c>
      <c r="AB475" s="67">
        <v>1.4243253975000002E-4</v>
      </c>
      <c r="AC475" s="67" t="s">
        <v>95</v>
      </c>
      <c r="AD475" s="39">
        <f>INDEX(Assumptions!B$120:B$141,MATCH(UserMade_Scenario!$B474,Assumptions!$A$120:$A$141,0))</f>
        <v>-30.36</v>
      </c>
      <c r="AE475" s="39">
        <f>INDEX(Assumptions!C$120:C$141,MATCH(UserMade_Scenario!$B474,Assumptions!$A$120:$A$141,0))</f>
        <v>-30.36</v>
      </c>
      <c r="AF475" s="39">
        <f>INDEX(Assumptions!D$120:D$141,MATCH(UserMade_Scenario!$B474,Assumptions!$A$120:$A$141,0))</f>
        <v>-47.56</v>
      </c>
      <c r="AG475" s="68">
        <f>IFERROR(INDEX(WaterUseH2[Average Direct Water Consumption (Gal/ kg h2)],MATCH(LEFT(D475,3),WaterUseH2[Key],0)),0)</f>
        <v>0</v>
      </c>
      <c r="AH475">
        <v>14</v>
      </c>
      <c r="AI475">
        <v>1.4</v>
      </c>
      <c r="AJ475">
        <v>250</v>
      </c>
      <c r="AK475">
        <v>0.31</v>
      </c>
      <c r="AL475" s="63">
        <f>IFERROR(INDEX(Job_Training[[Solar]:[Wind]],MATCH(AL$1,Job_Training[[`Typical Entry Level Education`]:[`Typical Entry Level Education`]],0),MATCH(LEFT($D475,5),Job_Training[[#Headers],[Solar]:[Wind]],0)),0)</f>
        <v>0</v>
      </c>
      <c r="AM475" s="63">
        <f>IFERROR(INDEX(Job_Training[[Solar]:[Wind]],MATCH(AM$1,Job_Training[[`Typical Entry Level Education`]:[`Typical Entry Level Education`]],0),MATCH(LEFT($D475,5),Job_Training[[#Headers],[Solar]:[Wind]],0)),0)</f>
        <v>0</v>
      </c>
      <c r="AN475" s="63">
        <f>IFERROR(INDEX(Job_Training[[Solar]:[Wind]],MATCH(AN$1,Job_Training[[`Typical Entry Level Education`]:[`Typical Entry Level Education`]],0),MATCH(LEFT($D475,5),Job_Training[[#Headers],[Solar]:[Wind]],0)),0)</f>
        <v>0</v>
      </c>
      <c r="AO475" s="63">
        <f>IFERROR(INDEX(Job_Training[[Solar]:[Wind]],MATCH(AO$1,Job_Training[[`Typical Entry Level Education`]:[`Typical Entry Level Education`]],0),MATCH(LEFT($D475,5),Job_Training[[#Headers],[Solar]:[Wind]],0)),0)</f>
        <v>0</v>
      </c>
      <c r="AP475">
        <f t="shared" si="148"/>
        <v>0</v>
      </c>
      <c r="AQ475" s="63">
        <f>IF(AP475&gt;0,IFERROR(INDEX(Assumptions!$C$165:$D$165,MATCH(LEFT($D475,5),Job_Training[[#Headers],[Solar]:[Wind]],0)),0),0)</f>
        <v>0</v>
      </c>
      <c r="AR475">
        <f>IF(AP475&gt;0,IFERROR(INDEX(Assumptions!$C$166:$D$166,MATCH(LEFT($D475,5),Job_Training[[#Headers],[Solar]:[Wind]],0)),0),0)</f>
        <v>0</v>
      </c>
    </row>
    <row r="476" spans="1:44" hidden="1" x14ac:dyDescent="0.35">
      <c r="A476" t="str">
        <f>UserInput!$B$30</f>
        <v>State Policy Aligned</v>
      </c>
      <c r="B476">
        <v>2037</v>
      </c>
      <c r="C476" t="s">
        <v>92</v>
      </c>
      <c r="D476" t="s">
        <v>96</v>
      </c>
      <c r="E476" s="66">
        <f>INDEX(UserInput!$C$30:$M$50,MATCH(UserMade_Scenario!B476,UserInput!$A$30:$A$50,0),MATCH(LEFT(IF(RIGHT(C476,2)="H2",UserMade_Scenario!C476,D476),3),UserInput!$C$25:$M$25,0))</f>
        <v>7.9428571428571431</v>
      </c>
      <c r="F476" t="s">
        <v>94</v>
      </c>
      <c r="G476" s="14">
        <f t="shared" si="149"/>
        <v>1.1313213157285716E-3</v>
      </c>
      <c r="H476" s="63">
        <f t="shared" si="139"/>
        <v>3.4346915145519429E-2</v>
      </c>
      <c r="I476" s="63">
        <f t="shared" si="140"/>
        <v>3.4346915145519429E-2</v>
      </c>
      <c r="J476" s="63">
        <f t="shared" si="141"/>
        <v>5.3805641776050864E-2</v>
      </c>
      <c r="K476" s="30">
        <f>IF(OR(LEFT($D476,5)="Solar",$D476="Wind"),INDEX(Land_Use[AVG],MATCH(LEFT($D476,5),Land_Use[Tech],0)),0)*$E476</f>
        <v>0</v>
      </c>
      <c r="L476" s="30">
        <f>IF(OR(LEFT($D476,5)="Solar",$D476="Wind"),INDEX(Land_Use[MIN],MATCH(LEFT($D476,5),Land_Use[Tech],0)),0)*$E476</f>
        <v>0</v>
      </c>
      <c r="M476" s="30">
        <f>IF(OR(LEFT($D476,5)="Solar",$D476="Wind"),INDEX(Land_Use[MAX],MATCH(LEFT($D476,5),Land_Use[Tech],0)),0)*$E476</f>
        <v>0</v>
      </c>
      <c r="N476" s="15">
        <f t="shared" si="134"/>
        <v>0</v>
      </c>
      <c r="O476" s="11">
        <f t="shared" si="135"/>
        <v>0</v>
      </c>
      <c r="P476" s="11">
        <f t="shared" si="136"/>
        <v>0</v>
      </c>
      <c r="Q476" s="11">
        <f t="shared" si="137"/>
        <v>0</v>
      </c>
      <c r="R476" s="11">
        <f t="shared" si="138"/>
        <v>0</v>
      </c>
      <c r="S476" s="30">
        <f t="shared" si="142"/>
        <v>0</v>
      </c>
      <c r="T476" s="30">
        <f t="shared" si="143"/>
        <v>0</v>
      </c>
      <c r="U476" s="30">
        <f t="shared" si="144"/>
        <v>0</v>
      </c>
      <c r="V476" s="30">
        <f t="shared" si="145"/>
        <v>0</v>
      </c>
      <c r="W476" s="30">
        <f t="shared" si="146"/>
        <v>0</v>
      </c>
      <c r="X476" s="30">
        <f t="shared" si="147"/>
        <v>0</v>
      </c>
      <c r="Z476" s="23" t="s">
        <v>76</v>
      </c>
      <c r="AA476" s="40" t="str">
        <f>IF(C476="Electricity",E476*SUMIFS(Electricity!S:S,Electricity!P:P,UserMade_Scenario!B476,Electricity!M:M,UserMade_Scenario!Z476,Electricity!O:O,UserMade_Scenario!D476),"")</f>
        <v/>
      </c>
      <c r="AB476" s="67">
        <v>1.4243253975000002E-4</v>
      </c>
      <c r="AC476" s="67" t="s">
        <v>95</v>
      </c>
      <c r="AD476" s="39">
        <f>INDEX(Assumptions!B$120:B$141,MATCH(UserMade_Scenario!$B475,Assumptions!$A$120:$A$141,0))</f>
        <v>-30.36</v>
      </c>
      <c r="AE476" s="39">
        <f>INDEX(Assumptions!C$120:C$141,MATCH(UserMade_Scenario!$B475,Assumptions!$A$120:$A$141,0))</f>
        <v>-30.36</v>
      </c>
      <c r="AF476" s="39">
        <f>INDEX(Assumptions!D$120:D$141,MATCH(UserMade_Scenario!$B475,Assumptions!$A$120:$A$141,0))</f>
        <v>-47.56</v>
      </c>
      <c r="AG476" s="68">
        <f>IFERROR(INDEX(WaterUseH2[Average Direct Water Consumption (Gal/ kg h2)],MATCH(LEFT(D476,3),WaterUseH2[Key],0)),0)</f>
        <v>0</v>
      </c>
      <c r="AH476">
        <v>14</v>
      </c>
      <c r="AI476">
        <v>1.4</v>
      </c>
      <c r="AJ476">
        <v>250</v>
      </c>
      <c r="AK476">
        <v>0.31</v>
      </c>
      <c r="AL476" s="63">
        <f>IFERROR(INDEX(Job_Training[[Solar]:[Wind]],MATCH(AL$1,Job_Training[[`Typical Entry Level Education`]:[`Typical Entry Level Education`]],0),MATCH(LEFT($D476,5),Job_Training[[#Headers],[Solar]:[Wind]],0)),0)</f>
        <v>0</v>
      </c>
      <c r="AM476" s="63">
        <f>IFERROR(INDEX(Job_Training[[Solar]:[Wind]],MATCH(AM$1,Job_Training[[`Typical Entry Level Education`]:[`Typical Entry Level Education`]],0),MATCH(LEFT($D476,5),Job_Training[[#Headers],[Solar]:[Wind]],0)),0)</f>
        <v>0</v>
      </c>
      <c r="AN476" s="63">
        <f>IFERROR(INDEX(Job_Training[[Solar]:[Wind]],MATCH(AN$1,Job_Training[[`Typical Entry Level Education`]:[`Typical Entry Level Education`]],0),MATCH(LEFT($D476,5),Job_Training[[#Headers],[Solar]:[Wind]],0)),0)</f>
        <v>0</v>
      </c>
      <c r="AO476" s="63">
        <f>IFERROR(INDEX(Job_Training[[Solar]:[Wind]],MATCH(AO$1,Job_Training[[`Typical Entry Level Education`]:[`Typical Entry Level Education`]],0),MATCH(LEFT($D476,5),Job_Training[[#Headers],[Solar]:[Wind]],0)),0)</f>
        <v>0</v>
      </c>
      <c r="AP476">
        <f t="shared" si="148"/>
        <v>0</v>
      </c>
      <c r="AQ476" s="63">
        <f>IF(AP476&gt;0,IFERROR(INDEX(Assumptions!$C$165:$D$165,MATCH(LEFT($D476,5),Job_Training[[#Headers],[Solar]:[Wind]],0)),0),0)</f>
        <v>0</v>
      </c>
      <c r="AR476">
        <f>IF(AP476&gt;0,IFERROR(INDEX(Assumptions!$C$166:$D$166,MATCH(LEFT($D476,5),Job_Training[[#Headers],[Solar]:[Wind]],0)),0),0)</f>
        <v>0</v>
      </c>
    </row>
    <row r="477" spans="1:44" hidden="1" x14ac:dyDescent="0.35">
      <c r="A477" t="str">
        <f>UserInput!$B$30</f>
        <v>State Policy Aligned</v>
      </c>
      <c r="B477">
        <v>2038</v>
      </c>
      <c r="C477" t="s">
        <v>92</v>
      </c>
      <c r="D477" t="s">
        <v>96</v>
      </c>
      <c r="E477" s="66">
        <f>INDEX(UserInput!$C$30:$M$50,MATCH(UserMade_Scenario!B477,UserInput!$A$30:$A$50,0),MATCH(LEFT(IF(RIGHT(C477,2)="H2",UserMade_Scenario!C477,D477),3),UserInput!$C$25:$M$25,0))</f>
        <v>8.1999999999999993</v>
      </c>
      <c r="F477" t="s">
        <v>94</v>
      </c>
      <c r="G477" s="14">
        <f t="shared" si="149"/>
        <v>1.16794682595E-3</v>
      </c>
      <c r="H477" s="63">
        <f t="shared" si="139"/>
        <v>3.5458865635842003E-2</v>
      </c>
      <c r="I477" s="63">
        <f t="shared" si="140"/>
        <v>3.5458865635842003E-2</v>
      </c>
      <c r="J477" s="63">
        <f t="shared" si="141"/>
        <v>5.5547551042182002E-2</v>
      </c>
      <c r="K477" s="30">
        <f>IF(OR(LEFT($D477,5)="Solar",$D477="Wind"),INDEX(Land_Use[AVG],MATCH(LEFT($D477,5),Land_Use[Tech],0)),0)*$E477</f>
        <v>0</v>
      </c>
      <c r="L477" s="30">
        <f>IF(OR(LEFT($D477,5)="Solar",$D477="Wind"),INDEX(Land_Use[MIN],MATCH(LEFT($D477,5),Land_Use[Tech],0)),0)*$E477</f>
        <v>0</v>
      </c>
      <c r="M477" s="30">
        <f>IF(OR(LEFT($D477,5)="Solar",$D477="Wind"),INDEX(Land_Use[MAX],MATCH(LEFT($D477,5),Land_Use[Tech],0)),0)*$E477</f>
        <v>0</v>
      </c>
      <c r="N477" s="15">
        <f t="shared" si="134"/>
        <v>0</v>
      </c>
      <c r="O477" s="11">
        <f t="shared" si="135"/>
        <v>0</v>
      </c>
      <c r="P477" s="11">
        <f t="shared" si="136"/>
        <v>0</v>
      </c>
      <c r="Q477" s="11">
        <f t="shared" si="137"/>
        <v>0</v>
      </c>
      <c r="R477" s="11">
        <f t="shared" si="138"/>
        <v>0</v>
      </c>
      <c r="S477" s="30">
        <f t="shared" si="142"/>
        <v>0</v>
      </c>
      <c r="T477" s="30">
        <f t="shared" si="143"/>
        <v>0</v>
      </c>
      <c r="U477" s="30">
        <f t="shared" si="144"/>
        <v>0</v>
      </c>
      <c r="V477" s="30">
        <f t="shared" si="145"/>
        <v>0</v>
      </c>
      <c r="W477" s="30">
        <f t="shared" si="146"/>
        <v>0</v>
      </c>
      <c r="X477" s="30">
        <f t="shared" si="147"/>
        <v>0</v>
      </c>
      <c r="Z477" s="23" t="s">
        <v>76</v>
      </c>
      <c r="AA477" s="40" t="str">
        <f>IF(C477="Electricity",E477*SUMIFS(Electricity!S:S,Electricity!P:P,UserMade_Scenario!B477,Electricity!M:M,UserMade_Scenario!Z477,Electricity!O:O,UserMade_Scenario!D477),"")</f>
        <v/>
      </c>
      <c r="AB477" s="67">
        <v>1.4243253975000002E-4</v>
      </c>
      <c r="AC477" s="67" t="s">
        <v>95</v>
      </c>
      <c r="AD477" s="39">
        <f>INDEX(Assumptions!B$120:B$141,MATCH(UserMade_Scenario!$B476,Assumptions!$A$120:$A$141,0))</f>
        <v>-30.36</v>
      </c>
      <c r="AE477" s="39">
        <f>INDEX(Assumptions!C$120:C$141,MATCH(UserMade_Scenario!$B476,Assumptions!$A$120:$A$141,0))</f>
        <v>-30.36</v>
      </c>
      <c r="AF477" s="39">
        <f>INDEX(Assumptions!D$120:D$141,MATCH(UserMade_Scenario!$B476,Assumptions!$A$120:$A$141,0))</f>
        <v>-47.56</v>
      </c>
      <c r="AG477" s="68">
        <f>IFERROR(INDEX(WaterUseH2[Average Direct Water Consumption (Gal/ kg h2)],MATCH(LEFT(D477,3),WaterUseH2[Key],0)),0)</f>
        <v>0</v>
      </c>
      <c r="AH477">
        <v>14</v>
      </c>
      <c r="AI477">
        <v>1.4</v>
      </c>
      <c r="AJ477">
        <v>250</v>
      </c>
      <c r="AK477">
        <v>0.31</v>
      </c>
      <c r="AL477" s="63">
        <f>IFERROR(INDEX(Job_Training[[Solar]:[Wind]],MATCH(AL$1,Job_Training[[`Typical Entry Level Education`]:[`Typical Entry Level Education`]],0),MATCH(LEFT($D477,5),Job_Training[[#Headers],[Solar]:[Wind]],0)),0)</f>
        <v>0</v>
      </c>
      <c r="AM477" s="63">
        <f>IFERROR(INDEX(Job_Training[[Solar]:[Wind]],MATCH(AM$1,Job_Training[[`Typical Entry Level Education`]:[`Typical Entry Level Education`]],0),MATCH(LEFT($D477,5),Job_Training[[#Headers],[Solar]:[Wind]],0)),0)</f>
        <v>0</v>
      </c>
      <c r="AN477" s="63">
        <f>IFERROR(INDEX(Job_Training[[Solar]:[Wind]],MATCH(AN$1,Job_Training[[`Typical Entry Level Education`]:[`Typical Entry Level Education`]],0),MATCH(LEFT($D477,5),Job_Training[[#Headers],[Solar]:[Wind]],0)),0)</f>
        <v>0</v>
      </c>
      <c r="AO477" s="63">
        <f>IFERROR(INDEX(Job_Training[[Solar]:[Wind]],MATCH(AO$1,Job_Training[[`Typical Entry Level Education`]:[`Typical Entry Level Education`]],0),MATCH(LEFT($D477,5),Job_Training[[#Headers],[Solar]:[Wind]],0)),0)</f>
        <v>0</v>
      </c>
      <c r="AP477">
        <f t="shared" si="148"/>
        <v>0</v>
      </c>
      <c r="AQ477" s="63">
        <f>IF(AP477&gt;0,IFERROR(INDEX(Assumptions!$C$165:$D$165,MATCH(LEFT($D477,5),Job_Training[[#Headers],[Solar]:[Wind]],0)),0),0)</f>
        <v>0</v>
      </c>
      <c r="AR477">
        <f>IF(AP477&gt;0,IFERROR(INDEX(Assumptions!$C$166:$D$166,MATCH(LEFT($D477,5),Job_Training[[#Headers],[Solar]:[Wind]],0)),0),0)</f>
        <v>0</v>
      </c>
    </row>
    <row r="478" spans="1:44" hidden="1" x14ac:dyDescent="0.35">
      <c r="A478" t="str">
        <f>UserInput!$B$30</f>
        <v>State Policy Aligned</v>
      </c>
      <c r="B478">
        <v>2039</v>
      </c>
      <c r="C478" t="s">
        <v>92</v>
      </c>
      <c r="D478" t="s">
        <v>96</v>
      </c>
      <c r="E478" s="66">
        <f>INDEX(UserInput!$C$30:$M$50,MATCH(UserMade_Scenario!B478,UserInput!$A$30:$A$50,0),MATCH(LEFT(IF(RIGHT(C478,2)="H2",UserMade_Scenario!C478,D478),3),UserInput!$C$25:$M$25,0))</f>
        <v>8.4571428571428555</v>
      </c>
      <c r="F478" t="s">
        <v>94</v>
      </c>
      <c r="G478" s="14">
        <f t="shared" si="149"/>
        <v>1.2045723361714285E-3</v>
      </c>
      <c r="H478" s="63">
        <f t="shared" si="139"/>
        <v>3.6570816126164571E-2</v>
      </c>
      <c r="I478" s="63">
        <f t="shared" si="140"/>
        <v>3.6570816126164571E-2</v>
      </c>
      <c r="J478" s="63">
        <f t="shared" si="141"/>
        <v>5.7289460308313139E-2</v>
      </c>
      <c r="K478" s="30">
        <f>IF(OR(LEFT($D478,5)="Solar",$D478="Wind"),INDEX(Land_Use[AVG],MATCH(LEFT($D478,5),Land_Use[Tech],0)),0)*$E478</f>
        <v>0</v>
      </c>
      <c r="L478" s="30">
        <f>IF(OR(LEFT($D478,5)="Solar",$D478="Wind"),INDEX(Land_Use[MIN],MATCH(LEFT($D478,5),Land_Use[Tech],0)),0)*$E478</f>
        <v>0</v>
      </c>
      <c r="M478" s="30">
        <f>IF(OR(LEFT($D478,5)="Solar",$D478="Wind"),INDEX(Land_Use[MAX],MATCH(LEFT($D478,5),Land_Use[Tech],0)),0)*$E478</f>
        <v>0</v>
      </c>
      <c r="N478" s="15">
        <f t="shared" si="134"/>
        <v>0</v>
      </c>
      <c r="O478" s="11">
        <f t="shared" si="135"/>
        <v>0</v>
      </c>
      <c r="P478" s="11">
        <f t="shared" si="136"/>
        <v>0</v>
      </c>
      <c r="Q478" s="11">
        <f t="shared" si="137"/>
        <v>0</v>
      </c>
      <c r="R478" s="11">
        <f t="shared" si="138"/>
        <v>0</v>
      </c>
      <c r="S478" s="30">
        <f t="shared" si="142"/>
        <v>0</v>
      </c>
      <c r="T478" s="30">
        <f t="shared" si="143"/>
        <v>0</v>
      </c>
      <c r="U478" s="30">
        <f t="shared" si="144"/>
        <v>0</v>
      </c>
      <c r="V478" s="30">
        <f t="shared" si="145"/>
        <v>0</v>
      </c>
      <c r="W478" s="30">
        <f t="shared" si="146"/>
        <v>0</v>
      </c>
      <c r="X478" s="30">
        <f t="shared" si="147"/>
        <v>0</v>
      </c>
      <c r="Z478" s="23" t="s">
        <v>76</v>
      </c>
      <c r="AA478" s="40" t="str">
        <f>IF(C478="Electricity",E478*SUMIFS(Electricity!S:S,Electricity!P:P,UserMade_Scenario!B478,Electricity!M:M,UserMade_Scenario!Z478,Electricity!O:O,UserMade_Scenario!D478),"")</f>
        <v/>
      </c>
      <c r="AB478" s="67">
        <v>1.4243253975000002E-4</v>
      </c>
      <c r="AC478" s="67" t="s">
        <v>95</v>
      </c>
      <c r="AD478" s="39">
        <f>INDEX(Assumptions!B$120:B$141,MATCH(UserMade_Scenario!$B477,Assumptions!$A$120:$A$141,0))</f>
        <v>-30.36</v>
      </c>
      <c r="AE478" s="39">
        <f>INDEX(Assumptions!C$120:C$141,MATCH(UserMade_Scenario!$B477,Assumptions!$A$120:$A$141,0))</f>
        <v>-30.36</v>
      </c>
      <c r="AF478" s="39">
        <f>INDEX(Assumptions!D$120:D$141,MATCH(UserMade_Scenario!$B477,Assumptions!$A$120:$A$141,0))</f>
        <v>-47.56</v>
      </c>
      <c r="AG478" s="68">
        <f>IFERROR(INDEX(WaterUseH2[Average Direct Water Consumption (Gal/ kg h2)],MATCH(LEFT(D478,3),WaterUseH2[Key],0)),0)</f>
        <v>0</v>
      </c>
      <c r="AH478">
        <v>14</v>
      </c>
      <c r="AI478">
        <v>1.4</v>
      </c>
      <c r="AJ478">
        <v>250</v>
      </c>
      <c r="AK478">
        <v>0.31</v>
      </c>
      <c r="AL478" s="63">
        <f>IFERROR(INDEX(Job_Training[[Solar]:[Wind]],MATCH(AL$1,Job_Training[[`Typical Entry Level Education`]:[`Typical Entry Level Education`]],0),MATCH(LEFT($D478,5),Job_Training[[#Headers],[Solar]:[Wind]],0)),0)</f>
        <v>0</v>
      </c>
      <c r="AM478" s="63">
        <f>IFERROR(INDEX(Job_Training[[Solar]:[Wind]],MATCH(AM$1,Job_Training[[`Typical Entry Level Education`]:[`Typical Entry Level Education`]],0),MATCH(LEFT($D478,5),Job_Training[[#Headers],[Solar]:[Wind]],0)),0)</f>
        <v>0</v>
      </c>
      <c r="AN478" s="63">
        <f>IFERROR(INDEX(Job_Training[[Solar]:[Wind]],MATCH(AN$1,Job_Training[[`Typical Entry Level Education`]:[`Typical Entry Level Education`]],0),MATCH(LEFT($D478,5),Job_Training[[#Headers],[Solar]:[Wind]],0)),0)</f>
        <v>0</v>
      </c>
      <c r="AO478" s="63">
        <f>IFERROR(INDEX(Job_Training[[Solar]:[Wind]],MATCH(AO$1,Job_Training[[`Typical Entry Level Education`]:[`Typical Entry Level Education`]],0),MATCH(LEFT($D478,5),Job_Training[[#Headers],[Solar]:[Wind]],0)),0)</f>
        <v>0</v>
      </c>
      <c r="AP478">
        <f t="shared" si="148"/>
        <v>0</v>
      </c>
      <c r="AQ478" s="63">
        <f>IF(AP478&gt;0,IFERROR(INDEX(Assumptions!$C$165:$D$165,MATCH(LEFT($D478,5),Job_Training[[#Headers],[Solar]:[Wind]],0)),0),0)</f>
        <v>0</v>
      </c>
      <c r="AR478">
        <f>IF(AP478&gt;0,IFERROR(INDEX(Assumptions!$C$166:$D$166,MATCH(LEFT($D478,5),Job_Training[[#Headers],[Solar]:[Wind]],0)),0),0)</f>
        <v>0</v>
      </c>
    </row>
    <row r="479" spans="1:44" hidden="1" x14ac:dyDescent="0.35">
      <c r="A479" t="str">
        <f>UserInput!$B$30</f>
        <v>State Policy Aligned</v>
      </c>
      <c r="B479">
        <v>2040</v>
      </c>
      <c r="C479" t="s">
        <v>92</v>
      </c>
      <c r="D479" t="s">
        <v>96</v>
      </c>
      <c r="E479" s="66">
        <f>INDEX(UserInput!$C$30:$M$50,MATCH(UserMade_Scenario!B479,UserInput!$A$30:$A$50,0),MATCH(LEFT(IF(RIGHT(C479,2)="H2",UserMade_Scenario!C479,D479),3),UserInput!$C$25:$M$25,0))</f>
        <v>8.7142857142857117</v>
      </c>
      <c r="F479" t="s">
        <v>94</v>
      </c>
      <c r="G479" s="14">
        <f t="shared" si="149"/>
        <v>1.2411978463928569E-3</v>
      </c>
      <c r="H479" s="63">
        <f t="shared" si="139"/>
        <v>3.7682766616487139E-2</v>
      </c>
      <c r="I479" s="63">
        <f t="shared" si="140"/>
        <v>3.7682766616487139E-2</v>
      </c>
      <c r="J479" s="63">
        <f t="shared" si="141"/>
        <v>5.9031369574444277E-2</v>
      </c>
      <c r="K479" s="30">
        <f>IF(OR(LEFT($D479,5)="Solar",$D479="Wind"),INDEX(Land_Use[AVG],MATCH(LEFT($D479,5),Land_Use[Tech],0)),0)*$E479</f>
        <v>0</v>
      </c>
      <c r="L479" s="30">
        <f>IF(OR(LEFT($D479,5)="Solar",$D479="Wind"),INDEX(Land_Use[MIN],MATCH(LEFT($D479,5),Land_Use[Tech],0)),0)*$E479</f>
        <v>0</v>
      </c>
      <c r="M479" s="30">
        <f>IF(OR(LEFT($D479,5)="Solar",$D479="Wind"),INDEX(Land_Use[MAX],MATCH(LEFT($D479,5),Land_Use[Tech],0)),0)*$E479</f>
        <v>0</v>
      </c>
      <c r="N479" s="15">
        <f t="shared" si="134"/>
        <v>0</v>
      </c>
      <c r="O479" s="11">
        <f t="shared" si="135"/>
        <v>0</v>
      </c>
      <c r="P479" s="11">
        <f t="shared" si="136"/>
        <v>0</v>
      </c>
      <c r="Q479" s="11">
        <f t="shared" si="137"/>
        <v>0</v>
      </c>
      <c r="R479" s="11">
        <f t="shared" si="138"/>
        <v>0</v>
      </c>
      <c r="S479" s="30">
        <f t="shared" si="142"/>
        <v>0</v>
      </c>
      <c r="T479" s="30">
        <f t="shared" si="143"/>
        <v>0</v>
      </c>
      <c r="U479" s="30">
        <f t="shared" si="144"/>
        <v>0</v>
      </c>
      <c r="V479" s="30">
        <f t="shared" si="145"/>
        <v>0</v>
      </c>
      <c r="W479" s="30">
        <f t="shared" si="146"/>
        <v>0</v>
      </c>
      <c r="X479" s="30">
        <f t="shared" si="147"/>
        <v>0</v>
      </c>
      <c r="Z479" s="23" t="s">
        <v>76</v>
      </c>
      <c r="AA479" s="40" t="str">
        <f>IF(C479="Electricity",E479*SUMIFS(Electricity!S:S,Electricity!P:P,UserMade_Scenario!B479,Electricity!M:M,UserMade_Scenario!Z479,Electricity!O:O,UserMade_Scenario!D479),"")</f>
        <v/>
      </c>
      <c r="AB479" s="67">
        <v>1.4243253975000002E-4</v>
      </c>
      <c r="AC479" s="67" t="s">
        <v>95</v>
      </c>
      <c r="AD479" s="39">
        <f>INDEX(Assumptions!B$120:B$141,MATCH(UserMade_Scenario!$B478,Assumptions!$A$120:$A$141,0))</f>
        <v>-30.36</v>
      </c>
      <c r="AE479" s="39">
        <f>INDEX(Assumptions!C$120:C$141,MATCH(UserMade_Scenario!$B478,Assumptions!$A$120:$A$141,0))</f>
        <v>-30.36</v>
      </c>
      <c r="AF479" s="39">
        <f>INDEX(Assumptions!D$120:D$141,MATCH(UserMade_Scenario!$B478,Assumptions!$A$120:$A$141,0))</f>
        <v>-47.56</v>
      </c>
      <c r="AG479" s="68">
        <f>IFERROR(INDEX(WaterUseH2[Average Direct Water Consumption (Gal/ kg h2)],MATCH(LEFT(D479,3),WaterUseH2[Key],0)),0)</f>
        <v>0</v>
      </c>
      <c r="AH479">
        <v>14</v>
      </c>
      <c r="AI479">
        <v>1.4</v>
      </c>
      <c r="AJ479">
        <v>250</v>
      </c>
      <c r="AK479">
        <v>0.31</v>
      </c>
      <c r="AL479" s="63">
        <f>IFERROR(INDEX(Job_Training[[Solar]:[Wind]],MATCH(AL$1,Job_Training[[`Typical Entry Level Education`]:[`Typical Entry Level Education`]],0),MATCH(LEFT($D479,5),Job_Training[[#Headers],[Solar]:[Wind]],0)),0)</f>
        <v>0</v>
      </c>
      <c r="AM479" s="63">
        <f>IFERROR(INDEX(Job_Training[[Solar]:[Wind]],MATCH(AM$1,Job_Training[[`Typical Entry Level Education`]:[`Typical Entry Level Education`]],0),MATCH(LEFT($D479,5),Job_Training[[#Headers],[Solar]:[Wind]],0)),0)</f>
        <v>0</v>
      </c>
      <c r="AN479" s="63">
        <f>IFERROR(INDEX(Job_Training[[Solar]:[Wind]],MATCH(AN$1,Job_Training[[`Typical Entry Level Education`]:[`Typical Entry Level Education`]],0),MATCH(LEFT($D479,5),Job_Training[[#Headers],[Solar]:[Wind]],0)),0)</f>
        <v>0</v>
      </c>
      <c r="AO479" s="63">
        <f>IFERROR(INDEX(Job_Training[[Solar]:[Wind]],MATCH(AO$1,Job_Training[[`Typical Entry Level Education`]:[`Typical Entry Level Education`]],0),MATCH(LEFT($D479,5),Job_Training[[#Headers],[Solar]:[Wind]],0)),0)</f>
        <v>0</v>
      </c>
      <c r="AP479">
        <f t="shared" si="148"/>
        <v>0</v>
      </c>
      <c r="AQ479" s="63">
        <f>IF(AP479&gt;0,IFERROR(INDEX(Assumptions!$C$165:$D$165,MATCH(LEFT($D479,5),Job_Training[[#Headers],[Solar]:[Wind]],0)),0),0)</f>
        <v>0</v>
      </c>
      <c r="AR479">
        <f>IF(AP479&gt;0,IFERROR(INDEX(Assumptions!$C$166:$D$166,MATCH(LEFT($D479,5),Job_Training[[#Headers],[Solar]:[Wind]],0)),0),0)</f>
        <v>0</v>
      </c>
    </row>
    <row r="480" spans="1:44" hidden="1" x14ac:dyDescent="0.35">
      <c r="A480" t="str">
        <f>UserInput!$B$30</f>
        <v>State Policy Aligned</v>
      </c>
      <c r="B480">
        <v>2041</v>
      </c>
      <c r="C480" t="s">
        <v>92</v>
      </c>
      <c r="D480" t="s">
        <v>96</v>
      </c>
      <c r="E480" s="66">
        <f>INDEX(UserInput!$C$30:$M$50,MATCH(UserMade_Scenario!B480,UserInput!$A$30:$A$50,0),MATCH(LEFT(IF(RIGHT(C480,2)="H2",UserMade_Scenario!C480,D480),3),UserInput!$C$25:$M$25,0))</f>
        <v>8.971428571428568</v>
      </c>
      <c r="F480" t="s">
        <v>94</v>
      </c>
      <c r="G480" s="14">
        <f t="shared" si="149"/>
        <v>1.2778233566142854E-3</v>
      </c>
      <c r="H480" s="63">
        <f t="shared" si="139"/>
        <v>3.8794717106809706E-2</v>
      </c>
      <c r="I480" s="63">
        <f t="shared" si="140"/>
        <v>3.8794717106809706E-2</v>
      </c>
      <c r="J480" s="63">
        <f t="shared" si="141"/>
        <v>6.0773278840575415E-2</v>
      </c>
      <c r="K480" s="30">
        <f>IF(OR(LEFT($D480,5)="Solar",$D480="Wind"),INDEX(Land_Use[AVG],MATCH(LEFT($D480,5),Land_Use[Tech],0)),0)*$E480</f>
        <v>0</v>
      </c>
      <c r="L480" s="30">
        <f>IF(OR(LEFT($D480,5)="Solar",$D480="Wind"),INDEX(Land_Use[MIN],MATCH(LEFT($D480,5),Land_Use[Tech],0)),0)*$E480</f>
        <v>0</v>
      </c>
      <c r="M480" s="30">
        <f>IF(OR(LEFT($D480,5)="Solar",$D480="Wind"),INDEX(Land_Use[MAX],MATCH(LEFT($D480,5),Land_Use[Tech],0)),0)*$E480</f>
        <v>0</v>
      </c>
      <c r="N480" s="15">
        <f t="shared" si="134"/>
        <v>0</v>
      </c>
      <c r="O480" s="11">
        <f t="shared" si="135"/>
        <v>0</v>
      </c>
      <c r="P480" s="11">
        <f t="shared" si="136"/>
        <v>0</v>
      </c>
      <c r="Q480" s="11">
        <f t="shared" si="137"/>
        <v>0</v>
      </c>
      <c r="R480" s="11">
        <f t="shared" si="138"/>
        <v>0</v>
      </c>
      <c r="S480" s="30">
        <f t="shared" si="142"/>
        <v>0</v>
      </c>
      <c r="T480" s="30">
        <f t="shared" si="143"/>
        <v>0</v>
      </c>
      <c r="U480" s="30">
        <f t="shared" si="144"/>
        <v>0</v>
      </c>
      <c r="V480" s="30">
        <f t="shared" si="145"/>
        <v>0</v>
      </c>
      <c r="W480" s="30">
        <f t="shared" si="146"/>
        <v>0</v>
      </c>
      <c r="X480" s="30">
        <f t="shared" si="147"/>
        <v>0</v>
      </c>
      <c r="Z480" s="23" t="s">
        <v>76</v>
      </c>
      <c r="AA480" s="40" t="str">
        <f>IF(C480="Electricity",E480*SUMIFS(Electricity!S:S,Electricity!P:P,UserMade_Scenario!B480,Electricity!M:M,UserMade_Scenario!Z480,Electricity!O:O,UserMade_Scenario!D480),"")</f>
        <v/>
      </c>
      <c r="AB480" s="67">
        <v>1.4243253975000002E-4</v>
      </c>
      <c r="AC480" s="67" t="s">
        <v>95</v>
      </c>
      <c r="AD480" s="39">
        <f>INDEX(Assumptions!B$120:B$141,MATCH(UserMade_Scenario!$B479,Assumptions!$A$120:$A$141,0))</f>
        <v>-30.36</v>
      </c>
      <c r="AE480" s="39">
        <f>INDEX(Assumptions!C$120:C$141,MATCH(UserMade_Scenario!$B479,Assumptions!$A$120:$A$141,0))</f>
        <v>-30.36</v>
      </c>
      <c r="AF480" s="39">
        <f>INDEX(Assumptions!D$120:D$141,MATCH(UserMade_Scenario!$B479,Assumptions!$A$120:$A$141,0))</f>
        <v>-47.56</v>
      </c>
      <c r="AG480" s="68">
        <f>IFERROR(INDEX(WaterUseH2[Average Direct Water Consumption (Gal/ kg h2)],MATCH(LEFT(D480,3),WaterUseH2[Key],0)),0)</f>
        <v>0</v>
      </c>
      <c r="AH480">
        <v>14</v>
      </c>
      <c r="AI480">
        <v>1.4</v>
      </c>
      <c r="AJ480">
        <v>250</v>
      </c>
      <c r="AK480">
        <v>0.31</v>
      </c>
      <c r="AL480" s="63">
        <f>IFERROR(INDEX(Job_Training[[Solar]:[Wind]],MATCH(AL$1,Job_Training[[`Typical Entry Level Education`]:[`Typical Entry Level Education`]],0),MATCH(LEFT($D480,5),Job_Training[[#Headers],[Solar]:[Wind]],0)),0)</f>
        <v>0</v>
      </c>
      <c r="AM480" s="63">
        <f>IFERROR(INDEX(Job_Training[[Solar]:[Wind]],MATCH(AM$1,Job_Training[[`Typical Entry Level Education`]:[`Typical Entry Level Education`]],0),MATCH(LEFT($D480,5),Job_Training[[#Headers],[Solar]:[Wind]],0)),0)</f>
        <v>0</v>
      </c>
      <c r="AN480" s="63">
        <f>IFERROR(INDEX(Job_Training[[Solar]:[Wind]],MATCH(AN$1,Job_Training[[`Typical Entry Level Education`]:[`Typical Entry Level Education`]],0),MATCH(LEFT($D480,5),Job_Training[[#Headers],[Solar]:[Wind]],0)),0)</f>
        <v>0</v>
      </c>
      <c r="AO480" s="63">
        <f>IFERROR(INDEX(Job_Training[[Solar]:[Wind]],MATCH(AO$1,Job_Training[[`Typical Entry Level Education`]:[`Typical Entry Level Education`]],0),MATCH(LEFT($D480,5),Job_Training[[#Headers],[Solar]:[Wind]],0)),0)</f>
        <v>0</v>
      </c>
      <c r="AP480">
        <f t="shared" si="148"/>
        <v>0</v>
      </c>
      <c r="AQ480" s="63">
        <f>IF(AP480&gt;0,IFERROR(INDEX(Assumptions!$C$165:$D$165,MATCH(LEFT($D480,5),Job_Training[[#Headers],[Solar]:[Wind]],0)),0),0)</f>
        <v>0</v>
      </c>
      <c r="AR480">
        <f>IF(AP480&gt;0,IFERROR(INDEX(Assumptions!$C$166:$D$166,MATCH(LEFT($D480,5),Job_Training[[#Headers],[Solar]:[Wind]],0)),0),0)</f>
        <v>0</v>
      </c>
    </row>
    <row r="481" spans="1:44" hidden="1" x14ac:dyDescent="0.35">
      <c r="A481" t="str">
        <f>UserInput!$B$30</f>
        <v>State Policy Aligned</v>
      </c>
      <c r="B481">
        <v>2042</v>
      </c>
      <c r="C481" t="s">
        <v>92</v>
      </c>
      <c r="D481" t="s">
        <v>96</v>
      </c>
      <c r="E481" s="66">
        <f>INDEX(UserInput!$C$30:$M$50,MATCH(UserMade_Scenario!B481,UserInput!$A$30:$A$50,0),MATCH(LEFT(IF(RIGHT(C481,2)="H2",UserMade_Scenario!C481,D481),3),UserInput!$C$25:$M$25,0))</f>
        <v>9.2285714285714242</v>
      </c>
      <c r="F481" t="s">
        <v>94</v>
      </c>
      <c r="G481" s="14">
        <f t="shared" si="149"/>
        <v>1.3144488668357138E-3</v>
      </c>
      <c r="H481" s="63">
        <f t="shared" si="139"/>
        <v>3.9906667597132274E-2</v>
      </c>
      <c r="I481" s="63">
        <f t="shared" si="140"/>
        <v>3.9906667597132274E-2</v>
      </c>
      <c r="J481" s="63">
        <f t="shared" si="141"/>
        <v>6.251518810670656E-2</v>
      </c>
      <c r="K481" s="30">
        <f>IF(OR(LEFT($D481,5)="Solar",$D481="Wind"),INDEX(Land_Use[AVG],MATCH(LEFT($D481,5),Land_Use[Tech],0)),0)*$E481</f>
        <v>0</v>
      </c>
      <c r="L481" s="30">
        <f>IF(OR(LEFT($D481,5)="Solar",$D481="Wind"),INDEX(Land_Use[MIN],MATCH(LEFT($D481,5),Land_Use[Tech],0)),0)*$E481</f>
        <v>0</v>
      </c>
      <c r="M481" s="30">
        <f>IF(OR(LEFT($D481,5)="Solar",$D481="Wind"),INDEX(Land_Use[MAX],MATCH(LEFT($D481,5),Land_Use[Tech],0)),0)*$E481</f>
        <v>0</v>
      </c>
      <c r="N481" s="15">
        <f t="shared" si="134"/>
        <v>0</v>
      </c>
      <c r="O481" s="11">
        <f t="shared" si="135"/>
        <v>0</v>
      </c>
      <c r="P481" s="11">
        <f t="shared" si="136"/>
        <v>0</v>
      </c>
      <c r="Q481" s="11">
        <f t="shared" si="137"/>
        <v>0</v>
      </c>
      <c r="R481" s="11">
        <f t="shared" si="138"/>
        <v>0</v>
      </c>
      <c r="S481" s="30">
        <f t="shared" si="142"/>
        <v>0</v>
      </c>
      <c r="T481" s="30">
        <f t="shared" si="143"/>
        <v>0</v>
      </c>
      <c r="U481" s="30">
        <f t="shared" si="144"/>
        <v>0</v>
      </c>
      <c r="V481" s="30">
        <f t="shared" si="145"/>
        <v>0</v>
      </c>
      <c r="W481" s="30">
        <f t="shared" si="146"/>
        <v>0</v>
      </c>
      <c r="X481" s="30">
        <f t="shared" si="147"/>
        <v>0</v>
      </c>
      <c r="Z481" s="23" t="s">
        <v>76</v>
      </c>
      <c r="AA481" s="40" t="str">
        <f>IF(C481="Electricity",E481*SUMIFS(Electricity!S:S,Electricity!P:P,UserMade_Scenario!B481,Electricity!M:M,UserMade_Scenario!Z481,Electricity!O:O,UserMade_Scenario!D481),"")</f>
        <v/>
      </c>
      <c r="AB481" s="67">
        <v>1.4243253975000002E-4</v>
      </c>
      <c r="AC481" s="67" t="s">
        <v>95</v>
      </c>
      <c r="AD481" s="39">
        <f>INDEX(Assumptions!B$120:B$141,MATCH(UserMade_Scenario!$B480,Assumptions!$A$120:$A$141,0))</f>
        <v>-30.36</v>
      </c>
      <c r="AE481" s="39">
        <f>INDEX(Assumptions!C$120:C$141,MATCH(UserMade_Scenario!$B480,Assumptions!$A$120:$A$141,0))</f>
        <v>-30.36</v>
      </c>
      <c r="AF481" s="39">
        <f>INDEX(Assumptions!D$120:D$141,MATCH(UserMade_Scenario!$B480,Assumptions!$A$120:$A$141,0))</f>
        <v>-47.56</v>
      </c>
      <c r="AG481" s="68">
        <f>IFERROR(INDEX(WaterUseH2[Average Direct Water Consumption (Gal/ kg h2)],MATCH(LEFT(D481,3),WaterUseH2[Key],0)),0)</f>
        <v>0</v>
      </c>
      <c r="AH481">
        <v>14</v>
      </c>
      <c r="AI481">
        <v>1.4</v>
      </c>
      <c r="AJ481">
        <v>250</v>
      </c>
      <c r="AK481">
        <v>0.31</v>
      </c>
      <c r="AL481" s="63">
        <f>IFERROR(INDEX(Job_Training[[Solar]:[Wind]],MATCH(AL$1,Job_Training[[`Typical Entry Level Education`]:[`Typical Entry Level Education`]],0),MATCH(LEFT($D481,5),Job_Training[[#Headers],[Solar]:[Wind]],0)),0)</f>
        <v>0</v>
      </c>
      <c r="AM481" s="63">
        <f>IFERROR(INDEX(Job_Training[[Solar]:[Wind]],MATCH(AM$1,Job_Training[[`Typical Entry Level Education`]:[`Typical Entry Level Education`]],0),MATCH(LEFT($D481,5),Job_Training[[#Headers],[Solar]:[Wind]],0)),0)</f>
        <v>0</v>
      </c>
      <c r="AN481" s="63">
        <f>IFERROR(INDEX(Job_Training[[Solar]:[Wind]],MATCH(AN$1,Job_Training[[`Typical Entry Level Education`]:[`Typical Entry Level Education`]],0),MATCH(LEFT($D481,5),Job_Training[[#Headers],[Solar]:[Wind]],0)),0)</f>
        <v>0</v>
      </c>
      <c r="AO481" s="63">
        <f>IFERROR(INDEX(Job_Training[[Solar]:[Wind]],MATCH(AO$1,Job_Training[[`Typical Entry Level Education`]:[`Typical Entry Level Education`]],0),MATCH(LEFT($D481,5),Job_Training[[#Headers],[Solar]:[Wind]],0)),0)</f>
        <v>0</v>
      </c>
      <c r="AP481">
        <f t="shared" si="148"/>
        <v>0</v>
      </c>
      <c r="AQ481" s="63">
        <f>IF(AP481&gt;0,IFERROR(INDEX(Assumptions!$C$165:$D$165,MATCH(LEFT($D481,5),Job_Training[[#Headers],[Solar]:[Wind]],0)),0),0)</f>
        <v>0</v>
      </c>
      <c r="AR481">
        <f>IF(AP481&gt;0,IFERROR(INDEX(Assumptions!$C$166:$D$166,MATCH(LEFT($D481,5),Job_Training[[#Headers],[Solar]:[Wind]],0)),0),0)</f>
        <v>0</v>
      </c>
    </row>
    <row r="482" spans="1:44" hidden="1" x14ac:dyDescent="0.35">
      <c r="A482" t="str">
        <f>UserInput!$B$30</f>
        <v>State Policy Aligned</v>
      </c>
      <c r="B482">
        <v>2043</v>
      </c>
      <c r="C482" t="s">
        <v>92</v>
      </c>
      <c r="D482" t="s">
        <v>96</v>
      </c>
      <c r="E482" s="66">
        <f>INDEX(UserInput!$C$30:$M$50,MATCH(UserMade_Scenario!B482,UserInput!$A$30:$A$50,0),MATCH(LEFT(IF(RIGHT(C482,2)="H2",UserMade_Scenario!C482,D482),3),UserInput!$C$25:$M$25,0))</f>
        <v>9.4857142857142804</v>
      </c>
      <c r="F482" t="s">
        <v>94</v>
      </c>
      <c r="G482" s="14">
        <f t="shared" si="149"/>
        <v>1.3510743770571423E-3</v>
      </c>
      <c r="H482" s="63">
        <f t="shared" si="139"/>
        <v>4.1018618087454842E-2</v>
      </c>
      <c r="I482" s="63">
        <f t="shared" si="140"/>
        <v>4.1018618087454842E-2</v>
      </c>
      <c r="J482" s="63">
        <f t="shared" si="141"/>
        <v>6.425709737283769E-2</v>
      </c>
      <c r="K482" s="30">
        <f>IF(OR(LEFT($D482,5)="Solar",$D482="Wind"),INDEX(Land_Use[AVG],MATCH(LEFT($D482,5),Land_Use[Tech],0)),0)*$E482</f>
        <v>0</v>
      </c>
      <c r="L482" s="30">
        <f>IF(OR(LEFT($D482,5)="Solar",$D482="Wind"),INDEX(Land_Use[MIN],MATCH(LEFT($D482,5),Land_Use[Tech],0)),0)*$E482</f>
        <v>0</v>
      </c>
      <c r="M482" s="30">
        <f>IF(OR(LEFT($D482,5)="Solar",$D482="Wind"),INDEX(Land_Use[MAX],MATCH(LEFT($D482,5),Land_Use[Tech],0)),0)*$E482</f>
        <v>0</v>
      </c>
      <c r="N482" s="15">
        <f t="shared" si="134"/>
        <v>0</v>
      </c>
      <c r="O482" s="11">
        <f t="shared" si="135"/>
        <v>0</v>
      </c>
      <c r="P482" s="11">
        <f t="shared" si="136"/>
        <v>0</v>
      </c>
      <c r="Q482" s="11">
        <f t="shared" si="137"/>
        <v>0</v>
      </c>
      <c r="R482" s="11">
        <f t="shared" si="138"/>
        <v>0</v>
      </c>
      <c r="S482" s="30">
        <f t="shared" si="142"/>
        <v>0</v>
      </c>
      <c r="T482" s="30">
        <f t="shared" si="143"/>
        <v>0</v>
      </c>
      <c r="U482" s="30">
        <f t="shared" si="144"/>
        <v>0</v>
      </c>
      <c r="V482" s="30">
        <f t="shared" si="145"/>
        <v>0</v>
      </c>
      <c r="W482" s="30">
        <f t="shared" si="146"/>
        <v>0</v>
      </c>
      <c r="X482" s="30">
        <f t="shared" si="147"/>
        <v>0</v>
      </c>
      <c r="Z482" s="23" t="s">
        <v>76</v>
      </c>
      <c r="AA482" s="40" t="str">
        <f>IF(C482="Electricity",E482*SUMIFS(Electricity!S:S,Electricity!P:P,UserMade_Scenario!B482,Electricity!M:M,UserMade_Scenario!Z482,Electricity!O:O,UserMade_Scenario!D482),"")</f>
        <v/>
      </c>
      <c r="AB482" s="67">
        <v>1.4243253975000002E-4</v>
      </c>
      <c r="AC482" s="67" t="s">
        <v>95</v>
      </c>
      <c r="AD482" s="39">
        <f>INDEX(Assumptions!B$120:B$141,MATCH(UserMade_Scenario!$B481,Assumptions!$A$120:$A$141,0))</f>
        <v>-30.36</v>
      </c>
      <c r="AE482" s="39">
        <f>INDEX(Assumptions!C$120:C$141,MATCH(UserMade_Scenario!$B481,Assumptions!$A$120:$A$141,0))</f>
        <v>-30.36</v>
      </c>
      <c r="AF482" s="39">
        <f>INDEX(Assumptions!D$120:D$141,MATCH(UserMade_Scenario!$B481,Assumptions!$A$120:$A$141,0))</f>
        <v>-47.56</v>
      </c>
      <c r="AG482" s="68">
        <f>IFERROR(INDEX(WaterUseH2[Average Direct Water Consumption (Gal/ kg h2)],MATCH(LEFT(D482,3),WaterUseH2[Key],0)),0)</f>
        <v>0</v>
      </c>
      <c r="AH482">
        <v>14</v>
      </c>
      <c r="AI482">
        <v>1.4</v>
      </c>
      <c r="AJ482">
        <v>250</v>
      </c>
      <c r="AK482">
        <v>0.31</v>
      </c>
      <c r="AL482" s="63">
        <f>IFERROR(INDEX(Job_Training[[Solar]:[Wind]],MATCH(AL$1,Job_Training[[`Typical Entry Level Education`]:[`Typical Entry Level Education`]],0),MATCH(LEFT($D482,5),Job_Training[[#Headers],[Solar]:[Wind]],0)),0)</f>
        <v>0</v>
      </c>
      <c r="AM482" s="63">
        <f>IFERROR(INDEX(Job_Training[[Solar]:[Wind]],MATCH(AM$1,Job_Training[[`Typical Entry Level Education`]:[`Typical Entry Level Education`]],0),MATCH(LEFT($D482,5),Job_Training[[#Headers],[Solar]:[Wind]],0)),0)</f>
        <v>0</v>
      </c>
      <c r="AN482" s="63">
        <f>IFERROR(INDEX(Job_Training[[Solar]:[Wind]],MATCH(AN$1,Job_Training[[`Typical Entry Level Education`]:[`Typical Entry Level Education`]],0),MATCH(LEFT($D482,5),Job_Training[[#Headers],[Solar]:[Wind]],0)),0)</f>
        <v>0</v>
      </c>
      <c r="AO482" s="63">
        <f>IFERROR(INDEX(Job_Training[[Solar]:[Wind]],MATCH(AO$1,Job_Training[[`Typical Entry Level Education`]:[`Typical Entry Level Education`]],0),MATCH(LEFT($D482,5),Job_Training[[#Headers],[Solar]:[Wind]],0)),0)</f>
        <v>0</v>
      </c>
      <c r="AP482">
        <f t="shared" si="148"/>
        <v>0</v>
      </c>
      <c r="AQ482" s="63">
        <f>IF(AP482&gt;0,IFERROR(INDEX(Assumptions!$C$165:$D$165,MATCH(LEFT($D482,5),Job_Training[[#Headers],[Solar]:[Wind]],0)),0),0)</f>
        <v>0</v>
      </c>
      <c r="AR482">
        <f>IF(AP482&gt;0,IFERROR(INDEX(Assumptions!$C$166:$D$166,MATCH(LEFT($D482,5),Job_Training[[#Headers],[Solar]:[Wind]],0)),0),0)</f>
        <v>0</v>
      </c>
    </row>
    <row r="483" spans="1:44" hidden="1" x14ac:dyDescent="0.35">
      <c r="A483" t="str">
        <f>UserInput!$B$30</f>
        <v>State Policy Aligned</v>
      </c>
      <c r="B483">
        <v>2044</v>
      </c>
      <c r="C483" t="s">
        <v>92</v>
      </c>
      <c r="D483" t="s">
        <v>96</v>
      </c>
      <c r="E483" s="66">
        <f>INDEX(UserInput!$C$30:$M$50,MATCH(UserMade_Scenario!B483,UserInput!$A$30:$A$50,0),MATCH(LEFT(IF(RIGHT(C483,2)="H2",UserMade_Scenario!C483,D483),3),UserInput!$C$25:$M$25,0))</f>
        <v>9.7428571428571367</v>
      </c>
      <c r="F483" t="s">
        <v>94</v>
      </c>
      <c r="G483" s="14">
        <f t="shared" si="149"/>
        <v>1.3876998872785708E-3</v>
      </c>
      <c r="H483" s="63">
        <f t="shared" si="139"/>
        <v>4.2130568577777409E-2</v>
      </c>
      <c r="I483" s="63">
        <f t="shared" si="140"/>
        <v>4.2130568577777409E-2</v>
      </c>
      <c r="J483" s="63">
        <f t="shared" si="141"/>
        <v>6.5999006638968835E-2</v>
      </c>
      <c r="K483" s="30">
        <f>IF(OR(LEFT($D483,5)="Solar",$D483="Wind"),INDEX(Land_Use[AVG],MATCH(LEFT($D483,5),Land_Use[Tech],0)),0)*$E483</f>
        <v>0</v>
      </c>
      <c r="L483" s="30">
        <f>IF(OR(LEFT($D483,5)="Solar",$D483="Wind"),INDEX(Land_Use[MIN],MATCH(LEFT($D483,5),Land_Use[Tech],0)),0)*$E483</f>
        <v>0</v>
      </c>
      <c r="M483" s="30">
        <f>IF(OR(LEFT($D483,5)="Solar",$D483="Wind"),INDEX(Land_Use[MAX],MATCH(LEFT($D483,5),Land_Use[Tech],0)),0)*$E483</f>
        <v>0</v>
      </c>
      <c r="N483" s="15">
        <f t="shared" si="134"/>
        <v>0</v>
      </c>
      <c r="O483" s="11">
        <f t="shared" si="135"/>
        <v>0</v>
      </c>
      <c r="P483" s="11">
        <f t="shared" si="136"/>
        <v>0</v>
      </c>
      <c r="Q483" s="11">
        <f t="shared" si="137"/>
        <v>0</v>
      </c>
      <c r="R483" s="11">
        <f t="shared" si="138"/>
        <v>0</v>
      </c>
      <c r="S483" s="30">
        <f t="shared" si="142"/>
        <v>0</v>
      </c>
      <c r="T483" s="30">
        <f t="shared" si="143"/>
        <v>0</v>
      </c>
      <c r="U483" s="30">
        <f t="shared" si="144"/>
        <v>0</v>
      </c>
      <c r="V483" s="30">
        <f t="shared" si="145"/>
        <v>0</v>
      </c>
      <c r="W483" s="30">
        <f t="shared" si="146"/>
        <v>0</v>
      </c>
      <c r="X483" s="30">
        <f t="shared" si="147"/>
        <v>0</v>
      </c>
      <c r="Z483" s="23" t="s">
        <v>76</v>
      </c>
      <c r="AA483" s="40" t="str">
        <f>IF(C483="Electricity",E483*SUMIFS(Electricity!S:S,Electricity!P:P,UserMade_Scenario!B483,Electricity!M:M,UserMade_Scenario!Z483,Electricity!O:O,UserMade_Scenario!D483),"")</f>
        <v/>
      </c>
      <c r="AB483" s="67">
        <v>1.4243253975000002E-4</v>
      </c>
      <c r="AC483" s="67" t="s">
        <v>95</v>
      </c>
      <c r="AD483" s="39">
        <f>INDEX(Assumptions!B$120:B$141,MATCH(UserMade_Scenario!$B482,Assumptions!$A$120:$A$141,0))</f>
        <v>-30.36</v>
      </c>
      <c r="AE483" s="39">
        <f>INDEX(Assumptions!C$120:C$141,MATCH(UserMade_Scenario!$B482,Assumptions!$A$120:$A$141,0))</f>
        <v>-30.36</v>
      </c>
      <c r="AF483" s="39">
        <f>INDEX(Assumptions!D$120:D$141,MATCH(UserMade_Scenario!$B482,Assumptions!$A$120:$A$141,0))</f>
        <v>-47.56</v>
      </c>
      <c r="AG483" s="68">
        <f>IFERROR(INDEX(WaterUseH2[Average Direct Water Consumption (Gal/ kg h2)],MATCH(LEFT(D483,3),WaterUseH2[Key],0)),0)</f>
        <v>0</v>
      </c>
      <c r="AH483">
        <v>14</v>
      </c>
      <c r="AI483">
        <v>1.4</v>
      </c>
      <c r="AJ483">
        <v>250</v>
      </c>
      <c r="AK483">
        <v>0.31</v>
      </c>
      <c r="AL483" s="63">
        <f>IFERROR(INDEX(Job_Training[[Solar]:[Wind]],MATCH(AL$1,Job_Training[[`Typical Entry Level Education`]:[`Typical Entry Level Education`]],0),MATCH(LEFT($D483,5),Job_Training[[#Headers],[Solar]:[Wind]],0)),0)</f>
        <v>0</v>
      </c>
      <c r="AM483" s="63">
        <f>IFERROR(INDEX(Job_Training[[Solar]:[Wind]],MATCH(AM$1,Job_Training[[`Typical Entry Level Education`]:[`Typical Entry Level Education`]],0),MATCH(LEFT($D483,5),Job_Training[[#Headers],[Solar]:[Wind]],0)),0)</f>
        <v>0</v>
      </c>
      <c r="AN483" s="63">
        <f>IFERROR(INDEX(Job_Training[[Solar]:[Wind]],MATCH(AN$1,Job_Training[[`Typical Entry Level Education`]:[`Typical Entry Level Education`]],0),MATCH(LEFT($D483,5),Job_Training[[#Headers],[Solar]:[Wind]],0)),0)</f>
        <v>0</v>
      </c>
      <c r="AO483" s="63">
        <f>IFERROR(INDEX(Job_Training[[Solar]:[Wind]],MATCH(AO$1,Job_Training[[`Typical Entry Level Education`]:[`Typical Entry Level Education`]],0),MATCH(LEFT($D483,5),Job_Training[[#Headers],[Solar]:[Wind]],0)),0)</f>
        <v>0</v>
      </c>
      <c r="AP483">
        <f t="shared" si="148"/>
        <v>0</v>
      </c>
      <c r="AQ483" s="63">
        <f>IF(AP483&gt;0,IFERROR(INDEX(Assumptions!$C$165:$D$165,MATCH(LEFT($D483,5),Job_Training[[#Headers],[Solar]:[Wind]],0)),0),0)</f>
        <v>0</v>
      </c>
      <c r="AR483">
        <f>IF(AP483&gt;0,IFERROR(INDEX(Assumptions!$C$166:$D$166,MATCH(LEFT($D483,5),Job_Training[[#Headers],[Solar]:[Wind]],0)),0),0)</f>
        <v>0</v>
      </c>
    </row>
    <row r="484" spans="1:44" hidden="1" x14ac:dyDescent="0.35">
      <c r="A484" t="str">
        <f>UserInput!$B$30</f>
        <v>State Policy Aligned</v>
      </c>
      <c r="B484">
        <v>2045</v>
      </c>
      <c r="C484" t="s">
        <v>92</v>
      </c>
      <c r="D484" t="s">
        <v>96</v>
      </c>
      <c r="E484" s="66">
        <f>INDEX(UserInput!$C$30:$M$50,MATCH(UserMade_Scenario!B484,UserInput!$A$30:$A$50,0),MATCH(LEFT(IF(RIGHT(C484,2)="H2",UserMade_Scenario!C484,D484),3),UserInput!$C$25:$M$25,0))</f>
        <v>9.9999999999999929</v>
      </c>
      <c r="F484" t="s">
        <v>94</v>
      </c>
      <c r="G484" s="14">
        <f t="shared" si="149"/>
        <v>1.4243253974999992E-3</v>
      </c>
      <c r="H484" s="63">
        <f t="shared" si="139"/>
        <v>4.3242519068099977E-2</v>
      </c>
      <c r="I484" s="63">
        <f t="shared" si="140"/>
        <v>4.3242519068099977E-2</v>
      </c>
      <c r="J484" s="63">
        <f t="shared" si="141"/>
        <v>6.7740915905099966E-2</v>
      </c>
      <c r="K484" s="30">
        <f>IF(OR(LEFT($D484,5)="Solar",$D484="Wind"),INDEX(Land_Use[AVG],MATCH(LEFT($D484,5),Land_Use[Tech],0)),0)*$E484</f>
        <v>0</v>
      </c>
      <c r="L484" s="30">
        <f>IF(OR(LEFT($D484,5)="Solar",$D484="Wind"),INDEX(Land_Use[MIN],MATCH(LEFT($D484,5),Land_Use[Tech],0)),0)*$E484</f>
        <v>0</v>
      </c>
      <c r="M484" s="30">
        <f>IF(OR(LEFT($D484,5)="Solar",$D484="Wind"),INDEX(Land_Use[MAX],MATCH(LEFT($D484,5),Land_Use[Tech],0)),0)*$E484</f>
        <v>0</v>
      </c>
      <c r="N484" s="15">
        <f t="shared" si="134"/>
        <v>0</v>
      </c>
      <c r="O484" s="11">
        <f t="shared" si="135"/>
        <v>0</v>
      </c>
      <c r="P484" s="11">
        <f t="shared" si="136"/>
        <v>0</v>
      </c>
      <c r="Q484" s="11">
        <f t="shared" si="137"/>
        <v>0</v>
      </c>
      <c r="R484" s="11">
        <f t="shared" si="138"/>
        <v>0</v>
      </c>
      <c r="S484" s="30">
        <f t="shared" si="142"/>
        <v>0</v>
      </c>
      <c r="T484" s="30">
        <f t="shared" si="143"/>
        <v>0</v>
      </c>
      <c r="U484" s="30">
        <f t="shared" si="144"/>
        <v>0</v>
      </c>
      <c r="V484" s="30">
        <f t="shared" si="145"/>
        <v>0</v>
      </c>
      <c r="W484" s="30">
        <f t="shared" si="146"/>
        <v>0</v>
      </c>
      <c r="X484" s="30">
        <f t="shared" si="147"/>
        <v>0</v>
      </c>
      <c r="Z484" s="23" t="s">
        <v>76</v>
      </c>
      <c r="AA484" s="40" t="str">
        <f>IF(C484="Electricity",E484*SUMIFS(Electricity!S:S,Electricity!P:P,UserMade_Scenario!B484,Electricity!M:M,UserMade_Scenario!Z484,Electricity!O:O,UserMade_Scenario!D484),"")</f>
        <v/>
      </c>
      <c r="AB484" s="67">
        <v>1.4243253975000002E-4</v>
      </c>
      <c r="AC484" s="67" t="s">
        <v>95</v>
      </c>
      <c r="AD484" s="39">
        <f>INDEX(Assumptions!B$120:B$141,MATCH(UserMade_Scenario!$B483,Assumptions!$A$120:$A$141,0))</f>
        <v>-30.36</v>
      </c>
      <c r="AE484" s="39">
        <f>INDEX(Assumptions!C$120:C$141,MATCH(UserMade_Scenario!$B483,Assumptions!$A$120:$A$141,0))</f>
        <v>-30.36</v>
      </c>
      <c r="AF484" s="39">
        <f>INDEX(Assumptions!D$120:D$141,MATCH(UserMade_Scenario!$B483,Assumptions!$A$120:$A$141,0))</f>
        <v>-47.56</v>
      </c>
      <c r="AG484" s="68">
        <f>IFERROR(INDEX(WaterUseH2[Average Direct Water Consumption (Gal/ kg h2)],MATCH(LEFT(D484,3),WaterUseH2[Key],0)),0)</f>
        <v>0</v>
      </c>
      <c r="AH484">
        <v>14</v>
      </c>
      <c r="AI484">
        <v>1.4</v>
      </c>
      <c r="AJ484">
        <v>250</v>
      </c>
      <c r="AK484">
        <v>0.31</v>
      </c>
      <c r="AL484" s="63">
        <f>IFERROR(INDEX(Job_Training[[Solar]:[Wind]],MATCH(AL$1,Job_Training[[`Typical Entry Level Education`]:[`Typical Entry Level Education`]],0),MATCH(LEFT($D484,5),Job_Training[[#Headers],[Solar]:[Wind]],0)),0)</f>
        <v>0</v>
      </c>
      <c r="AM484" s="63">
        <f>IFERROR(INDEX(Job_Training[[Solar]:[Wind]],MATCH(AM$1,Job_Training[[`Typical Entry Level Education`]:[`Typical Entry Level Education`]],0),MATCH(LEFT($D484,5),Job_Training[[#Headers],[Solar]:[Wind]],0)),0)</f>
        <v>0</v>
      </c>
      <c r="AN484" s="63">
        <f>IFERROR(INDEX(Job_Training[[Solar]:[Wind]],MATCH(AN$1,Job_Training[[`Typical Entry Level Education`]:[`Typical Entry Level Education`]],0),MATCH(LEFT($D484,5),Job_Training[[#Headers],[Solar]:[Wind]],0)),0)</f>
        <v>0</v>
      </c>
      <c r="AO484" s="63">
        <f>IFERROR(INDEX(Job_Training[[Solar]:[Wind]],MATCH(AO$1,Job_Training[[`Typical Entry Level Education`]:[`Typical Entry Level Education`]],0),MATCH(LEFT($D484,5),Job_Training[[#Headers],[Solar]:[Wind]],0)),0)</f>
        <v>0</v>
      </c>
      <c r="AP484">
        <f t="shared" si="148"/>
        <v>0</v>
      </c>
      <c r="AQ484" s="63">
        <f>IF(AP484&gt;0,IFERROR(INDEX(Assumptions!$C$165:$D$165,MATCH(LEFT($D484,5),Job_Training[[#Headers],[Solar]:[Wind]],0)),0),0)</f>
        <v>0</v>
      </c>
      <c r="AR484">
        <f>IF(AP484&gt;0,IFERROR(INDEX(Assumptions!$C$166:$D$166,MATCH(LEFT($D484,5),Job_Training[[#Headers],[Solar]:[Wind]],0)),0),0)</f>
        <v>0</v>
      </c>
    </row>
    <row r="485" spans="1:44" hidden="1" x14ac:dyDescent="0.35">
      <c r="A485" t="str">
        <f>UserInput!$B$30</f>
        <v>State Policy Aligned</v>
      </c>
      <c r="B485" s="23">
        <v>2025</v>
      </c>
      <c r="C485" s="23" t="s">
        <v>78</v>
      </c>
      <c r="D485" s="23" t="s">
        <v>97</v>
      </c>
      <c r="E485" s="40">
        <f>SUMIFS($E$254:$E$484,$B$254:$B$484,B485,$C$254:$C$484,C485)*1000*Assumptions!$C$8/1000/8760/0.3</f>
        <v>0</v>
      </c>
      <c r="F485" s="23" t="s">
        <v>81</v>
      </c>
      <c r="H485" s="63"/>
      <c r="I485" s="63"/>
      <c r="J485" s="63"/>
      <c r="K485" s="30">
        <f>IF(OR(LEFT($D485,5)="Solar",$D485="Wind"),INDEX(Land_Use[AVG],MATCH(LEFT($D485,5),Land_Use[Tech],0)),0)*$E485</f>
        <v>0</v>
      </c>
      <c r="L485" s="30">
        <f>IF(OR(LEFT($D485,5)="Solar",$D485="Wind"),INDEX(Land_Use[MIN],MATCH(LEFT($D485,5),Land_Use[Tech],0)),0)*$E485</f>
        <v>0</v>
      </c>
      <c r="M485" s="30">
        <f>IF(OR(LEFT($D485,5)="Solar",$D485="Wind"),INDEX(Land_Use[MAX],MATCH(LEFT($D485,5),Land_Use[Tech],0)),0)*$E485</f>
        <v>0</v>
      </c>
      <c r="N485" s="13">
        <f t="shared" si="134"/>
        <v>0</v>
      </c>
      <c r="O485" s="13">
        <f t="shared" si="135"/>
        <v>0</v>
      </c>
      <c r="P485" s="13">
        <f t="shared" si="136"/>
        <v>0</v>
      </c>
      <c r="Q485" s="13">
        <f t="shared" si="137"/>
        <v>0</v>
      </c>
      <c r="R485" s="13">
        <f t="shared" si="138"/>
        <v>0</v>
      </c>
      <c r="S485" s="30">
        <f t="shared" si="142"/>
        <v>0</v>
      </c>
      <c r="T485" s="30">
        <f t="shared" si="143"/>
        <v>0</v>
      </c>
      <c r="U485" s="30">
        <f t="shared" si="144"/>
        <v>0</v>
      </c>
      <c r="V485" s="30">
        <f t="shared" si="145"/>
        <v>0</v>
      </c>
      <c r="W485" s="30">
        <f t="shared" si="146"/>
        <v>0</v>
      </c>
      <c r="X485" s="30">
        <f t="shared" si="147"/>
        <v>0</v>
      </c>
      <c r="Z485" s="23" t="s">
        <v>76</v>
      </c>
      <c r="AA485" s="40"/>
      <c r="AB485" s="67"/>
      <c r="AC485" s="67"/>
      <c r="AD485" s="39"/>
      <c r="AE485" s="39"/>
      <c r="AF485" s="39"/>
      <c r="AG485" s="68"/>
      <c r="AH485">
        <v>14</v>
      </c>
      <c r="AI485">
        <v>1.4</v>
      </c>
      <c r="AJ485">
        <v>250</v>
      </c>
      <c r="AK485">
        <v>0.31</v>
      </c>
      <c r="AL485" s="63">
        <f>IFERROR(INDEX(Job_Training[[Solar]:[Wind]],MATCH(AL$1,Job_Training[[`Typical Entry Level Education`]:[`Typical Entry Level Education`]],0),MATCH(LEFT($D485,5),Job_Training[[#Headers],[Solar]:[Wind]],0)),0)</f>
        <v>3.4599999999999999E-2</v>
      </c>
      <c r="AM485" s="63">
        <f>IFERROR(INDEX(Job_Training[[Solar]:[Wind]],MATCH(AM$1,Job_Training[[`Typical Entry Level Education`]:[`Typical Entry Level Education`]],0),MATCH(LEFT($D485,5),Job_Training[[#Headers],[Solar]:[Wind]],0)),0)</f>
        <v>2.8199999999999999E-2</v>
      </c>
      <c r="AN485" s="63">
        <f>IFERROR(INDEX(Job_Training[[Solar]:[Wind]],MATCH(AN$1,Job_Training[[`Typical Entry Level Education`]:[`Typical Entry Level Education`]],0),MATCH(LEFT($D485,5),Job_Training[[#Headers],[Solar]:[Wind]],0)),0)</f>
        <v>3.3399999999999999E-2</v>
      </c>
      <c r="AO485" s="63">
        <f>IFERROR(INDEX(Job_Training[[Solar]:[Wind]],MATCH(AO$1,Job_Training[[`Typical Entry Level Education`]:[`Typical Entry Level Education`]],0),MATCH(LEFT($D485,5),Job_Training[[#Headers],[Solar]:[Wind]],0)),0)</f>
        <v>5.62E-3</v>
      </c>
      <c r="AP485">
        <f t="shared" si="148"/>
        <v>0</v>
      </c>
      <c r="AQ485" s="63">
        <f>IF(AP485&gt;0,IFERROR(INDEX(Assumptions!$C$165:$D$165,MATCH(LEFT($D485,5),Job_Training[[#Headers],[Solar]:[Wind]],0)),0),0)</f>
        <v>0</v>
      </c>
      <c r="AR485">
        <f>IF(AP485&gt;0,IFERROR(INDEX(Assumptions!$C$166:$D$166,MATCH(LEFT($D485,5),Job_Training[[#Headers],[Solar]:[Wind]],0)),0),0)</f>
        <v>0</v>
      </c>
    </row>
    <row r="486" spans="1:44" hidden="1" x14ac:dyDescent="0.35">
      <c r="A486" t="str">
        <f>UserInput!$B$30</f>
        <v>State Policy Aligned</v>
      </c>
      <c r="B486" s="23">
        <v>2026</v>
      </c>
      <c r="C486" s="23" t="s">
        <v>78</v>
      </c>
      <c r="D486" s="23" t="s">
        <v>97</v>
      </c>
      <c r="E486" s="40">
        <f>SUMIFS($E$254:$E$484,$B$254:$B$484,B486,$C$254:$C$484,C486)*1000*Assumptions!$C$8/1000/8760/0.3</f>
        <v>0</v>
      </c>
      <c r="F486" s="23" t="s">
        <v>81</v>
      </c>
      <c r="H486" s="63"/>
      <c r="I486" s="63"/>
      <c r="J486" s="63"/>
      <c r="K486" s="30">
        <f>IF(OR(LEFT($D486,5)="Solar",$D486="Wind"),INDEX(Land_Use[AVG],MATCH(LEFT($D486,5),Land_Use[Tech],0)),0)*$E486</f>
        <v>0</v>
      </c>
      <c r="L486" s="30">
        <f>IF(OR(LEFT($D486,5)="Solar",$D486="Wind"),INDEX(Land_Use[MIN],MATCH(LEFT($D486,5),Land_Use[Tech],0)),0)*$E486</f>
        <v>0</v>
      </c>
      <c r="M486" s="30">
        <f>IF(OR(LEFT($D486,5)="Solar",$D486="Wind"),INDEX(Land_Use[MAX],MATCH(LEFT($D486,5),Land_Use[Tech],0)),0)*$E486</f>
        <v>0</v>
      </c>
      <c r="N486" s="13">
        <f t="shared" si="134"/>
        <v>0</v>
      </c>
      <c r="O486" s="13">
        <f t="shared" si="135"/>
        <v>0</v>
      </c>
      <c r="P486" s="13">
        <f t="shared" si="136"/>
        <v>0</v>
      </c>
      <c r="Q486" s="13">
        <f t="shared" si="137"/>
        <v>0</v>
      </c>
      <c r="R486" s="13">
        <f t="shared" si="138"/>
        <v>0</v>
      </c>
      <c r="S486" s="30">
        <f t="shared" si="142"/>
        <v>0</v>
      </c>
      <c r="T486" s="30">
        <f t="shared" si="143"/>
        <v>0</v>
      </c>
      <c r="U486" s="30">
        <f t="shared" si="144"/>
        <v>0</v>
      </c>
      <c r="V486" s="30">
        <f t="shared" si="145"/>
        <v>0</v>
      </c>
      <c r="W486" s="30">
        <f t="shared" si="146"/>
        <v>0</v>
      </c>
      <c r="X486" s="30">
        <f t="shared" si="147"/>
        <v>0</v>
      </c>
      <c r="Z486" s="23" t="s">
        <v>76</v>
      </c>
      <c r="AA486" s="40"/>
      <c r="AB486" s="67"/>
      <c r="AC486" s="67"/>
      <c r="AD486" s="39"/>
      <c r="AE486" s="39"/>
      <c r="AF486" s="39"/>
      <c r="AG486" s="68"/>
      <c r="AH486">
        <v>14</v>
      </c>
      <c r="AI486">
        <v>1.4</v>
      </c>
      <c r="AJ486">
        <v>250</v>
      </c>
      <c r="AK486">
        <v>0.31</v>
      </c>
      <c r="AL486" s="63">
        <f>IFERROR(INDEX(Job_Training[[Solar]:[Wind]],MATCH(AL$1,Job_Training[[`Typical Entry Level Education`]:[`Typical Entry Level Education`]],0),MATCH(LEFT($D486,5),Job_Training[[#Headers],[Solar]:[Wind]],0)),0)</f>
        <v>3.4599999999999999E-2</v>
      </c>
      <c r="AM486" s="63">
        <f>IFERROR(INDEX(Job_Training[[Solar]:[Wind]],MATCH(AM$1,Job_Training[[`Typical Entry Level Education`]:[`Typical Entry Level Education`]],0),MATCH(LEFT($D486,5),Job_Training[[#Headers],[Solar]:[Wind]],0)),0)</f>
        <v>2.8199999999999999E-2</v>
      </c>
      <c r="AN486" s="63">
        <f>IFERROR(INDEX(Job_Training[[Solar]:[Wind]],MATCH(AN$1,Job_Training[[`Typical Entry Level Education`]:[`Typical Entry Level Education`]],0),MATCH(LEFT($D486,5),Job_Training[[#Headers],[Solar]:[Wind]],0)),0)</f>
        <v>3.3399999999999999E-2</v>
      </c>
      <c r="AO486" s="63">
        <f>IFERROR(INDEX(Job_Training[[Solar]:[Wind]],MATCH(AO$1,Job_Training[[`Typical Entry Level Education`]:[`Typical Entry Level Education`]],0),MATCH(LEFT($D486,5),Job_Training[[#Headers],[Solar]:[Wind]],0)),0)</f>
        <v>5.62E-3</v>
      </c>
      <c r="AP486">
        <f t="shared" si="148"/>
        <v>0</v>
      </c>
      <c r="AQ486" s="63">
        <f>IF(AP486&gt;0,IFERROR(INDEX(Assumptions!$C$165:$D$165,MATCH(LEFT($D486,5),Job_Training[[#Headers],[Solar]:[Wind]],0)),0),0)</f>
        <v>0</v>
      </c>
      <c r="AR486">
        <f>IF(AP486&gt;0,IFERROR(INDEX(Assumptions!$C$166:$D$166,MATCH(LEFT($D486,5),Job_Training[[#Headers],[Solar]:[Wind]],0)),0),0)</f>
        <v>0</v>
      </c>
    </row>
    <row r="487" spans="1:44" hidden="1" x14ac:dyDescent="0.35">
      <c r="A487" t="str">
        <f>UserInput!$B$30</f>
        <v>State Policy Aligned</v>
      </c>
      <c r="B487" s="23">
        <v>2027</v>
      </c>
      <c r="C487" s="23" t="s">
        <v>78</v>
      </c>
      <c r="D487" s="23" t="s">
        <v>97</v>
      </c>
      <c r="E487" s="40">
        <f>SUMIFS($E$254:$E$484,$B$254:$B$484,B487,$C$254:$C$484,C487)*1000*Assumptions!$C$8/1000/8760/0.3</f>
        <v>0</v>
      </c>
      <c r="F487" s="23" t="s">
        <v>81</v>
      </c>
      <c r="H487" s="63"/>
      <c r="I487" s="63"/>
      <c r="J487" s="63"/>
      <c r="K487" s="30">
        <f>IF(OR(LEFT($D487,5)="Solar",$D487="Wind"),INDEX(Land_Use[AVG],MATCH(LEFT($D487,5),Land_Use[Tech],0)),0)*$E487</f>
        <v>0</v>
      </c>
      <c r="L487" s="30">
        <f>IF(OR(LEFT($D487,5)="Solar",$D487="Wind"),INDEX(Land_Use[MIN],MATCH(LEFT($D487,5),Land_Use[Tech],0)),0)*$E487</f>
        <v>0</v>
      </c>
      <c r="M487" s="30">
        <f>IF(OR(LEFT($D487,5)="Solar",$D487="Wind"),INDEX(Land_Use[MAX],MATCH(LEFT($D487,5),Land_Use[Tech],0)),0)*$E487</f>
        <v>0</v>
      </c>
      <c r="N487" s="13">
        <f t="shared" si="134"/>
        <v>0</v>
      </c>
      <c r="O487" s="13">
        <f t="shared" si="135"/>
        <v>0</v>
      </c>
      <c r="P487" s="13">
        <f t="shared" si="136"/>
        <v>0</v>
      </c>
      <c r="Q487" s="13">
        <f t="shared" si="137"/>
        <v>0</v>
      </c>
      <c r="R487" s="13">
        <f t="shared" si="138"/>
        <v>0</v>
      </c>
      <c r="S487" s="30">
        <f t="shared" si="142"/>
        <v>0</v>
      </c>
      <c r="T487" s="30">
        <f t="shared" si="143"/>
        <v>0</v>
      </c>
      <c r="U487" s="30">
        <f t="shared" si="144"/>
        <v>0</v>
      </c>
      <c r="V487" s="30">
        <f t="shared" si="145"/>
        <v>0</v>
      </c>
      <c r="W487" s="30">
        <f t="shared" si="146"/>
        <v>0</v>
      </c>
      <c r="X487" s="30">
        <f t="shared" si="147"/>
        <v>0</v>
      </c>
      <c r="Z487" s="23" t="s">
        <v>76</v>
      </c>
      <c r="AA487" s="40"/>
      <c r="AB487" s="67"/>
      <c r="AC487" s="67"/>
      <c r="AD487" s="39"/>
      <c r="AE487" s="39"/>
      <c r="AF487" s="39"/>
      <c r="AG487" s="68"/>
      <c r="AH487">
        <v>14</v>
      </c>
      <c r="AI487">
        <v>1.4</v>
      </c>
      <c r="AJ487">
        <v>250</v>
      </c>
      <c r="AK487">
        <v>0.31</v>
      </c>
      <c r="AL487" s="63">
        <f>IFERROR(INDEX(Job_Training[[Solar]:[Wind]],MATCH(AL$1,Job_Training[[`Typical Entry Level Education`]:[`Typical Entry Level Education`]],0),MATCH(LEFT($D487,5),Job_Training[[#Headers],[Solar]:[Wind]],0)),0)</f>
        <v>3.4599999999999999E-2</v>
      </c>
      <c r="AM487" s="63">
        <f>IFERROR(INDEX(Job_Training[[Solar]:[Wind]],MATCH(AM$1,Job_Training[[`Typical Entry Level Education`]:[`Typical Entry Level Education`]],0),MATCH(LEFT($D487,5),Job_Training[[#Headers],[Solar]:[Wind]],0)),0)</f>
        <v>2.8199999999999999E-2</v>
      </c>
      <c r="AN487" s="63">
        <f>IFERROR(INDEX(Job_Training[[Solar]:[Wind]],MATCH(AN$1,Job_Training[[`Typical Entry Level Education`]:[`Typical Entry Level Education`]],0),MATCH(LEFT($D487,5),Job_Training[[#Headers],[Solar]:[Wind]],0)),0)</f>
        <v>3.3399999999999999E-2</v>
      </c>
      <c r="AO487" s="63">
        <f>IFERROR(INDEX(Job_Training[[Solar]:[Wind]],MATCH(AO$1,Job_Training[[`Typical Entry Level Education`]:[`Typical Entry Level Education`]],0),MATCH(LEFT($D487,5),Job_Training[[#Headers],[Solar]:[Wind]],0)),0)</f>
        <v>5.62E-3</v>
      </c>
      <c r="AP487">
        <f t="shared" si="148"/>
        <v>0</v>
      </c>
      <c r="AQ487" s="63">
        <f>IF(AP487&gt;0,IFERROR(INDEX(Assumptions!$C$165:$D$165,MATCH(LEFT($D487,5),Job_Training[[#Headers],[Solar]:[Wind]],0)),0),0)</f>
        <v>0</v>
      </c>
      <c r="AR487">
        <f>IF(AP487&gt;0,IFERROR(INDEX(Assumptions!$C$166:$D$166,MATCH(LEFT($D487,5),Job_Training[[#Headers],[Solar]:[Wind]],0)),0),0)</f>
        <v>0</v>
      </c>
    </row>
    <row r="488" spans="1:44" hidden="1" x14ac:dyDescent="0.35">
      <c r="A488" t="str">
        <f>UserInput!$B$30</f>
        <v>State Policy Aligned</v>
      </c>
      <c r="B488" s="23">
        <v>2028</v>
      </c>
      <c r="C488" s="23" t="s">
        <v>78</v>
      </c>
      <c r="D488" s="23" t="s">
        <v>97</v>
      </c>
      <c r="E488" s="40">
        <f>SUMIFS($E$254:$E$484,$B$254:$B$484,B488,$C$254:$C$484,C488)*1000*Assumptions!$C$8/1000/8760/0.3</f>
        <v>0</v>
      </c>
      <c r="F488" s="23" t="s">
        <v>81</v>
      </c>
      <c r="H488" s="63"/>
      <c r="I488" s="63"/>
      <c r="J488" s="63"/>
      <c r="K488" s="30">
        <f>IF(OR(LEFT($D488,5)="Solar",$D488="Wind"),INDEX(Land_Use[AVG],MATCH(LEFT($D488,5),Land_Use[Tech],0)),0)*$E488</f>
        <v>0</v>
      </c>
      <c r="L488" s="30">
        <f>IF(OR(LEFT($D488,5)="Solar",$D488="Wind"),INDEX(Land_Use[MIN],MATCH(LEFT($D488,5),Land_Use[Tech],0)),0)*$E488</f>
        <v>0</v>
      </c>
      <c r="M488" s="30">
        <f>IF(OR(LEFT($D488,5)="Solar",$D488="Wind"),INDEX(Land_Use[MAX],MATCH(LEFT($D488,5),Land_Use[Tech],0)),0)*$E488</f>
        <v>0</v>
      </c>
      <c r="N488" s="13">
        <f t="shared" si="134"/>
        <v>0</v>
      </c>
      <c r="O488" s="13">
        <f t="shared" si="135"/>
        <v>0</v>
      </c>
      <c r="P488" s="13">
        <f t="shared" si="136"/>
        <v>0</v>
      </c>
      <c r="Q488" s="13">
        <f t="shared" si="137"/>
        <v>0</v>
      </c>
      <c r="R488" s="13">
        <f t="shared" si="138"/>
        <v>0</v>
      </c>
      <c r="S488" s="30">
        <f t="shared" si="142"/>
        <v>0</v>
      </c>
      <c r="T488" s="30">
        <f t="shared" si="143"/>
        <v>0</v>
      </c>
      <c r="U488" s="30">
        <f t="shared" si="144"/>
        <v>0</v>
      </c>
      <c r="V488" s="30">
        <f t="shared" si="145"/>
        <v>0</v>
      </c>
      <c r="W488" s="30">
        <f t="shared" si="146"/>
        <v>0</v>
      </c>
      <c r="X488" s="30">
        <f t="shared" si="147"/>
        <v>0</v>
      </c>
      <c r="Z488" s="23" t="s">
        <v>76</v>
      </c>
      <c r="AA488" s="40"/>
      <c r="AB488" s="67"/>
      <c r="AC488" s="67"/>
      <c r="AD488" s="39"/>
      <c r="AE488" s="39"/>
      <c r="AF488" s="39"/>
      <c r="AG488" s="68"/>
      <c r="AH488">
        <v>14</v>
      </c>
      <c r="AI488">
        <v>1.4</v>
      </c>
      <c r="AJ488">
        <v>250</v>
      </c>
      <c r="AK488">
        <v>0.31</v>
      </c>
      <c r="AL488" s="63">
        <f>IFERROR(INDEX(Job_Training[[Solar]:[Wind]],MATCH(AL$1,Job_Training[[`Typical Entry Level Education`]:[`Typical Entry Level Education`]],0),MATCH(LEFT($D488,5),Job_Training[[#Headers],[Solar]:[Wind]],0)),0)</f>
        <v>3.4599999999999999E-2</v>
      </c>
      <c r="AM488" s="63">
        <f>IFERROR(INDEX(Job_Training[[Solar]:[Wind]],MATCH(AM$1,Job_Training[[`Typical Entry Level Education`]:[`Typical Entry Level Education`]],0),MATCH(LEFT($D488,5),Job_Training[[#Headers],[Solar]:[Wind]],0)),0)</f>
        <v>2.8199999999999999E-2</v>
      </c>
      <c r="AN488" s="63">
        <f>IFERROR(INDEX(Job_Training[[Solar]:[Wind]],MATCH(AN$1,Job_Training[[`Typical Entry Level Education`]:[`Typical Entry Level Education`]],0),MATCH(LEFT($D488,5),Job_Training[[#Headers],[Solar]:[Wind]],0)),0)</f>
        <v>3.3399999999999999E-2</v>
      </c>
      <c r="AO488" s="63">
        <f>IFERROR(INDEX(Job_Training[[Solar]:[Wind]],MATCH(AO$1,Job_Training[[`Typical Entry Level Education`]:[`Typical Entry Level Education`]],0),MATCH(LEFT($D488,5),Job_Training[[#Headers],[Solar]:[Wind]],0)),0)</f>
        <v>5.62E-3</v>
      </c>
      <c r="AP488">
        <f t="shared" si="148"/>
        <v>0</v>
      </c>
      <c r="AQ488" s="63">
        <f>IF(AP488&gt;0,IFERROR(INDEX(Assumptions!$C$165:$D$165,MATCH(LEFT($D488,5),Job_Training[[#Headers],[Solar]:[Wind]],0)),0),0)</f>
        <v>0</v>
      </c>
      <c r="AR488">
        <f>IF(AP488&gt;0,IFERROR(INDEX(Assumptions!$C$166:$D$166,MATCH(LEFT($D488,5),Job_Training[[#Headers],[Solar]:[Wind]],0)),0),0)</f>
        <v>0</v>
      </c>
    </row>
    <row r="489" spans="1:44" hidden="1" x14ac:dyDescent="0.35">
      <c r="A489" t="str">
        <f>UserInput!$B$30</f>
        <v>State Policy Aligned</v>
      </c>
      <c r="B489" s="23">
        <v>2029</v>
      </c>
      <c r="C489" s="23" t="s">
        <v>78</v>
      </c>
      <c r="D489" s="23" t="s">
        <v>97</v>
      </c>
      <c r="E489" s="40">
        <f>SUMIFS($E$254:$E$484,$B$254:$B$484,B489,$C$254:$C$484,C489)*1000*Assumptions!$C$8/1000/8760/0.3</f>
        <v>0</v>
      </c>
      <c r="F489" s="23" t="s">
        <v>81</v>
      </c>
      <c r="H489" s="63"/>
      <c r="I489" s="63"/>
      <c r="J489" s="63"/>
      <c r="K489" s="30">
        <f>IF(OR(LEFT($D489,5)="Solar",$D489="Wind"),INDEX(Land_Use[AVG],MATCH(LEFT($D489,5),Land_Use[Tech],0)),0)*$E489</f>
        <v>0</v>
      </c>
      <c r="L489" s="30">
        <f>IF(OR(LEFT($D489,5)="Solar",$D489="Wind"),INDEX(Land_Use[MIN],MATCH(LEFT($D489,5),Land_Use[Tech],0)),0)*$E489</f>
        <v>0</v>
      </c>
      <c r="M489" s="30">
        <f>IF(OR(LEFT($D489,5)="Solar",$D489="Wind"),INDEX(Land_Use[MAX],MATCH(LEFT($D489,5),Land_Use[Tech],0)),0)*$E489</f>
        <v>0</v>
      </c>
      <c r="N489" s="13">
        <f t="shared" si="134"/>
        <v>0</v>
      </c>
      <c r="O489" s="13">
        <f t="shared" si="135"/>
        <v>0</v>
      </c>
      <c r="P489" s="13">
        <f t="shared" si="136"/>
        <v>0</v>
      </c>
      <c r="Q489" s="13">
        <f t="shared" si="137"/>
        <v>0</v>
      </c>
      <c r="R489" s="13">
        <f t="shared" si="138"/>
        <v>0</v>
      </c>
      <c r="S489" s="30">
        <f t="shared" si="142"/>
        <v>0</v>
      </c>
      <c r="T489" s="30">
        <f t="shared" si="143"/>
        <v>0</v>
      </c>
      <c r="U489" s="30">
        <f t="shared" si="144"/>
        <v>0</v>
      </c>
      <c r="V489" s="30">
        <f t="shared" si="145"/>
        <v>0</v>
      </c>
      <c r="W489" s="30">
        <f t="shared" si="146"/>
        <v>0</v>
      </c>
      <c r="X489" s="30">
        <f t="shared" si="147"/>
        <v>0</v>
      </c>
      <c r="Z489" s="23" t="s">
        <v>76</v>
      </c>
      <c r="AA489" s="40"/>
      <c r="AB489" s="67"/>
      <c r="AC489" s="67"/>
      <c r="AD489" s="39"/>
      <c r="AE489" s="39"/>
      <c r="AF489" s="39"/>
      <c r="AG489" s="68"/>
      <c r="AH489">
        <v>14</v>
      </c>
      <c r="AI489">
        <v>1.4</v>
      </c>
      <c r="AJ489">
        <v>250</v>
      </c>
      <c r="AK489">
        <v>0.31</v>
      </c>
      <c r="AL489" s="63">
        <f>IFERROR(INDEX(Job_Training[[Solar]:[Wind]],MATCH(AL$1,Job_Training[[`Typical Entry Level Education`]:[`Typical Entry Level Education`]],0),MATCH(LEFT($D489,5),Job_Training[[#Headers],[Solar]:[Wind]],0)),0)</f>
        <v>3.4599999999999999E-2</v>
      </c>
      <c r="AM489" s="63">
        <f>IFERROR(INDEX(Job_Training[[Solar]:[Wind]],MATCH(AM$1,Job_Training[[`Typical Entry Level Education`]:[`Typical Entry Level Education`]],0),MATCH(LEFT($D489,5),Job_Training[[#Headers],[Solar]:[Wind]],0)),0)</f>
        <v>2.8199999999999999E-2</v>
      </c>
      <c r="AN489" s="63">
        <f>IFERROR(INDEX(Job_Training[[Solar]:[Wind]],MATCH(AN$1,Job_Training[[`Typical Entry Level Education`]:[`Typical Entry Level Education`]],0),MATCH(LEFT($D489,5),Job_Training[[#Headers],[Solar]:[Wind]],0)),0)</f>
        <v>3.3399999999999999E-2</v>
      </c>
      <c r="AO489" s="63">
        <f>IFERROR(INDEX(Job_Training[[Solar]:[Wind]],MATCH(AO$1,Job_Training[[`Typical Entry Level Education`]:[`Typical Entry Level Education`]],0),MATCH(LEFT($D489,5),Job_Training[[#Headers],[Solar]:[Wind]],0)),0)</f>
        <v>5.62E-3</v>
      </c>
      <c r="AP489">
        <f t="shared" si="148"/>
        <v>0</v>
      </c>
      <c r="AQ489" s="63">
        <f>IF(AP489&gt;0,IFERROR(INDEX(Assumptions!$C$165:$D$165,MATCH(LEFT($D489,5),Job_Training[[#Headers],[Solar]:[Wind]],0)),0),0)</f>
        <v>0</v>
      </c>
      <c r="AR489">
        <f>IF(AP489&gt;0,IFERROR(INDEX(Assumptions!$C$166:$D$166,MATCH(LEFT($D489,5),Job_Training[[#Headers],[Solar]:[Wind]],0)),0),0)</f>
        <v>0</v>
      </c>
    </row>
    <row r="490" spans="1:44" hidden="1" x14ac:dyDescent="0.35">
      <c r="A490" t="str">
        <f>UserInput!$B$30</f>
        <v>State Policy Aligned</v>
      </c>
      <c r="B490" s="23">
        <v>2030</v>
      </c>
      <c r="C490" s="23" t="s">
        <v>78</v>
      </c>
      <c r="D490" s="23" t="s">
        <v>97</v>
      </c>
      <c r="E490" s="40">
        <f>SUMIFS($E$254:$E$484,$B$254:$B$484,B490,$C$254:$C$484,C490)*1000*Assumptions!$C$8/1000/8760/0.3</f>
        <v>2289.8773972602744</v>
      </c>
      <c r="F490" s="23" t="s">
        <v>81</v>
      </c>
      <c r="H490" s="63"/>
      <c r="I490" s="63"/>
      <c r="J490" s="63"/>
      <c r="K490" s="30">
        <f>IF(OR(LEFT($D490,5)="Solar",$D490="Wind"),INDEX(Land_Use[AVG],MATCH(LEFT($D490,5),Land_Use[Tech],0)),0)*$E490</f>
        <v>8014.5708904109606</v>
      </c>
      <c r="L490" s="30">
        <f>IF(OR(LEFT($D490,5)="Solar",$D490="Wind"),INDEX(Land_Use[MIN],MATCH(LEFT($D490,5),Land_Use[Tech],0)),0)*$E490</f>
        <v>6411.6567123287678</v>
      </c>
      <c r="M490" s="30">
        <f>IF(OR(LEFT($D490,5)="Solar",$D490="Wind"),INDEX(Land_Use[MAX],MATCH(LEFT($D490,5),Land_Use[Tech],0)),0)*$E490</f>
        <v>9617.4850684931534</v>
      </c>
      <c r="N490" s="13">
        <f t="shared" si="134"/>
        <v>0</v>
      </c>
      <c r="O490" s="13">
        <f t="shared" si="135"/>
        <v>112203.99246575344</v>
      </c>
      <c r="P490" s="13">
        <f t="shared" si="136"/>
        <v>11220.399246575344</v>
      </c>
      <c r="Q490" s="13">
        <f t="shared" si="137"/>
        <v>2003642.7226027402</v>
      </c>
      <c r="R490" s="13">
        <f t="shared" si="138"/>
        <v>2484.516976027398</v>
      </c>
      <c r="S490" s="30">
        <f t="shared" si="142"/>
        <v>79.229757945205492</v>
      </c>
      <c r="T490" s="30">
        <f t="shared" si="143"/>
        <v>64.57454260273974</v>
      </c>
      <c r="U490" s="30">
        <f t="shared" si="144"/>
        <v>76.481905068493163</v>
      </c>
      <c r="V490" s="30">
        <f t="shared" si="145"/>
        <v>12.869110972602742</v>
      </c>
      <c r="W490" s="30">
        <f t="shared" si="146"/>
        <v>233.15531658904112</v>
      </c>
      <c r="X490" s="30">
        <f t="shared" si="147"/>
        <v>13989.318995342468</v>
      </c>
      <c r="Z490" s="23" t="s">
        <v>76</v>
      </c>
      <c r="AA490" s="40"/>
      <c r="AB490" s="67"/>
      <c r="AC490" s="67"/>
      <c r="AD490" s="39"/>
      <c r="AE490" s="39"/>
      <c r="AF490" s="39"/>
      <c r="AG490" s="68"/>
      <c r="AH490">
        <v>14</v>
      </c>
      <c r="AI490">
        <v>1.4</v>
      </c>
      <c r="AJ490">
        <v>250</v>
      </c>
      <c r="AK490">
        <v>0.31</v>
      </c>
      <c r="AL490" s="63">
        <f>IFERROR(INDEX(Job_Training[[Solar]:[Wind]],MATCH(AL$1,Job_Training[[`Typical Entry Level Education`]:[`Typical Entry Level Education`]],0),MATCH(LEFT($D490,5),Job_Training[[#Headers],[Solar]:[Wind]],0)),0)</f>
        <v>3.4599999999999999E-2</v>
      </c>
      <c r="AM490" s="63">
        <f>IFERROR(INDEX(Job_Training[[Solar]:[Wind]],MATCH(AM$1,Job_Training[[`Typical Entry Level Education`]:[`Typical Entry Level Education`]],0),MATCH(LEFT($D490,5),Job_Training[[#Headers],[Solar]:[Wind]],0)),0)</f>
        <v>2.8199999999999999E-2</v>
      </c>
      <c r="AN490" s="63">
        <f>IFERROR(INDEX(Job_Training[[Solar]:[Wind]],MATCH(AN$1,Job_Training[[`Typical Entry Level Education`]:[`Typical Entry Level Education`]],0),MATCH(LEFT($D490,5),Job_Training[[#Headers],[Solar]:[Wind]],0)),0)</f>
        <v>3.3399999999999999E-2</v>
      </c>
      <c r="AO490" s="63">
        <f>IFERROR(INDEX(Job_Training[[Solar]:[Wind]],MATCH(AO$1,Job_Training[[`Typical Entry Level Education`]:[`Typical Entry Level Education`]],0),MATCH(LEFT($D490,5),Job_Training[[#Headers],[Solar]:[Wind]],0)),0)</f>
        <v>5.62E-3</v>
      </c>
      <c r="AP490">
        <f t="shared" si="148"/>
        <v>2289.8773972602744</v>
      </c>
      <c r="AQ490" s="63">
        <f>IF(AP490&gt;0,IFERROR(INDEX(Assumptions!$C$165:$D$165,MATCH(LEFT($D490,5),Job_Training[[#Headers],[Solar]:[Wind]],0)),0),0)</f>
        <v>0.10181999999999999</v>
      </c>
      <c r="AR490">
        <f>IF(AP490&gt;0,IFERROR(INDEX(Assumptions!$C$166:$D$166,MATCH(LEFT($D490,5),Job_Training[[#Headers],[Solar]:[Wind]],0)),0),0)</f>
        <v>6.1091999999999995</v>
      </c>
    </row>
    <row r="491" spans="1:44" hidden="1" x14ac:dyDescent="0.35">
      <c r="A491" t="str">
        <f>UserInput!$B$30</f>
        <v>State Policy Aligned</v>
      </c>
      <c r="B491" s="23">
        <v>2031</v>
      </c>
      <c r="C491" s="23" t="s">
        <v>78</v>
      </c>
      <c r="D491" s="23" t="s">
        <v>97</v>
      </c>
      <c r="E491" s="40">
        <f>SUMIFS($E$254:$E$484,$B$254:$B$484,B491,$C$254:$C$484,C491)*1000*Assumptions!$C$8/1000/8760/0.3</f>
        <v>2582.2873972602742</v>
      </c>
      <c r="F491" s="23" t="s">
        <v>81</v>
      </c>
      <c r="H491" s="63"/>
      <c r="I491" s="63"/>
      <c r="J491" s="63"/>
      <c r="K491" s="30">
        <f>IF(OR(LEFT($D491,5)="Solar",$D491="Wind"),INDEX(Land_Use[AVG],MATCH(LEFT($D491,5),Land_Use[Tech],0)),0)*$E491</f>
        <v>9038.0058904109592</v>
      </c>
      <c r="L491" s="30">
        <f>IF(OR(LEFT($D491,5)="Solar",$D491="Wind"),INDEX(Land_Use[MIN],MATCH(LEFT($D491,5),Land_Use[Tech],0)),0)*$E491</f>
        <v>7230.4047123287673</v>
      </c>
      <c r="M491" s="30">
        <f>IF(OR(LEFT($D491,5)="Solar",$D491="Wind"),INDEX(Land_Use[MAX],MATCH(LEFT($D491,5),Land_Use[Tech],0)),0)*$E491</f>
        <v>10845.607068493153</v>
      </c>
      <c r="N491" s="13">
        <f t="shared" ref="N491:N554" si="150">E491*AG491*1000/1000000</f>
        <v>0</v>
      </c>
      <c r="O491" s="13">
        <f t="shared" ref="O491:O554" si="151">$K491*AH$2</f>
        <v>126532.08246575342</v>
      </c>
      <c r="P491" s="13">
        <f t="shared" ref="P491:P554" si="152">$K491*AI$2</f>
        <v>12653.208246575343</v>
      </c>
      <c r="Q491" s="13">
        <f t="shared" ref="Q491:Q554" si="153">$K491*AJ$2</f>
        <v>2259501.4726027399</v>
      </c>
      <c r="R491" s="13">
        <f t="shared" ref="R491:R554" si="154">$K491*AK$2</f>
        <v>2801.7818260273975</v>
      </c>
      <c r="S491" s="30">
        <f t="shared" si="142"/>
        <v>10.117385999999994</v>
      </c>
      <c r="T491" s="30">
        <f t="shared" si="143"/>
        <v>8.2459619999999951</v>
      </c>
      <c r="U491" s="30">
        <f t="shared" si="144"/>
        <v>9.7664939999999945</v>
      </c>
      <c r="V491" s="30">
        <f t="shared" si="145"/>
        <v>1.6433441999999991</v>
      </c>
      <c r="W491" s="30">
        <f t="shared" si="146"/>
        <v>29.773186199999984</v>
      </c>
      <c r="X491" s="30">
        <f t="shared" si="147"/>
        <v>1786.391171999999</v>
      </c>
      <c r="Z491" s="23" t="s">
        <v>76</v>
      </c>
      <c r="AA491" s="40"/>
      <c r="AB491" s="67"/>
      <c r="AC491" s="67"/>
      <c r="AD491" s="39"/>
      <c r="AE491" s="39"/>
      <c r="AF491" s="39"/>
      <c r="AG491" s="68"/>
      <c r="AH491">
        <v>14</v>
      </c>
      <c r="AI491">
        <v>1.4</v>
      </c>
      <c r="AJ491">
        <v>250</v>
      </c>
      <c r="AK491">
        <v>0.31</v>
      </c>
      <c r="AL491" s="63">
        <f>IFERROR(INDEX(Job_Training[[Solar]:[Wind]],MATCH(AL$1,Job_Training[[`Typical Entry Level Education`]:[`Typical Entry Level Education`]],0),MATCH(LEFT($D491,5),Job_Training[[#Headers],[Solar]:[Wind]],0)),0)</f>
        <v>3.4599999999999999E-2</v>
      </c>
      <c r="AM491" s="63">
        <f>IFERROR(INDEX(Job_Training[[Solar]:[Wind]],MATCH(AM$1,Job_Training[[`Typical Entry Level Education`]:[`Typical Entry Level Education`]],0),MATCH(LEFT($D491,5),Job_Training[[#Headers],[Solar]:[Wind]],0)),0)</f>
        <v>2.8199999999999999E-2</v>
      </c>
      <c r="AN491" s="63">
        <f>IFERROR(INDEX(Job_Training[[Solar]:[Wind]],MATCH(AN$1,Job_Training[[`Typical Entry Level Education`]:[`Typical Entry Level Education`]],0),MATCH(LEFT($D491,5),Job_Training[[#Headers],[Solar]:[Wind]],0)),0)</f>
        <v>3.3399999999999999E-2</v>
      </c>
      <c r="AO491" s="63">
        <f>IFERROR(INDEX(Job_Training[[Solar]:[Wind]],MATCH(AO$1,Job_Training[[`Typical Entry Level Education`]:[`Typical Entry Level Education`]],0),MATCH(LEFT($D491,5),Job_Training[[#Headers],[Solar]:[Wind]],0)),0)</f>
        <v>5.62E-3</v>
      </c>
      <c r="AP491">
        <f t="shared" si="148"/>
        <v>292.40999999999985</v>
      </c>
      <c r="AQ491" s="63">
        <f>IF(AP491&gt;0,IFERROR(INDEX(Assumptions!$C$165:$D$165,MATCH(LEFT($D491,5),Job_Training[[#Headers],[Solar]:[Wind]],0)),0),0)</f>
        <v>0.10181999999999999</v>
      </c>
      <c r="AR491">
        <f>IF(AP491&gt;0,IFERROR(INDEX(Assumptions!$C$166:$D$166,MATCH(LEFT($D491,5),Job_Training[[#Headers],[Solar]:[Wind]],0)),0),0)</f>
        <v>6.1091999999999995</v>
      </c>
    </row>
    <row r="492" spans="1:44" hidden="1" x14ac:dyDescent="0.35">
      <c r="A492" t="str">
        <f>UserInput!$B$30</f>
        <v>State Policy Aligned</v>
      </c>
      <c r="B492" s="23">
        <v>2032</v>
      </c>
      <c r="C492" s="23" t="s">
        <v>78</v>
      </c>
      <c r="D492" s="23" t="s">
        <v>97</v>
      </c>
      <c r="E492" s="40">
        <f>SUMIFS($E$254:$E$484,$B$254:$B$484,B492,$C$254:$C$484,C492)*1000*Assumptions!$C$8/1000/8760/0.3</f>
        <v>2874.6973972602741</v>
      </c>
      <c r="F492" s="23" t="s">
        <v>81</v>
      </c>
      <c r="H492" s="63"/>
      <c r="I492" s="63"/>
      <c r="J492" s="63"/>
      <c r="K492" s="30">
        <f>IF(OR(LEFT($D492,5)="Solar",$D492="Wind"),INDEX(Land_Use[AVG],MATCH(LEFT($D492,5),Land_Use[Tech],0)),0)*$E492</f>
        <v>10061.440890410959</v>
      </c>
      <c r="L492" s="30">
        <f>IF(OR(LEFT($D492,5)="Solar",$D492="Wind"),INDEX(Land_Use[MIN],MATCH(LEFT($D492,5),Land_Use[Tech],0)),0)*$E492</f>
        <v>8049.1527123287669</v>
      </c>
      <c r="M492" s="30">
        <f>IF(OR(LEFT($D492,5)="Solar",$D492="Wind"),INDEX(Land_Use[MAX],MATCH(LEFT($D492,5),Land_Use[Tech],0)),0)*$E492</f>
        <v>12073.729068493152</v>
      </c>
      <c r="N492" s="13">
        <f t="shared" si="150"/>
        <v>0</v>
      </c>
      <c r="O492" s="13">
        <f t="shared" si="151"/>
        <v>140860.17246575342</v>
      </c>
      <c r="P492" s="13">
        <f t="shared" si="152"/>
        <v>14086.017246575342</v>
      </c>
      <c r="Q492" s="13">
        <f t="shared" si="153"/>
        <v>2515360.2226027395</v>
      </c>
      <c r="R492" s="13">
        <f t="shared" si="154"/>
        <v>3119.0466760273971</v>
      </c>
      <c r="S492" s="30">
        <f t="shared" si="142"/>
        <v>10.117385999999994</v>
      </c>
      <c r="T492" s="30">
        <f t="shared" si="143"/>
        <v>8.2459619999999951</v>
      </c>
      <c r="U492" s="30">
        <f t="shared" si="144"/>
        <v>9.7664939999999945</v>
      </c>
      <c r="V492" s="30">
        <f t="shared" si="145"/>
        <v>1.6433441999999991</v>
      </c>
      <c r="W492" s="30">
        <f t="shared" si="146"/>
        <v>29.773186199999984</v>
      </c>
      <c r="X492" s="30">
        <f t="shared" si="147"/>
        <v>1786.391171999999</v>
      </c>
      <c r="Z492" s="23" t="s">
        <v>76</v>
      </c>
      <c r="AA492" s="40"/>
      <c r="AB492" s="67"/>
      <c r="AC492" s="67"/>
      <c r="AD492" s="39"/>
      <c r="AE492" s="39"/>
      <c r="AF492" s="39"/>
      <c r="AG492" s="68"/>
      <c r="AH492">
        <v>14</v>
      </c>
      <c r="AI492">
        <v>1.4</v>
      </c>
      <c r="AJ492">
        <v>250</v>
      </c>
      <c r="AK492">
        <v>0.31</v>
      </c>
      <c r="AL492" s="63">
        <f>IFERROR(INDEX(Job_Training[[Solar]:[Wind]],MATCH(AL$1,Job_Training[[`Typical Entry Level Education`]:[`Typical Entry Level Education`]],0),MATCH(LEFT($D492,5),Job_Training[[#Headers],[Solar]:[Wind]],0)),0)</f>
        <v>3.4599999999999999E-2</v>
      </c>
      <c r="AM492" s="63">
        <f>IFERROR(INDEX(Job_Training[[Solar]:[Wind]],MATCH(AM$1,Job_Training[[`Typical Entry Level Education`]:[`Typical Entry Level Education`]],0),MATCH(LEFT($D492,5),Job_Training[[#Headers],[Solar]:[Wind]],0)),0)</f>
        <v>2.8199999999999999E-2</v>
      </c>
      <c r="AN492" s="63">
        <f>IFERROR(INDEX(Job_Training[[Solar]:[Wind]],MATCH(AN$1,Job_Training[[`Typical Entry Level Education`]:[`Typical Entry Level Education`]],0),MATCH(LEFT($D492,5),Job_Training[[#Headers],[Solar]:[Wind]],0)),0)</f>
        <v>3.3399999999999999E-2</v>
      </c>
      <c r="AO492" s="63">
        <f>IFERROR(INDEX(Job_Training[[Solar]:[Wind]],MATCH(AO$1,Job_Training[[`Typical Entry Level Education`]:[`Typical Entry Level Education`]],0),MATCH(LEFT($D492,5),Job_Training[[#Headers],[Solar]:[Wind]],0)),0)</f>
        <v>5.62E-3</v>
      </c>
      <c r="AP492">
        <f t="shared" si="148"/>
        <v>292.40999999999985</v>
      </c>
      <c r="AQ492" s="63">
        <f>IF(AP492&gt;0,IFERROR(INDEX(Assumptions!$C$165:$D$165,MATCH(LEFT($D492,5),Job_Training[[#Headers],[Solar]:[Wind]],0)),0),0)</f>
        <v>0.10181999999999999</v>
      </c>
      <c r="AR492">
        <f>IF(AP492&gt;0,IFERROR(INDEX(Assumptions!$C$166:$D$166,MATCH(LEFT($D492,5),Job_Training[[#Headers],[Solar]:[Wind]],0)),0),0)</f>
        <v>6.1091999999999995</v>
      </c>
    </row>
    <row r="493" spans="1:44" hidden="1" x14ac:dyDescent="0.35">
      <c r="A493" t="str">
        <f>UserInput!$B$30</f>
        <v>State Policy Aligned</v>
      </c>
      <c r="B493" s="23">
        <v>2033</v>
      </c>
      <c r="C493" s="23" t="s">
        <v>78</v>
      </c>
      <c r="D493" s="23" t="s">
        <v>97</v>
      </c>
      <c r="E493" s="40">
        <f>SUMIFS($E$254:$E$484,$B$254:$B$484,B493,$C$254:$C$484,C493)*1000*Assumptions!$C$8/1000/8760/0.3</f>
        <v>3167.1073972602744</v>
      </c>
      <c r="F493" s="23" t="s">
        <v>81</v>
      </c>
      <c r="H493" s="63"/>
      <c r="I493" s="63"/>
      <c r="J493" s="63"/>
      <c r="K493" s="30">
        <f>IF(OR(LEFT($D493,5)="Solar",$D493="Wind"),INDEX(Land_Use[AVG],MATCH(LEFT($D493,5),Land_Use[Tech],0)),0)*$E493</f>
        <v>11084.87589041096</v>
      </c>
      <c r="L493" s="30">
        <f>IF(OR(LEFT($D493,5)="Solar",$D493="Wind"),INDEX(Land_Use[MIN],MATCH(LEFT($D493,5),Land_Use[Tech],0)),0)*$E493</f>
        <v>8867.9007123287683</v>
      </c>
      <c r="M493" s="30">
        <f>IF(OR(LEFT($D493,5)="Solar",$D493="Wind"),INDEX(Land_Use[MAX],MATCH(LEFT($D493,5),Land_Use[Tech],0)),0)*$E493</f>
        <v>13301.851068493153</v>
      </c>
      <c r="N493" s="13">
        <f t="shared" si="150"/>
        <v>0</v>
      </c>
      <c r="O493" s="13">
        <f t="shared" si="151"/>
        <v>155188.26246575345</v>
      </c>
      <c r="P493" s="13">
        <f t="shared" si="152"/>
        <v>15518.826246575343</v>
      </c>
      <c r="Q493" s="13">
        <f t="shared" si="153"/>
        <v>2771218.9726027399</v>
      </c>
      <c r="R493" s="13">
        <f t="shared" si="154"/>
        <v>3436.3115260273976</v>
      </c>
      <c r="S493" s="30">
        <f t="shared" si="142"/>
        <v>10.11738600000001</v>
      </c>
      <c r="T493" s="30">
        <f t="shared" si="143"/>
        <v>8.2459620000000093</v>
      </c>
      <c r="U493" s="30">
        <f t="shared" si="144"/>
        <v>9.7664940000000104</v>
      </c>
      <c r="V493" s="30">
        <f t="shared" si="145"/>
        <v>1.6433442000000018</v>
      </c>
      <c r="W493" s="30">
        <f t="shared" si="146"/>
        <v>29.77318620000003</v>
      </c>
      <c r="X493" s="30">
        <f t="shared" si="147"/>
        <v>1786.3911720000017</v>
      </c>
      <c r="Z493" s="23" t="s">
        <v>76</v>
      </c>
      <c r="AA493" s="40"/>
      <c r="AB493" s="67"/>
      <c r="AC493" s="67"/>
      <c r="AD493" s="39"/>
      <c r="AE493" s="39"/>
      <c r="AF493" s="39"/>
      <c r="AG493" s="68"/>
      <c r="AH493">
        <v>14</v>
      </c>
      <c r="AI493">
        <v>1.4</v>
      </c>
      <c r="AJ493">
        <v>250</v>
      </c>
      <c r="AK493">
        <v>0.31</v>
      </c>
      <c r="AL493" s="63">
        <f>IFERROR(INDEX(Job_Training[[Solar]:[Wind]],MATCH(AL$1,Job_Training[[`Typical Entry Level Education`]:[`Typical Entry Level Education`]],0),MATCH(LEFT($D493,5),Job_Training[[#Headers],[Solar]:[Wind]],0)),0)</f>
        <v>3.4599999999999999E-2</v>
      </c>
      <c r="AM493" s="63">
        <f>IFERROR(INDEX(Job_Training[[Solar]:[Wind]],MATCH(AM$1,Job_Training[[`Typical Entry Level Education`]:[`Typical Entry Level Education`]],0),MATCH(LEFT($D493,5),Job_Training[[#Headers],[Solar]:[Wind]],0)),0)</f>
        <v>2.8199999999999999E-2</v>
      </c>
      <c r="AN493" s="63">
        <f>IFERROR(INDEX(Job_Training[[Solar]:[Wind]],MATCH(AN$1,Job_Training[[`Typical Entry Level Education`]:[`Typical Entry Level Education`]],0),MATCH(LEFT($D493,5),Job_Training[[#Headers],[Solar]:[Wind]],0)),0)</f>
        <v>3.3399999999999999E-2</v>
      </c>
      <c r="AO493" s="63">
        <f>IFERROR(INDEX(Job_Training[[Solar]:[Wind]],MATCH(AO$1,Job_Training[[`Typical Entry Level Education`]:[`Typical Entry Level Education`]],0),MATCH(LEFT($D493,5),Job_Training[[#Headers],[Solar]:[Wind]],0)),0)</f>
        <v>5.62E-3</v>
      </c>
      <c r="AP493">
        <f t="shared" si="148"/>
        <v>292.41000000000031</v>
      </c>
      <c r="AQ493" s="63">
        <f>IF(AP493&gt;0,IFERROR(INDEX(Assumptions!$C$165:$D$165,MATCH(LEFT($D493,5),Job_Training[[#Headers],[Solar]:[Wind]],0)),0),0)</f>
        <v>0.10181999999999999</v>
      </c>
      <c r="AR493">
        <f>IF(AP493&gt;0,IFERROR(INDEX(Assumptions!$C$166:$D$166,MATCH(LEFT($D493,5),Job_Training[[#Headers],[Solar]:[Wind]],0)),0),0)</f>
        <v>6.1091999999999995</v>
      </c>
    </row>
    <row r="494" spans="1:44" hidden="1" x14ac:dyDescent="0.35">
      <c r="A494" t="str">
        <f>UserInput!$B$30</f>
        <v>State Policy Aligned</v>
      </c>
      <c r="B494" s="23">
        <v>2034</v>
      </c>
      <c r="C494" s="23" t="s">
        <v>78</v>
      </c>
      <c r="D494" s="23" t="s">
        <v>97</v>
      </c>
      <c r="E494" s="40">
        <f>SUMIFS($E$254:$E$484,$B$254:$B$484,B494,$C$254:$C$484,C494)*1000*Assumptions!$C$8/1000/8760/0.3</f>
        <v>3459.5173972602752</v>
      </c>
      <c r="F494" s="23" t="s">
        <v>81</v>
      </c>
      <c r="H494" s="63"/>
      <c r="I494" s="63"/>
      <c r="J494" s="63"/>
      <c r="K494" s="30">
        <f>IF(OR(LEFT($D494,5)="Solar",$D494="Wind"),INDEX(Land_Use[AVG],MATCH(LEFT($D494,5),Land_Use[Tech],0)),0)*$E494</f>
        <v>12108.310890410963</v>
      </c>
      <c r="L494" s="30">
        <f>IF(OR(LEFT($D494,5)="Solar",$D494="Wind"),INDEX(Land_Use[MIN],MATCH(LEFT($D494,5),Land_Use[Tech],0)),0)*$E494</f>
        <v>9686.6487123287698</v>
      </c>
      <c r="M494" s="30">
        <f>IF(OR(LEFT($D494,5)="Solar",$D494="Wind"),INDEX(Land_Use[MAX],MATCH(LEFT($D494,5),Land_Use[Tech],0)),0)*$E494</f>
        <v>14529.973068493156</v>
      </c>
      <c r="N494" s="13">
        <f t="shared" si="150"/>
        <v>0</v>
      </c>
      <c r="O494" s="13">
        <f t="shared" si="151"/>
        <v>169516.35246575347</v>
      </c>
      <c r="P494" s="13">
        <f t="shared" si="152"/>
        <v>16951.635246575348</v>
      </c>
      <c r="Q494" s="13">
        <f t="shared" si="153"/>
        <v>3027077.7226027409</v>
      </c>
      <c r="R494" s="13">
        <f t="shared" si="154"/>
        <v>3753.5763760273985</v>
      </c>
      <c r="S494" s="30">
        <f t="shared" si="142"/>
        <v>10.117386000000026</v>
      </c>
      <c r="T494" s="30">
        <f t="shared" si="143"/>
        <v>8.2459620000000218</v>
      </c>
      <c r="U494" s="30">
        <f t="shared" si="144"/>
        <v>9.7664940000000247</v>
      </c>
      <c r="V494" s="30">
        <f t="shared" si="145"/>
        <v>1.6433442000000043</v>
      </c>
      <c r="W494" s="30">
        <f t="shared" si="146"/>
        <v>29.773186200000076</v>
      </c>
      <c r="X494" s="30">
        <f t="shared" si="147"/>
        <v>1786.3911720000044</v>
      </c>
      <c r="Z494" s="23" t="s">
        <v>76</v>
      </c>
      <c r="AA494" s="40"/>
      <c r="AB494" s="67"/>
      <c r="AC494" s="67"/>
      <c r="AD494" s="39"/>
      <c r="AE494" s="39"/>
      <c r="AF494" s="39"/>
      <c r="AG494" s="68"/>
      <c r="AH494">
        <v>14</v>
      </c>
      <c r="AI494">
        <v>1.4</v>
      </c>
      <c r="AJ494">
        <v>250</v>
      </c>
      <c r="AK494">
        <v>0.31</v>
      </c>
      <c r="AL494" s="63">
        <f>IFERROR(INDEX(Job_Training[[Solar]:[Wind]],MATCH(AL$1,Job_Training[[`Typical Entry Level Education`]:[`Typical Entry Level Education`]],0),MATCH(LEFT($D494,5),Job_Training[[#Headers],[Solar]:[Wind]],0)),0)</f>
        <v>3.4599999999999999E-2</v>
      </c>
      <c r="AM494" s="63">
        <f>IFERROR(INDEX(Job_Training[[Solar]:[Wind]],MATCH(AM$1,Job_Training[[`Typical Entry Level Education`]:[`Typical Entry Level Education`]],0),MATCH(LEFT($D494,5),Job_Training[[#Headers],[Solar]:[Wind]],0)),0)</f>
        <v>2.8199999999999999E-2</v>
      </c>
      <c r="AN494" s="63">
        <f>IFERROR(INDEX(Job_Training[[Solar]:[Wind]],MATCH(AN$1,Job_Training[[`Typical Entry Level Education`]:[`Typical Entry Level Education`]],0),MATCH(LEFT($D494,5),Job_Training[[#Headers],[Solar]:[Wind]],0)),0)</f>
        <v>3.3399999999999999E-2</v>
      </c>
      <c r="AO494" s="63">
        <f>IFERROR(INDEX(Job_Training[[Solar]:[Wind]],MATCH(AO$1,Job_Training[[`Typical Entry Level Education`]:[`Typical Entry Level Education`]],0),MATCH(LEFT($D494,5),Job_Training[[#Headers],[Solar]:[Wind]],0)),0)</f>
        <v>5.62E-3</v>
      </c>
      <c r="AP494">
        <f t="shared" si="148"/>
        <v>292.41000000000076</v>
      </c>
      <c r="AQ494" s="63">
        <f>IF(AP494&gt;0,IFERROR(INDEX(Assumptions!$C$165:$D$165,MATCH(LEFT($D494,5),Job_Training[[#Headers],[Solar]:[Wind]],0)),0),0)</f>
        <v>0.10181999999999999</v>
      </c>
      <c r="AR494">
        <f>IF(AP494&gt;0,IFERROR(INDEX(Assumptions!$C$166:$D$166,MATCH(LEFT($D494,5),Job_Training[[#Headers],[Solar]:[Wind]],0)),0),0)</f>
        <v>6.1091999999999995</v>
      </c>
    </row>
    <row r="495" spans="1:44" hidden="1" x14ac:dyDescent="0.35">
      <c r="A495" t="str">
        <f>UserInput!$B$30</f>
        <v>State Policy Aligned</v>
      </c>
      <c r="B495" s="23">
        <v>2035</v>
      </c>
      <c r="C495" s="23" t="s">
        <v>78</v>
      </c>
      <c r="D495" s="23" t="s">
        <v>97</v>
      </c>
      <c r="E495" s="40">
        <f>SUMIFS($E$254:$E$484,$B$254:$B$484,B495,$C$254:$C$484,C495)*1000*Assumptions!$C$8/1000/8760/0.3</f>
        <v>3751.9273972602741</v>
      </c>
      <c r="F495" s="23" t="s">
        <v>81</v>
      </c>
      <c r="H495" s="63"/>
      <c r="I495" s="63"/>
      <c r="J495" s="63"/>
      <c r="K495" s="30">
        <f>IF(OR(LEFT($D495,5)="Solar",$D495="Wind"),INDEX(Land_Use[AVG],MATCH(LEFT($D495,5),Land_Use[Tech],0)),0)*$E495</f>
        <v>13131.745890410959</v>
      </c>
      <c r="L495" s="30">
        <f>IF(OR(LEFT($D495,5)="Solar",$D495="Wind"),INDEX(Land_Use[MIN],MATCH(LEFT($D495,5),Land_Use[Tech],0)),0)*$E495</f>
        <v>10505.396712328768</v>
      </c>
      <c r="M495" s="30">
        <f>IF(OR(LEFT($D495,5)="Solar",$D495="Wind"),INDEX(Land_Use[MAX],MATCH(LEFT($D495,5),Land_Use[Tech],0)),0)*$E495</f>
        <v>15758.095068493152</v>
      </c>
      <c r="N495" s="13">
        <f t="shared" si="150"/>
        <v>0</v>
      </c>
      <c r="O495" s="13">
        <f t="shared" si="151"/>
        <v>183844.44246575341</v>
      </c>
      <c r="P495" s="13">
        <f t="shared" si="152"/>
        <v>18384.444246575342</v>
      </c>
      <c r="Q495" s="13">
        <f t="shared" si="153"/>
        <v>3282936.4726027399</v>
      </c>
      <c r="R495" s="13">
        <f t="shared" si="154"/>
        <v>4070.8412260273972</v>
      </c>
      <c r="S495" s="30">
        <f t="shared" si="142"/>
        <v>10.117385999999962</v>
      </c>
      <c r="T495" s="30">
        <f t="shared" si="143"/>
        <v>8.2459619999999703</v>
      </c>
      <c r="U495" s="30">
        <f t="shared" si="144"/>
        <v>9.7664939999999643</v>
      </c>
      <c r="V495" s="30">
        <f t="shared" si="145"/>
        <v>1.643344199999994</v>
      </c>
      <c r="W495" s="30">
        <f t="shared" si="146"/>
        <v>29.773186199999891</v>
      </c>
      <c r="X495" s="30">
        <f t="shared" si="147"/>
        <v>1786.3911719999935</v>
      </c>
      <c r="Z495" s="23" t="s">
        <v>76</v>
      </c>
      <c r="AA495" s="40"/>
      <c r="AB495" s="67"/>
      <c r="AC495" s="67"/>
      <c r="AD495" s="39"/>
      <c r="AE495" s="39"/>
      <c r="AF495" s="39"/>
      <c r="AG495" s="68"/>
      <c r="AH495">
        <v>14</v>
      </c>
      <c r="AI495">
        <v>1.4</v>
      </c>
      <c r="AJ495">
        <v>250</v>
      </c>
      <c r="AK495">
        <v>0.31</v>
      </c>
      <c r="AL495" s="63">
        <f>IFERROR(INDEX(Job_Training[[Solar]:[Wind]],MATCH(AL$1,Job_Training[[`Typical Entry Level Education`]:[`Typical Entry Level Education`]],0),MATCH(LEFT($D495,5),Job_Training[[#Headers],[Solar]:[Wind]],0)),0)</f>
        <v>3.4599999999999999E-2</v>
      </c>
      <c r="AM495" s="63">
        <f>IFERROR(INDEX(Job_Training[[Solar]:[Wind]],MATCH(AM$1,Job_Training[[`Typical Entry Level Education`]:[`Typical Entry Level Education`]],0),MATCH(LEFT($D495,5),Job_Training[[#Headers],[Solar]:[Wind]],0)),0)</f>
        <v>2.8199999999999999E-2</v>
      </c>
      <c r="AN495" s="63">
        <f>IFERROR(INDEX(Job_Training[[Solar]:[Wind]],MATCH(AN$1,Job_Training[[`Typical Entry Level Education`]:[`Typical Entry Level Education`]],0),MATCH(LEFT($D495,5),Job_Training[[#Headers],[Solar]:[Wind]],0)),0)</f>
        <v>3.3399999999999999E-2</v>
      </c>
      <c r="AO495" s="63">
        <f>IFERROR(INDEX(Job_Training[[Solar]:[Wind]],MATCH(AO$1,Job_Training[[`Typical Entry Level Education`]:[`Typical Entry Level Education`]],0),MATCH(LEFT($D495,5),Job_Training[[#Headers],[Solar]:[Wind]],0)),0)</f>
        <v>5.62E-3</v>
      </c>
      <c r="AP495">
        <f t="shared" si="148"/>
        <v>292.40999999999894</v>
      </c>
      <c r="AQ495" s="63">
        <f>IF(AP495&gt;0,IFERROR(INDEX(Assumptions!$C$165:$D$165,MATCH(LEFT($D495,5),Job_Training[[#Headers],[Solar]:[Wind]],0)),0),0)</f>
        <v>0.10181999999999999</v>
      </c>
      <c r="AR495">
        <f>IF(AP495&gt;0,IFERROR(INDEX(Assumptions!$C$166:$D$166,MATCH(LEFT($D495,5),Job_Training[[#Headers],[Solar]:[Wind]],0)),0),0)</f>
        <v>6.1091999999999995</v>
      </c>
    </row>
    <row r="496" spans="1:44" hidden="1" x14ac:dyDescent="0.35">
      <c r="A496" t="str">
        <f>UserInput!$B$30</f>
        <v>State Policy Aligned</v>
      </c>
      <c r="B496" s="23">
        <v>2036</v>
      </c>
      <c r="C496" s="23" t="s">
        <v>78</v>
      </c>
      <c r="D496" s="23" t="s">
        <v>97</v>
      </c>
      <c r="E496" s="40">
        <f>SUMIFS($E$254:$E$484,$B$254:$B$484,B496,$C$254:$C$484,C496)*1000*Assumptions!$C$8/1000/8760/0.3</f>
        <v>4044.337397260274</v>
      </c>
      <c r="F496" s="23" t="s">
        <v>81</v>
      </c>
      <c r="H496" s="63"/>
      <c r="I496" s="63"/>
      <c r="J496" s="63"/>
      <c r="K496" s="30">
        <f>IF(OR(LEFT($D496,5)="Solar",$D496="Wind"),INDEX(Land_Use[AVG],MATCH(LEFT($D496,5),Land_Use[Tech],0)),0)*$E496</f>
        <v>14155.180890410958</v>
      </c>
      <c r="L496" s="30">
        <f>IF(OR(LEFT($D496,5)="Solar",$D496="Wind"),INDEX(Land_Use[MIN],MATCH(LEFT($D496,5),Land_Use[Tech],0)),0)*$E496</f>
        <v>11324.144712328767</v>
      </c>
      <c r="M496" s="30">
        <f>IF(OR(LEFT($D496,5)="Solar",$D496="Wind"),INDEX(Land_Use[MAX],MATCH(LEFT($D496,5),Land_Use[Tech],0)),0)*$E496</f>
        <v>16986.217068493152</v>
      </c>
      <c r="N496" s="13">
        <f t="shared" si="150"/>
        <v>0</v>
      </c>
      <c r="O496" s="13">
        <f t="shared" si="151"/>
        <v>198172.53246575341</v>
      </c>
      <c r="P496" s="13">
        <f t="shared" si="152"/>
        <v>19817.253246575339</v>
      </c>
      <c r="Q496" s="13">
        <f t="shared" si="153"/>
        <v>3538795.2226027395</v>
      </c>
      <c r="R496" s="13">
        <f t="shared" si="154"/>
        <v>4388.1060760273967</v>
      </c>
      <c r="S496" s="30">
        <f t="shared" si="142"/>
        <v>10.117385999999994</v>
      </c>
      <c r="T496" s="30">
        <f t="shared" si="143"/>
        <v>8.2459619999999951</v>
      </c>
      <c r="U496" s="30">
        <f t="shared" si="144"/>
        <v>9.7664939999999945</v>
      </c>
      <c r="V496" s="30">
        <f t="shared" si="145"/>
        <v>1.6433441999999991</v>
      </c>
      <c r="W496" s="30">
        <f t="shared" si="146"/>
        <v>29.773186199999984</v>
      </c>
      <c r="X496" s="30">
        <f t="shared" si="147"/>
        <v>1786.391171999999</v>
      </c>
      <c r="Z496" s="23" t="s">
        <v>76</v>
      </c>
      <c r="AA496" s="40"/>
      <c r="AB496" s="67"/>
      <c r="AC496" s="67"/>
      <c r="AD496" s="39"/>
      <c r="AE496" s="39"/>
      <c r="AF496" s="39"/>
      <c r="AG496" s="68"/>
      <c r="AH496">
        <v>14</v>
      </c>
      <c r="AI496">
        <v>1.4</v>
      </c>
      <c r="AJ496">
        <v>250</v>
      </c>
      <c r="AK496">
        <v>0.31</v>
      </c>
      <c r="AL496" s="63">
        <f>IFERROR(INDEX(Job_Training[[Solar]:[Wind]],MATCH(AL$1,Job_Training[[`Typical Entry Level Education`]:[`Typical Entry Level Education`]],0),MATCH(LEFT($D496,5),Job_Training[[#Headers],[Solar]:[Wind]],0)),0)</f>
        <v>3.4599999999999999E-2</v>
      </c>
      <c r="AM496" s="63">
        <f>IFERROR(INDEX(Job_Training[[Solar]:[Wind]],MATCH(AM$1,Job_Training[[`Typical Entry Level Education`]:[`Typical Entry Level Education`]],0),MATCH(LEFT($D496,5),Job_Training[[#Headers],[Solar]:[Wind]],0)),0)</f>
        <v>2.8199999999999999E-2</v>
      </c>
      <c r="AN496" s="63">
        <f>IFERROR(INDEX(Job_Training[[Solar]:[Wind]],MATCH(AN$1,Job_Training[[`Typical Entry Level Education`]:[`Typical Entry Level Education`]],0),MATCH(LEFT($D496,5),Job_Training[[#Headers],[Solar]:[Wind]],0)),0)</f>
        <v>3.3399999999999999E-2</v>
      </c>
      <c r="AO496" s="63">
        <f>IFERROR(INDEX(Job_Training[[Solar]:[Wind]],MATCH(AO$1,Job_Training[[`Typical Entry Level Education`]:[`Typical Entry Level Education`]],0),MATCH(LEFT($D496,5),Job_Training[[#Headers],[Solar]:[Wind]],0)),0)</f>
        <v>5.62E-3</v>
      </c>
      <c r="AP496">
        <f t="shared" si="148"/>
        <v>292.40999999999985</v>
      </c>
      <c r="AQ496" s="63">
        <f>IF(AP496&gt;0,IFERROR(INDEX(Assumptions!$C$165:$D$165,MATCH(LEFT($D496,5),Job_Training[[#Headers],[Solar]:[Wind]],0)),0),0)</f>
        <v>0.10181999999999999</v>
      </c>
      <c r="AR496">
        <f>IF(AP496&gt;0,IFERROR(INDEX(Assumptions!$C$166:$D$166,MATCH(LEFT($D496,5),Job_Training[[#Headers],[Solar]:[Wind]],0)),0),0)</f>
        <v>6.1091999999999995</v>
      </c>
    </row>
    <row r="497" spans="1:44" hidden="1" x14ac:dyDescent="0.35">
      <c r="A497" t="str">
        <f>UserInput!$B$30</f>
        <v>State Policy Aligned</v>
      </c>
      <c r="B497" s="23">
        <v>2037</v>
      </c>
      <c r="C497" s="23" t="s">
        <v>78</v>
      </c>
      <c r="D497" s="23" t="s">
        <v>97</v>
      </c>
      <c r="E497" s="40">
        <f>SUMIFS($E$254:$E$484,$B$254:$B$484,B497,$C$254:$C$484,C497)*1000*Assumptions!$C$8/1000/8760/0.3</f>
        <v>4336.7473972602738</v>
      </c>
      <c r="F497" s="23" t="s">
        <v>81</v>
      </c>
      <c r="H497" s="63"/>
      <c r="I497" s="63"/>
      <c r="J497" s="63"/>
      <c r="K497" s="30">
        <f>IF(OR(LEFT($D497,5)="Solar",$D497="Wind"),INDEX(Land_Use[AVG],MATCH(LEFT($D497,5),Land_Use[Tech],0)),0)*$E497</f>
        <v>15178.615890410958</v>
      </c>
      <c r="L497" s="30">
        <f>IF(OR(LEFT($D497,5)="Solar",$D497="Wind"),INDEX(Land_Use[MIN],MATCH(LEFT($D497,5),Land_Use[Tech],0)),0)*$E497</f>
        <v>12142.892712328767</v>
      </c>
      <c r="M497" s="30">
        <f>IF(OR(LEFT($D497,5)="Solar",$D497="Wind"),INDEX(Land_Use[MAX],MATCH(LEFT($D497,5),Land_Use[Tech],0)),0)*$E497</f>
        <v>18214.339068493151</v>
      </c>
      <c r="N497" s="13">
        <f t="shared" si="150"/>
        <v>0</v>
      </c>
      <c r="O497" s="13">
        <f t="shared" si="151"/>
        <v>212500.6224657534</v>
      </c>
      <c r="P497" s="13">
        <f t="shared" si="152"/>
        <v>21250.06224657534</v>
      </c>
      <c r="Q497" s="13">
        <f t="shared" si="153"/>
        <v>3794653.9726027395</v>
      </c>
      <c r="R497" s="13">
        <f t="shared" si="154"/>
        <v>4705.3709260273972</v>
      </c>
      <c r="S497" s="30">
        <f t="shared" si="142"/>
        <v>10.117385999999994</v>
      </c>
      <c r="T497" s="30">
        <f t="shared" si="143"/>
        <v>8.2459619999999951</v>
      </c>
      <c r="U497" s="30">
        <f t="shared" si="144"/>
        <v>9.7664939999999945</v>
      </c>
      <c r="V497" s="30">
        <f t="shared" si="145"/>
        <v>1.6433441999999991</v>
      </c>
      <c r="W497" s="30">
        <f t="shared" si="146"/>
        <v>29.773186199999984</v>
      </c>
      <c r="X497" s="30">
        <f t="shared" si="147"/>
        <v>1786.391171999999</v>
      </c>
      <c r="Z497" s="23" t="s">
        <v>76</v>
      </c>
      <c r="AA497" s="40"/>
      <c r="AB497" s="67"/>
      <c r="AC497" s="67"/>
      <c r="AD497" s="39"/>
      <c r="AE497" s="39"/>
      <c r="AF497" s="39"/>
      <c r="AG497" s="68"/>
      <c r="AH497">
        <v>14</v>
      </c>
      <c r="AI497">
        <v>1.4</v>
      </c>
      <c r="AJ497">
        <v>250</v>
      </c>
      <c r="AK497">
        <v>0.31</v>
      </c>
      <c r="AL497" s="63">
        <f>IFERROR(INDEX(Job_Training[[Solar]:[Wind]],MATCH(AL$1,Job_Training[[`Typical Entry Level Education`]:[`Typical Entry Level Education`]],0),MATCH(LEFT($D497,5),Job_Training[[#Headers],[Solar]:[Wind]],0)),0)</f>
        <v>3.4599999999999999E-2</v>
      </c>
      <c r="AM497" s="63">
        <f>IFERROR(INDEX(Job_Training[[Solar]:[Wind]],MATCH(AM$1,Job_Training[[`Typical Entry Level Education`]:[`Typical Entry Level Education`]],0),MATCH(LEFT($D497,5),Job_Training[[#Headers],[Solar]:[Wind]],0)),0)</f>
        <v>2.8199999999999999E-2</v>
      </c>
      <c r="AN497" s="63">
        <f>IFERROR(INDEX(Job_Training[[Solar]:[Wind]],MATCH(AN$1,Job_Training[[`Typical Entry Level Education`]:[`Typical Entry Level Education`]],0),MATCH(LEFT($D497,5),Job_Training[[#Headers],[Solar]:[Wind]],0)),0)</f>
        <v>3.3399999999999999E-2</v>
      </c>
      <c r="AO497" s="63">
        <f>IFERROR(INDEX(Job_Training[[Solar]:[Wind]],MATCH(AO$1,Job_Training[[`Typical Entry Level Education`]:[`Typical Entry Level Education`]],0),MATCH(LEFT($D497,5),Job_Training[[#Headers],[Solar]:[Wind]],0)),0)</f>
        <v>5.62E-3</v>
      </c>
      <c r="AP497">
        <f t="shared" si="148"/>
        <v>292.40999999999985</v>
      </c>
      <c r="AQ497" s="63">
        <f>IF(AP497&gt;0,IFERROR(INDEX(Assumptions!$C$165:$D$165,MATCH(LEFT($D497,5),Job_Training[[#Headers],[Solar]:[Wind]],0)),0),0)</f>
        <v>0.10181999999999999</v>
      </c>
      <c r="AR497">
        <f>IF(AP497&gt;0,IFERROR(INDEX(Assumptions!$C$166:$D$166,MATCH(LEFT($D497,5),Job_Training[[#Headers],[Solar]:[Wind]],0)),0),0)</f>
        <v>6.1091999999999995</v>
      </c>
    </row>
    <row r="498" spans="1:44" hidden="1" x14ac:dyDescent="0.35">
      <c r="A498" t="str">
        <f>UserInput!$B$30</f>
        <v>State Policy Aligned</v>
      </c>
      <c r="B498" s="23">
        <v>2038</v>
      </c>
      <c r="C498" s="23" t="s">
        <v>78</v>
      </c>
      <c r="D498" s="23" t="s">
        <v>97</v>
      </c>
      <c r="E498" s="40">
        <f>SUMIFS($E$254:$E$484,$B$254:$B$484,B498,$C$254:$C$484,C498)*1000*Assumptions!$C$8/1000/8760/0.3</f>
        <v>4629.1573972602755</v>
      </c>
      <c r="F498" s="23" t="s">
        <v>81</v>
      </c>
      <c r="H498" s="63"/>
      <c r="I498" s="63"/>
      <c r="J498" s="63"/>
      <c r="K498" s="30">
        <f>IF(OR(LEFT($D498,5)="Solar",$D498="Wind"),INDEX(Land_Use[AVG],MATCH(LEFT($D498,5),Land_Use[Tech],0)),0)*$E498</f>
        <v>16202.050890410965</v>
      </c>
      <c r="L498" s="30">
        <f>IF(OR(LEFT($D498,5)="Solar",$D498="Wind"),INDEX(Land_Use[MIN],MATCH(LEFT($D498,5),Land_Use[Tech],0)),0)*$E498</f>
        <v>12961.64071232877</v>
      </c>
      <c r="M498" s="30">
        <f>IF(OR(LEFT($D498,5)="Solar",$D498="Wind"),INDEX(Land_Use[MAX],MATCH(LEFT($D498,5),Land_Use[Tech],0)),0)*$E498</f>
        <v>19442.461068493158</v>
      </c>
      <c r="N498" s="13">
        <f t="shared" si="150"/>
        <v>0</v>
      </c>
      <c r="O498" s="13">
        <f t="shared" si="151"/>
        <v>226828.71246575352</v>
      </c>
      <c r="P498" s="13">
        <f t="shared" si="152"/>
        <v>22682.871246575349</v>
      </c>
      <c r="Q498" s="13">
        <f t="shared" si="153"/>
        <v>4050512.7226027413</v>
      </c>
      <c r="R498" s="13">
        <f t="shared" si="154"/>
        <v>5022.6357760273986</v>
      </c>
      <c r="S498" s="30">
        <f t="shared" si="142"/>
        <v>10.117386000000058</v>
      </c>
      <c r="T498" s="30">
        <f t="shared" si="143"/>
        <v>8.2459620000000466</v>
      </c>
      <c r="U498" s="30">
        <f t="shared" si="144"/>
        <v>9.7664940000000549</v>
      </c>
      <c r="V498" s="30">
        <f t="shared" si="145"/>
        <v>1.6433442000000094</v>
      </c>
      <c r="W498" s="30">
        <f t="shared" si="146"/>
        <v>29.773186200000168</v>
      </c>
      <c r="X498" s="30">
        <f t="shared" si="147"/>
        <v>1786.3911720000101</v>
      </c>
      <c r="Z498" s="23" t="s">
        <v>76</v>
      </c>
      <c r="AA498" s="40"/>
      <c r="AB498" s="67"/>
      <c r="AC498" s="67"/>
      <c r="AD498" s="39"/>
      <c r="AE498" s="39"/>
      <c r="AF498" s="39"/>
      <c r="AG498" s="68"/>
      <c r="AH498">
        <v>14</v>
      </c>
      <c r="AI498">
        <v>1.4</v>
      </c>
      <c r="AJ498">
        <v>250</v>
      </c>
      <c r="AK498">
        <v>0.31</v>
      </c>
      <c r="AL498" s="63">
        <f>IFERROR(INDEX(Job_Training[[Solar]:[Wind]],MATCH(AL$1,Job_Training[[`Typical Entry Level Education`]:[`Typical Entry Level Education`]],0),MATCH(LEFT($D498,5),Job_Training[[#Headers],[Solar]:[Wind]],0)),0)</f>
        <v>3.4599999999999999E-2</v>
      </c>
      <c r="AM498" s="63">
        <f>IFERROR(INDEX(Job_Training[[Solar]:[Wind]],MATCH(AM$1,Job_Training[[`Typical Entry Level Education`]:[`Typical Entry Level Education`]],0),MATCH(LEFT($D498,5),Job_Training[[#Headers],[Solar]:[Wind]],0)),0)</f>
        <v>2.8199999999999999E-2</v>
      </c>
      <c r="AN498" s="63">
        <f>IFERROR(INDEX(Job_Training[[Solar]:[Wind]],MATCH(AN$1,Job_Training[[`Typical Entry Level Education`]:[`Typical Entry Level Education`]],0),MATCH(LEFT($D498,5),Job_Training[[#Headers],[Solar]:[Wind]],0)),0)</f>
        <v>3.3399999999999999E-2</v>
      </c>
      <c r="AO498" s="63">
        <f>IFERROR(INDEX(Job_Training[[Solar]:[Wind]],MATCH(AO$1,Job_Training[[`Typical Entry Level Education`]:[`Typical Entry Level Education`]],0),MATCH(LEFT($D498,5),Job_Training[[#Headers],[Solar]:[Wind]],0)),0)</f>
        <v>5.62E-3</v>
      </c>
      <c r="AP498">
        <f t="shared" si="148"/>
        <v>292.41000000000167</v>
      </c>
      <c r="AQ498" s="63">
        <f>IF(AP498&gt;0,IFERROR(INDEX(Assumptions!$C$165:$D$165,MATCH(LEFT($D498,5),Job_Training[[#Headers],[Solar]:[Wind]],0)),0),0)</f>
        <v>0.10181999999999999</v>
      </c>
      <c r="AR498">
        <f>IF(AP498&gt;0,IFERROR(INDEX(Assumptions!$C$166:$D$166,MATCH(LEFT($D498,5),Job_Training[[#Headers],[Solar]:[Wind]],0)),0),0)</f>
        <v>6.1091999999999995</v>
      </c>
    </row>
    <row r="499" spans="1:44" hidden="1" x14ac:dyDescent="0.35">
      <c r="A499" t="str">
        <f>UserInput!$B$30</f>
        <v>State Policy Aligned</v>
      </c>
      <c r="B499" s="23">
        <v>2039</v>
      </c>
      <c r="C499" s="23" t="s">
        <v>78</v>
      </c>
      <c r="D499" s="23" t="s">
        <v>97</v>
      </c>
      <c r="E499" s="40">
        <f>SUMIFS($E$254:$E$484,$B$254:$B$484,B499,$C$254:$C$484,C499)*1000*Assumptions!$C$8/1000/8760/0.3</f>
        <v>4921.5673972602744</v>
      </c>
      <c r="F499" s="23" t="s">
        <v>81</v>
      </c>
      <c r="H499" s="63"/>
      <c r="I499" s="63"/>
      <c r="J499" s="63"/>
      <c r="K499" s="30">
        <f>IF(OR(LEFT($D499,5)="Solar",$D499="Wind"),INDEX(Land_Use[AVG],MATCH(LEFT($D499,5),Land_Use[Tech],0)),0)*$E499</f>
        <v>17225.485890410961</v>
      </c>
      <c r="L499" s="30">
        <f>IF(OR(LEFT($D499,5)="Solar",$D499="Wind"),INDEX(Land_Use[MIN],MATCH(LEFT($D499,5),Land_Use[Tech],0)),0)*$E499</f>
        <v>13780.388712328768</v>
      </c>
      <c r="M499" s="30">
        <f>IF(OR(LEFT($D499,5)="Solar",$D499="Wind"),INDEX(Land_Use[MAX],MATCH(LEFT($D499,5),Land_Use[Tech],0)),0)*$E499</f>
        <v>20670.583068493153</v>
      </c>
      <c r="N499" s="13">
        <f t="shared" si="150"/>
        <v>0</v>
      </c>
      <c r="O499" s="13">
        <f t="shared" si="151"/>
        <v>241156.80246575346</v>
      </c>
      <c r="P499" s="13">
        <f t="shared" si="152"/>
        <v>24115.680246575343</v>
      </c>
      <c r="Q499" s="13">
        <f t="shared" si="153"/>
        <v>4306371.4726027399</v>
      </c>
      <c r="R499" s="13">
        <f t="shared" si="154"/>
        <v>5339.9006260273982</v>
      </c>
      <c r="S499" s="30">
        <f t="shared" si="142"/>
        <v>10.117385999999962</v>
      </c>
      <c r="T499" s="30">
        <f t="shared" si="143"/>
        <v>8.2459619999999703</v>
      </c>
      <c r="U499" s="30">
        <f t="shared" si="144"/>
        <v>9.7664939999999643</v>
      </c>
      <c r="V499" s="30">
        <f t="shared" si="145"/>
        <v>1.643344199999994</v>
      </c>
      <c r="W499" s="30">
        <f t="shared" si="146"/>
        <v>29.773186199999891</v>
      </c>
      <c r="X499" s="30">
        <f t="shared" si="147"/>
        <v>1786.3911719999935</v>
      </c>
      <c r="Z499" s="23" t="s">
        <v>76</v>
      </c>
      <c r="AA499" s="40"/>
      <c r="AB499" s="67"/>
      <c r="AC499" s="67"/>
      <c r="AD499" s="39"/>
      <c r="AE499" s="39"/>
      <c r="AF499" s="39"/>
      <c r="AG499" s="68"/>
      <c r="AH499">
        <v>14</v>
      </c>
      <c r="AI499">
        <v>1.4</v>
      </c>
      <c r="AJ499">
        <v>250</v>
      </c>
      <c r="AK499">
        <v>0.31</v>
      </c>
      <c r="AL499" s="63">
        <f>IFERROR(INDEX(Job_Training[[Solar]:[Wind]],MATCH(AL$1,Job_Training[[`Typical Entry Level Education`]:[`Typical Entry Level Education`]],0),MATCH(LEFT($D499,5),Job_Training[[#Headers],[Solar]:[Wind]],0)),0)</f>
        <v>3.4599999999999999E-2</v>
      </c>
      <c r="AM499" s="63">
        <f>IFERROR(INDEX(Job_Training[[Solar]:[Wind]],MATCH(AM$1,Job_Training[[`Typical Entry Level Education`]:[`Typical Entry Level Education`]],0),MATCH(LEFT($D499,5),Job_Training[[#Headers],[Solar]:[Wind]],0)),0)</f>
        <v>2.8199999999999999E-2</v>
      </c>
      <c r="AN499" s="63">
        <f>IFERROR(INDEX(Job_Training[[Solar]:[Wind]],MATCH(AN$1,Job_Training[[`Typical Entry Level Education`]:[`Typical Entry Level Education`]],0),MATCH(LEFT($D499,5),Job_Training[[#Headers],[Solar]:[Wind]],0)),0)</f>
        <v>3.3399999999999999E-2</v>
      </c>
      <c r="AO499" s="63">
        <f>IFERROR(INDEX(Job_Training[[Solar]:[Wind]],MATCH(AO$1,Job_Training[[`Typical Entry Level Education`]:[`Typical Entry Level Education`]],0),MATCH(LEFT($D499,5),Job_Training[[#Headers],[Solar]:[Wind]],0)),0)</f>
        <v>5.62E-3</v>
      </c>
      <c r="AP499">
        <f t="shared" si="148"/>
        <v>292.40999999999894</v>
      </c>
      <c r="AQ499" s="63">
        <f>IF(AP499&gt;0,IFERROR(INDEX(Assumptions!$C$165:$D$165,MATCH(LEFT($D499,5),Job_Training[[#Headers],[Solar]:[Wind]],0)),0),0)</f>
        <v>0.10181999999999999</v>
      </c>
      <c r="AR499">
        <f>IF(AP499&gt;0,IFERROR(INDEX(Assumptions!$C$166:$D$166,MATCH(LEFT($D499,5),Job_Training[[#Headers],[Solar]:[Wind]],0)),0),0)</f>
        <v>6.1091999999999995</v>
      </c>
    </row>
    <row r="500" spans="1:44" hidden="1" x14ac:dyDescent="0.35">
      <c r="A500" t="str">
        <f>UserInput!$B$30</f>
        <v>State Policy Aligned</v>
      </c>
      <c r="B500" s="23">
        <v>2040</v>
      </c>
      <c r="C500" s="23" t="s">
        <v>78</v>
      </c>
      <c r="D500" s="23" t="s">
        <v>97</v>
      </c>
      <c r="E500" s="40">
        <f>SUMIFS($E$254:$E$484,$B$254:$B$484,B500,$C$254:$C$484,C500)*1000*Assumptions!$C$8/1000/8760/0.3</f>
        <v>5213.9773972602752</v>
      </c>
      <c r="F500" s="23" t="s">
        <v>81</v>
      </c>
      <c r="H500" s="63"/>
      <c r="I500" s="63"/>
      <c r="J500" s="63"/>
      <c r="K500" s="30">
        <f>IF(OR(LEFT($D500,5)="Solar",$D500="Wind"),INDEX(Land_Use[AVG],MATCH(LEFT($D500,5),Land_Use[Tech],0)),0)*$E500</f>
        <v>18248.920890410962</v>
      </c>
      <c r="L500" s="30">
        <f>IF(OR(LEFT($D500,5)="Solar",$D500="Wind"),INDEX(Land_Use[MIN],MATCH(LEFT($D500,5),Land_Use[Tech],0)),0)*$E500</f>
        <v>14599.136712328769</v>
      </c>
      <c r="M500" s="30">
        <f>IF(OR(LEFT($D500,5)="Solar",$D500="Wind"),INDEX(Land_Use[MAX],MATCH(LEFT($D500,5),Land_Use[Tech],0)),0)*$E500</f>
        <v>21898.705068493156</v>
      </c>
      <c r="N500" s="13">
        <f t="shared" si="150"/>
        <v>0</v>
      </c>
      <c r="O500" s="13">
        <f t="shared" si="151"/>
        <v>255484.89246575348</v>
      </c>
      <c r="P500" s="13">
        <f t="shared" si="152"/>
        <v>25548.489246575344</v>
      </c>
      <c r="Q500" s="13">
        <f t="shared" si="153"/>
        <v>4562230.2226027409</v>
      </c>
      <c r="R500" s="13">
        <f t="shared" si="154"/>
        <v>5657.1654760273977</v>
      </c>
      <c r="S500" s="30">
        <f t="shared" si="142"/>
        <v>10.117386000000026</v>
      </c>
      <c r="T500" s="30">
        <f t="shared" si="143"/>
        <v>8.2459620000000218</v>
      </c>
      <c r="U500" s="30">
        <f t="shared" si="144"/>
        <v>9.7664940000000247</v>
      </c>
      <c r="V500" s="30">
        <f t="shared" si="145"/>
        <v>1.6433442000000043</v>
      </c>
      <c r="W500" s="30">
        <f t="shared" si="146"/>
        <v>29.773186200000076</v>
      </c>
      <c r="X500" s="30">
        <f t="shared" si="147"/>
        <v>1786.3911720000044</v>
      </c>
      <c r="Z500" s="23" t="s">
        <v>76</v>
      </c>
      <c r="AA500" s="40"/>
      <c r="AB500" s="67"/>
      <c r="AC500" s="67"/>
      <c r="AD500" s="39"/>
      <c r="AE500" s="39"/>
      <c r="AF500" s="39"/>
      <c r="AG500" s="68"/>
      <c r="AH500">
        <v>14</v>
      </c>
      <c r="AI500">
        <v>1.4</v>
      </c>
      <c r="AJ500">
        <v>250</v>
      </c>
      <c r="AK500">
        <v>0.31</v>
      </c>
      <c r="AL500" s="63">
        <f>IFERROR(INDEX(Job_Training[[Solar]:[Wind]],MATCH(AL$1,Job_Training[[`Typical Entry Level Education`]:[`Typical Entry Level Education`]],0),MATCH(LEFT($D500,5),Job_Training[[#Headers],[Solar]:[Wind]],0)),0)</f>
        <v>3.4599999999999999E-2</v>
      </c>
      <c r="AM500" s="63">
        <f>IFERROR(INDEX(Job_Training[[Solar]:[Wind]],MATCH(AM$1,Job_Training[[`Typical Entry Level Education`]:[`Typical Entry Level Education`]],0),MATCH(LEFT($D500,5),Job_Training[[#Headers],[Solar]:[Wind]],0)),0)</f>
        <v>2.8199999999999999E-2</v>
      </c>
      <c r="AN500" s="63">
        <f>IFERROR(INDEX(Job_Training[[Solar]:[Wind]],MATCH(AN$1,Job_Training[[`Typical Entry Level Education`]:[`Typical Entry Level Education`]],0),MATCH(LEFT($D500,5),Job_Training[[#Headers],[Solar]:[Wind]],0)),0)</f>
        <v>3.3399999999999999E-2</v>
      </c>
      <c r="AO500" s="63">
        <f>IFERROR(INDEX(Job_Training[[Solar]:[Wind]],MATCH(AO$1,Job_Training[[`Typical Entry Level Education`]:[`Typical Entry Level Education`]],0),MATCH(LEFT($D500,5),Job_Training[[#Headers],[Solar]:[Wind]],0)),0)</f>
        <v>5.62E-3</v>
      </c>
      <c r="AP500">
        <f t="shared" si="148"/>
        <v>292.41000000000076</v>
      </c>
      <c r="AQ500" s="63">
        <f>IF(AP500&gt;0,IFERROR(INDEX(Assumptions!$C$165:$D$165,MATCH(LEFT($D500,5),Job_Training[[#Headers],[Solar]:[Wind]],0)),0),0)</f>
        <v>0.10181999999999999</v>
      </c>
      <c r="AR500">
        <f>IF(AP500&gt;0,IFERROR(INDEX(Assumptions!$C$166:$D$166,MATCH(LEFT($D500,5),Job_Training[[#Headers],[Solar]:[Wind]],0)),0),0)</f>
        <v>6.1091999999999995</v>
      </c>
    </row>
    <row r="501" spans="1:44" hidden="1" x14ac:dyDescent="0.35">
      <c r="A501" t="str">
        <f>UserInput!$B$30</f>
        <v>State Policy Aligned</v>
      </c>
      <c r="B501" s="23">
        <v>2041</v>
      </c>
      <c r="C501" s="23" t="s">
        <v>78</v>
      </c>
      <c r="D501" s="23" t="s">
        <v>97</v>
      </c>
      <c r="E501" s="40">
        <f>SUMIFS($E$254:$E$484,$B$254:$B$484,B501,$C$254:$C$484,C501)*1000*Assumptions!$C$8/1000/8760/0.3</f>
        <v>5506.3873972602751</v>
      </c>
      <c r="F501" s="23" t="s">
        <v>81</v>
      </c>
      <c r="H501" s="63"/>
      <c r="I501" s="63"/>
      <c r="J501" s="63"/>
      <c r="K501" s="30">
        <f>IF(OR(LEFT($D501,5)="Solar",$D501="Wind"),INDEX(Land_Use[AVG],MATCH(LEFT($D501,5),Land_Use[Tech],0)),0)*$E501</f>
        <v>19272.355890410963</v>
      </c>
      <c r="L501" s="30">
        <f>IF(OR(LEFT($D501,5)="Solar",$D501="Wind"),INDEX(Land_Use[MIN],MATCH(LEFT($D501,5),Land_Use[Tech],0)),0)*$E501</f>
        <v>15417.884712328769</v>
      </c>
      <c r="M501" s="30">
        <f>IF(OR(LEFT($D501,5)="Solar",$D501="Wind"),INDEX(Land_Use[MAX],MATCH(LEFT($D501,5),Land_Use[Tech],0)),0)*$E501</f>
        <v>23126.827068493156</v>
      </c>
      <c r="N501" s="13">
        <f t="shared" si="150"/>
        <v>0</v>
      </c>
      <c r="O501" s="13">
        <f t="shared" si="151"/>
        <v>269812.98246575351</v>
      </c>
      <c r="P501" s="13">
        <f t="shared" si="152"/>
        <v>26981.298246575348</v>
      </c>
      <c r="Q501" s="13">
        <f t="shared" si="153"/>
        <v>4818088.9726027409</v>
      </c>
      <c r="R501" s="13">
        <f t="shared" si="154"/>
        <v>5974.4303260273982</v>
      </c>
      <c r="S501" s="30">
        <f t="shared" si="142"/>
        <v>10.117385999999994</v>
      </c>
      <c r="T501" s="30">
        <f t="shared" si="143"/>
        <v>8.2459619999999951</v>
      </c>
      <c r="U501" s="30">
        <f t="shared" si="144"/>
        <v>9.7664939999999945</v>
      </c>
      <c r="V501" s="30">
        <f t="shared" si="145"/>
        <v>1.6433441999999991</v>
      </c>
      <c r="W501" s="30">
        <f t="shared" si="146"/>
        <v>29.773186199999984</v>
      </c>
      <c r="X501" s="30">
        <f t="shared" si="147"/>
        <v>1786.391171999999</v>
      </c>
      <c r="Z501" s="23" t="s">
        <v>76</v>
      </c>
      <c r="AA501" s="40"/>
      <c r="AB501" s="67"/>
      <c r="AC501" s="67"/>
      <c r="AD501" s="39"/>
      <c r="AE501" s="39"/>
      <c r="AF501" s="39"/>
      <c r="AG501" s="68"/>
      <c r="AH501">
        <v>14</v>
      </c>
      <c r="AI501">
        <v>1.4</v>
      </c>
      <c r="AJ501">
        <v>250</v>
      </c>
      <c r="AK501">
        <v>0.31</v>
      </c>
      <c r="AL501" s="63">
        <f>IFERROR(INDEX(Job_Training[[Solar]:[Wind]],MATCH(AL$1,Job_Training[[`Typical Entry Level Education`]:[`Typical Entry Level Education`]],0),MATCH(LEFT($D501,5),Job_Training[[#Headers],[Solar]:[Wind]],0)),0)</f>
        <v>3.4599999999999999E-2</v>
      </c>
      <c r="AM501" s="63">
        <f>IFERROR(INDEX(Job_Training[[Solar]:[Wind]],MATCH(AM$1,Job_Training[[`Typical Entry Level Education`]:[`Typical Entry Level Education`]],0),MATCH(LEFT($D501,5),Job_Training[[#Headers],[Solar]:[Wind]],0)),0)</f>
        <v>2.8199999999999999E-2</v>
      </c>
      <c r="AN501" s="63">
        <f>IFERROR(INDEX(Job_Training[[Solar]:[Wind]],MATCH(AN$1,Job_Training[[`Typical Entry Level Education`]:[`Typical Entry Level Education`]],0),MATCH(LEFT($D501,5),Job_Training[[#Headers],[Solar]:[Wind]],0)),0)</f>
        <v>3.3399999999999999E-2</v>
      </c>
      <c r="AO501" s="63">
        <f>IFERROR(INDEX(Job_Training[[Solar]:[Wind]],MATCH(AO$1,Job_Training[[`Typical Entry Level Education`]:[`Typical Entry Level Education`]],0),MATCH(LEFT($D501,5),Job_Training[[#Headers],[Solar]:[Wind]],0)),0)</f>
        <v>5.62E-3</v>
      </c>
      <c r="AP501">
        <f t="shared" si="148"/>
        <v>292.40999999999985</v>
      </c>
      <c r="AQ501" s="63">
        <f>IF(AP501&gt;0,IFERROR(INDEX(Assumptions!$C$165:$D$165,MATCH(LEFT($D501,5),Job_Training[[#Headers],[Solar]:[Wind]],0)),0),0)</f>
        <v>0.10181999999999999</v>
      </c>
      <c r="AR501">
        <f>IF(AP501&gt;0,IFERROR(INDEX(Assumptions!$C$166:$D$166,MATCH(LEFT($D501,5),Job_Training[[#Headers],[Solar]:[Wind]],0)),0),0)</f>
        <v>6.1091999999999995</v>
      </c>
    </row>
    <row r="502" spans="1:44" hidden="1" x14ac:dyDescent="0.35">
      <c r="A502" t="str">
        <f>UserInput!$B$30</f>
        <v>State Policy Aligned</v>
      </c>
      <c r="B502" s="23">
        <v>2042</v>
      </c>
      <c r="C502" s="23" t="s">
        <v>78</v>
      </c>
      <c r="D502" s="23" t="s">
        <v>97</v>
      </c>
      <c r="E502" s="40">
        <f>SUMIFS($E$254:$E$484,$B$254:$B$484,B502,$C$254:$C$484,C502)*1000*Assumptions!$C$8/1000/8760/0.3</f>
        <v>5798.797397260274</v>
      </c>
      <c r="F502" s="23" t="s">
        <v>81</v>
      </c>
      <c r="H502" s="63"/>
      <c r="I502" s="63"/>
      <c r="J502" s="63"/>
      <c r="K502" s="30">
        <f>IF(OR(LEFT($D502,5)="Solar",$D502="Wind"),INDEX(Land_Use[AVG],MATCH(LEFT($D502,5),Land_Use[Tech],0)),0)*$E502</f>
        <v>20295.790890410957</v>
      </c>
      <c r="L502" s="30">
        <f>IF(OR(LEFT($D502,5)="Solar",$D502="Wind"),INDEX(Land_Use[MIN],MATCH(LEFT($D502,5),Land_Use[Tech],0)),0)*$E502</f>
        <v>16236.632712328767</v>
      </c>
      <c r="M502" s="30">
        <f>IF(OR(LEFT($D502,5)="Solar",$D502="Wind"),INDEX(Land_Use[MAX],MATCH(LEFT($D502,5),Land_Use[Tech],0)),0)*$E502</f>
        <v>24354.949068493152</v>
      </c>
      <c r="N502" s="13">
        <f t="shared" si="150"/>
        <v>0</v>
      </c>
      <c r="O502" s="13">
        <f t="shared" si="151"/>
        <v>284141.07246575342</v>
      </c>
      <c r="P502" s="13">
        <f t="shared" si="152"/>
        <v>28414.107246575339</v>
      </c>
      <c r="Q502" s="13">
        <f t="shared" si="153"/>
        <v>5073947.722602739</v>
      </c>
      <c r="R502" s="13">
        <f t="shared" si="154"/>
        <v>6291.6951760273969</v>
      </c>
      <c r="S502" s="30">
        <f t="shared" si="142"/>
        <v>10.117385999999962</v>
      </c>
      <c r="T502" s="30">
        <f t="shared" si="143"/>
        <v>8.2459619999999703</v>
      </c>
      <c r="U502" s="30">
        <f t="shared" si="144"/>
        <v>9.7664939999999643</v>
      </c>
      <c r="V502" s="30">
        <f t="shared" si="145"/>
        <v>1.643344199999994</v>
      </c>
      <c r="W502" s="30">
        <f t="shared" si="146"/>
        <v>29.773186199999891</v>
      </c>
      <c r="X502" s="30">
        <f t="shared" si="147"/>
        <v>1786.3911719999935</v>
      </c>
      <c r="Z502" s="23" t="s">
        <v>76</v>
      </c>
      <c r="AA502" s="40"/>
      <c r="AB502" s="67"/>
      <c r="AC502" s="67"/>
      <c r="AD502" s="39"/>
      <c r="AE502" s="39"/>
      <c r="AF502" s="39"/>
      <c r="AG502" s="68"/>
      <c r="AH502">
        <v>14</v>
      </c>
      <c r="AI502">
        <v>1.4</v>
      </c>
      <c r="AJ502">
        <v>250</v>
      </c>
      <c r="AK502">
        <v>0.31</v>
      </c>
      <c r="AL502" s="63">
        <f>IFERROR(INDEX(Job_Training[[Solar]:[Wind]],MATCH(AL$1,Job_Training[[`Typical Entry Level Education`]:[`Typical Entry Level Education`]],0),MATCH(LEFT($D502,5),Job_Training[[#Headers],[Solar]:[Wind]],0)),0)</f>
        <v>3.4599999999999999E-2</v>
      </c>
      <c r="AM502" s="63">
        <f>IFERROR(INDEX(Job_Training[[Solar]:[Wind]],MATCH(AM$1,Job_Training[[`Typical Entry Level Education`]:[`Typical Entry Level Education`]],0),MATCH(LEFT($D502,5),Job_Training[[#Headers],[Solar]:[Wind]],0)),0)</f>
        <v>2.8199999999999999E-2</v>
      </c>
      <c r="AN502" s="63">
        <f>IFERROR(INDEX(Job_Training[[Solar]:[Wind]],MATCH(AN$1,Job_Training[[`Typical Entry Level Education`]:[`Typical Entry Level Education`]],0),MATCH(LEFT($D502,5),Job_Training[[#Headers],[Solar]:[Wind]],0)),0)</f>
        <v>3.3399999999999999E-2</v>
      </c>
      <c r="AO502" s="63">
        <f>IFERROR(INDEX(Job_Training[[Solar]:[Wind]],MATCH(AO$1,Job_Training[[`Typical Entry Level Education`]:[`Typical Entry Level Education`]],0),MATCH(LEFT($D502,5),Job_Training[[#Headers],[Solar]:[Wind]],0)),0)</f>
        <v>5.62E-3</v>
      </c>
      <c r="AP502">
        <f t="shared" si="148"/>
        <v>292.40999999999894</v>
      </c>
      <c r="AQ502" s="63">
        <f>IF(AP502&gt;0,IFERROR(INDEX(Assumptions!$C$165:$D$165,MATCH(LEFT($D502,5),Job_Training[[#Headers],[Solar]:[Wind]],0)),0),0)</f>
        <v>0.10181999999999999</v>
      </c>
      <c r="AR502">
        <f>IF(AP502&gt;0,IFERROR(INDEX(Assumptions!$C$166:$D$166,MATCH(LEFT($D502,5),Job_Training[[#Headers],[Solar]:[Wind]],0)),0),0)</f>
        <v>6.1091999999999995</v>
      </c>
    </row>
    <row r="503" spans="1:44" hidden="1" x14ac:dyDescent="0.35">
      <c r="A503" t="str">
        <f>UserInput!$B$30</f>
        <v>State Policy Aligned</v>
      </c>
      <c r="B503" s="23">
        <v>2043</v>
      </c>
      <c r="C503" s="23" t="s">
        <v>78</v>
      </c>
      <c r="D503" s="23" t="s">
        <v>97</v>
      </c>
      <c r="E503" s="40">
        <f>SUMIFS($E$254:$E$484,$B$254:$B$484,B503,$C$254:$C$484,C503)*1000*Assumptions!$C$8/1000/8760/0.3</f>
        <v>6091.2073972602739</v>
      </c>
      <c r="F503" s="23" t="s">
        <v>81</v>
      </c>
      <c r="H503" s="63"/>
      <c r="I503" s="63"/>
      <c r="J503" s="63"/>
      <c r="K503" s="30">
        <f>IF(OR(LEFT($D503,5)="Solar",$D503="Wind"),INDEX(Land_Use[AVG],MATCH(LEFT($D503,5),Land_Use[Tech],0)),0)*$E503</f>
        <v>21319.225890410959</v>
      </c>
      <c r="L503" s="30">
        <f>IF(OR(LEFT($D503,5)="Solar",$D503="Wind"),INDEX(Land_Use[MIN],MATCH(LEFT($D503,5),Land_Use[Tech],0)),0)*$E503</f>
        <v>17055.380712328766</v>
      </c>
      <c r="M503" s="30">
        <f>IF(OR(LEFT($D503,5)="Solar",$D503="Wind"),INDEX(Land_Use[MAX],MATCH(LEFT($D503,5),Land_Use[Tech],0)),0)*$E503</f>
        <v>25583.071068493151</v>
      </c>
      <c r="N503" s="13">
        <f t="shared" si="150"/>
        <v>0</v>
      </c>
      <c r="O503" s="13">
        <f t="shared" si="151"/>
        <v>298469.16246575344</v>
      </c>
      <c r="P503" s="13">
        <f t="shared" si="152"/>
        <v>29846.91624657534</v>
      </c>
      <c r="Q503" s="13">
        <f t="shared" si="153"/>
        <v>5329806.4726027399</v>
      </c>
      <c r="R503" s="13">
        <f t="shared" si="154"/>
        <v>6608.9600260273974</v>
      </c>
      <c r="S503" s="30">
        <f t="shared" si="142"/>
        <v>10.117385999999994</v>
      </c>
      <c r="T503" s="30">
        <f t="shared" si="143"/>
        <v>8.2459619999999951</v>
      </c>
      <c r="U503" s="30">
        <f t="shared" si="144"/>
        <v>9.7664939999999945</v>
      </c>
      <c r="V503" s="30">
        <f t="shared" si="145"/>
        <v>1.6433441999999991</v>
      </c>
      <c r="W503" s="30">
        <f t="shared" si="146"/>
        <v>29.773186199999984</v>
      </c>
      <c r="X503" s="30">
        <f t="shared" si="147"/>
        <v>1786.391171999999</v>
      </c>
      <c r="Z503" s="23" t="s">
        <v>76</v>
      </c>
      <c r="AA503" s="40"/>
      <c r="AB503" s="67"/>
      <c r="AC503" s="67"/>
      <c r="AD503" s="39"/>
      <c r="AE503" s="39"/>
      <c r="AF503" s="39"/>
      <c r="AG503" s="68"/>
      <c r="AH503">
        <v>14</v>
      </c>
      <c r="AI503">
        <v>1.4</v>
      </c>
      <c r="AJ503">
        <v>250</v>
      </c>
      <c r="AK503">
        <v>0.31</v>
      </c>
      <c r="AL503" s="63">
        <f>IFERROR(INDEX(Job_Training[[Solar]:[Wind]],MATCH(AL$1,Job_Training[[`Typical Entry Level Education`]:[`Typical Entry Level Education`]],0),MATCH(LEFT($D503,5),Job_Training[[#Headers],[Solar]:[Wind]],0)),0)</f>
        <v>3.4599999999999999E-2</v>
      </c>
      <c r="AM503" s="63">
        <f>IFERROR(INDEX(Job_Training[[Solar]:[Wind]],MATCH(AM$1,Job_Training[[`Typical Entry Level Education`]:[`Typical Entry Level Education`]],0),MATCH(LEFT($D503,5),Job_Training[[#Headers],[Solar]:[Wind]],0)),0)</f>
        <v>2.8199999999999999E-2</v>
      </c>
      <c r="AN503" s="63">
        <f>IFERROR(INDEX(Job_Training[[Solar]:[Wind]],MATCH(AN$1,Job_Training[[`Typical Entry Level Education`]:[`Typical Entry Level Education`]],0),MATCH(LEFT($D503,5),Job_Training[[#Headers],[Solar]:[Wind]],0)),0)</f>
        <v>3.3399999999999999E-2</v>
      </c>
      <c r="AO503" s="63">
        <f>IFERROR(INDEX(Job_Training[[Solar]:[Wind]],MATCH(AO$1,Job_Training[[`Typical Entry Level Education`]:[`Typical Entry Level Education`]],0),MATCH(LEFT($D503,5),Job_Training[[#Headers],[Solar]:[Wind]],0)),0)</f>
        <v>5.62E-3</v>
      </c>
      <c r="AP503">
        <f t="shared" si="148"/>
        <v>292.40999999999985</v>
      </c>
      <c r="AQ503" s="63">
        <f>IF(AP503&gt;0,IFERROR(INDEX(Assumptions!$C$165:$D$165,MATCH(LEFT($D503,5),Job_Training[[#Headers],[Solar]:[Wind]],0)),0),0)</f>
        <v>0.10181999999999999</v>
      </c>
      <c r="AR503">
        <f>IF(AP503&gt;0,IFERROR(INDEX(Assumptions!$C$166:$D$166,MATCH(LEFT($D503,5),Job_Training[[#Headers],[Solar]:[Wind]],0)),0),0)</f>
        <v>6.1091999999999995</v>
      </c>
    </row>
    <row r="504" spans="1:44" hidden="1" x14ac:dyDescent="0.35">
      <c r="A504" t="str">
        <f>UserInput!$B$30</f>
        <v>State Policy Aligned</v>
      </c>
      <c r="B504" s="23">
        <v>2044</v>
      </c>
      <c r="C504" s="23" t="s">
        <v>78</v>
      </c>
      <c r="D504" s="23" t="s">
        <v>97</v>
      </c>
      <c r="E504" s="40">
        <f>SUMIFS($E$254:$E$484,$B$254:$B$484,B504,$C$254:$C$484,C504)*1000*Assumptions!$C$8/1000/8760/0.3</f>
        <v>6383.6173972602719</v>
      </c>
      <c r="F504" s="23" t="s">
        <v>81</v>
      </c>
      <c r="H504" s="63"/>
      <c r="I504" s="63"/>
      <c r="J504" s="63"/>
      <c r="K504" s="30">
        <f>IF(OR(LEFT($D504,5)="Solar",$D504="Wind"),INDEX(Land_Use[AVG],MATCH(LEFT($D504,5),Land_Use[Tech],0)),0)*$E504</f>
        <v>22342.660890410953</v>
      </c>
      <c r="L504" s="30">
        <f>IF(OR(LEFT($D504,5)="Solar",$D504="Wind"),INDEX(Land_Use[MIN],MATCH(LEFT($D504,5),Land_Use[Tech],0)),0)*$E504</f>
        <v>17874.128712328758</v>
      </c>
      <c r="M504" s="30">
        <f>IF(OR(LEFT($D504,5)="Solar",$D504="Wind"),INDEX(Land_Use[MAX],MATCH(LEFT($D504,5),Land_Use[Tech],0)),0)*$E504</f>
        <v>26811.193068493143</v>
      </c>
      <c r="N504" s="13">
        <f t="shared" si="150"/>
        <v>0</v>
      </c>
      <c r="O504" s="13">
        <f t="shared" si="151"/>
        <v>312797.25246575335</v>
      </c>
      <c r="P504" s="13">
        <f t="shared" si="152"/>
        <v>31279.72524657533</v>
      </c>
      <c r="Q504" s="13">
        <f t="shared" si="153"/>
        <v>5585665.2226027381</v>
      </c>
      <c r="R504" s="13">
        <f t="shared" si="154"/>
        <v>6926.2248760273951</v>
      </c>
      <c r="S504" s="30">
        <f t="shared" si="142"/>
        <v>10.117385999999932</v>
      </c>
      <c r="T504" s="30">
        <f t="shared" si="143"/>
        <v>8.2459619999999436</v>
      </c>
      <c r="U504" s="30">
        <f t="shared" si="144"/>
        <v>9.7664939999999341</v>
      </c>
      <c r="V504" s="30">
        <f t="shared" si="145"/>
        <v>1.6433441999999889</v>
      </c>
      <c r="W504" s="30">
        <f t="shared" si="146"/>
        <v>29.773186199999799</v>
      </c>
      <c r="X504" s="30">
        <f t="shared" si="147"/>
        <v>1786.3911719999878</v>
      </c>
      <c r="Z504" s="23" t="s">
        <v>76</v>
      </c>
      <c r="AA504" s="40"/>
      <c r="AB504" s="67"/>
      <c r="AC504" s="67"/>
      <c r="AD504" s="39"/>
      <c r="AE504" s="39"/>
      <c r="AF504" s="39"/>
      <c r="AG504" s="68"/>
      <c r="AH504">
        <v>14</v>
      </c>
      <c r="AI504">
        <v>1.4</v>
      </c>
      <c r="AJ504">
        <v>250</v>
      </c>
      <c r="AK504">
        <v>0.31</v>
      </c>
      <c r="AL504" s="63">
        <f>IFERROR(INDEX(Job_Training[[Solar]:[Wind]],MATCH(AL$1,Job_Training[[`Typical Entry Level Education`]:[`Typical Entry Level Education`]],0),MATCH(LEFT($D504,5),Job_Training[[#Headers],[Solar]:[Wind]],0)),0)</f>
        <v>3.4599999999999999E-2</v>
      </c>
      <c r="AM504" s="63">
        <f>IFERROR(INDEX(Job_Training[[Solar]:[Wind]],MATCH(AM$1,Job_Training[[`Typical Entry Level Education`]:[`Typical Entry Level Education`]],0),MATCH(LEFT($D504,5),Job_Training[[#Headers],[Solar]:[Wind]],0)),0)</f>
        <v>2.8199999999999999E-2</v>
      </c>
      <c r="AN504" s="63">
        <f>IFERROR(INDEX(Job_Training[[Solar]:[Wind]],MATCH(AN$1,Job_Training[[`Typical Entry Level Education`]:[`Typical Entry Level Education`]],0),MATCH(LEFT($D504,5),Job_Training[[#Headers],[Solar]:[Wind]],0)),0)</f>
        <v>3.3399999999999999E-2</v>
      </c>
      <c r="AO504" s="63">
        <f>IFERROR(INDEX(Job_Training[[Solar]:[Wind]],MATCH(AO$1,Job_Training[[`Typical Entry Level Education`]:[`Typical Entry Level Education`]],0),MATCH(LEFT($D504,5),Job_Training[[#Headers],[Solar]:[Wind]],0)),0)</f>
        <v>5.62E-3</v>
      </c>
      <c r="AP504">
        <f t="shared" si="148"/>
        <v>292.40999999999804</v>
      </c>
      <c r="AQ504" s="63">
        <f>IF(AP504&gt;0,IFERROR(INDEX(Assumptions!$C$165:$D$165,MATCH(LEFT($D504,5),Job_Training[[#Headers],[Solar]:[Wind]],0)),0),0)</f>
        <v>0.10181999999999999</v>
      </c>
      <c r="AR504">
        <f>IF(AP504&gt;0,IFERROR(INDEX(Assumptions!$C$166:$D$166,MATCH(LEFT($D504,5),Job_Training[[#Headers],[Solar]:[Wind]],0)),0),0)</f>
        <v>6.1091999999999995</v>
      </c>
    </row>
    <row r="505" spans="1:44" hidden="1" x14ac:dyDescent="0.35">
      <c r="A505" t="str">
        <f>UserInput!$B$30</f>
        <v>State Policy Aligned</v>
      </c>
      <c r="B505" s="23">
        <v>2045</v>
      </c>
      <c r="C505" s="23" t="s">
        <v>78</v>
      </c>
      <c r="D505" s="23" t="s">
        <v>97</v>
      </c>
      <c r="E505" s="40">
        <f>SUMIFS($E$254:$E$484,$B$254:$B$484,B505,$C$254:$C$484,C505)*1000*Assumptions!$C$8/1000/8760/0.3</f>
        <v>6676.0273972602727</v>
      </c>
      <c r="F505" s="23" t="s">
        <v>81</v>
      </c>
      <c r="H505" s="63"/>
      <c r="I505" s="63"/>
      <c r="J505" s="63"/>
      <c r="K505" s="30">
        <f>IF(OR(LEFT($D505,5)="Solar",$D505="Wind"),INDEX(Land_Use[AVG],MATCH(LEFT($D505,5),Land_Use[Tech],0)),0)*$E505</f>
        <v>23366.095890410954</v>
      </c>
      <c r="L505" s="30">
        <f>IF(OR(LEFT($D505,5)="Solar",$D505="Wind"),INDEX(Land_Use[MIN],MATCH(LEFT($D505,5),Land_Use[Tech],0)),0)*$E505</f>
        <v>18692.876712328762</v>
      </c>
      <c r="M505" s="30">
        <f>IF(OR(LEFT($D505,5)="Solar",$D505="Wind"),INDEX(Land_Use[MAX],MATCH(LEFT($D505,5),Land_Use[Tech],0)),0)*$E505</f>
        <v>28039.315068493146</v>
      </c>
      <c r="N505" s="13">
        <f t="shared" si="150"/>
        <v>0</v>
      </c>
      <c r="O505" s="13">
        <f t="shared" si="151"/>
        <v>327125.34246575338</v>
      </c>
      <c r="P505" s="13">
        <f t="shared" si="152"/>
        <v>32712.534246575335</v>
      </c>
      <c r="Q505" s="13">
        <f t="shared" si="153"/>
        <v>5841523.9726027381</v>
      </c>
      <c r="R505" s="13">
        <f t="shared" si="154"/>
        <v>7243.4897260273956</v>
      </c>
      <c r="S505" s="30">
        <f t="shared" si="142"/>
        <v>10.117386000000026</v>
      </c>
      <c r="T505" s="30">
        <f t="shared" si="143"/>
        <v>8.2459620000000218</v>
      </c>
      <c r="U505" s="30">
        <f t="shared" si="144"/>
        <v>9.7664940000000247</v>
      </c>
      <c r="V505" s="30">
        <f t="shared" si="145"/>
        <v>1.6433442000000043</v>
      </c>
      <c r="W505" s="30">
        <f t="shared" si="146"/>
        <v>29.773186200000076</v>
      </c>
      <c r="X505" s="30">
        <f t="shared" si="147"/>
        <v>1786.3911720000044</v>
      </c>
      <c r="Z505" s="23" t="s">
        <v>76</v>
      </c>
      <c r="AA505" s="40"/>
      <c r="AB505" s="67"/>
      <c r="AC505" s="67"/>
      <c r="AD505" s="39"/>
      <c r="AE505" s="39"/>
      <c r="AF505" s="39"/>
      <c r="AG505" s="68"/>
      <c r="AH505">
        <v>14</v>
      </c>
      <c r="AI505">
        <v>1.4</v>
      </c>
      <c r="AJ505">
        <v>250</v>
      </c>
      <c r="AK505">
        <v>0.31</v>
      </c>
      <c r="AL505" s="63">
        <f>IFERROR(INDEX(Job_Training[[Solar]:[Wind]],MATCH(AL$1,Job_Training[[`Typical Entry Level Education`]:[`Typical Entry Level Education`]],0),MATCH(LEFT($D505,5),Job_Training[[#Headers],[Solar]:[Wind]],0)),0)</f>
        <v>3.4599999999999999E-2</v>
      </c>
      <c r="AM505" s="63">
        <f>IFERROR(INDEX(Job_Training[[Solar]:[Wind]],MATCH(AM$1,Job_Training[[`Typical Entry Level Education`]:[`Typical Entry Level Education`]],0),MATCH(LEFT($D505,5),Job_Training[[#Headers],[Solar]:[Wind]],0)),0)</f>
        <v>2.8199999999999999E-2</v>
      </c>
      <c r="AN505" s="63">
        <f>IFERROR(INDEX(Job_Training[[Solar]:[Wind]],MATCH(AN$1,Job_Training[[`Typical Entry Level Education`]:[`Typical Entry Level Education`]],0),MATCH(LEFT($D505,5),Job_Training[[#Headers],[Solar]:[Wind]],0)),0)</f>
        <v>3.3399999999999999E-2</v>
      </c>
      <c r="AO505" s="63">
        <f>IFERROR(INDEX(Job_Training[[Solar]:[Wind]],MATCH(AO$1,Job_Training[[`Typical Entry Level Education`]:[`Typical Entry Level Education`]],0),MATCH(LEFT($D505,5),Job_Training[[#Headers],[Solar]:[Wind]],0)),0)</f>
        <v>5.62E-3</v>
      </c>
      <c r="AP505">
        <f t="shared" si="148"/>
        <v>292.41000000000076</v>
      </c>
      <c r="AQ505" s="63">
        <f>IF(AP505&gt;0,IFERROR(INDEX(Assumptions!$C$165:$D$165,MATCH(LEFT($D505,5),Job_Training[[#Headers],[Solar]:[Wind]],0)),0),0)</f>
        <v>0.10181999999999999</v>
      </c>
      <c r="AR505">
        <f>IF(AP505&gt;0,IFERROR(INDEX(Assumptions!$C$166:$D$166,MATCH(LEFT($D505,5),Job_Training[[#Headers],[Solar]:[Wind]],0)),0),0)</f>
        <v>6.1091999999999995</v>
      </c>
    </row>
    <row r="506" spans="1:44" hidden="1" x14ac:dyDescent="0.35">
      <c r="A506" t="str">
        <f>UserInput!$B$56</f>
        <v>Max Buildout</v>
      </c>
      <c r="B506">
        <v>2025</v>
      </c>
      <c r="C506" s="16" t="s">
        <v>73</v>
      </c>
      <c r="D506" t="s">
        <v>74</v>
      </c>
      <c r="E506" s="66">
        <f>INDEX(UserInput!$C$56:$M$76,MATCH(UserMade_Scenario!B506,UserInput!$A$56:$A$76,0),MATCH(LEFT(IF(RIGHT(C506,2)="H2",UserMade_Scenario!C506,D506),3),UserInput!$C$25:$M$25,0))</f>
        <v>0</v>
      </c>
      <c r="F506" s="14" t="s">
        <v>75</v>
      </c>
      <c r="G506" s="14">
        <f t="shared" ref="G506:G547" si="155">E506*AB506</f>
        <v>0</v>
      </c>
      <c r="H506" s="63">
        <f>IF($C506="Electricity",$AA506/1000000,$G506)*AD506*-1</f>
        <v>0</v>
      </c>
      <c r="I506" s="63">
        <f>IF($C506="Electricity",$AA506/1000000,$G506)*AE506*-1</f>
        <v>0</v>
      </c>
      <c r="J506" s="63">
        <f>IF($C506="Electricity",$AA506/1000000,$G506)*AF506*-1</f>
        <v>0</v>
      </c>
      <c r="K506" s="30">
        <f>IF(OR(LEFT($D506,5)="Solar",$D506="Wind"),INDEX(Land_Use[AVG],MATCH(LEFT($D506,5),Land_Use[Tech],0)),0)*$E506</f>
        <v>0</v>
      </c>
      <c r="L506" s="30">
        <f>IF(OR(LEFT($D506,5)="Solar",$D506="Wind"),INDEX(Land_Use[MIN],MATCH(LEFT($D506,5),Land_Use[Tech],0)),0)*$E506</f>
        <v>0</v>
      </c>
      <c r="M506" s="30">
        <f>IF(OR(LEFT($D506,5)="Solar",$D506="Wind"),INDEX(Land_Use[MAX],MATCH(LEFT($D506,5),Land_Use[Tech],0)),0)*$E506</f>
        <v>0</v>
      </c>
      <c r="N506" s="11">
        <f t="shared" si="150"/>
        <v>0</v>
      </c>
      <c r="O506" s="11">
        <f t="shared" si="151"/>
        <v>0</v>
      </c>
      <c r="P506" s="11">
        <f t="shared" si="152"/>
        <v>0</v>
      </c>
      <c r="Q506" s="11">
        <f t="shared" si="153"/>
        <v>0</v>
      </c>
      <c r="R506" s="11">
        <f t="shared" si="154"/>
        <v>0</v>
      </c>
      <c r="S506" s="30">
        <f t="shared" si="142"/>
        <v>0</v>
      </c>
      <c r="T506" s="30">
        <f t="shared" si="143"/>
        <v>0</v>
      </c>
      <c r="U506" s="30">
        <f t="shared" si="144"/>
        <v>0</v>
      </c>
      <c r="V506" s="30">
        <f t="shared" si="145"/>
        <v>0</v>
      </c>
      <c r="W506" s="30">
        <f t="shared" si="146"/>
        <v>0</v>
      </c>
      <c r="X506" s="30">
        <f t="shared" si="147"/>
        <v>0</v>
      </c>
      <c r="Z506" s="23" t="s">
        <v>76</v>
      </c>
      <c r="AA506" s="40" t="str">
        <f>IF(C506="Electricity",E506*SUMIFS(Electricity!S:S,Electricity!P:P,UserMade_Scenario!B506,Electricity!M:M,UserMade_Scenario!Z506,Electricity!O:O,UserMade_Scenario!D506),"")</f>
        <v/>
      </c>
      <c r="AB506" s="76">
        <f>1000*Assumptions!$B$17/1000000000000</f>
        <v>1.1999999999999999E-7</v>
      </c>
      <c r="AC506" s="67" t="s">
        <v>77</v>
      </c>
      <c r="AD506" s="39">
        <f>SUMIFS(Hydrogen!AK:AK,Hydrogen!$AA:$AA,UserMade_Scenario!$Z506,Hydrogen!$Y:$Y,UserMade_Scenario!$D506,Hydrogen!$AB:$AB,UserMade_Scenario!$B506,Hydrogen!$Z:$Z,UserMade_Scenario!$C506)</f>
        <v>-25.962263497910243</v>
      </c>
      <c r="AE506" s="39">
        <f>SUMIFS(Hydrogen!AL:AL,Hydrogen!$AA:$AA,UserMade_Scenario!$Z506,Hydrogen!$Y:$Y,UserMade_Scenario!$D506,Hydrogen!$AB:$AB,UserMade_Scenario!$B506,Hydrogen!$Z:$Z,UserMade_Scenario!$C506)</f>
        <v>-24.871817180742241</v>
      </c>
      <c r="AF506" s="39">
        <f>SUMIFS(Hydrogen!AM:AM,Hydrogen!$AA:$AA,UserMade_Scenario!$Z506,Hydrogen!$Y:$Y,UserMade_Scenario!$D506,Hydrogen!$AB:$AB,UserMade_Scenario!$B506,Hydrogen!$Z:$Z,UserMade_Scenario!$C506)</f>
        <v>-27.052709815078245</v>
      </c>
      <c r="AG506" s="68">
        <f>IFERROR(INDEX(WaterUseH2[Average Direct Water Consumption (Gal/ kg h2)],MATCH(LEFT(D506,3),WaterUseH2[Key],0)),0)</f>
        <v>2.8</v>
      </c>
      <c r="AH506">
        <v>14</v>
      </c>
      <c r="AI506">
        <v>1.4</v>
      </c>
      <c r="AJ506">
        <v>250</v>
      </c>
      <c r="AK506">
        <v>0.31</v>
      </c>
      <c r="AL506" s="63">
        <f>IFERROR(INDEX(Job_Training[[Solar]:[Wind]],MATCH(AL$1,Job_Training[[`Typical Entry Level Education`]:[`Typical Entry Level Education`]],0),MATCH(LEFT($D506,5),Job_Training[[#Headers],[Solar]:[Wind]],0)),0)</f>
        <v>0</v>
      </c>
      <c r="AM506" s="63">
        <f>IFERROR(INDEX(Job_Training[[Solar]:[Wind]],MATCH(AM$1,Job_Training[[`Typical Entry Level Education`]:[`Typical Entry Level Education`]],0),MATCH(LEFT($D506,5),Job_Training[[#Headers],[Solar]:[Wind]],0)),0)</f>
        <v>0</v>
      </c>
      <c r="AN506" s="63">
        <f>IFERROR(INDEX(Job_Training[[Solar]:[Wind]],MATCH(AN$1,Job_Training[[`Typical Entry Level Education`]:[`Typical Entry Level Education`]],0),MATCH(LEFT($D506,5),Job_Training[[#Headers],[Solar]:[Wind]],0)),0)</f>
        <v>0</v>
      </c>
      <c r="AO506" s="63">
        <f>IFERROR(INDEX(Job_Training[[Solar]:[Wind]],MATCH(AO$1,Job_Training[[`Typical Entry Level Education`]:[`Typical Entry Level Education`]],0),MATCH(LEFT($D506,5),Job_Training[[#Headers],[Solar]:[Wind]],0)),0)</f>
        <v>0</v>
      </c>
      <c r="AP506">
        <f t="shared" si="148"/>
        <v>0</v>
      </c>
      <c r="AQ506" s="63">
        <f>IF(AP506&gt;0,IFERROR(INDEX(Assumptions!$C$165:$D$165,MATCH(LEFT($D506,5),Job_Training[[#Headers],[Solar]:[Wind]],0)),0),0)</f>
        <v>0</v>
      </c>
      <c r="AR506">
        <f>IF(AP506&gt;0,IFERROR(INDEX(Assumptions!$C$166:$D$166,MATCH(LEFT($D506,5),Job_Training[[#Headers],[Solar]:[Wind]],0)),0),0)</f>
        <v>0</v>
      </c>
    </row>
    <row r="507" spans="1:44" hidden="1" x14ac:dyDescent="0.35">
      <c r="A507" t="str">
        <f>UserInput!$B$56</f>
        <v>Max Buildout</v>
      </c>
      <c r="B507">
        <v>2026</v>
      </c>
      <c r="C507" s="16" t="s">
        <v>73</v>
      </c>
      <c r="D507" t="s">
        <v>74</v>
      </c>
      <c r="E507" s="66">
        <f>INDEX(UserInput!$C$56:$M$76,MATCH(UserMade_Scenario!B507,UserInput!$A$56:$A$76,0),MATCH(LEFT(IF(RIGHT(C507,2)="H2",UserMade_Scenario!C507,D507),3),UserInput!$C$25:$M$25,0))</f>
        <v>4380</v>
      </c>
      <c r="F507" s="14" t="s">
        <v>75</v>
      </c>
      <c r="G507" s="14">
        <f t="shared" si="155"/>
        <v>5.2559999999999998E-4</v>
      </c>
      <c r="H507" s="63">
        <f t="shared" ref="H507:H570" si="156">IF($C507="Electricity",$AA507/1000000,$G507)*AD507*-1</f>
        <v>1.345719815892903E-2</v>
      </c>
      <c r="I507" s="63">
        <f t="shared" ref="I507:I570" si="157">IF($C507="Electricity",$AA507/1000000,$G507)*AE507*-1</f>
        <v>1.2695492039052935E-2</v>
      </c>
      <c r="J507" s="63">
        <f t="shared" ref="J507:J570" si="158">IF($C507="Electricity",$AA507/1000000,$G507)*AF507*-1</f>
        <v>1.4218904278805126E-2</v>
      </c>
      <c r="K507" s="30">
        <f>IF(OR(LEFT($D507,5)="Solar",$D507="Wind"),INDEX(Land_Use[AVG],MATCH(LEFT($D507,5),Land_Use[Tech],0)),0)*$E507</f>
        <v>0</v>
      </c>
      <c r="L507" s="30">
        <f>IF(OR(LEFT($D507,5)="Solar",$D507="Wind"),INDEX(Land_Use[MIN],MATCH(LEFT($D507,5),Land_Use[Tech],0)),0)*$E507</f>
        <v>0</v>
      </c>
      <c r="M507" s="30">
        <f>IF(OR(LEFT($D507,5)="Solar",$D507="Wind"),INDEX(Land_Use[MAX],MATCH(LEFT($D507,5),Land_Use[Tech],0)),0)*$E507</f>
        <v>0</v>
      </c>
      <c r="N507" s="15">
        <f t="shared" si="150"/>
        <v>12.263999999999999</v>
      </c>
      <c r="O507" s="11">
        <f t="shared" si="151"/>
        <v>0</v>
      </c>
      <c r="P507" s="11">
        <f t="shared" si="152"/>
        <v>0</v>
      </c>
      <c r="Q507" s="11">
        <f t="shared" si="153"/>
        <v>0</v>
      </c>
      <c r="R507" s="11">
        <f t="shared" si="154"/>
        <v>0</v>
      </c>
      <c r="S507" s="30">
        <f t="shared" si="142"/>
        <v>0</v>
      </c>
      <c r="T507" s="30">
        <f t="shared" si="143"/>
        <v>0</v>
      </c>
      <c r="U507" s="30">
        <f t="shared" si="144"/>
        <v>0</v>
      </c>
      <c r="V507" s="30">
        <f t="shared" si="145"/>
        <v>0</v>
      </c>
      <c r="W507" s="30">
        <f t="shared" si="146"/>
        <v>0</v>
      </c>
      <c r="X507" s="30">
        <f t="shared" si="147"/>
        <v>0</v>
      </c>
      <c r="Z507" s="23" t="s">
        <v>76</v>
      </c>
      <c r="AA507" s="40" t="str">
        <f>IF(C507="Electricity",E507*SUMIFS(Electricity!S:S,Electricity!P:P,UserMade_Scenario!B507,Electricity!M:M,UserMade_Scenario!Z507,Electricity!O:O,UserMade_Scenario!D507),"")</f>
        <v/>
      </c>
      <c r="AB507" s="76">
        <f>1000*Assumptions!$B$17/1000000000000</f>
        <v>1.1999999999999999E-7</v>
      </c>
      <c r="AC507" s="67" t="s">
        <v>77</v>
      </c>
      <c r="AD507" s="39">
        <f>SUMIFS(Hydrogen!AK:AK,Hydrogen!$AA:$AA,UserMade_Scenario!$Z507,Hydrogen!$Y:$Y,UserMade_Scenario!$D507,Hydrogen!$AB:$AB,UserMade_Scenario!$B507,Hydrogen!$Z:$Z,UserMade_Scenario!$C507)</f>
        <v>-25.603497258236359</v>
      </c>
      <c r="AE507" s="39">
        <f>SUMIFS(Hydrogen!AL:AL,Hydrogen!$AA:$AA,UserMade_Scenario!$Z507,Hydrogen!$Y:$Y,UserMade_Scenario!$D507,Hydrogen!$AB:$AB,UserMade_Scenario!$B507,Hydrogen!$Z:$Z,UserMade_Scenario!$C507)</f>
        <v>-24.154284701394474</v>
      </c>
      <c r="AF507" s="39">
        <f>SUMIFS(Hydrogen!AM:AM,Hydrogen!$AA:$AA,UserMade_Scenario!$Z507,Hydrogen!$Y:$Y,UserMade_Scenario!$D507,Hydrogen!$AB:$AB,UserMade_Scenario!$B507,Hydrogen!$Z:$Z,UserMade_Scenario!$C507)</f>
        <v>-27.052709815078245</v>
      </c>
      <c r="AG507" s="68">
        <f>IFERROR(INDEX(WaterUseH2[Average Direct Water Consumption (Gal/ kg h2)],MATCH(LEFT(D507,3),WaterUseH2[Key],0)),0)</f>
        <v>2.8</v>
      </c>
      <c r="AH507">
        <v>14</v>
      </c>
      <c r="AI507">
        <v>1.4</v>
      </c>
      <c r="AJ507">
        <v>250</v>
      </c>
      <c r="AK507">
        <v>0.31</v>
      </c>
      <c r="AL507" s="63">
        <f>IFERROR(INDEX(Job_Training[[Solar]:[Wind]],MATCH(AL$1,Job_Training[[`Typical Entry Level Education`]:[`Typical Entry Level Education`]],0),MATCH(LEFT($D507,5),Job_Training[[#Headers],[Solar]:[Wind]],0)),0)</f>
        <v>0</v>
      </c>
      <c r="AM507" s="63">
        <f>IFERROR(INDEX(Job_Training[[Solar]:[Wind]],MATCH(AM$1,Job_Training[[`Typical Entry Level Education`]:[`Typical Entry Level Education`]],0),MATCH(LEFT($D507,5),Job_Training[[#Headers],[Solar]:[Wind]],0)),0)</f>
        <v>0</v>
      </c>
      <c r="AN507" s="63">
        <f>IFERROR(INDEX(Job_Training[[Solar]:[Wind]],MATCH(AN$1,Job_Training[[`Typical Entry Level Education`]:[`Typical Entry Level Education`]],0),MATCH(LEFT($D507,5),Job_Training[[#Headers],[Solar]:[Wind]],0)),0)</f>
        <v>0</v>
      </c>
      <c r="AO507" s="63">
        <f>IFERROR(INDEX(Job_Training[[Solar]:[Wind]],MATCH(AO$1,Job_Training[[`Typical Entry Level Education`]:[`Typical Entry Level Education`]],0),MATCH(LEFT($D507,5),Job_Training[[#Headers],[Solar]:[Wind]],0)),0)</f>
        <v>0</v>
      </c>
      <c r="AP507">
        <f t="shared" si="148"/>
        <v>0</v>
      </c>
      <c r="AQ507" s="63">
        <f>IF(AP507&gt;0,IFERROR(INDEX(Assumptions!$C$165:$D$165,MATCH(LEFT($D507,5),Job_Training[[#Headers],[Solar]:[Wind]],0)),0),0)</f>
        <v>0</v>
      </c>
      <c r="AR507">
        <f>IF(AP507&gt;0,IFERROR(INDEX(Assumptions!$C$166:$D$166,MATCH(LEFT($D507,5),Job_Training[[#Headers],[Solar]:[Wind]],0)),0),0)</f>
        <v>0</v>
      </c>
    </row>
    <row r="508" spans="1:44" hidden="1" x14ac:dyDescent="0.35">
      <c r="A508" t="str">
        <f>UserInput!$B$56</f>
        <v>Max Buildout</v>
      </c>
      <c r="B508">
        <v>2027</v>
      </c>
      <c r="C508" s="16" t="s">
        <v>73</v>
      </c>
      <c r="D508" t="s">
        <v>74</v>
      </c>
      <c r="E508" s="66">
        <f>INDEX(UserInput!$C$56:$M$76,MATCH(UserMade_Scenario!B508,UserInput!$A$56:$A$76,0),MATCH(LEFT(IF(RIGHT(C508,2)="H2",UserMade_Scenario!C508,D508),3),UserInput!$C$25:$M$25,0))</f>
        <v>8760</v>
      </c>
      <c r="F508" s="14" t="s">
        <v>75</v>
      </c>
      <c r="G508" s="14">
        <f t="shared" si="155"/>
        <v>1.0512E-3</v>
      </c>
      <c r="H508" s="63">
        <f t="shared" si="156"/>
        <v>2.6453602249343972E-2</v>
      </c>
      <c r="I508" s="63">
        <f t="shared" si="157"/>
        <v>2.4469395941077696E-2</v>
      </c>
      <c r="J508" s="63">
        <f t="shared" si="158"/>
        <v>2.8437808557610252E-2</v>
      </c>
      <c r="K508" s="30">
        <f>IF(OR(LEFT($D508,5)="Solar",$D508="Wind"),INDEX(Land_Use[AVG],MATCH(LEFT($D508,5),Land_Use[Tech],0)),0)*$E508</f>
        <v>0</v>
      </c>
      <c r="L508" s="30">
        <f>IF(OR(LEFT($D508,5)="Solar",$D508="Wind"),INDEX(Land_Use[MIN],MATCH(LEFT($D508,5),Land_Use[Tech],0)),0)*$E508</f>
        <v>0</v>
      </c>
      <c r="M508" s="30">
        <f>IF(OR(LEFT($D508,5)="Solar",$D508="Wind"),INDEX(Land_Use[MAX],MATCH(LEFT($D508,5),Land_Use[Tech],0)),0)*$E508</f>
        <v>0</v>
      </c>
      <c r="N508" s="15">
        <f t="shared" si="150"/>
        <v>24.527999999999999</v>
      </c>
      <c r="O508" s="11">
        <f t="shared" si="151"/>
        <v>0</v>
      </c>
      <c r="P508" s="11">
        <f t="shared" si="152"/>
        <v>0</v>
      </c>
      <c r="Q508" s="11">
        <f t="shared" si="153"/>
        <v>0</v>
      </c>
      <c r="R508" s="11">
        <f t="shared" si="154"/>
        <v>0</v>
      </c>
      <c r="S508" s="30">
        <f t="shared" si="142"/>
        <v>0</v>
      </c>
      <c r="T508" s="30">
        <f t="shared" si="143"/>
        <v>0</v>
      </c>
      <c r="U508" s="30">
        <f t="shared" si="144"/>
        <v>0</v>
      </c>
      <c r="V508" s="30">
        <f t="shared" si="145"/>
        <v>0</v>
      </c>
      <c r="W508" s="30">
        <f t="shared" si="146"/>
        <v>0</v>
      </c>
      <c r="X508" s="30">
        <f t="shared" si="147"/>
        <v>0</v>
      </c>
      <c r="Z508" s="23" t="s">
        <v>76</v>
      </c>
      <c r="AA508" s="40" t="str">
        <f>IF(C508="Electricity",E508*SUMIFS(Electricity!S:S,Electricity!P:P,UserMade_Scenario!B508,Electricity!M:M,UserMade_Scenario!Z508,Electricity!O:O,UserMade_Scenario!D508),"")</f>
        <v/>
      </c>
      <c r="AB508" s="76">
        <f>1000*Assumptions!$B$17/1000000000000</f>
        <v>1.1999999999999999E-7</v>
      </c>
      <c r="AC508" s="67" t="s">
        <v>77</v>
      </c>
      <c r="AD508" s="39">
        <f>SUMIFS(Hydrogen!AK:AK,Hydrogen!$AA:$AA,UserMade_Scenario!$Z508,Hydrogen!$Y:$Y,UserMade_Scenario!$D508,Hydrogen!$AB:$AB,UserMade_Scenario!$B508,Hydrogen!$Z:$Z,UserMade_Scenario!$C508)</f>
        <v>-25.165146736438331</v>
      </c>
      <c r="AE508" s="39">
        <f>SUMIFS(Hydrogen!AL:AL,Hydrogen!$AA:$AA,UserMade_Scenario!$Z508,Hydrogen!$Y:$Y,UserMade_Scenario!$D508,Hydrogen!$AB:$AB,UserMade_Scenario!$B508,Hydrogen!$Z:$Z,UserMade_Scenario!$C508)</f>
        <v>-23.277583657798417</v>
      </c>
      <c r="AF508" s="39">
        <f>SUMIFS(Hydrogen!AM:AM,Hydrogen!$AA:$AA,UserMade_Scenario!$Z508,Hydrogen!$Y:$Y,UserMade_Scenario!$D508,Hydrogen!$AB:$AB,UserMade_Scenario!$B508,Hydrogen!$Z:$Z,UserMade_Scenario!$C508)</f>
        <v>-27.052709815078245</v>
      </c>
      <c r="AG508" s="68">
        <f>IFERROR(INDEX(WaterUseH2[Average Direct Water Consumption (Gal/ kg h2)],MATCH(LEFT(D508,3),WaterUseH2[Key],0)),0)</f>
        <v>2.8</v>
      </c>
      <c r="AH508">
        <v>14</v>
      </c>
      <c r="AI508">
        <v>1.4</v>
      </c>
      <c r="AJ508">
        <v>250</v>
      </c>
      <c r="AK508">
        <v>0.31</v>
      </c>
      <c r="AL508" s="63">
        <f>IFERROR(INDEX(Job_Training[[Solar]:[Wind]],MATCH(AL$1,Job_Training[[`Typical Entry Level Education`]:[`Typical Entry Level Education`]],0),MATCH(LEFT($D508,5),Job_Training[[#Headers],[Solar]:[Wind]],0)),0)</f>
        <v>0</v>
      </c>
      <c r="AM508" s="63">
        <f>IFERROR(INDEX(Job_Training[[Solar]:[Wind]],MATCH(AM$1,Job_Training[[`Typical Entry Level Education`]:[`Typical Entry Level Education`]],0),MATCH(LEFT($D508,5),Job_Training[[#Headers],[Solar]:[Wind]],0)),0)</f>
        <v>0</v>
      </c>
      <c r="AN508" s="63">
        <f>IFERROR(INDEX(Job_Training[[Solar]:[Wind]],MATCH(AN$1,Job_Training[[`Typical Entry Level Education`]:[`Typical Entry Level Education`]],0),MATCH(LEFT($D508,5),Job_Training[[#Headers],[Solar]:[Wind]],0)),0)</f>
        <v>0</v>
      </c>
      <c r="AO508" s="63">
        <f>IFERROR(INDEX(Job_Training[[Solar]:[Wind]],MATCH(AO$1,Job_Training[[`Typical Entry Level Education`]:[`Typical Entry Level Education`]],0),MATCH(LEFT($D508,5),Job_Training[[#Headers],[Solar]:[Wind]],0)),0)</f>
        <v>0</v>
      </c>
      <c r="AP508">
        <f t="shared" si="148"/>
        <v>0</v>
      </c>
      <c r="AQ508" s="63">
        <f>IF(AP508&gt;0,IFERROR(INDEX(Assumptions!$C$165:$D$165,MATCH(LEFT($D508,5),Job_Training[[#Headers],[Solar]:[Wind]],0)),0),0)</f>
        <v>0</v>
      </c>
      <c r="AR508">
        <f>IF(AP508&gt;0,IFERROR(INDEX(Assumptions!$C$166:$D$166,MATCH(LEFT($D508,5),Job_Training[[#Headers],[Solar]:[Wind]],0)),0),0)</f>
        <v>0</v>
      </c>
    </row>
    <row r="509" spans="1:44" hidden="1" x14ac:dyDescent="0.35">
      <c r="A509" t="str">
        <f>UserInput!$B$56</f>
        <v>Max Buildout</v>
      </c>
      <c r="B509">
        <v>2028</v>
      </c>
      <c r="C509" s="16" t="s">
        <v>73</v>
      </c>
      <c r="D509" t="s">
        <v>74</v>
      </c>
      <c r="E509" s="66">
        <f>INDEX(UserInput!$C$56:$M$76,MATCH(UserMade_Scenario!B509,UserInput!$A$56:$A$76,0),MATCH(LEFT(IF(RIGHT(C509,2)="H2",UserMade_Scenario!C509,D509),3),UserInput!$C$25:$M$25,0))</f>
        <v>13140</v>
      </c>
      <c r="F509" s="14" t="s">
        <v>75</v>
      </c>
      <c r="G509" s="14">
        <f t="shared" si="155"/>
        <v>1.5767999999999999E-3</v>
      </c>
      <c r="H509" s="63">
        <f t="shared" si="156"/>
        <v>3.8933689508263224E-2</v>
      </c>
      <c r="I509" s="63">
        <f t="shared" si="157"/>
        <v>3.521066618011108E-2</v>
      </c>
      <c r="J509" s="63">
        <f t="shared" si="158"/>
        <v>4.2656712836415374E-2</v>
      </c>
      <c r="K509" s="30">
        <f>IF(OR(LEFT($D509,5)="Solar",$D509="Wind"),INDEX(Land_Use[AVG],MATCH(LEFT($D509,5),Land_Use[Tech],0)),0)*$E509</f>
        <v>0</v>
      </c>
      <c r="L509" s="30">
        <f>IF(OR(LEFT($D509,5)="Solar",$D509="Wind"),INDEX(Land_Use[MIN],MATCH(LEFT($D509,5),Land_Use[Tech],0)),0)*$E509</f>
        <v>0</v>
      </c>
      <c r="M509" s="30">
        <f>IF(OR(LEFT($D509,5)="Solar",$D509="Wind"),INDEX(Land_Use[MAX],MATCH(LEFT($D509,5),Land_Use[Tech],0)),0)*$E509</f>
        <v>0</v>
      </c>
      <c r="N509" s="15">
        <f t="shared" si="150"/>
        <v>36.792000000000002</v>
      </c>
      <c r="O509" s="11">
        <f t="shared" si="151"/>
        <v>0</v>
      </c>
      <c r="P509" s="11">
        <f t="shared" si="152"/>
        <v>0</v>
      </c>
      <c r="Q509" s="11">
        <f t="shared" si="153"/>
        <v>0</v>
      </c>
      <c r="R509" s="11">
        <f t="shared" si="154"/>
        <v>0</v>
      </c>
      <c r="S509" s="30">
        <f t="shared" si="142"/>
        <v>0</v>
      </c>
      <c r="T509" s="30">
        <f t="shared" si="143"/>
        <v>0</v>
      </c>
      <c r="U509" s="30">
        <f t="shared" si="144"/>
        <v>0</v>
      </c>
      <c r="V509" s="30">
        <f t="shared" si="145"/>
        <v>0</v>
      </c>
      <c r="W509" s="30">
        <f t="shared" si="146"/>
        <v>0</v>
      </c>
      <c r="X509" s="30">
        <f t="shared" si="147"/>
        <v>0</v>
      </c>
      <c r="Z509" s="23" t="s">
        <v>76</v>
      </c>
      <c r="AA509" s="40" t="str">
        <f>IF(C509="Electricity",E509*SUMIFS(Electricity!S:S,Electricity!P:P,UserMade_Scenario!B509,Electricity!M:M,UserMade_Scenario!Z509,Electricity!O:O,UserMade_Scenario!D509),"")</f>
        <v/>
      </c>
      <c r="AB509" s="76">
        <f>1000*Assumptions!$B$17/1000000000000</f>
        <v>1.1999999999999999E-7</v>
      </c>
      <c r="AC509" s="67" t="s">
        <v>77</v>
      </c>
      <c r="AD509" s="39">
        <f>SUMIFS(Hydrogen!AK:AK,Hydrogen!$AA:$AA,UserMade_Scenario!$Z509,Hydrogen!$Y:$Y,UserMade_Scenario!$D509,Hydrogen!$AB:$AB,UserMade_Scenario!$B509,Hydrogen!$Z:$Z,UserMade_Scenario!$C509)</f>
        <v>-24.691583909350094</v>
      </c>
      <c r="AE509" s="39">
        <f>SUMIFS(Hydrogen!AL:AL,Hydrogen!$AA:$AA,UserMade_Scenario!$Z509,Hydrogen!$Y:$Y,UserMade_Scenario!$D509,Hydrogen!$AB:$AB,UserMade_Scenario!$B509,Hydrogen!$Z:$Z,UserMade_Scenario!$C509)</f>
        <v>-22.330458003621942</v>
      </c>
      <c r="AF509" s="39">
        <f>SUMIFS(Hydrogen!AM:AM,Hydrogen!$AA:$AA,UserMade_Scenario!$Z509,Hydrogen!$Y:$Y,UserMade_Scenario!$D509,Hydrogen!$AB:$AB,UserMade_Scenario!$B509,Hydrogen!$Z:$Z,UserMade_Scenario!$C509)</f>
        <v>-27.052709815078245</v>
      </c>
      <c r="AG509" s="68">
        <f>IFERROR(INDEX(WaterUseH2[Average Direct Water Consumption (Gal/ kg h2)],MATCH(LEFT(D509,3),WaterUseH2[Key],0)),0)</f>
        <v>2.8</v>
      </c>
      <c r="AH509">
        <v>14</v>
      </c>
      <c r="AI509">
        <v>1.4</v>
      </c>
      <c r="AJ509">
        <v>250</v>
      </c>
      <c r="AK509">
        <v>0.31</v>
      </c>
      <c r="AL509" s="63">
        <f>IFERROR(INDEX(Job_Training[[Solar]:[Wind]],MATCH(AL$1,Job_Training[[`Typical Entry Level Education`]:[`Typical Entry Level Education`]],0),MATCH(LEFT($D509,5),Job_Training[[#Headers],[Solar]:[Wind]],0)),0)</f>
        <v>0</v>
      </c>
      <c r="AM509" s="63">
        <f>IFERROR(INDEX(Job_Training[[Solar]:[Wind]],MATCH(AM$1,Job_Training[[`Typical Entry Level Education`]:[`Typical Entry Level Education`]],0),MATCH(LEFT($D509,5),Job_Training[[#Headers],[Solar]:[Wind]],0)),0)</f>
        <v>0</v>
      </c>
      <c r="AN509" s="63">
        <f>IFERROR(INDEX(Job_Training[[Solar]:[Wind]],MATCH(AN$1,Job_Training[[`Typical Entry Level Education`]:[`Typical Entry Level Education`]],0),MATCH(LEFT($D509,5),Job_Training[[#Headers],[Solar]:[Wind]],0)),0)</f>
        <v>0</v>
      </c>
      <c r="AO509" s="63">
        <f>IFERROR(INDEX(Job_Training[[Solar]:[Wind]],MATCH(AO$1,Job_Training[[`Typical Entry Level Education`]:[`Typical Entry Level Education`]],0),MATCH(LEFT($D509,5),Job_Training[[#Headers],[Solar]:[Wind]],0)),0)</f>
        <v>0</v>
      </c>
      <c r="AP509">
        <f t="shared" si="148"/>
        <v>0</v>
      </c>
      <c r="AQ509" s="63">
        <f>IF(AP509&gt;0,IFERROR(INDEX(Assumptions!$C$165:$D$165,MATCH(LEFT($D509,5),Job_Training[[#Headers],[Solar]:[Wind]],0)),0),0)</f>
        <v>0</v>
      </c>
      <c r="AR509">
        <f>IF(AP509&gt;0,IFERROR(INDEX(Assumptions!$C$166:$D$166,MATCH(LEFT($D509,5),Job_Training[[#Headers],[Solar]:[Wind]],0)),0),0)</f>
        <v>0</v>
      </c>
    </row>
    <row r="510" spans="1:44" hidden="1" x14ac:dyDescent="0.35">
      <c r="A510" t="str">
        <f>UserInput!$B$56</f>
        <v>Max Buildout</v>
      </c>
      <c r="B510">
        <v>2029</v>
      </c>
      <c r="C510" s="16" t="s">
        <v>73</v>
      </c>
      <c r="D510" t="s">
        <v>74</v>
      </c>
      <c r="E510" s="66">
        <f>INDEX(UserInput!$C$56:$M$76,MATCH(UserMade_Scenario!B510,UserInput!$A$56:$A$76,0),MATCH(LEFT(IF(RIGHT(C510,2)="H2",UserMade_Scenario!C510,D510),3),UserInput!$C$25:$M$25,0))</f>
        <v>17520</v>
      </c>
      <c r="F510" s="14" t="s">
        <v>75</v>
      </c>
      <c r="G510" s="14">
        <f t="shared" si="155"/>
        <v>2.1023999999999999E-3</v>
      </c>
      <c r="H510" s="63">
        <f t="shared" si="156"/>
        <v>5.0767867345038922E-2</v>
      </c>
      <c r="I510" s="63">
        <f t="shared" si="157"/>
        <v>4.4660117574857341E-2</v>
      </c>
      <c r="J510" s="63">
        <f t="shared" si="158"/>
        <v>5.6875617115220503E-2</v>
      </c>
      <c r="K510" s="30">
        <f>IF(OR(LEFT($D510,5)="Solar",$D510="Wind"),INDEX(Land_Use[AVG],MATCH(LEFT($D510,5),Land_Use[Tech],0)),0)*$E510</f>
        <v>0</v>
      </c>
      <c r="L510" s="30">
        <f>IF(OR(LEFT($D510,5)="Solar",$D510="Wind"),INDEX(Land_Use[MIN],MATCH(LEFT($D510,5),Land_Use[Tech],0)),0)*$E510</f>
        <v>0</v>
      </c>
      <c r="M510" s="30">
        <f>IF(OR(LEFT($D510,5)="Solar",$D510="Wind"),INDEX(Land_Use[MAX],MATCH(LEFT($D510,5),Land_Use[Tech],0)),0)*$E510</f>
        <v>0</v>
      </c>
      <c r="N510" s="15">
        <f t="shared" si="150"/>
        <v>49.055999999999997</v>
      </c>
      <c r="O510" s="11">
        <f t="shared" si="151"/>
        <v>0</v>
      </c>
      <c r="P510" s="11">
        <f t="shared" si="152"/>
        <v>0</v>
      </c>
      <c r="Q510" s="11">
        <f t="shared" si="153"/>
        <v>0</v>
      </c>
      <c r="R510" s="11">
        <f t="shared" si="154"/>
        <v>0</v>
      </c>
      <c r="S510" s="30">
        <f t="shared" si="142"/>
        <v>0</v>
      </c>
      <c r="T510" s="30">
        <f t="shared" si="143"/>
        <v>0</v>
      </c>
      <c r="U510" s="30">
        <f t="shared" si="144"/>
        <v>0</v>
      </c>
      <c r="V510" s="30">
        <f t="shared" si="145"/>
        <v>0</v>
      </c>
      <c r="W510" s="30">
        <f t="shared" si="146"/>
        <v>0</v>
      </c>
      <c r="X510" s="30">
        <f t="shared" si="147"/>
        <v>0</v>
      </c>
      <c r="Z510" s="23" t="s">
        <v>76</v>
      </c>
      <c r="AA510" s="40" t="str">
        <f>IF(C510="Electricity",E510*SUMIFS(Electricity!S:S,Electricity!P:P,UserMade_Scenario!B510,Electricity!M:M,UserMade_Scenario!Z510,Electricity!O:O,UserMade_Scenario!D510),"")</f>
        <v/>
      </c>
      <c r="AB510" s="76">
        <f>1000*Assumptions!$B$17/1000000000000</f>
        <v>1.1999999999999999E-7</v>
      </c>
      <c r="AC510" s="67" t="s">
        <v>77</v>
      </c>
      <c r="AD510" s="39">
        <f>SUMIFS(Hydrogen!AK:AK,Hydrogen!$AA:$AA,UserMade_Scenario!$Z510,Hydrogen!$Y:$Y,UserMade_Scenario!$D510,Hydrogen!$AB:$AB,UserMade_Scenario!$B510,Hydrogen!$Z:$Z,UserMade_Scenario!$C510)</f>
        <v>-24.147577694558088</v>
      </c>
      <c r="AE510" s="39">
        <f>SUMIFS(Hydrogen!AL:AL,Hydrogen!$AA:$AA,UserMade_Scenario!$Z510,Hydrogen!$Y:$Y,UserMade_Scenario!$D510,Hydrogen!$AB:$AB,UserMade_Scenario!$B510,Hydrogen!$Z:$Z,UserMade_Scenario!$C510)</f>
        <v>-21.24244557403793</v>
      </c>
      <c r="AF510" s="39">
        <f>SUMIFS(Hydrogen!AM:AM,Hydrogen!$AA:$AA,UserMade_Scenario!$Z510,Hydrogen!$Y:$Y,UserMade_Scenario!$D510,Hydrogen!$AB:$AB,UserMade_Scenario!$B510,Hydrogen!$Z:$Z,UserMade_Scenario!$C510)</f>
        <v>-27.052709815078245</v>
      </c>
      <c r="AG510" s="68">
        <f>IFERROR(INDEX(WaterUseH2[Average Direct Water Consumption (Gal/ kg h2)],MATCH(LEFT(D510,3),WaterUseH2[Key],0)),0)</f>
        <v>2.8</v>
      </c>
      <c r="AH510">
        <v>14</v>
      </c>
      <c r="AI510">
        <v>1.4</v>
      </c>
      <c r="AJ510">
        <v>250</v>
      </c>
      <c r="AK510">
        <v>0.31</v>
      </c>
      <c r="AL510" s="63">
        <f>IFERROR(INDEX(Job_Training[[Solar]:[Wind]],MATCH(AL$1,Job_Training[[`Typical Entry Level Education`]:[`Typical Entry Level Education`]],0),MATCH(LEFT($D510,5),Job_Training[[#Headers],[Solar]:[Wind]],0)),0)</f>
        <v>0</v>
      </c>
      <c r="AM510" s="63">
        <f>IFERROR(INDEX(Job_Training[[Solar]:[Wind]],MATCH(AM$1,Job_Training[[`Typical Entry Level Education`]:[`Typical Entry Level Education`]],0),MATCH(LEFT($D510,5),Job_Training[[#Headers],[Solar]:[Wind]],0)),0)</f>
        <v>0</v>
      </c>
      <c r="AN510" s="63">
        <f>IFERROR(INDEX(Job_Training[[Solar]:[Wind]],MATCH(AN$1,Job_Training[[`Typical Entry Level Education`]:[`Typical Entry Level Education`]],0),MATCH(LEFT($D510,5),Job_Training[[#Headers],[Solar]:[Wind]],0)),0)</f>
        <v>0</v>
      </c>
      <c r="AO510" s="63">
        <f>IFERROR(INDEX(Job_Training[[Solar]:[Wind]],MATCH(AO$1,Job_Training[[`Typical Entry Level Education`]:[`Typical Entry Level Education`]],0),MATCH(LEFT($D510,5),Job_Training[[#Headers],[Solar]:[Wind]],0)),0)</f>
        <v>0</v>
      </c>
      <c r="AP510">
        <f t="shared" si="148"/>
        <v>0</v>
      </c>
      <c r="AQ510" s="63">
        <f>IF(AP510&gt;0,IFERROR(INDEX(Assumptions!$C$165:$D$165,MATCH(LEFT($D510,5),Job_Training[[#Headers],[Solar]:[Wind]],0)),0),0)</f>
        <v>0</v>
      </c>
      <c r="AR510">
        <f>IF(AP510&gt;0,IFERROR(INDEX(Assumptions!$C$166:$D$166,MATCH(LEFT($D510,5),Job_Training[[#Headers],[Solar]:[Wind]],0)),0),0)</f>
        <v>0</v>
      </c>
    </row>
    <row r="511" spans="1:44" hidden="1" x14ac:dyDescent="0.35">
      <c r="A511" t="str">
        <f>UserInput!$B$56</f>
        <v>Max Buildout</v>
      </c>
      <c r="B511">
        <v>2030</v>
      </c>
      <c r="C511" s="16" t="s">
        <v>73</v>
      </c>
      <c r="D511" t="s">
        <v>74</v>
      </c>
      <c r="E511" s="66">
        <f>INDEX(UserInput!$C$56:$M$76,MATCH(UserMade_Scenario!B511,UserInput!$A$56:$A$76,0),MATCH(LEFT(IF(RIGHT(C511,2)="H2",UserMade_Scenario!C511,D511),3),UserInput!$C$25:$M$25,0))</f>
        <v>21900</v>
      </c>
      <c r="F511" s="14" t="s">
        <v>75</v>
      </c>
      <c r="G511" s="14">
        <f t="shared" si="155"/>
        <v>2.6279999999999997E-3</v>
      </c>
      <c r="H511" s="63">
        <f t="shared" si="156"/>
        <v>6.1829807899247427E-2</v>
      </c>
      <c r="I511" s="63">
        <f t="shared" si="157"/>
        <v>5.2565094404469236E-2</v>
      </c>
      <c r="J511" s="63">
        <f t="shared" si="158"/>
        <v>7.1094521394025625E-2</v>
      </c>
      <c r="K511" s="30">
        <f>IF(OR(LEFT($D511,5)="Solar",$D511="Wind"),INDEX(Land_Use[AVG],MATCH(LEFT($D511,5),Land_Use[Tech],0)),0)*$E511</f>
        <v>0</v>
      </c>
      <c r="L511" s="30">
        <f>IF(OR(LEFT($D511,5)="Solar",$D511="Wind"),INDEX(Land_Use[MIN],MATCH(LEFT($D511,5),Land_Use[Tech],0)),0)*$E511</f>
        <v>0</v>
      </c>
      <c r="M511" s="30">
        <f>IF(OR(LEFT($D511,5)="Solar",$D511="Wind"),INDEX(Land_Use[MAX],MATCH(LEFT($D511,5),Land_Use[Tech],0)),0)*$E511</f>
        <v>0</v>
      </c>
      <c r="N511" s="15">
        <f t="shared" si="150"/>
        <v>61.319999999999993</v>
      </c>
      <c r="O511" s="11">
        <f t="shared" si="151"/>
        <v>0</v>
      </c>
      <c r="P511" s="11">
        <f t="shared" si="152"/>
        <v>0</v>
      </c>
      <c r="Q511" s="11">
        <f t="shared" si="153"/>
        <v>0</v>
      </c>
      <c r="R511" s="11">
        <f t="shared" si="154"/>
        <v>0</v>
      </c>
      <c r="S511" s="30">
        <f t="shared" si="142"/>
        <v>0</v>
      </c>
      <c r="T511" s="30">
        <f t="shared" si="143"/>
        <v>0</v>
      </c>
      <c r="U511" s="30">
        <f t="shared" si="144"/>
        <v>0</v>
      </c>
      <c r="V511" s="30">
        <f t="shared" si="145"/>
        <v>0</v>
      </c>
      <c r="W511" s="30">
        <f t="shared" si="146"/>
        <v>0</v>
      </c>
      <c r="X511" s="30">
        <f t="shared" si="147"/>
        <v>0</v>
      </c>
      <c r="Z511" s="23" t="s">
        <v>76</v>
      </c>
      <c r="AA511" s="40" t="str">
        <f>IF(C511="Electricity",E511*SUMIFS(Electricity!S:S,Electricity!P:P,UserMade_Scenario!B511,Electricity!M:M,UserMade_Scenario!Z511,Electricity!O:O,UserMade_Scenario!D511),"")</f>
        <v/>
      </c>
      <c r="AB511" s="76">
        <f>1000*Assumptions!$B$17/1000000000000</f>
        <v>1.1999999999999999E-7</v>
      </c>
      <c r="AC511" s="67" t="s">
        <v>77</v>
      </c>
      <c r="AD511" s="39">
        <f>SUMIFS(Hydrogen!AK:AK,Hydrogen!$AA:$AA,UserMade_Scenario!$Z511,Hydrogen!$Y:$Y,UserMade_Scenario!$D511,Hydrogen!$AB:$AB,UserMade_Scenario!$B511,Hydrogen!$Z:$Z,UserMade_Scenario!$C511)</f>
        <v>-23.527324162575127</v>
      </c>
      <c r="AE511" s="39">
        <f>SUMIFS(Hydrogen!AL:AL,Hydrogen!$AA:$AA,UserMade_Scenario!$Z511,Hydrogen!$Y:$Y,UserMade_Scenario!$D511,Hydrogen!$AB:$AB,UserMade_Scenario!$B511,Hydrogen!$Z:$Z,UserMade_Scenario!$C511)</f>
        <v>-20.001938510072009</v>
      </c>
      <c r="AF511" s="39">
        <f>SUMIFS(Hydrogen!AM:AM,Hydrogen!$AA:$AA,UserMade_Scenario!$Z511,Hydrogen!$Y:$Y,UserMade_Scenario!$D511,Hydrogen!$AB:$AB,UserMade_Scenario!$B511,Hydrogen!$Z:$Z,UserMade_Scenario!$C511)</f>
        <v>-27.052709815078245</v>
      </c>
      <c r="AG511" s="68">
        <f>IFERROR(INDEX(WaterUseH2[Average Direct Water Consumption (Gal/ kg h2)],MATCH(LEFT(D511,3),WaterUseH2[Key],0)),0)</f>
        <v>2.8</v>
      </c>
      <c r="AH511">
        <v>14</v>
      </c>
      <c r="AI511">
        <v>1.4</v>
      </c>
      <c r="AJ511">
        <v>250</v>
      </c>
      <c r="AK511">
        <v>0.31</v>
      </c>
      <c r="AL511" s="63">
        <f>IFERROR(INDEX(Job_Training[[Solar]:[Wind]],MATCH(AL$1,Job_Training[[`Typical Entry Level Education`]:[`Typical Entry Level Education`]],0),MATCH(LEFT($D511,5),Job_Training[[#Headers],[Solar]:[Wind]],0)),0)</f>
        <v>0</v>
      </c>
      <c r="AM511" s="63">
        <f>IFERROR(INDEX(Job_Training[[Solar]:[Wind]],MATCH(AM$1,Job_Training[[`Typical Entry Level Education`]:[`Typical Entry Level Education`]],0),MATCH(LEFT($D511,5),Job_Training[[#Headers],[Solar]:[Wind]],0)),0)</f>
        <v>0</v>
      </c>
      <c r="AN511" s="63">
        <f>IFERROR(INDEX(Job_Training[[Solar]:[Wind]],MATCH(AN$1,Job_Training[[`Typical Entry Level Education`]:[`Typical Entry Level Education`]],0),MATCH(LEFT($D511,5),Job_Training[[#Headers],[Solar]:[Wind]],0)),0)</f>
        <v>0</v>
      </c>
      <c r="AO511" s="63">
        <f>IFERROR(INDEX(Job_Training[[Solar]:[Wind]],MATCH(AO$1,Job_Training[[`Typical Entry Level Education`]:[`Typical Entry Level Education`]],0),MATCH(LEFT($D511,5),Job_Training[[#Headers],[Solar]:[Wind]],0)),0)</f>
        <v>0</v>
      </c>
      <c r="AP511">
        <f t="shared" si="148"/>
        <v>0</v>
      </c>
      <c r="AQ511" s="63">
        <f>IF(AP511&gt;0,IFERROR(INDEX(Assumptions!$C$165:$D$165,MATCH(LEFT($D511,5),Job_Training[[#Headers],[Solar]:[Wind]],0)),0),0)</f>
        <v>0</v>
      </c>
      <c r="AR511">
        <f>IF(AP511&gt;0,IFERROR(INDEX(Assumptions!$C$166:$D$166,MATCH(LEFT($D511,5),Job_Training[[#Headers],[Solar]:[Wind]],0)),0),0)</f>
        <v>0</v>
      </c>
    </row>
    <row r="512" spans="1:44" hidden="1" x14ac:dyDescent="0.35">
      <c r="A512" t="str">
        <f>UserInput!$B$56</f>
        <v>Max Buildout</v>
      </c>
      <c r="B512">
        <v>2031</v>
      </c>
      <c r="C512" s="16" t="s">
        <v>73</v>
      </c>
      <c r="D512" t="s">
        <v>74</v>
      </c>
      <c r="E512" s="66">
        <f>INDEX(UserInput!$C$56:$M$76,MATCH(UserMade_Scenario!B512,UserInput!$A$56:$A$76,0),MATCH(LEFT(IF(RIGHT(C512,2)="H2",UserMade_Scenario!C512,D512),3),UserInput!$C$25:$M$25,0))</f>
        <v>26280</v>
      </c>
      <c r="F512" s="14" t="s">
        <v>75</v>
      </c>
      <c r="G512" s="14">
        <f t="shared" si="155"/>
        <v>3.1535999999999999E-3</v>
      </c>
      <c r="H512" s="63">
        <f t="shared" si="156"/>
        <v>7.1973311260762812E-2</v>
      </c>
      <c r="I512" s="63">
        <f t="shared" si="157"/>
        <v>5.8633196848694877E-2</v>
      </c>
      <c r="J512" s="63">
        <f t="shared" si="158"/>
        <v>8.5313425672830748E-2</v>
      </c>
      <c r="K512" s="30">
        <f>IF(OR(LEFT($D512,5)="Solar",$D512="Wind"),INDEX(Land_Use[AVG],MATCH(LEFT($D512,5),Land_Use[Tech],0)),0)*$E512</f>
        <v>0</v>
      </c>
      <c r="L512" s="30">
        <f>IF(OR(LEFT($D512,5)="Solar",$D512="Wind"),INDEX(Land_Use[MIN],MATCH(LEFT($D512,5),Land_Use[Tech],0)),0)*$E512</f>
        <v>0</v>
      </c>
      <c r="M512" s="30">
        <f>IF(OR(LEFT($D512,5)="Solar",$D512="Wind"),INDEX(Land_Use[MAX],MATCH(LEFT($D512,5),Land_Use[Tech],0)),0)*$E512</f>
        <v>0</v>
      </c>
      <c r="N512" s="15">
        <f t="shared" si="150"/>
        <v>73.584000000000003</v>
      </c>
      <c r="O512" s="11">
        <f t="shared" si="151"/>
        <v>0</v>
      </c>
      <c r="P512" s="11">
        <f t="shared" si="152"/>
        <v>0</v>
      </c>
      <c r="Q512" s="11">
        <f t="shared" si="153"/>
        <v>0</v>
      </c>
      <c r="R512" s="11">
        <f t="shared" si="154"/>
        <v>0</v>
      </c>
      <c r="S512" s="30">
        <f t="shared" si="142"/>
        <v>0</v>
      </c>
      <c r="T512" s="30">
        <f t="shared" si="143"/>
        <v>0</v>
      </c>
      <c r="U512" s="30">
        <f t="shared" si="144"/>
        <v>0</v>
      </c>
      <c r="V512" s="30">
        <f t="shared" si="145"/>
        <v>0</v>
      </c>
      <c r="W512" s="30">
        <f t="shared" si="146"/>
        <v>0</v>
      </c>
      <c r="X512" s="30">
        <f t="shared" si="147"/>
        <v>0</v>
      </c>
      <c r="Z512" s="23" t="s">
        <v>76</v>
      </c>
      <c r="AA512" s="40" t="str">
        <f>IF(C512="Electricity",E512*SUMIFS(Electricity!S:S,Electricity!P:P,UserMade_Scenario!B512,Electricity!M:M,UserMade_Scenario!Z512,Electricity!O:O,UserMade_Scenario!D512),"")</f>
        <v/>
      </c>
      <c r="AB512" s="76">
        <f>1000*Assumptions!$B$17/1000000000000</f>
        <v>1.1999999999999999E-7</v>
      </c>
      <c r="AC512" s="67" t="s">
        <v>77</v>
      </c>
      <c r="AD512" s="39">
        <f>SUMIFS(Hydrogen!AK:AK,Hydrogen!$AA:$AA,UserMade_Scenario!$Z512,Hydrogen!$Y:$Y,UserMade_Scenario!$D512,Hydrogen!$AB:$AB,UserMade_Scenario!$B512,Hydrogen!$Z:$Z,UserMade_Scenario!$C512)</f>
        <v>-22.822587284615302</v>
      </c>
      <c r="AE512" s="39">
        <f>SUMIFS(Hydrogen!AL:AL,Hydrogen!$AA:$AA,UserMade_Scenario!$Z512,Hydrogen!$Y:$Y,UserMade_Scenario!$D512,Hydrogen!$AB:$AB,UserMade_Scenario!$B512,Hydrogen!$Z:$Z,UserMade_Scenario!$C512)</f>
        <v>-18.59246475415236</v>
      </c>
      <c r="AF512" s="39">
        <f>SUMIFS(Hydrogen!AM:AM,Hydrogen!$AA:$AA,UserMade_Scenario!$Z512,Hydrogen!$Y:$Y,UserMade_Scenario!$D512,Hydrogen!$AB:$AB,UserMade_Scenario!$B512,Hydrogen!$Z:$Z,UserMade_Scenario!$C512)</f>
        <v>-27.052709815078245</v>
      </c>
      <c r="AG512" s="68">
        <f>IFERROR(INDEX(WaterUseH2[Average Direct Water Consumption (Gal/ kg h2)],MATCH(LEFT(D512,3),WaterUseH2[Key],0)),0)</f>
        <v>2.8</v>
      </c>
      <c r="AH512">
        <v>14</v>
      </c>
      <c r="AI512">
        <v>1.4</v>
      </c>
      <c r="AJ512">
        <v>250</v>
      </c>
      <c r="AK512">
        <v>0.31</v>
      </c>
      <c r="AL512" s="63">
        <f>IFERROR(INDEX(Job_Training[[Solar]:[Wind]],MATCH(AL$1,Job_Training[[`Typical Entry Level Education`]:[`Typical Entry Level Education`]],0),MATCH(LEFT($D512,5),Job_Training[[#Headers],[Solar]:[Wind]],0)),0)</f>
        <v>0</v>
      </c>
      <c r="AM512" s="63">
        <f>IFERROR(INDEX(Job_Training[[Solar]:[Wind]],MATCH(AM$1,Job_Training[[`Typical Entry Level Education`]:[`Typical Entry Level Education`]],0),MATCH(LEFT($D512,5),Job_Training[[#Headers],[Solar]:[Wind]],0)),0)</f>
        <v>0</v>
      </c>
      <c r="AN512" s="63">
        <f>IFERROR(INDEX(Job_Training[[Solar]:[Wind]],MATCH(AN$1,Job_Training[[`Typical Entry Level Education`]:[`Typical Entry Level Education`]],0),MATCH(LEFT($D512,5),Job_Training[[#Headers],[Solar]:[Wind]],0)),0)</f>
        <v>0</v>
      </c>
      <c r="AO512" s="63">
        <f>IFERROR(INDEX(Job_Training[[Solar]:[Wind]],MATCH(AO$1,Job_Training[[`Typical Entry Level Education`]:[`Typical Entry Level Education`]],0),MATCH(LEFT($D512,5),Job_Training[[#Headers],[Solar]:[Wind]],0)),0)</f>
        <v>0</v>
      </c>
      <c r="AP512">
        <f t="shared" si="148"/>
        <v>0</v>
      </c>
      <c r="AQ512" s="63">
        <f>IF(AP512&gt;0,IFERROR(INDEX(Assumptions!$C$165:$D$165,MATCH(LEFT($D512,5),Job_Training[[#Headers],[Solar]:[Wind]],0)),0),0)</f>
        <v>0</v>
      </c>
      <c r="AR512">
        <f>IF(AP512&gt;0,IFERROR(INDEX(Assumptions!$C$166:$D$166,MATCH(LEFT($D512,5),Job_Training[[#Headers],[Solar]:[Wind]],0)),0),0)</f>
        <v>0</v>
      </c>
    </row>
    <row r="513" spans="1:44" hidden="1" x14ac:dyDescent="0.35">
      <c r="A513" t="str">
        <f>UserInput!$B$56</f>
        <v>Max Buildout</v>
      </c>
      <c r="B513">
        <v>2032</v>
      </c>
      <c r="C513" s="16" t="s">
        <v>73</v>
      </c>
      <c r="D513" t="s">
        <v>74</v>
      </c>
      <c r="E513" s="66">
        <f>INDEX(UserInput!$C$56:$M$76,MATCH(UserMade_Scenario!B513,UserInput!$A$56:$A$76,0),MATCH(LEFT(IF(RIGHT(C513,2)="H2",UserMade_Scenario!C513,D513),3),UserInput!$C$25:$M$25,0))</f>
        <v>30660</v>
      </c>
      <c r="F513" s="14" t="s">
        <v>75</v>
      </c>
      <c r="G513" s="14">
        <f t="shared" si="155"/>
        <v>3.6791999999999997E-3</v>
      </c>
      <c r="H513" s="63">
        <f t="shared" si="156"/>
        <v>8.106720863916525E-2</v>
      </c>
      <c r="I513" s="63">
        <f t="shared" si="157"/>
        <v>6.260208732669463E-2</v>
      </c>
      <c r="J513" s="63">
        <f t="shared" si="158"/>
        <v>9.953232995163587E-2</v>
      </c>
      <c r="K513" s="30">
        <f>IF(OR(LEFT($D513,5)="Solar",$D513="Wind"),INDEX(Land_Use[AVG],MATCH(LEFT($D513,5),Land_Use[Tech],0)),0)*$E513</f>
        <v>0</v>
      </c>
      <c r="L513" s="30">
        <f>IF(OR(LEFT($D513,5)="Solar",$D513="Wind"),INDEX(Land_Use[MIN],MATCH(LEFT($D513,5),Land_Use[Tech],0)),0)*$E513</f>
        <v>0</v>
      </c>
      <c r="M513" s="30">
        <f>IF(OR(LEFT($D513,5)="Solar",$D513="Wind"),INDEX(Land_Use[MAX],MATCH(LEFT($D513,5),Land_Use[Tech],0)),0)*$E513</f>
        <v>0</v>
      </c>
      <c r="N513" s="15">
        <f t="shared" si="150"/>
        <v>85.847999999999999</v>
      </c>
      <c r="O513" s="11">
        <f t="shared" si="151"/>
        <v>0</v>
      </c>
      <c r="P513" s="11">
        <f t="shared" si="152"/>
        <v>0</v>
      </c>
      <c r="Q513" s="11">
        <f t="shared" si="153"/>
        <v>0</v>
      </c>
      <c r="R513" s="11">
        <f t="shared" si="154"/>
        <v>0</v>
      </c>
      <c r="S513" s="30">
        <f t="shared" si="142"/>
        <v>0</v>
      </c>
      <c r="T513" s="30">
        <f t="shared" si="143"/>
        <v>0</v>
      </c>
      <c r="U513" s="30">
        <f t="shared" si="144"/>
        <v>0</v>
      </c>
      <c r="V513" s="30">
        <f t="shared" si="145"/>
        <v>0</v>
      </c>
      <c r="W513" s="30">
        <f t="shared" si="146"/>
        <v>0</v>
      </c>
      <c r="X513" s="30">
        <f t="shared" si="147"/>
        <v>0</v>
      </c>
      <c r="Z513" s="23" t="s">
        <v>76</v>
      </c>
      <c r="AA513" s="40" t="str">
        <f>IF(C513="Electricity",E513*SUMIFS(Electricity!S:S,Electricity!P:P,UserMade_Scenario!B513,Electricity!M:M,UserMade_Scenario!Z513,Electricity!O:O,UserMade_Scenario!D513),"")</f>
        <v/>
      </c>
      <c r="AB513" s="76">
        <f>1000*Assumptions!$B$17/1000000000000</f>
        <v>1.1999999999999999E-7</v>
      </c>
      <c r="AC513" s="67" t="s">
        <v>77</v>
      </c>
      <c r="AD513" s="39">
        <f>SUMIFS(Hydrogen!AK:AK,Hydrogen!$AA:$AA,UserMade_Scenario!$Z513,Hydrogen!$Y:$Y,UserMade_Scenario!$D513,Hydrogen!$AB:$AB,UserMade_Scenario!$B513,Hydrogen!$Z:$Z,UserMade_Scenario!$C513)</f>
        <v>-22.033922765591775</v>
      </c>
      <c r="AE513" s="39">
        <f>SUMIFS(Hydrogen!AL:AL,Hydrogen!$AA:$AA,UserMade_Scenario!$Z513,Hydrogen!$Y:$Y,UserMade_Scenario!$D513,Hydrogen!$AB:$AB,UserMade_Scenario!$B513,Hydrogen!$Z:$Z,UserMade_Scenario!$C513)</f>
        <v>-17.015135716105306</v>
      </c>
      <c r="AF513" s="39">
        <f>SUMIFS(Hydrogen!AM:AM,Hydrogen!$AA:$AA,UserMade_Scenario!$Z513,Hydrogen!$Y:$Y,UserMade_Scenario!$D513,Hydrogen!$AB:$AB,UserMade_Scenario!$B513,Hydrogen!$Z:$Z,UserMade_Scenario!$C513)</f>
        <v>-27.052709815078245</v>
      </c>
      <c r="AG513" s="68">
        <f>IFERROR(INDEX(WaterUseH2[Average Direct Water Consumption (Gal/ kg h2)],MATCH(LEFT(D513,3),WaterUseH2[Key],0)),0)</f>
        <v>2.8</v>
      </c>
      <c r="AH513">
        <v>14</v>
      </c>
      <c r="AI513">
        <v>1.4</v>
      </c>
      <c r="AJ513">
        <v>250</v>
      </c>
      <c r="AK513">
        <v>0.31</v>
      </c>
      <c r="AL513" s="63">
        <f>IFERROR(INDEX(Job_Training[[Solar]:[Wind]],MATCH(AL$1,Job_Training[[`Typical Entry Level Education`]:[`Typical Entry Level Education`]],0),MATCH(LEFT($D513,5),Job_Training[[#Headers],[Solar]:[Wind]],0)),0)</f>
        <v>0</v>
      </c>
      <c r="AM513" s="63">
        <f>IFERROR(INDEX(Job_Training[[Solar]:[Wind]],MATCH(AM$1,Job_Training[[`Typical Entry Level Education`]:[`Typical Entry Level Education`]],0),MATCH(LEFT($D513,5),Job_Training[[#Headers],[Solar]:[Wind]],0)),0)</f>
        <v>0</v>
      </c>
      <c r="AN513" s="63">
        <f>IFERROR(INDEX(Job_Training[[Solar]:[Wind]],MATCH(AN$1,Job_Training[[`Typical Entry Level Education`]:[`Typical Entry Level Education`]],0),MATCH(LEFT($D513,5),Job_Training[[#Headers],[Solar]:[Wind]],0)),0)</f>
        <v>0</v>
      </c>
      <c r="AO513" s="63">
        <f>IFERROR(INDEX(Job_Training[[Solar]:[Wind]],MATCH(AO$1,Job_Training[[`Typical Entry Level Education`]:[`Typical Entry Level Education`]],0),MATCH(LEFT($D513,5),Job_Training[[#Headers],[Solar]:[Wind]],0)),0)</f>
        <v>0</v>
      </c>
      <c r="AP513">
        <f t="shared" si="148"/>
        <v>0</v>
      </c>
      <c r="AQ513" s="63">
        <f>IF(AP513&gt;0,IFERROR(INDEX(Assumptions!$C$165:$D$165,MATCH(LEFT($D513,5),Job_Training[[#Headers],[Solar]:[Wind]],0)),0),0)</f>
        <v>0</v>
      </c>
      <c r="AR513">
        <f>IF(AP513&gt;0,IFERROR(INDEX(Assumptions!$C$166:$D$166,MATCH(LEFT($D513,5),Job_Training[[#Headers],[Solar]:[Wind]],0)),0),0)</f>
        <v>0</v>
      </c>
    </row>
    <row r="514" spans="1:44" hidden="1" x14ac:dyDescent="0.35">
      <c r="A514" t="str">
        <f>UserInput!$B$56</f>
        <v>Max Buildout</v>
      </c>
      <c r="B514">
        <v>2033</v>
      </c>
      <c r="C514" s="16" t="s">
        <v>73</v>
      </c>
      <c r="D514" t="s">
        <v>74</v>
      </c>
      <c r="E514" s="66">
        <f>INDEX(UserInput!$C$56:$M$76,MATCH(UserMade_Scenario!B514,UserInput!$A$56:$A$76,0),MATCH(LEFT(IF(RIGHT(C514,2)="H2",UserMade_Scenario!C514,D514),3),UserInput!$C$25:$M$25,0))</f>
        <v>35040</v>
      </c>
      <c r="F514" s="14" t="s">
        <v>75</v>
      </c>
      <c r="G514" s="14">
        <f t="shared" si="155"/>
        <v>4.2047999999999999E-3</v>
      </c>
      <c r="H514" s="63">
        <f t="shared" si="156"/>
        <v>8.8839879609822023E-2</v>
      </c>
      <c r="I514" s="63">
        <f t="shared" si="157"/>
        <v>6.3928524989203053E-2</v>
      </c>
      <c r="J514" s="63">
        <f t="shared" si="158"/>
        <v>0.11375123423044101</v>
      </c>
      <c r="K514" s="30">
        <f>IF(OR(LEFT($D514,5)="Solar",$D514="Wind"),INDEX(Land_Use[AVG],MATCH(LEFT($D514,5),Land_Use[Tech],0)),0)*$E514</f>
        <v>0</v>
      </c>
      <c r="L514" s="30">
        <f>IF(OR(LEFT($D514,5)="Solar",$D514="Wind"),INDEX(Land_Use[MIN],MATCH(LEFT($D514,5),Land_Use[Tech],0)),0)*$E514</f>
        <v>0</v>
      </c>
      <c r="M514" s="30">
        <f>IF(OR(LEFT($D514,5)="Solar",$D514="Wind"),INDEX(Land_Use[MAX],MATCH(LEFT($D514,5),Land_Use[Tech],0)),0)*$E514</f>
        <v>0</v>
      </c>
      <c r="N514" s="15">
        <f t="shared" si="150"/>
        <v>98.111999999999995</v>
      </c>
      <c r="O514" s="11">
        <f t="shared" si="151"/>
        <v>0</v>
      </c>
      <c r="P514" s="11">
        <f t="shared" si="152"/>
        <v>0</v>
      </c>
      <c r="Q514" s="11">
        <f t="shared" si="153"/>
        <v>0</v>
      </c>
      <c r="R514" s="11">
        <f t="shared" si="154"/>
        <v>0</v>
      </c>
      <c r="S514" s="30">
        <f t="shared" si="142"/>
        <v>0</v>
      </c>
      <c r="T514" s="30">
        <f t="shared" si="143"/>
        <v>0</v>
      </c>
      <c r="U514" s="30">
        <f t="shared" si="144"/>
        <v>0</v>
      </c>
      <c r="V514" s="30">
        <f t="shared" si="145"/>
        <v>0</v>
      </c>
      <c r="W514" s="30">
        <f t="shared" si="146"/>
        <v>0</v>
      </c>
      <c r="X514" s="30">
        <f t="shared" si="147"/>
        <v>0</v>
      </c>
      <c r="Z514" s="23" t="s">
        <v>76</v>
      </c>
      <c r="AA514" s="40" t="str">
        <f>IF(C514="Electricity",E514*SUMIFS(Electricity!S:S,Electricity!P:P,UserMade_Scenario!B514,Electricity!M:M,UserMade_Scenario!Z514,Electricity!O:O,UserMade_Scenario!D514),"")</f>
        <v/>
      </c>
      <c r="AB514" s="76">
        <f>1000*Assumptions!$B$17/1000000000000</f>
        <v>1.1999999999999999E-7</v>
      </c>
      <c r="AC514" s="67" t="s">
        <v>77</v>
      </c>
      <c r="AD514" s="39">
        <f>SUMIFS(Hydrogen!AK:AK,Hydrogen!$AA:$AA,UserMade_Scenario!$Z514,Hydrogen!$Y:$Y,UserMade_Scenario!$D514,Hydrogen!$AB:$AB,UserMade_Scenario!$B514,Hydrogen!$Z:$Z,UserMade_Scenario!$C514)</f>
        <v>-21.128205767176091</v>
      </c>
      <c r="AE514" s="39">
        <f>SUMIFS(Hydrogen!AL:AL,Hydrogen!$AA:$AA,UserMade_Scenario!$Z514,Hydrogen!$Y:$Y,UserMade_Scenario!$D514,Hydrogen!$AB:$AB,UserMade_Scenario!$B514,Hydrogen!$Z:$Z,UserMade_Scenario!$C514)</f>
        <v>-15.203701719273937</v>
      </c>
      <c r="AF514" s="39">
        <f>SUMIFS(Hydrogen!AM:AM,Hydrogen!$AA:$AA,UserMade_Scenario!$Z514,Hydrogen!$Y:$Y,UserMade_Scenario!$D514,Hydrogen!$AB:$AB,UserMade_Scenario!$B514,Hydrogen!$Z:$Z,UserMade_Scenario!$C514)</f>
        <v>-27.052709815078245</v>
      </c>
      <c r="AG514" s="68">
        <f>IFERROR(INDEX(WaterUseH2[Average Direct Water Consumption (Gal/ kg h2)],MATCH(LEFT(D514,3),WaterUseH2[Key],0)),0)</f>
        <v>2.8</v>
      </c>
      <c r="AH514">
        <v>14</v>
      </c>
      <c r="AI514">
        <v>1.4</v>
      </c>
      <c r="AJ514">
        <v>250</v>
      </c>
      <c r="AK514">
        <v>0.31</v>
      </c>
      <c r="AL514" s="63">
        <f>IFERROR(INDEX(Job_Training[[Solar]:[Wind]],MATCH(AL$1,Job_Training[[`Typical Entry Level Education`]:[`Typical Entry Level Education`]],0),MATCH(LEFT($D514,5),Job_Training[[#Headers],[Solar]:[Wind]],0)),0)</f>
        <v>0</v>
      </c>
      <c r="AM514" s="63">
        <f>IFERROR(INDEX(Job_Training[[Solar]:[Wind]],MATCH(AM$1,Job_Training[[`Typical Entry Level Education`]:[`Typical Entry Level Education`]],0),MATCH(LEFT($D514,5),Job_Training[[#Headers],[Solar]:[Wind]],0)),0)</f>
        <v>0</v>
      </c>
      <c r="AN514" s="63">
        <f>IFERROR(INDEX(Job_Training[[Solar]:[Wind]],MATCH(AN$1,Job_Training[[`Typical Entry Level Education`]:[`Typical Entry Level Education`]],0),MATCH(LEFT($D514,5),Job_Training[[#Headers],[Solar]:[Wind]],0)),0)</f>
        <v>0</v>
      </c>
      <c r="AO514" s="63">
        <f>IFERROR(INDEX(Job_Training[[Solar]:[Wind]],MATCH(AO$1,Job_Training[[`Typical Entry Level Education`]:[`Typical Entry Level Education`]],0),MATCH(LEFT($D514,5),Job_Training[[#Headers],[Solar]:[Wind]],0)),0)</f>
        <v>0</v>
      </c>
      <c r="AP514">
        <f t="shared" si="148"/>
        <v>0</v>
      </c>
      <c r="AQ514" s="63">
        <f>IF(AP514&gt;0,IFERROR(INDEX(Assumptions!$C$165:$D$165,MATCH(LEFT($D514,5),Job_Training[[#Headers],[Solar]:[Wind]],0)),0),0)</f>
        <v>0</v>
      </c>
      <c r="AR514">
        <f>IF(AP514&gt;0,IFERROR(INDEX(Assumptions!$C$166:$D$166,MATCH(LEFT($D514,5),Job_Training[[#Headers],[Solar]:[Wind]],0)),0),0)</f>
        <v>0</v>
      </c>
    </row>
    <row r="515" spans="1:44" hidden="1" x14ac:dyDescent="0.35">
      <c r="A515" t="str">
        <f>UserInput!$B$56</f>
        <v>Max Buildout</v>
      </c>
      <c r="B515">
        <v>2034</v>
      </c>
      <c r="C515" s="16" t="s">
        <v>73</v>
      </c>
      <c r="D515" t="s">
        <v>74</v>
      </c>
      <c r="E515" s="66">
        <f>INDEX(UserInput!$C$56:$M$76,MATCH(UserMade_Scenario!B515,UserInput!$A$56:$A$76,0),MATCH(LEFT(IF(RIGHT(C515,2)="H2",UserMade_Scenario!C515,D515),3),UserInput!$C$25:$M$25,0))</f>
        <v>39420</v>
      </c>
      <c r="F515" s="14" t="s">
        <v>75</v>
      </c>
      <c r="G515" s="14">
        <f t="shared" si="155"/>
        <v>4.7303999999999992E-3</v>
      </c>
      <c r="H515" s="63">
        <f t="shared" si="156"/>
        <v>9.5165752644597534E-2</v>
      </c>
      <c r="I515" s="63">
        <f t="shared" si="157"/>
        <v>6.2361366779948968E-2</v>
      </c>
      <c r="J515" s="63">
        <f t="shared" si="158"/>
        <v>0.1279701385092461</v>
      </c>
      <c r="K515" s="30">
        <f>IF(OR(LEFT($D515,5)="Solar",$D515="Wind"),INDEX(Land_Use[AVG],MATCH(LEFT($D515,5),Land_Use[Tech],0)),0)*$E515</f>
        <v>0</v>
      </c>
      <c r="L515" s="30">
        <f>IF(OR(LEFT($D515,5)="Solar",$D515="Wind"),INDEX(Land_Use[MIN],MATCH(LEFT($D515,5),Land_Use[Tech],0)),0)*$E515</f>
        <v>0</v>
      </c>
      <c r="M515" s="30">
        <f>IF(OR(LEFT($D515,5)="Solar",$D515="Wind"),INDEX(Land_Use[MAX],MATCH(LEFT($D515,5),Land_Use[Tech],0)),0)*$E515</f>
        <v>0</v>
      </c>
      <c r="N515" s="15">
        <f t="shared" si="150"/>
        <v>110.376</v>
      </c>
      <c r="O515" s="11">
        <f t="shared" si="151"/>
        <v>0</v>
      </c>
      <c r="P515" s="11">
        <f t="shared" si="152"/>
        <v>0</v>
      </c>
      <c r="Q515" s="11">
        <f t="shared" si="153"/>
        <v>0</v>
      </c>
      <c r="R515" s="11">
        <f t="shared" si="154"/>
        <v>0</v>
      </c>
      <c r="S515" s="30">
        <f t="shared" ref="S515:S578" si="159">MAX($AP515*AL515,0)</f>
        <v>0</v>
      </c>
      <c r="T515" s="30">
        <f t="shared" ref="T515:T578" si="160">MAX($AP515*AM515,0)</f>
        <v>0</v>
      </c>
      <c r="U515" s="30">
        <f t="shared" ref="U515:U578" si="161">MAX($AP515*AN515,0)</f>
        <v>0</v>
      </c>
      <c r="V515" s="30">
        <f t="shared" ref="V515:V578" si="162">MAX($AP515*AO515,0)</f>
        <v>0</v>
      </c>
      <c r="W515" s="30">
        <f t="shared" ref="W515:W578" si="163">$AP515*AQ515</f>
        <v>0</v>
      </c>
      <c r="X515" s="30">
        <f t="shared" ref="X515:X578" si="164">$AP515*AR515</f>
        <v>0</v>
      </c>
      <c r="Z515" s="23" t="s">
        <v>76</v>
      </c>
      <c r="AA515" s="40" t="str">
        <f>IF(C515="Electricity",E515*SUMIFS(Electricity!S:S,Electricity!P:P,UserMade_Scenario!B515,Electricity!M:M,UserMade_Scenario!Z515,Electricity!O:O,UserMade_Scenario!D515),"")</f>
        <v/>
      </c>
      <c r="AB515" s="76">
        <f>1000*Assumptions!$B$17/1000000000000</f>
        <v>1.1999999999999999E-7</v>
      </c>
      <c r="AC515" s="67" t="s">
        <v>77</v>
      </c>
      <c r="AD515" s="39">
        <f>SUMIFS(Hydrogen!AK:AK,Hydrogen!$AA:$AA,UserMade_Scenario!$Z515,Hydrogen!$Y:$Y,UserMade_Scenario!$D515,Hydrogen!$AB:$AB,UserMade_Scenario!$B515,Hydrogen!$Z:$Z,UserMade_Scenario!$C515)</f>
        <v>-20.117908135590554</v>
      </c>
      <c r="AE515" s="39">
        <f>SUMIFS(Hydrogen!AL:AL,Hydrogen!$AA:$AA,UserMade_Scenario!$Z515,Hydrogen!$Y:$Y,UserMade_Scenario!$D515,Hydrogen!$AB:$AB,UserMade_Scenario!$B515,Hydrogen!$Z:$Z,UserMade_Scenario!$C515)</f>
        <v>-13.183106456102863</v>
      </c>
      <c r="AF515" s="39">
        <f>SUMIFS(Hydrogen!AM:AM,Hydrogen!$AA:$AA,UserMade_Scenario!$Z515,Hydrogen!$Y:$Y,UserMade_Scenario!$D515,Hydrogen!$AB:$AB,UserMade_Scenario!$B515,Hydrogen!$Z:$Z,UserMade_Scenario!$C515)</f>
        <v>-27.052709815078245</v>
      </c>
      <c r="AG515" s="68">
        <f>IFERROR(INDEX(WaterUseH2[Average Direct Water Consumption (Gal/ kg h2)],MATCH(LEFT(D515,3),WaterUseH2[Key],0)),0)</f>
        <v>2.8</v>
      </c>
      <c r="AH515">
        <v>14</v>
      </c>
      <c r="AI515">
        <v>1.4</v>
      </c>
      <c r="AJ515">
        <v>250</v>
      </c>
      <c r="AK515">
        <v>0.31</v>
      </c>
      <c r="AL515" s="63">
        <f>IFERROR(INDEX(Job_Training[[Solar]:[Wind]],MATCH(AL$1,Job_Training[[`Typical Entry Level Education`]:[`Typical Entry Level Education`]],0),MATCH(LEFT($D515,5),Job_Training[[#Headers],[Solar]:[Wind]],0)),0)</f>
        <v>0</v>
      </c>
      <c r="AM515" s="63">
        <f>IFERROR(INDEX(Job_Training[[Solar]:[Wind]],MATCH(AM$1,Job_Training[[`Typical Entry Level Education`]:[`Typical Entry Level Education`]],0),MATCH(LEFT($D515,5),Job_Training[[#Headers],[Solar]:[Wind]],0)),0)</f>
        <v>0</v>
      </c>
      <c r="AN515" s="63">
        <f>IFERROR(INDEX(Job_Training[[Solar]:[Wind]],MATCH(AN$1,Job_Training[[`Typical Entry Level Education`]:[`Typical Entry Level Education`]],0),MATCH(LEFT($D515,5),Job_Training[[#Headers],[Solar]:[Wind]],0)),0)</f>
        <v>0</v>
      </c>
      <c r="AO515" s="63">
        <f>IFERROR(INDEX(Job_Training[[Solar]:[Wind]],MATCH(AO$1,Job_Training[[`Typical Entry Level Education`]:[`Typical Entry Level Education`]],0),MATCH(LEFT($D515,5),Job_Training[[#Headers],[Solar]:[Wind]],0)),0)</f>
        <v>0</v>
      </c>
      <c r="AP515">
        <f t="shared" ref="AP515:AP578" si="165">IF(OR($C515="Electricity",$D515="Solar (Off-Grid)"),IF($B515=2025,$E515,$E515-$E514),0)</f>
        <v>0</v>
      </c>
      <c r="AQ515" s="63">
        <f>IF(AP515&gt;0,IFERROR(INDEX(Assumptions!$C$165:$D$165,MATCH(LEFT($D515,5),Job_Training[[#Headers],[Solar]:[Wind]],0)),0),0)</f>
        <v>0</v>
      </c>
      <c r="AR515">
        <f>IF(AP515&gt;0,IFERROR(INDEX(Assumptions!$C$166:$D$166,MATCH(LEFT($D515,5),Job_Training[[#Headers],[Solar]:[Wind]],0)),0),0)</f>
        <v>0</v>
      </c>
    </row>
    <row r="516" spans="1:44" hidden="1" x14ac:dyDescent="0.35">
      <c r="A516" t="str">
        <f>UserInput!$B$56</f>
        <v>Max Buildout</v>
      </c>
      <c r="B516">
        <v>2035</v>
      </c>
      <c r="C516" s="16" t="s">
        <v>73</v>
      </c>
      <c r="D516" t="s">
        <v>74</v>
      </c>
      <c r="E516" s="66">
        <f>INDEX(UserInput!$C$56:$M$76,MATCH(UserMade_Scenario!B516,UserInput!$A$56:$A$76,0),MATCH(LEFT(IF(RIGHT(C516,2)="H2",UserMade_Scenario!C516,D516),3),UserInput!$C$25:$M$25,0))</f>
        <v>43800</v>
      </c>
      <c r="F516" s="14" t="s">
        <v>75</v>
      </c>
      <c r="G516" s="14">
        <f t="shared" si="155"/>
        <v>5.2559999999999994E-3</v>
      </c>
      <c r="H516" s="63">
        <f t="shared" si="156"/>
        <v>9.9676722070936211E-2</v>
      </c>
      <c r="I516" s="63">
        <f t="shared" si="157"/>
        <v>5.7164401353821191E-2</v>
      </c>
      <c r="J516" s="63">
        <f t="shared" si="158"/>
        <v>0.14218904278805125</v>
      </c>
      <c r="K516" s="30">
        <f>IF(OR(LEFT($D516,5)="Solar",$D516="Wind"),INDEX(Land_Use[AVG],MATCH(LEFT($D516,5),Land_Use[Tech],0)),0)*$E516</f>
        <v>0</v>
      </c>
      <c r="L516" s="30">
        <f>IF(OR(LEFT($D516,5)="Solar",$D516="Wind"),INDEX(Land_Use[MIN],MATCH(LEFT($D516,5),Land_Use[Tech],0)),0)*$E516</f>
        <v>0</v>
      </c>
      <c r="M516" s="30">
        <f>IF(OR(LEFT($D516,5)="Solar",$D516="Wind"),INDEX(Land_Use[MAX],MATCH(LEFT($D516,5),Land_Use[Tech],0)),0)*$E516</f>
        <v>0</v>
      </c>
      <c r="N516" s="15">
        <f t="shared" si="150"/>
        <v>122.63999999999999</v>
      </c>
      <c r="O516" s="11">
        <f t="shared" si="151"/>
        <v>0</v>
      </c>
      <c r="P516" s="11">
        <f t="shared" si="152"/>
        <v>0</v>
      </c>
      <c r="Q516" s="11">
        <f t="shared" si="153"/>
        <v>0</v>
      </c>
      <c r="R516" s="11">
        <f t="shared" si="154"/>
        <v>0</v>
      </c>
      <c r="S516" s="30">
        <f t="shared" si="159"/>
        <v>0</v>
      </c>
      <c r="T516" s="30">
        <f t="shared" si="160"/>
        <v>0</v>
      </c>
      <c r="U516" s="30">
        <f t="shared" si="161"/>
        <v>0</v>
      </c>
      <c r="V516" s="30">
        <f t="shared" si="162"/>
        <v>0</v>
      </c>
      <c r="W516" s="30">
        <f t="shared" si="163"/>
        <v>0</v>
      </c>
      <c r="X516" s="30">
        <f t="shared" si="164"/>
        <v>0</v>
      </c>
      <c r="Z516" s="23" t="s">
        <v>76</v>
      </c>
      <c r="AA516" s="40" t="str">
        <f>IF(C516="Electricity",E516*SUMIFS(Electricity!S:S,Electricity!P:P,UserMade_Scenario!B516,Electricity!M:M,UserMade_Scenario!Z516,Electricity!O:O,UserMade_Scenario!D516),"")</f>
        <v/>
      </c>
      <c r="AB516" s="76">
        <f>1000*Assumptions!$B$17/1000000000000</f>
        <v>1.1999999999999999E-7</v>
      </c>
      <c r="AC516" s="67" t="s">
        <v>77</v>
      </c>
      <c r="AD516" s="39">
        <f>SUMIFS(Hydrogen!AK:AK,Hydrogen!$AA:$AA,UserMade_Scenario!$Z516,Hydrogen!$Y:$Y,UserMade_Scenario!$D516,Hydrogen!$AB:$AB,UserMade_Scenario!$B516,Hydrogen!$Z:$Z,UserMade_Scenario!$C516)</f>
        <v>-18.964368734957425</v>
      </c>
      <c r="AE516" s="39">
        <f>SUMIFS(Hydrogen!AL:AL,Hydrogen!$AA:$AA,UserMade_Scenario!$Z516,Hydrogen!$Y:$Y,UserMade_Scenario!$D516,Hydrogen!$AB:$AB,UserMade_Scenario!$B516,Hydrogen!$Z:$Z,UserMade_Scenario!$C516)</f>
        <v>-10.876027654836605</v>
      </c>
      <c r="AF516" s="39">
        <f>SUMIFS(Hydrogen!AM:AM,Hydrogen!$AA:$AA,UserMade_Scenario!$Z516,Hydrogen!$Y:$Y,UserMade_Scenario!$D516,Hydrogen!$AB:$AB,UserMade_Scenario!$B516,Hydrogen!$Z:$Z,UserMade_Scenario!$C516)</f>
        <v>-27.052709815078245</v>
      </c>
      <c r="AG516" s="68">
        <f>IFERROR(INDEX(WaterUseH2[Average Direct Water Consumption (Gal/ kg h2)],MATCH(LEFT(D516,3),WaterUseH2[Key],0)),0)</f>
        <v>2.8</v>
      </c>
      <c r="AH516">
        <v>14</v>
      </c>
      <c r="AI516">
        <v>1.4</v>
      </c>
      <c r="AJ516">
        <v>250</v>
      </c>
      <c r="AK516">
        <v>0.31</v>
      </c>
      <c r="AL516" s="63">
        <f>IFERROR(INDEX(Job_Training[[Solar]:[Wind]],MATCH(AL$1,Job_Training[[`Typical Entry Level Education`]:[`Typical Entry Level Education`]],0),MATCH(LEFT($D516,5),Job_Training[[#Headers],[Solar]:[Wind]],0)),0)</f>
        <v>0</v>
      </c>
      <c r="AM516" s="63">
        <f>IFERROR(INDEX(Job_Training[[Solar]:[Wind]],MATCH(AM$1,Job_Training[[`Typical Entry Level Education`]:[`Typical Entry Level Education`]],0),MATCH(LEFT($D516,5),Job_Training[[#Headers],[Solar]:[Wind]],0)),0)</f>
        <v>0</v>
      </c>
      <c r="AN516" s="63">
        <f>IFERROR(INDEX(Job_Training[[Solar]:[Wind]],MATCH(AN$1,Job_Training[[`Typical Entry Level Education`]:[`Typical Entry Level Education`]],0),MATCH(LEFT($D516,5),Job_Training[[#Headers],[Solar]:[Wind]],0)),0)</f>
        <v>0</v>
      </c>
      <c r="AO516" s="63">
        <f>IFERROR(INDEX(Job_Training[[Solar]:[Wind]],MATCH(AO$1,Job_Training[[`Typical Entry Level Education`]:[`Typical Entry Level Education`]],0),MATCH(LEFT($D516,5),Job_Training[[#Headers],[Solar]:[Wind]],0)),0)</f>
        <v>0</v>
      </c>
      <c r="AP516">
        <f t="shared" si="165"/>
        <v>0</v>
      </c>
      <c r="AQ516" s="63">
        <f>IF(AP516&gt;0,IFERROR(INDEX(Assumptions!$C$165:$D$165,MATCH(LEFT($D516,5),Job_Training[[#Headers],[Solar]:[Wind]],0)),0),0)</f>
        <v>0</v>
      </c>
      <c r="AR516">
        <f>IF(AP516&gt;0,IFERROR(INDEX(Assumptions!$C$166:$D$166,MATCH(LEFT($D516,5),Job_Training[[#Headers],[Solar]:[Wind]],0)),0),0)</f>
        <v>0</v>
      </c>
    </row>
    <row r="517" spans="1:44" hidden="1" x14ac:dyDescent="0.35">
      <c r="A517" t="str">
        <f>UserInput!$B$56</f>
        <v>Max Buildout</v>
      </c>
      <c r="B517">
        <v>2036</v>
      </c>
      <c r="C517" s="16" t="s">
        <v>73</v>
      </c>
      <c r="D517" t="s">
        <v>74</v>
      </c>
      <c r="E517" s="66">
        <f>INDEX(UserInput!$C$56:$M$76,MATCH(UserMade_Scenario!B517,UserInput!$A$56:$A$76,0),MATCH(LEFT(IF(RIGHT(C517,2)="H2",UserMade_Scenario!C517,D517),3),UserInput!$C$25:$M$25,0))</f>
        <v>48180</v>
      </c>
      <c r="F517" s="14" t="s">
        <v>75</v>
      </c>
      <c r="G517" s="14">
        <f t="shared" si="155"/>
        <v>5.7815999999999996E-3</v>
      </c>
      <c r="H517" s="63">
        <f t="shared" si="156"/>
        <v>0.10249090288726698</v>
      </c>
      <c r="I517" s="63">
        <f t="shared" si="157"/>
        <v>4.8573858707677574E-2</v>
      </c>
      <c r="J517" s="63">
        <f t="shared" si="158"/>
        <v>0.15640794706685637</v>
      </c>
      <c r="K517" s="30">
        <f>IF(OR(LEFT($D517,5)="Solar",$D517="Wind"),INDEX(Land_Use[AVG],MATCH(LEFT($D517,5),Land_Use[Tech],0)),0)*$E517</f>
        <v>0</v>
      </c>
      <c r="L517" s="30">
        <f>IF(OR(LEFT($D517,5)="Solar",$D517="Wind"),INDEX(Land_Use[MIN],MATCH(LEFT($D517,5),Land_Use[Tech],0)),0)*$E517</f>
        <v>0</v>
      </c>
      <c r="M517" s="30">
        <f>IF(OR(LEFT($D517,5)="Solar",$D517="Wind"),INDEX(Land_Use[MAX],MATCH(LEFT($D517,5),Land_Use[Tech],0)),0)*$E517</f>
        <v>0</v>
      </c>
      <c r="N517" s="15">
        <f t="shared" si="150"/>
        <v>134.904</v>
      </c>
      <c r="O517" s="11">
        <f t="shared" si="151"/>
        <v>0</v>
      </c>
      <c r="P517" s="11">
        <f t="shared" si="152"/>
        <v>0</v>
      </c>
      <c r="Q517" s="11">
        <f t="shared" si="153"/>
        <v>0</v>
      </c>
      <c r="R517" s="11">
        <f t="shared" si="154"/>
        <v>0</v>
      </c>
      <c r="S517" s="30">
        <f t="shared" si="159"/>
        <v>0</v>
      </c>
      <c r="T517" s="30">
        <f t="shared" si="160"/>
        <v>0</v>
      </c>
      <c r="U517" s="30">
        <f t="shared" si="161"/>
        <v>0</v>
      </c>
      <c r="V517" s="30">
        <f t="shared" si="162"/>
        <v>0</v>
      </c>
      <c r="W517" s="30">
        <f t="shared" si="163"/>
        <v>0</v>
      </c>
      <c r="X517" s="30">
        <f t="shared" si="164"/>
        <v>0</v>
      </c>
      <c r="Z517" s="23" t="s">
        <v>76</v>
      </c>
      <c r="AA517" s="40" t="str">
        <f>IF(C517="Electricity",E517*SUMIFS(Electricity!S:S,Electricity!P:P,UserMade_Scenario!B517,Electricity!M:M,UserMade_Scenario!Z517,Electricity!O:O,UserMade_Scenario!D517),"")</f>
        <v/>
      </c>
      <c r="AB517" s="76">
        <f>1000*Assumptions!$B$17/1000000000000</f>
        <v>1.1999999999999999E-7</v>
      </c>
      <c r="AC517" s="67" t="s">
        <v>77</v>
      </c>
      <c r="AD517" s="39">
        <f>SUMIFS(Hydrogen!AK:AK,Hydrogen!$AA:$AA,UserMade_Scenario!$Z517,Hydrogen!$Y:$Y,UserMade_Scenario!$D517,Hydrogen!$AB:$AB,UserMade_Scenario!$B517,Hydrogen!$Z:$Z,UserMade_Scenario!$C517)</f>
        <v>-17.727082967909745</v>
      </c>
      <c r="AE517" s="39">
        <f>SUMIFS(Hydrogen!AL:AL,Hydrogen!$AA:$AA,UserMade_Scenario!$Z517,Hydrogen!$Y:$Y,UserMade_Scenario!$D517,Hydrogen!$AB:$AB,UserMade_Scenario!$B517,Hydrogen!$Z:$Z,UserMade_Scenario!$C517)</f>
        <v>-8.4014561207412441</v>
      </c>
      <c r="AF517" s="39">
        <f>SUMIFS(Hydrogen!AM:AM,Hydrogen!$AA:$AA,UserMade_Scenario!$Z517,Hydrogen!$Y:$Y,UserMade_Scenario!$D517,Hydrogen!$AB:$AB,UserMade_Scenario!$B517,Hydrogen!$Z:$Z,UserMade_Scenario!$C517)</f>
        <v>-27.052709815078245</v>
      </c>
      <c r="AG517" s="68">
        <f>IFERROR(INDEX(WaterUseH2[Average Direct Water Consumption (Gal/ kg h2)],MATCH(LEFT(D517,3),WaterUseH2[Key],0)),0)</f>
        <v>2.8</v>
      </c>
      <c r="AH517">
        <v>14</v>
      </c>
      <c r="AI517">
        <v>1.4</v>
      </c>
      <c r="AJ517">
        <v>250</v>
      </c>
      <c r="AK517">
        <v>0.31</v>
      </c>
      <c r="AL517" s="63">
        <f>IFERROR(INDEX(Job_Training[[Solar]:[Wind]],MATCH(AL$1,Job_Training[[`Typical Entry Level Education`]:[`Typical Entry Level Education`]],0),MATCH(LEFT($D517,5),Job_Training[[#Headers],[Solar]:[Wind]],0)),0)</f>
        <v>0</v>
      </c>
      <c r="AM517" s="63">
        <f>IFERROR(INDEX(Job_Training[[Solar]:[Wind]],MATCH(AM$1,Job_Training[[`Typical Entry Level Education`]:[`Typical Entry Level Education`]],0),MATCH(LEFT($D517,5),Job_Training[[#Headers],[Solar]:[Wind]],0)),0)</f>
        <v>0</v>
      </c>
      <c r="AN517" s="63">
        <f>IFERROR(INDEX(Job_Training[[Solar]:[Wind]],MATCH(AN$1,Job_Training[[`Typical Entry Level Education`]:[`Typical Entry Level Education`]],0),MATCH(LEFT($D517,5),Job_Training[[#Headers],[Solar]:[Wind]],0)),0)</f>
        <v>0</v>
      </c>
      <c r="AO517" s="63">
        <f>IFERROR(INDEX(Job_Training[[Solar]:[Wind]],MATCH(AO$1,Job_Training[[`Typical Entry Level Education`]:[`Typical Entry Level Education`]],0),MATCH(LEFT($D517,5),Job_Training[[#Headers],[Solar]:[Wind]],0)),0)</f>
        <v>0</v>
      </c>
      <c r="AP517">
        <f t="shared" si="165"/>
        <v>0</v>
      </c>
      <c r="AQ517" s="63">
        <f>IF(AP517&gt;0,IFERROR(INDEX(Assumptions!$C$165:$D$165,MATCH(LEFT($D517,5),Job_Training[[#Headers],[Solar]:[Wind]],0)),0),0)</f>
        <v>0</v>
      </c>
      <c r="AR517">
        <f>IF(AP517&gt;0,IFERROR(INDEX(Assumptions!$C$166:$D$166,MATCH(LEFT($D517,5),Job_Training[[#Headers],[Solar]:[Wind]],0)),0),0)</f>
        <v>0</v>
      </c>
    </row>
    <row r="518" spans="1:44" hidden="1" x14ac:dyDescent="0.35">
      <c r="A518" t="str">
        <f>UserInput!$B$56</f>
        <v>Max Buildout</v>
      </c>
      <c r="B518">
        <v>2037</v>
      </c>
      <c r="C518" s="16" t="s">
        <v>73</v>
      </c>
      <c r="D518" t="s">
        <v>74</v>
      </c>
      <c r="E518" s="66">
        <f>INDEX(UserInput!$C$56:$M$76,MATCH(UserMade_Scenario!B518,UserInput!$A$56:$A$76,0),MATCH(LEFT(IF(RIGHT(C518,2)="H2",UserMade_Scenario!C518,D518),3),UserInput!$C$25:$M$25,0))</f>
        <v>52560</v>
      </c>
      <c r="F518" s="14" t="s">
        <v>75</v>
      </c>
      <c r="G518" s="14">
        <f t="shared" si="155"/>
        <v>6.3071999999999998E-3</v>
      </c>
      <c r="H518" s="63">
        <f t="shared" si="156"/>
        <v>0.103744570522917</v>
      </c>
      <c r="I518" s="63">
        <f t="shared" si="157"/>
        <v>3.6862289700172503E-2</v>
      </c>
      <c r="J518" s="63">
        <f t="shared" si="158"/>
        <v>0.1706268513456615</v>
      </c>
      <c r="K518" s="30">
        <f>IF(OR(LEFT($D518,5)="Solar",$D518="Wind"),INDEX(Land_Use[AVG],MATCH(LEFT($D518,5),Land_Use[Tech],0)),0)*$E518</f>
        <v>0</v>
      </c>
      <c r="L518" s="30">
        <f>IF(OR(LEFT($D518,5)="Solar",$D518="Wind"),INDEX(Land_Use[MIN],MATCH(LEFT($D518,5),Land_Use[Tech],0)),0)*$E518</f>
        <v>0</v>
      </c>
      <c r="M518" s="30">
        <f>IF(OR(LEFT($D518,5)="Solar",$D518="Wind"),INDEX(Land_Use[MAX],MATCH(LEFT($D518,5),Land_Use[Tech],0)),0)*$E518</f>
        <v>0</v>
      </c>
      <c r="N518" s="15">
        <f t="shared" si="150"/>
        <v>147.16800000000001</v>
      </c>
      <c r="O518" s="11">
        <f t="shared" si="151"/>
        <v>0</v>
      </c>
      <c r="P518" s="11">
        <f t="shared" si="152"/>
        <v>0</v>
      </c>
      <c r="Q518" s="11">
        <f t="shared" si="153"/>
        <v>0</v>
      </c>
      <c r="R518" s="11">
        <f t="shared" si="154"/>
        <v>0</v>
      </c>
      <c r="S518" s="30">
        <f t="shared" si="159"/>
        <v>0</v>
      </c>
      <c r="T518" s="30">
        <f t="shared" si="160"/>
        <v>0</v>
      </c>
      <c r="U518" s="30">
        <f t="shared" si="161"/>
        <v>0</v>
      </c>
      <c r="V518" s="30">
        <f t="shared" si="162"/>
        <v>0</v>
      </c>
      <c r="W518" s="30">
        <f t="shared" si="163"/>
        <v>0</v>
      </c>
      <c r="X518" s="30">
        <f t="shared" si="164"/>
        <v>0</v>
      </c>
      <c r="Z518" s="23" t="s">
        <v>76</v>
      </c>
      <c r="AA518" s="40" t="str">
        <f>IF(C518="Electricity",E518*SUMIFS(Electricity!S:S,Electricity!P:P,UserMade_Scenario!B518,Electricity!M:M,UserMade_Scenario!Z518,Electricity!O:O,UserMade_Scenario!D518),"")</f>
        <v/>
      </c>
      <c r="AB518" s="76">
        <f>1000*Assumptions!$B$17/1000000000000</f>
        <v>1.1999999999999999E-7</v>
      </c>
      <c r="AC518" s="67" t="s">
        <v>77</v>
      </c>
      <c r="AD518" s="39">
        <f>SUMIFS(Hydrogen!AK:AK,Hydrogen!$AA:$AA,UserMade_Scenario!$Z518,Hydrogen!$Y:$Y,UserMade_Scenario!$D518,Hydrogen!$AB:$AB,UserMade_Scenario!$B518,Hydrogen!$Z:$Z,UserMade_Scenario!$C518)</f>
        <v>-16.448593753633467</v>
      </c>
      <c r="AE518" s="39">
        <f>SUMIFS(Hydrogen!AL:AL,Hydrogen!$AA:$AA,UserMade_Scenario!$Z518,Hydrogen!$Y:$Y,UserMade_Scenario!$D518,Hydrogen!$AB:$AB,UserMade_Scenario!$B518,Hydrogen!$Z:$Z,UserMade_Scenario!$C518)</f>
        <v>-5.8444776921886898</v>
      </c>
      <c r="AF518" s="39">
        <f>SUMIFS(Hydrogen!AM:AM,Hydrogen!$AA:$AA,UserMade_Scenario!$Z518,Hydrogen!$Y:$Y,UserMade_Scenario!$D518,Hydrogen!$AB:$AB,UserMade_Scenario!$B518,Hydrogen!$Z:$Z,UserMade_Scenario!$C518)</f>
        <v>-27.052709815078245</v>
      </c>
      <c r="AG518" s="68">
        <f>IFERROR(INDEX(WaterUseH2[Average Direct Water Consumption (Gal/ kg h2)],MATCH(LEFT(D518,3),WaterUseH2[Key],0)),0)</f>
        <v>2.8</v>
      </c>
      <c r="AH518">
        <v>14</v>
      </c>
      <c r="AI518">
        <v>1.4</v>
      </c>
      <c r="AJ518">
        <v>250</v>
      </c>
      <c r="AK518">
        <v>0.31</v>
      </c>
      <c r="AL518" s="63">
        <f>IFERROR(INDEX(Job_Training[[Solar]:[Wind]],MATCH(AL$1,Job_Training[[`Typical Entry Level Education`]:[`Typical Entry Level Education`]],0),MATCH(LEFT($D518,5),Job_Training[[#Headers],[Solar]:[Wind]],0)),0)</f>
        <v>0</v>
      </c>
      <c r="AM518" s="63">
        <f>IFERROR(INDEX(Job_Training[[Solar]:[Wind]],MATCH(AM$1,Job_Training[[`Typical Entry Level Education`]:[`Typical Entry Level Education`]],0),MATCH(LEFT($D518,5),Job_Training[[#Headers],[Solar]:[Wind]],0)),0)</f>
        <v>0</v>
      </c>
      <c r="AN518" s="63">
        <f>IFERROR(INDEX(Job_Training[[Solar]:[Wind]],MATCH(AN$1,Job_Training[[`Typical Entry Level Education`]:[`Typical Entry Level Education`]],0),MATCH(LEFT($D518,5),Job_Training[[#Headers],[Solar]:[Wind]],0)),0)</f>
        <v>0</v>
      </c>
      <c r="AO518" s="63">
        <f>IFERROR(INDEX(Job_Training[[Solar]:[Wind]],MATCH(AO$1,Job_Training[[`Typical Entry Level Education`]:[`Typical Entry Level Education`]],0),MATCH(LEFT($D518,5),Job_Training[[#Headers],[Solar]:[Wind]],0)),0)</f>
        <v>0</v>
      </c>
      <c r="AP518">
        <f t="shared" si="165"/>
        <v>0</v>
      </c>
      <c r="AQ518" s="63">
        <f>IF(AP518&gt;0,IFERROR(INDEX(Assumptions!$C$165:$D$165,MATCH(LEFT($D518,5),Job_Training[[#Headers],[Solar]:[Wind]],0)),0),0)</f>
        <v>0</v>
      </c>
      <c r="AR518">
        <f>IF(AP518&gt;0,IFERROR(INDEX(Assumptions!$C$166:$D$166,MATCH(LEFT($D518,5),Job_Training[[#Headers],[Solar]:[Wind]],0)),0),0)</f>
        <v>0</v>
      </c>
    </row>
    <row r="519" spans="1:44" hidden="1" x14ac:dyDescent="0.35">
      <c r="A519" t="str">
        <f>UserInput!$B$56</f>
        <v>Max Buildout</v>
      </c>
      <c r="B519">
        <v>2038</v>
      </c>
      <c r="C519" s="16" t="s">
        <v>73</v>
      </c>
      <c r="D519" t="s">
        <v>74</v>
      </c>
      <c r="E519" s="66">
        <f>INDEX(UserInput!$C$56:$M$76,MATCH(UserMade_Scenario!B519,UserInput!$A$56:$A$76,0),MATCH(LEFT(IF(RIGHT(C519,2)="H2",UserMade_Scenario!C519,D519),3),UserInput!$C$25:$M$25,0))</f>
        <v>56940</v>
      </c>
      <c r="F519" s="14" t="s">
        <v>75</v>
      </c>
      <c r="G519" s="14">
        <f t="shared" si="155"/>
        <v>6.8327999999999991E-3</v>
      </c>
      <c r="H519" s="63">
        <f t="shared" si="156"/>
        <v>0.10370316164789602</v>
      </c>
      <c r="I519" s="63">
        <f t="shared" si="157"/>
        <v>2.2560567671325436E-2</v>
      </c>
      <c r="J519" s="63">
        <f t="shared" si="158"/>
        <v>0.18484575562446662</v>
      </c>
      <c r="K519" s="30">
        <f>IF(OR(LEFT($D519,5)="Solar",$D519="Wind"),INDEX(Land_Use[AVG],MATCH(LEFT($D519,5),Land_Use[Tech],0)),0)*$E519</f>
        <v>0</v>
      </c>
      <c r="L519" s="30">
        <f>IF(OR(LEFT($D519,5)="Solar",$D519="Wind"),INDEX(Land_Use[MIN],MATCH(LEFT($D519,5),Land_Use[Tech],0)),0)*$E519</f>
        <v>0</v>
      </c>
      <c r="M519" s="30">
        <f>IF(OR(LEFT($D519,5)="Solar",$D519="Wind"),INDEX(Land_Use[MAX],MATCH(LEFT($D519,5),Land_Use[Tech],0)),0)*$E519</f>
        <v>0</v>
      </c>
      <c r="N519" s="15">
        <f t="shared" si="150"/>
        <v>159.43199999999999</v>
      </c>
      <c r="O519" s="11">
        <f t="shared" si="151"/>
        <v>0</v>
      </c>
      <c r="P519" s="11">
        <f t="shared" si="152"/>
        <v>0</v>
      </c>
      <c r="Q519" s="11">
        <f t="shared" si="153"/>
        <v>0</v>
      </c>
      <c r="R519" s="11">
        <f t="shared" si="154"/>
        <v>0</v>
      </c>
      <c r="S519" s="30">
        <f t="shared" si="159"/>
        <v>0</v>
      </c>
      <c r="T519" s="30">
        <f t="shared" si="160"/>
        <v>0</v>
      </c>
      <c r="U519" s="30">
        <f t="shared" si="161"/>
        <v>0</v>
      </c>
      <c r="V519" s="30">
        <f t="shared" si="162"/>
        <v>0</v>
      </c>
      <c r="W519" s="30">
        <f t="shared" si="163"/>
        <v>0</v>
      </c>
      <c r="X519" s="30">
        <f t="shared" si="164"/>
        <v>0</v>
      </c>
      <c r="Z519" s="23" t="s">
        <v>76</v>
      </c>
      <c r="AA519" s="40" t="str">
        <f>IF(C519="Electricity",E519*SUMIFS(Electricity!S:S,Electricity!P:P,UserMade_Scenario!B519,Electricity!M:M,UserMade_Scenario!Z519,Electricity!O:O,UserMade_Scenario!D519),"")</f>
        <v/>
      </c>
      <c r="AB519" s="76">
        <f>1000*Assumptions!$B$17/1000000000000</f>
        <v>1.1999999999999999E-7</v>
      </c>
      <c r="AC519" s="67" t="s">
        <v>77</v>
      </c>
      <c r="AD519" s="39">
        <f>SUMIFS(Hydrogen!AK:AK,Hydrogen!$AA:$AA,UserMade_Scenario!$Z519,Hydrogen!$Y:$Y,UserMade_Scenario!$D519,Hydrogen!$AB:$AB,UserMade_Scenario!$B519,Hydrogen!$Z:$Z,UserMade_Scenario!$C519)</f>
        <v>-15.177257002677678</v>
      </c>
      <c r="AE519" s="39">
        <f>SUMIFS(Hydrogen!AL:AL,Hydrogen!$AA:$AA,UserMade_Scenario!$Z519,Hydrogen!$Y:$Y,UserMade_Scenario!$D519,Hydrogen!$AB:$AB,UserMade_Scenario!$B519,Hydrogen!$Z:$Z,UserMade_Scenario!$C519)</f>
        <v>-3.3018041902771103</v>
      </c>
      <c r="AF519" s="39">
        <f>SUMIFS(Hydrogen!AM:AM,Hydrogen!$AA:$AA,UserMade_Scenario!$Z519,Hydrogen!$Y:$Y,UserMade_Scenario!$D519,Hydrogen!$AB:$AB,UserMade_Scenario!$B519,Hydrogen!$Z:$Z,UserMade_Scenario!$C519)</f>
        <v>-27.052709815078245</v>
      </c>
      <c r="AG519" s="68">
        <f>IFERROR(INDEX(WaterUseH2[Average Direct Water Consumption (Gal/ kg h2)],MATCH(LEFT(D519,3),WaterUseH2[Key],0)),0)</f>
        <v>2.8</v>
      </c>
      <c r="AH519">
        <v>14</v>
      </c>
      <c r="AI519">
        <v>1.4</v>
      </c>
      <c r="AJ519">
        <v>250</v>
      </c>
      <c r="AK519">
        <v>0.31</v>
      </c>
      <c r="AL519" s="63">
        <f>IFERROR(INDEX(Job_Training[[Solar]:[Wind]],MATCH(AL$1,Job_Training[[`Typical Entry Level Education`]:[`Typical Entry Level Education`]],0),MATCH(LEFT($D519,5),Job_Training[[#Headers],[Solar]:[Wind]],0)),0)</f>
        <v>0</v>
      </c>
      <c r="AM519" s="63">
        <f>IFERROR(INDEX(Job_Training[[Solar]:[Wind]],MATCH(AM$1,Job_Training[[`Typical Entry Level Education`]:[`Typical Entry Level Education`]],0),MATCH(LEFT($D519,5),Job_Training[[#Headers],[Solar]:[Wind]],0)),0)</f>
        <v>0</v>
      </c>
      <c r="AN519" s="63">
        <f>IFERROR(INDEX(Job_Training[[Solar]:[Wind]],MATCH(AN$1,Job_Training[[`Typical Entry Level Education`]:[`Typical Entry Level Education`]],0),MATCH(LEFT($D519,5),Job_Training[[#Headers],[Solar]:[Wind]],0)),0)</f>
        <v>0</v>
      </c>
      <c r="AO519" s="63">
        <f>IFERROR(INDEX(Job_Training[[Solar]:[Wind]],MATCH(AO$1,Job_Training[[`Typical Entry Level Education`]:[`Typical Entry Level Education`]],0),MATCH(LEFT($D519,5),Job_Training[[#Headers],[Solar]:[Wind]],0)),0)</f>
        <v>0</v>
      </c>
      <c r="AP519">
        <f t="shared" si="165"/>
        <v>0</v>
      </c>
      <c r="AQ519" s="63">
        <f>IF(AP519&gt;0,IFERROR(INDEX(Assumptions!$C$165:$D$165,MATCH(LEFT($D519,5),Job_Training[[#Headers],[Solar]:[Wind]],0)),0),0)</f>
        <v>0</v>
      </c>
      <c r="AR519">
        <f>IF(AP519&gt;0,IFERROR(INDEX(Assumptions!$C$166:$D$166,MATCH(LEFT($D519,5),Job_Training[[#Headers],[Solar]:[Wind]],0)),0),0)</f>
        <v>0</v>
      </c>
    </row>
    <row r="520" spans="1:44" hidden="1" x14ac:dyDescent="0.35">
      <c r="A520" t="str">
        <f>UserInput!$B$56</f>
        <v>Max Buildout</v>
      </c>
      <c r="B520">
        <v>2039</v>
      </c>
      <c r="C520" s="16" t="s">
        <v>73</v>
      </c>
      <c r="D520" t="s">
        <v>74</v>
      </c>
      <c r="E520" s="66">
        <f>INDEX(UserInput!$C$56:$M$76,MATCH(UserMade_Scenario!B520,UserInput!$A$56:$A$76,0),MATCH(LEFT(IF(RIGHT(C520,2)="H2",UserMade_Scenario!C520,D520),3),UserInput!$C$25:$M$25,0))</f>
        <v>61320</v>
      </c>
      <c r="F520" s="14" t="s">
        <v>75</v>
      </c>
      <c r="G520" s="14">
        <f t="shared" si="155"/>
        <v>7.3583999999999993E-3</v>
      </c>
      <c r="H520" s="63">
        <f t="shared" si="156"/>
        <v>0.10210654630472529</v>
      </c>
      <c r="I520" s="63">
        <f t="shared" si="157"/>
        <v>5.1484327061788468E-3</v>
      </c>
      <c r="J520" s="63">
        <f t="shared" si="158"/>
        <v>0.19906465990327174</v>
      </c>
      <c r="K520" s="30">
        <f>IF(OR(LEFT($D520,5)="Solar",$D520="Wind"),INDEX(Land_Use[AVG],MATCH(LEFT($D520,5),Land_Use[Tech],0)),0)*$E520</f>
        <v>0</v>
      </c>
      <c r="L520" s="30">
        <f>IF(OR(LEFT($D520,5)="Solar",$D520="Wind"),INDEX(Land_Use[MIN],MATCH(LEFT($D520,5),Land_Use[Tech],0)),0)*$E520</f>
        <v>0</v>
      </c>
      <c r="M520" s="30">
        <f>IF(OR(LEFT($D520,5)="Solar",$D520="Wind"),INDEX(Land_Use[MAX],MATCH(LEFT($D520,5),Land_Use[Tech],0)),0)*$E520</f>
        <v>0</v>
      </c>
      <c r="N520" s="15">
        <f t="shared" si="150"/>
        <v>171.696</v>
      </c>
      <c r="O520" s="11">
        <f t="shared" si="151"/>
        <v>0</v>
      </c>
      <c r="P520" s="11">
        <f t="shared" si="152"/>
        <v>0</v>
      </c>
      <c r="Q520" s="11">
        <f t="shared" si="153"/>
        <v>0</v>
      </c>
      <c r="R520" s="11">
        <f t="shared" si="154"/>
        <v>0</v>
      </c>
      <c r="S520" s="30">
        <f t="shared" si="159"/>
        <v>0</v>
      </c>
      <c r="T520" s="30">
        <f t="shared" si="160"/>
        <v>0</v>
      </c>
      <c r="U520" s="30">
        <f t="shared" si="161"/>
        <v>0</v>
      </c>
      <c r="V520" s="30">
        <f t="shared" si="162"/>
        <v>0</v>
      </c>
      <c r="W520" s="30">
        <f t="shared" si="163"/>
        <v>0</v>
      </c>
      <c r="X520" s="30">
        <f t="shared" si="164"/>
        <v>0</v>
      </c>
      <c r="Z520" s="23" t="s">
        <v>76</v>
      </c>
      <c r="AA520" s="40" t="str">
        <f>IF(C520="Electricity",E520*SUMIFS(Electricity!S:S,Electricity!P:P,UserMade_Scenario!B520,Electricity!M:M,UserMade_Scenario!Z520,Electricity!O:O,UserMade_Scenario!D520),"")</f>
        <v/>
      </c>
      <c r="AB520" s="76">
        <f>1000*Assumptions!$B$17/1000000000000</f>
        <v>1.1999999999999999E-7</v>
      </c>
      <c r="AC520" s="67" t="s">
        <v>77</v>
      </c>
      <c r="AD520" s="39">
        <f>SUMIFS(Hydrogen!AK:AK,Hydrogen!$AA:$AA,UserMade_Scenario!$Z520,Hydrogen!$Y:$Y,UserMade_Scenario!$D520,Hydrogen!$AB:$AB,UserMade_Scenario!$B520,Hydrogen!$Z:$Z,UserMade_Scenario!$C520)</f>
        <v>-13.876188615014854</v>
      </c>
      <c r="AE520" s="39">
        <f>SUMIFS(Hydrogen!AL:AL,Hydrogen!$AA:$AA,UserMade_Scenario!$Z520,Hydrogen!$Y:$Y,UserMade_Scenario!$D520,Hydrogen!$AB:$AB,UserMade_Scenario!$B520,Hydrogen!$Z:$Z,UserMade_Scenario!$C520)</f>
        <v>-0.69966741495146323</v>
      </c>
      <c r="AF520" s="39">
        <f>SUMIFS(Hydrogen!AM:AM,Hydrogen!$AA:$AA,UserMade_Scenario!$Z520,Hydrogen!$Y:$Y,UserMade_Scenario!$D520,Hydrogen!$AB:$AB,UserMade_Scenario!$B520,Hydrogen!$Z:$Z,UserMade_Scenario!$C520)</f>
        <v>-27.052709815078245</v>
      </c>
      <c r="AG520" s="68">
        <f>IFERROR(INDEX(WaterUseH2[Average Direct Water Consumption (Gal/ kg h2)],MATCH(LEFT(D520,3),WaterUseH2[Key],0)),0)</f>
        <v>2.8</v>
      </c>
      <c r="AH520">
        <v>14</v>
      </c>
      <c r="AI520">
        <v>1.4</v>
      </c>
      <c r="AJ520">
        <v>250</v>
      </c>
      <c r="AK520">
        <v>0.31</v>
      </c>
      <c r="AL520" s="63">
        <f>IFERROR(INDEX(Job_Training[[Solar]:[Wind]],MATCH(AL$1,Job_Training[[`Typical Entry Level Education`]:[`Typical Entry Level Education`]],0),MATCH(LEFT($D520,5),Job_Training[[#Headers],[Solar]:[Wind]],0)),0)</f>
        <v>0</v>
      </c>
      <c r="AM520" s="63">
        <f>IFERROR(INDEX(Job_Training[[Solar]:[Wind]],MATCH(AM$1,Job_Training[[`Typical Entry Level Education`]:[`Typical Entry Level Education`]],0),MATCH(LEFT($D520,5),Job_Training[[#Headers],[Solar]:[Wind]],0)),0)</f>
        <v>0</v>
      </c>
      <c r="AN520" s="63">
        <f>IFERROR(INDEX(Job_Training[[Solar]:[Wind]],MATCH(AN$1,Job_Training[[`Typical Entry Level Education`]:[`Typical Entry Level Education`]],0),MATCH(LEFT($D520,5),Job_Training[[#Headers],[Solar]:[Wind]],0)),0)</f>
        <v>0</v>
      </c>
      <c r="AO520" s="63">
        <f>IFERROR(INDEX(Job_Training[[Solar]:[Wind]],MATCH(AO$1,Job_Training[[`Typical Entry Level Education`]:[`Typical Entry Level Education`]],0),MATCH(LEFT($D520,5),Job_Training[[#Headers],[Solar]:[Wind]],0)),0)</f>
        <v>0</v>
      </c>
      <c r="AP520">
        <f t="shared" si="165"/>
        <v>0</v>
      </c>
      <c r="AQ520" s="63">
        <f>IF(AP520&gt;0,IFERROR(INDEX(Assumptions!$C$165:$D$165,MATCH(LEFT($D520,5),Job_Training[[#Headers],[Solar]:[Wind]],0)),0),0)</f>
        <v>0</v>
      </c>
      <c r="AR520">
        <f>IF(AP520&gt;0,IFERROR(INDEX(Assumptions!$C$166:$D$166,MATCH(LEFT($D520,5),Job_Training[[#Headers],[Solar]:[Wind]],0)),0),0)</f>
        <v>0</v>
      </c>
    </row>
    <row r="521" spans="1:44" hidden="1" x14ac:dyDescent="0.35">
      <c r="A521" t="str">
        <f>UserInput!$B$56</f>
        <v>Max Buildout</v>
      </c>
      <c r="B521">
        <v>2040</v>
      </c>
      <c r="C521" s="16" t="s">
        <v>73</v>
      </c>
      <c r="D521" t="s">
        <v>74</v>
      </c>
      <c r="E521" s="66">
        <f>INDEX(UserInput!$C$56:$M$76,MATCH(UserMade_Scenario!B521,UserInput!$A$56:$A$76,0),MATCH(LEFT(IF(RIGHT(C521,2)="H2",UserMade_Scenario!C521,D521),3),UserInput!$C$25:$M$25,0))</f>
        <v>65700</v>
      </c>
      <c r="F521" s="14" t="s">
        <v>75</v>
      </c>
      <c r="G521" s="14">
        <f t="shared" si="155"/>
        <v>7.8839999999999986E-3</v>
      </c>
      <c r="H521" s="63">
        <f t="shared" si="156"/>
        <v>0.10664178209103842</v>
      </c>
      <c r="I521" s="63">
        <f t="shared" si="157"/>
        <v>0</v>
      </c>
      <c r="J521" s="63">
        <f t="shared" si="158"/>
        <v>0.21328356418207683</v>
      </c>
      <c r="K521" s="30">
        <f>IF(OR(LEFT($D521,5)="Solar",$D521="Wind"),INDEX(Land_Use[AVG],MATCH(LEFT($D521,5),Land_Use[Tech],0)),0)*$E521</f>
        <v>0</v>
      </c>
      <c r="L521" s="30">
        <f>IF(OR(LEFT($D521,5)="Solar",$D521="Wind"),INDEX(Land_Use[MIN],MATCH(LEFT($D521,5),Land_Use[Tech],0)),0)*$E521</f>
        <v>0</v>
      </c>
      <c r="M521" s="30">
        <f>IF(OR(LEFT($D521,5)="Solar",$D521="Wind"),INDEX(Land_Use[MAX],MATCH(LEFT($D521,5),Land_Use[Tech],0)),0)*$E521</f>
        <v>0</v>
      </c>
      <c r="N521" s="15">
        <f t="shared" si="150"/>
        <v>183.96</v>
      </c>
      <c r="O521" s="11">
        <f t="shared" si="151"/>
        <v>0</v>
      </c>
      <c r="P521" s="11">
        <f t="shared" si="152"/>
        <v>0</v>
      </c>
      <c r="Q521" s="11">
        <f t="shared" si="153"/>
        <v>0</v>
      </c>
      <c r="R521" s="11">
        <f t="shared" si="154"/>
        <v>0</v>
      </c>
      <c r="S521" s="30">
        <f t="shared" si="159"/>
        <v>0</v>
      </c>
      <c r="T521" s="30">
        <f t="shared" si="160"/>
        <v>0</v>
      </c>
      <c r="U521" s="30">
        <f t="shared" si="161"/>
        <v>0</v>
      </c>
      <c r="V521" s="30">
        <f t="shared" si="162"/>
        <v>0</v>
      </c>
      <c r="W521" s="30">
        <f t="shared" si="163"/>
        <v>0</v>
      </c>
      <c r="X521" s="30">
        <f t="shared" si="164"/>
        <v>0</v>
      </c>
      <c r="Z521" s="23" t="s">
        <v>76</v>
      </c>
      <c r="AA521" s="40" t="str">
        <f>IF(C521="Electricity",E521*SUMIFS(Electricity!S:S,Electricity!P:P,UserMade_Scenario!B521,Electricity!M:M,UserMade_Scenario!Z521,Electricity!O:O,UserMade_Scenario!D521),"")</f>
        <v/>
      </c>
      <c r="AB521" s="76">
        <f>1000*Assumptions!$B$17/1000000000000</f>
        <v>1.1999999999999999E-7</v>
      </c>
      <c r="AC521" s="67" t="s">
        <v>77</v>
      </c>
      <c r="AD521" s="39">
        <f>SUMIFS(Hydrogen!AK:AK,Hydrogen!$AA:$AA,UserMade_Scenario!$Z521,Hydrogen!$Y:$Y,UserMade_Scenario!$D521,Hydrogen!$AB:$AB,UserMade_Scenario!$B521,Hydrogen!$Z:$Z,UserMade_Scenario!$C521)</f>
        <v>-13.526354907539123</v>
      </c>
      <c r="AE521" s="39">
        <f>SUMIFS(Hydrogen!AL:AL,Hydrogen!$AA:$AA,UserMade_Scenario!$Z521,Hydrogen!$Y:$Y,UserMade_Scenario!$D521,Hydrogen!$AB:$AB,UserMade_Scenario!$B521,Hydrogen!$Z:$Z,UserMade_Scenario!$C521)</f>
        <v>0</v>
      </c>
      <c r="AF521" s="39">
        <f>SUMIFS(Hydrogen!AM:AM,Hydrogen!$AA:$AA,UserMade_Scenario!$Z521,Hydrogen!$Y:$Y,UserMade_Scenario!$D521,Hydrogen!$AB:$AB,UserMade_Scenario!$B521,Hydrogen!$Z:$Z,UserMade_Scenario!$C521)</f>
        <v>-27.052709815078245</v>
      </c>
      <c r="AG521" s="68">
        <f>IFERROR(INDEX(WaterUseH2[Average Direct Water Consumption (Gal/ kg h2)],MATCH(LEFT(D521,3),WaterUseH2[Key],0)),0)</f>
        <v>2.8</v>
      </c>
      <c r="AH521">
        <v>14</v>
      </c>
      <c r="AI521">
        <v>1.4</v>
      </c>
      <c r="AJ521">
        <v>250</v>
      </c>
      <c r="AK521">
        <v>0.31</v>
      </c>
      <c r="AL521" s="63">
        <f>IFERROR(INDEX(Job_Training[[Solar]:[Wind]],MATCH(AL$1,Job_Training[[`Typical Entry Level Education`]:[`Typical Entry Level Education`]],0),MATCH(LEFT($D521,5),Job_Training[[#Headers],[Solar]:[Wind]],0)),0)</f>
        <v>0</v>
      </c>
      <c r="AM521" s="63">
        <f>IFERROR(INDEX(Job_Training[[Solar]:[Wind]],MATCH(AM$1,Job_Training[[`Typical Entry Level Education`]:[`Typical Entry Level Education`]],0),MATCH(LEFT($D521,5),Job_Training[[#Headers],[Solar]:[Wind]],0)),0)</f>
        <v>0</v>
      </c>
      <c r="AN521" s="63">
        <f>IFERROR(INDEX(Job_Training[[Solar]:[Wind]],MATCH(AN$1,Job_Training[[`Typical Entry Level Education`]:[`Typical Entry Level Education`]],0),MATCH(LEFT($D521,5),Job_Training[[#Headers],[Solar]:[Wind]],0)),0)</f>
        <v>0</v>
      </c>
      <c r="AO521" s="63">
        <f>IFERROR(INDEX(Job_Training[[Solar]:[Wind]],MATCH(AO$1,Job_Training[[`Typical Entry Level Education`]:[`Typical Entry Level Education`]],0),MATCH(LEFT($D521,5),Job_Training[[#Headers],[Solar]:[Wind]],0)),0)</f>
        <v>0</v>
      </c>
      <c r="AP521">
        <f t="shared" si="165"/>
        <v>0</v>
      </c>
      <c r="AQ521" s="63">
        <f>IF(AP521&gt;0,IFERROR(INDEX(Assumptions!$C$165:$D$165,MATCH(LEFT($D521,5),Job_Training[[#Headers],[Solar]:[Wind]],0)),0),0)</f>
        <v>0</v>
      </c>
      <c r="AR521">
        <f>IF(AP521&gt;0,IFERROR(INDEX(Assumptions!$C$166:$D$166,MATCH(LEFT($D521,5),Job_Training[[#Headers],[Solar]:[Wind]],0)),0),0)</f>
        <v>0</v>
      </c>
    </row>
    <row r="522" spans="1:44" hidden="1" x14ac:dyDescent="0.35">
      <c r="A522" t="str">
        <f>UserInput!$B$56</f>
        <v>Max Buildout</v>
      </c>
      <c r="B522">
        <v>2041</v>
      </c>
      <c r="C522" s="16" t="s">
        <v>73</v>
      </c>
      <c r="D522" t="s">
        <v>74</v>
      </c>
      <c r="E522" s="66">
        <f>INDEX(UserInput!$C$56:$M$76,MATCH(UserMade_Scenario!B522,UserInput!$A$56:$A$76,0),MATCH(LEFT(IF(RIGHT(C522,2)="H2",UserMade_Scenario!C522,D522),3),UserInput!$C$25:$M$25,0))</f>
        <v>70080</v>
      </c>
      <c r="F522" s="14" t="s">
        <v>75</v>
      </c>
      <c r="G522" s="14">
        <f t="shared" si="155"/>
        <v>8.4095999999999997E-3</v>
      </c>
      <c r="H522" s="63">
        <f t="shared" si="156"/>
        <v>0.11375123423044101</v>
      </c>
      <c r="I522" s="63">
        <f t="shared" si="157"/>
        <v>0</v>
      </c>
      <c r="J522" s="63">
        <f t="shared" si="158"/>
        <v>0.22750246846088201</v>
      </c>
      <c r="K522" s="30">
        <f>IF(OR(LEFT($D522,5)="Solar",$D522="Wind"),INDEX(Land_Use[AVG],MATCH(LEFT($D522,5),Land_Use[Tech],0)),0)*$E522</f>
        <v>0</v>
      </c>
      <c r="L522" s="30">
        <f>IF(OR(LEFT($D522,5)="Solar",$D522="Wind"),INDEX(Land_Use[MIN],MATCH(LEFT($D522,5),Land_Use[Tech],0)),0)*$E522</f>
        <v>0</v>
      </c>
      <c r="M522" s="30">
        <f>IF(OR(LEFT($D522,5)="Solar",$D522="Wind"),INDEX(Land_Use[MAX],MATCH(LEFT($D522,5),Land_Use[Tech],0)),0)*$E522</f>
        <v>0</v>
      </c>
      <c r="N522" s="15">
        <f t="shared" si="150"/>
        <v>196.22399999999999</v>
      </c>
      <c r="O522" s="11">
        <f t="shared" si="151"/>
        <v>0</v>
      </c>
      <c r="P522" s="11">
        <f t="shared" si="152"/>
        <v>0</v>
      </c>
      <c r="Q522" s="11">
        <f t="shared" si="153"/>
        <v>0</v>
      </c>
      <c r="R522" s="11">
        <f t="shared" si="154"/>
        <v>0</v>
      </c>
      <c r="S522" s="30">
        <f t="shared" si="159"/>
        <v>0</v>
      </c>
      <c r="T522" s="30">
        <f t="shared" si="160"/>
        <v>0</v>
      </c>
      <c r="U522" s="30">
        <f t="shared" si="161"/>
        <v>0</v>
      </c>
      <c r="V522" s="30">
        <f t="shared" si="162"/>
        <v>0</v>
      </c>
      <c r="W522" s="30">
        <f t="shared" si="163"/>
        <v>0</v>
      </c>
      <c r="X522" s="30">
        <f t="shared" si="164"/>
        <v>0</v>
      </c>
      <c r="Z522" s="23" t="s">
        <v>76</v>
      </c>
      <c r="AA522" s="40" t="str">
        <f>IF(C522="Electricity",E522*SUMIFS(Electricity!S:S,Electricity!P:P,UserMade_Scenario!B522,Electricity!M:M,UserMade_Scenario!Z522,Electricity!O:O,UserMade_Scenario!D522),"")</f>
        <v/>
      </c>
      <c r="AB522" s="76">
        <f>1000*Assumptions!$B$17/1000000000000</f>
        <v>1.1999999999999999E-7</v>
      </c>
      <c r="AC522" s="67" t="s">
        <v>77</v>
      </c>
      <c r="AD522" s="39">
        <f>SUMIFS(Hydrogen!AK:AK,Hydrogen!$AA:$AA,UserMade_Scenario!$Z522,Hydrogen!$Y:$Y,UserMade_Scenario!$D522,Hydrogen!$AB:$AB,UserMade_Scenario!$B522,Hydrogen!$Z:$Z,UserMade_Scenario!$C522)</f>
        <v>-13.526354907539123</v>
      </c>
      <c r="AE522" s="39">
        <f>SUMIFS(Hydrogen!AL:AL,Hydrogen!$AA:$AA,UserMade_Scenario!$Z522,Hydrogen!$Y:$Y,UserMade_Scenario!$D522,Hydrogen!$AB:$AB,UserMade_Scenario!$B522,Hydrogen!$Z:$Z,UserMade_Scenario!$C522)</f>
        <v>0</v>
      </c>
      <c r="AF522" s="39">
        <f>SUMIFS(Hydrogen!AM:AM,Hydrogen!$AA:$AA,UserMade_Scenario!$Z522,Hydrogen!$Y:$Y,UserMade_Scenario!$D522,Hydrogen!$AB:$AB,UserMade_Scenario!$B522,Hydrogen!$Z:$Z,UserMade_Scenario!$C522)</f>
        <v>-27.052709815078245</v>
      </c>
      <c r="AG522" s="68">
        <f>IFERROR(INDEX(WaterUseH2[Average Direct Water Consumption (Gal/ kg h2)],MATCH(LEFT(D522,3),WaterUseH2[Key],0)),0)</f>
        <v>2.8</v>
      </c>
      <c r="AH522">
        <v>14</v>
      </c>
      <c r="AI522">
        <v>1.4</v>
      </c>
      <c r="AJ522">
        <v>250</v>
      </c>
      <c r="AK522">
        <v>0.31</v>
      </c>
      <c r="AL522" s="63">
        <f>IFERROR(INDEX(Job_Training[[Solar]:[Wind]],MATCH(AL$1,Job_Training[[`Typical Entry Level Education`]:[`Typical Entry Level Education`]],0),MATCH(LEFT($D522,5),Job_Training[[#Headers],[Solar]:[Wind]],0)),0)</f>
        <v>0</v>
      </c>
      <c r="AM522" s="63">
        <f>IFERROR(INDEX(Job_Training[[Solar]:[Wind]],MATCH(AM$1,Job_Training[[`Typical Entry Level Education`]:[`Typical Entry Level Education`]],0),MATCH(LEFT($D522,5),Job_Training[[#Headers],[Solar]:[Wind]],0)),0)</f>
        <v>0</v>
      </c>
      <c r="AN522" s="63">
        <f>IFERROR(INDEX(Job_Training[[Solar]:[Wind]],MATCH(AN$1,Job_Training[[`Typical Entry Level Education`]:[`Typical Entry Level Education`]],0),MATCH(LEFT($D522,5),Job_Training[[#Headers],[Solar]:[Wind]],0)),0)</f>
        <v>0</v>
      </c>
      <c r="AO522" s="63">
        <f>IFERROR(INDEX(Job_Training[[Solar]:[Wind]],MATCH(AO$1,Job_Training[[`Typical Entry Level Education`]:[`Typical Entry Level Education`]],0),MATCH(LEFT($D522,5),Job_Training[[#Headers],[Solar]:[Wind]],0)),0)</f>
        <v>0</v>
      </c>
      <c r="AP522">
        <f t="shared" si="165"/>
        <v>0</v>
      </c>
      <c r="AQ522" s="63">
        <f>IF(AP522&gt;0,IFERROR(INDEX(Assumptions!$C$165:$D$165,MATCH(LEFT($D522,5),Job_Training[[#Headers],[Solar]:[Wind]],0)),0),0)</f>
        <v>0</v>
      </c>
      <c r="AR522">
        <f>IF(AP522&gt;0,IFERROR(INDEX(Assumptions!$C$166:$D$166,MATCH(LEFT($D522,5),Job_Training[[#Headers],[Solar]:[Wind]],0)),0),0)</f>
        <v>0</v>
      </c>
    </row>
    <row r="523" spans="1:44" hidden="1" x14ac:dyDescent="0.35">
      <c r="A523" t="str">
        <f>UserInput!$B$56</f>
        <v>Max Buildout</v>
      </c>
      <c r="B523">
        <v>2042</v>
      </c>
      <c r="C523" s="16" t="s">
        <v>73</v>
      </c>
      <c r="D523" t="s">
        <v>74</v>
      </c>
      <c r="E523" s="66">
        <f>INDEX(UserInput!$C$56:$M$76,MATCH(UserMade_Scenario!B523,UserInput!$A$56:$A$76,0),MATCH(LEFT(IF(RIGHT(C523,2)="H2",UserMade_Scenario!C523,D523),3),UserInput!$C$25:$M$25,0))</f>
        <v>74460</v>
      </c>
      <c r="F523" s="14" t="s">
        <v>75</v>
      </c>
      <c r="G523" s="14">
        <f t="shared" si="155"/>
        <v>8.935199999999999E-3</v>
      </c>
      <c r="H523" s="63">
        <f t="shared" si="156"/>
        <v>0.12086068636984355</v>
      </c>
      <c r="I523" s="63">
        <f t="shared" si="157"/>
        <v>0</v>
      </c>
      <c r="J523" s="63">
        <f t="shared" si="158"/>
        <v>0.24172137273968711</v>
      </c>
      <c r="K523" s="30">
        <f>IF(OR(LEFT($D523,5)="Solar",$D523="Wind"),INDEX(Land_Use[AVG],MATCH(LEFT($D523,5),Land_Use[Tech],0)),0)*$E523</f>
        <v>0</v>
      </c>
      <c r="L523" s="30">
        <f>IF(OR(LEFT($D523,5)="Solar",$D523="Wind"),INDEX(Land_Use[MIN],MATCH(LEFT($D523,5),Land_Use[Tech],0)),0)*$E523</f>
        <v>0</v>
      </c>
      <c r="M523" s="30">
        <f>IF(OR(LEFT($D523,5)="Solar",$D523="Wind"),INDEX(Land_Use[MAX],MATCH(LEFT($D523,5),Land_Use[Tech],0)),0)*$E523</f>
        <v>0</v>
      </c>
      <c r="N523" s="15">
        <f t="shared" si="150"/>
        <v>208.488</v>
      </c>
      <c r="O523" s="11">
        <f t="shared" si="151"/>
        <v>0</v>
      </c>
      <c r="P523" s="11">
        <f t="shared" si="152"/>
        <v>0</v>
      </c>
      <c r="Q523" s="11">
        <f t="shared" si="153"/>
        <v>0</v>
      </c>
      <c r="R523" s="11">
        <f t="shared" si="154"/>
        <v>0</v>
      </c>
      <c r="S523" s="30">
        <f t="shared" si="159"/>
        <v>0</v>
      </c>
      <c r="T523" s="30">
        <f t="shared" si="160"/>
        <v>0</v>
      </c>
      <c r="U523" s="30">
        <f t="shared" si="161"/>
        <v>0</v>
      </c>
      <c r="V523" s="30">
        <f t="shared" si="162"/>
        <v>0</v>
      </c>
      <c r="W523" s="30">
        <f t="shared" si="163"/>
        <v>0</v>
      </c>
      <c r="X523" s="30">
        <f t="shared" si="164"/>
        <v>0</v>
      </c>
      <c r="Z523" s="23" t="s">
        <v>76</v>
      </c>
      <c r="AA523" s="40" t="str">
        <f>IF(C523="Electricity",E523*SUMIFS(Electricity!S:S,Electricity!P:P,UserMade_Scenario!B523,Electricity!M:M,UserMade_Scenario!Z523,Electricity!O:O,UserMade_Scenario!D523),"")</f>
        <v/>
      </c>
      <c r="AB523" s="76">
        <f>1000*Assumptions!$B$17/1000000000000</f>
        <v>1.1999999999999999E-7</v>
      </c>
      <c r="AC523" s="67" t="s">
        <v>77</v>
      </c>
      <c r="AD523" s="39">
        <f>SUMIFS(Hydrogen!AK:AK,Hydrogen!$AA:$AA,UserMade_Scenario!$Z523,Hydrogen!$Y:$Y,UserMade_Scenario!$D523,Hydrogen!$AB:$AB,UserMade_Scenario!$B523,Hydrogen!$Z:$Z,UserMade_Scenario!$C523)</f>
        <v>-13.526354907539123</v>
      </c>
      <c r="AE523" s="39">
        <f>SUMIFS(Hydrogen!AL:AL,Hydrogen!$AA:$AA,UserMade_Scenario!$Z523,Hydrogen!$Y:$Y,UserMade_Scenario!$D523,Hydrogen!$AB:$AB,UserMade_Scenario!$B523,Hydrogen!$Z:$Z,UserMade_Scenario!$C523)</f>
        <v>0</v>
      </c>
      <c r="AF523" s="39">
        <f>SUMIFS(Hydrogen!AM:AM,Hydrogen!$AA:$AA,UserMade_Scenario!$Z523,Hydrogen!$Y:$Y,UserMade_Scenario!$D523,Hydrogen!$AB:$AB,UserMade_Scenario!$B523,Hydrogen!$Z:$Z,UserMade_Scenario!$C523)</f>
        <v>-27.052709815078245</v>
      </c>
      <c r="AG523" s="68">
        <f>IFERROR(INDEX(WaterUseH2[Average Direct Water Consumption (Gal/ kg h2)],MATCH(LEFT(D523,3),WaterUseH2[Key],0)),0)</f>
        <v>2.8</v>
      </c>
      <c r="AH523">
        <v>14</v>
      </c>
      <c r="AI523">
        <v>1.4</v>
      </c>
      <c r="AJ523">
        <v>250</v>
      </c>
      <c r="AK523">
        <v>0.31</v>
      </c>
      <c r="AL523" s="63">
        <f>IFERROR(INDEX(Job_Training[[Solar]:[Wind]],MATCH(AL$1,Job_Training[[`Typical Entry Level Education`]:[`Typical Entry Level Education`]],0),MATCH(LEFT($D523,5),Job_Training[[#Headers],[Solar]:[Wind]],0)),0)</f>
        <v>0</v>
      </c>
      <c r="AM523" s="63">
        <f>IFERROR(INDEX(Job_Training[[Solar]:[Wind]],MATCH(AM$1,Job_Training[[`Typical Entry Level Education`]:[`Typical Entry Level Education`]],0),MATCH(LEFT($D523,5),Job_Training[[#Headers],[Solar]:[Wind]],0)),0)</f>
        <v>0</v>
      </c>
      <c r="AN523" s="63">
        <f>IFERROR(INDEX(Job_Training[[Solar]:[Wind]],MATCH(AN$1,Job_Training[[`Typical Entry Level Education`]:[`Typical Entry Level Education`]],0),MATCH(LEFT($D523,5),Job_Training[[#Headers],[Solar]:[Wind]],0)),0)</f>
        <v>0</v>
      </c>
      <c r="AO523" s="63">
        <f>IFERROR(INDEX(Job_Training[[Solar]:[Wind]],MATCH(AO$1,Job_Training[[`Typical Entry Level Education`]:[`Typical Entry Level Education`]],0),MATCH(LEFT($D523,5),Job_Training[[#Headers],[Solar]:[Wind]],0)),0)</f>
        <v>0</v>
      </c>
      <c r="AP523">
        <f t="shared" si="165"/>
        <v>0</v>
      </c>
      <c r="AQ523" s="63">
        <f>IF(AP523&gt;0,IFERROR(INDEX(Assumptions!$C$165:$D$165,MATCH(LEFT($D523,5),Job_Training[[#Headers],[Solar]:[Wind]],0)),0),0)</f>
        <v>0</v>
      </c>
      <c r="AR523">
        <f>IF(AP523&gt;0,IFERROR(INDEX(Assumptions!$C$166:$D$166,MATCH(LEFT($D523,5),Job_Training[[#Headers],[Solar]:[Wind]],0)),0),0)</f>
        <v>0</v>
      </c>
    </row>
    <row r="524" spans="1:44" hidden="1" x14ac:dyDescent="0.35">
      <c r="A524" t="str">
        <f>UserInput!$B$56</f>
        <v>Max Buildout</v>
      </c>
      <c r="B524">
        <v>2043</v>
      </c>
      <c r="C524" s="16" t="s">
        <v>73</v>
      </c>
      <c r="D524" t="s">
        <v>74</v>
      </c>
      <c r="E524" s="66">
        <f>INDEX(UserInput!$C$56:$M$76,MATCH(UserMade_Scenario!B524,UserInput!$A$56:$A$76,0),MATCH(LEFT(IF(RIGHT(C524,2)="H2",UserMade_Scenario!C524,D524),3),UserInput!$C$25:$M$25,0))</f>
        <v>78840</v>
      </c>
      <c r="F524" s="14" t="s">
        <v>75</v>
      </c>
      <c r="G524" s="14">
        <f t="shared" si="155"/>
        <v>9.4607999999999984E-3</v>
      </c>
      <c r="H524" s="63">
        <f t="shared" si="156"/>
        <v>0.1279701385092461</v>
      </c>
      <c r="I524" s="63">
        <f t="shared" si="157"/>
        <v>0</v>
      </c>
      <c r="J524" s="63">
        <f t="shared" si="158"/>
        <v>0.2559402770184922</v>
      </c>
      <c r="K524" s="30">
        <f>IF(OR(LEFT($D524,5)="Solar",$D524="Wind"),INDEX(Land_Use[AVG],MATCH(LEFT($D524,5),Land_Use[Tech],0)),0)*$E524</f>
        <v>0</v>
      </c>
      <c r="L524" s="30">
        <f>IF(OR(LEFT($D524,5)="Solar",$D524="Wind"),INDEX(Land_Use[MIN],MATCH(LEFT($D524,5),Land_Use[Tech],0)),0)*$E524</f>
        <v>0</v>
      </c>
      <c r="M524" s="30">
        <f>IF(OR(LEFT($D524,5)="Solar",$D524="Wind"),INDEX(Land_Use[MAX],MATCH(LEFT($D524,5),Land_Use[Tech],0)),0)*$E524</f>
        <v>0</v>
      </c>
      <c r="N524" s="15">
        <f t="shared" si="150"/>
        <v>220.75200000000001</v>
      </c>
      <c r="O524" s="11">
        <f t="shared" si="151"/>
        <v>0</v>
      </c>
      <c r="P524" s="11">
        <f t="shared" si="152"/>
        <v>0</v>
      </c>
      <c r="Q524" s="11">
        <f t="shared" si="153"/>
        <v>0</v>
      </c>
      <c r="R524" s="11">
        <f t="shared" si="154"/>
        <v>0</v>
      </c>
      <c r="S524" s="30">
        <f t="shared" si="159"/>
        <v>0</v>
      </c>
      <c r="T524" s="30">
        <f t="shared" si="160"/>
        <v>0</v>
      </c>
      <c r="U524" s="30">
        <f t="shared" si="161"/>
        <v>0</v>
      </c>
      <c r="V524" s="30">
        <f t="shared" si="162"/>
        <v>0</v>
      </c>
      <c r="W524" s="30">
        <f t="shared" si="163"/>
        <v>0</v>
      </c>
      <c r="X524" s="30">
        <f t="shared" si="164"/>
        <v>0</v>
      </c>
      <c r="Z524" s="23" t="s">
        <v>76</v>
      </c>
      <c r="AA524" s="40" t="str">
        <f>IF(C524="Electricity",E524*SUMIFS(Electricity!S:S,Electricity!P:P,UserMade_Scenario!B524,Electricity!M:M,UserMade_Scenario!Z524,Electricity!O:O,UserMade_Scenario!D524),"")</f>
        <v/>
      </c>
      <c r="AB524" s="76">
        <f>1000*Assumptions!$B$17/1000000000000</f>
        <v>1.1999999999999999E-7</v>
      </c>
      <c r="AC524" s="67" t="s">
        <v>77</v>
      </c>
      <c r="AD524" s="39">
        <f>SUMIFS(Hydrogen!AK:AK,Hydrogen!$AA:$AA,UserMade_Scenario!$Z524,Hydrogen!$Y:$Y,UserMade_Scenario!$D524,Hydrogen!$AB:$AB,UserMade_Scenario!$B524,Hydrogen!$Z:$Z,UserMade_Scenario!$C524)</f>
        <v>-13.526354907539123</v>
      </c>
      <c r="AE524" s="39">
        <f>SUMIFS(Hydrogen!AL:AL,Hydrogen!$AA:$AA,UserMade_Scenario!$Z524,Hydrogen!$Y:$Y,UserMade_Scenario!$D524,Hydrogen!$AB:$AB,UserMade_Scenario!$B524,Hydrogen!$Z:$Z,UserMade_Scenario!$C524)</f>
        <v>0</v>
      </c>
      <c r="AF524" s="39">
        <f>SUMIFS(Hydrogen!AM:AM,Hydrogen!$AA:$AA,UserMade_Scenario!$Z524,Hydrogen!$Y:$Y,UserMade_Scenario!$D524,Hydrogen!$AB:$AB,UserMade_Scenario!$B524,Hydrogen!$Z:$Z,UserMade_Scenario!$C524)</f>
        <v>-27.052709815078245</v>
      </c>
      <c r="AG524" s="68">
        <f>IFERROR(INDEX(WaterUseH2[Average Direct Water Consumption (Gal/ kg h2)],MATCH(LEFT(D524,3),WaterUseH2[Key],0)),0)</f>
        <v>2.8</v>
      </c>
      <c r="AH524">
        <v>14</v>
      </c>
      <c r="AI524">
        <v>1.4</v>
      </c>
      <c r="AJ524">
        <v>250</v>
      </c>
      <c r="AK524">
        <v>0.31</v>
      </c>
      <c r="AL524" s="63">
        <f>IFERROR(INDEX(Job_Training[[Solar]:[Wind]],MATCH(AL$1,Job_Training[[`Typical Entry Level Education`]:[`Typical Entry Level Education`]],0),MATCH(LEFT($D524,5),Job_Training[[#Headers],[Solar]:[Wind]],0)),0)</f>
        <v>0</v>
      </c>
      <c r="AM524" s="63">
        <f>IFERROR(INDEX(Job_Training[[Solar]:[Wind]],MATCH(AM$1,Job_Training[[`Typical Entry Level Education`]:[`Typical Entry Level Education`]],0),MATCH(LEFT($D524,5),Job_Training[[#Headers],[Solar]:[Wind]],0)),0)</f>
        <v>0</v>
      </c>
      <c r="AN524" s="63">
        <f>IFERROR(INDEX(Job_Training[[Solar]:[Wind]],MATCH(AN$1,Job_Training[[`Typical Entry Level Education`]:[`Typical Entry Level Education`]],0),MATCH(LEFT($D524,5),Job_Training[[#Headers],[Solar]:[Wind]],0)),0)</f>
        <v>0</v>
      </c>
      <c r="AO524" s="63">
        <f>IFERROR(INDEX(Job_Training[[Solar]:[Wind]],MATCH(AO$1,Job_Training[[`Typical Entry Level Education`]:[`Typical Entry Level Education`]],0),MATCH(LEFT($D524,5),Job_Training[[#Headers],[Solar]:[Wind]],0)),0)</f>
        <v>0</v>
      </c>
      <c r="AP524">
        <f t="shared" si="165"/>
        <v>0</v>
      </c>
      <c r="AQ524" s="63">
        <f>IF(AP524&gt;0,IFERROR(INDEX(Assumptions!$C$165:$D$165,MATCH(LEFT($D524,5),Job_Training[[#Headers],[Solar]:[Wind]],0)),0),0)</f>
        <v>0</v>
      </c>
      <c r="AR524">
        <f>IF(AP524&gt;0,IFERROR(INDEX(Assumptions!$C$166:$D$166,MATCH(LEFT($D524,5),Job_Training[[#Headers],[Solar]:[Wind]],0)),0),0)</f>
        <v>0</v>
      </c>
    </row>
    <row r="525" spans="1:44" hidden="1" x14ac:dyDescent="0.35">
      <c r="A525" t="str">
        <f>UserInput!$B$56</f>
        <v>Max Buildout</v>
      </c>
      <c r="B525">
        <v>2044</v>
      </c>
      <c r="C525" s="16" t="s">
        <v>73</v>
      </c>
      <c r="D525" t="s">
        <v>74</v>
      </c>
      <c r="E525" s="66">
        <f>INDEX(UserInput!$C$56:$M$76,MATCH(UserMade_Scenario!B525,UserInput!$A$56:$A$76,0),MATCH(LEFT(IF(RIGHT(C525,2)="H2",UserMade_Scenario!C525,D525),3),UserInput!$C$25:$M$25,0))</f>
        <v>83220</v>
      </c>
      <c r="F525" s="14" t="s">
        <v>75</v>
      </c>
      <c r="G525" s="14">
        <f t="shared" si="155"/>
        <v>9.9863999999999994E-3</v>
      </c>
      <c r="H525" s="63">
        <f t="shared" si="156"/>
        <v>0.13507959064864869</v>
      </c>
      <c r="I525" s="63">
        <f t="shared" si="157"/>
        <v>0</v>
      </c>
      <c r="J525" s="63">
        <f t="shared" si="158"/>
        <v>0.27015918129729738</v>
      </c>
      <c r="K525" s="30">
        <f>IF(OR(LEFT($D525,5)="Solar",$D525="Wind"),INDEX(Land_Use[AVG],MATCH(LEFT($D525,5),Land_Use[Tech],0)),0)*$E525</f>
        <v>0</v>
      </c>
      <c r="L525" s="30">
        <f>IF(OR(LEFT($D525,5)="Solar",$D525="Wind"),INDEX(Land_Use[MIN],MATCH(LEFT($D525,5),Land_Use[Tech],0)),0)*$E525</f>
        <v>0</v>
      </c>
      <c r="M525" s="30">
        <f>IF(OR(LEFT($D525,5)="Solar",$D525="Wind"),INDEX(Land_Use[MAX],MATCH(LEFT($D525,5),Land_Use[Tech],0)),0)*$E525</f>
        <v>0</v>
      </c>
      <c r="N525" s="15">
        <f t="shared" si="150"/>
        <v>233.01599999999996</v>
      </c>
      <c r="O525" s="11">
        <f t="shared" si="151"/>
        <v>0</v>
      </c>
      <c r="P525" s="11">
        <f t="shared" si="152"/>
        <v>0</v>
      </c>
      <c r="Q525" s="11">
        <f t="shared" si="153"/>
        <v>0</v>
      </c>
      <c r="R525" s="11">
        <f t="shared" si="154"/>
        <v>0</v>
      </c>
      <c r="S525" s="30">
        <f t="shared" si="159"/>
        <v>0</v>
      </c>
      <c r="T525" s="30">
        <f t="shared" si="160"/>
        <v>0</v>
      </c>
      <c r="U525" s="30">
        <f t="shared" si="161"/>
        <v>0</v>
      </c>
      <c r="V525" s="30">
        <f t="shared" si="162"/>
        <v>0</v>
      </c>
      <c r="W525" s="30">
        <f t="shared" si="163"/>
        <v>0</v>
      </c>
      <c r="X525" s="30">
        <f t="shared" si="164"/>
        <v>0</v>
      </c>
      <c r="Z525" s="23" t="s">
        <v>76</v>
      </c>
      <c r="AA525" s="40" t="str">
        <f>IF(C525="Electricity",E525*SUMIFS(Electricity!S:S,Electricity!P:P,UserMade_Scenario!B525,Electricity!M:M,UserMade_Scenario!Z525,Electricity!O:O,UserMade_Scenario!D525),"")</f>
        <v/>
      </c>
      <c r="AB525" s="76">
        <f>1000*Assumptions!$B$17/1000000000000</f>
        <v>1.1999999999999999E-7</v>
      </c>
      <c r="AC525" s="67" t="s">
        <v>77</v>
      </c>
      <c r="AD525" s="39">
        <f>SUMIFS(Hydrogen!AK:AK,Hydrogen!$AA:$AA,UserMade_Scenario!$Z525,Hydrogen!$Y:$Y,UserMade_Scenario!$D525,Hydrogen!$AB:$AB,UserMade_Scenario!$B525,Hydrogen!$Z:$Z,UserMade_Scenario!$C525)</f>
        <v>-13.526354907539123</v>
      </c>
      <c r="AE525" s="39">
        <f>SUMIFS(Hydrogen!AL:AL,Hydrogen!$AA:$AA,UserMade_Scenario!$Z525,Hydrogen!$Y:$Y,UserMade_Scenario!$D525,Hydrogen!$AB:$AB,UserMade_Scenario!$B525,Hydrogen!$Z:$Z,UserMade_Scenario!$C525)</f>
        <v>0</v>
      </c>
      <c r="AF525" s="39">
        <f>SUMIFS(Hydrogen!AM:AM,Hydrogen!$AA:$AA,UserMade_Scenario!$Z525,Hydrogen!$Y:$Y,UserMade_Scenario!$D525,Hydrogen!$AB:$AB,UserMade_Scenario!$B525,Hydrogen!$Z:$Z,UserMade_Scenario!$C525)</f>
        <v>-27.052709815078245</v>
      </c>
      <c r="AG525" s="68">
        <f>IFERROR(INDEX(WaterUseH2[Average Direct Water Consumption (Gal/ kg h2)],MATCH(LEFT(D525,3),WaterUseH2[Key],0)),0)</f>
        <v>2.8</v>
      </c>
      <c r="AH525">
        <v>14</v>
      </c>
      <c r="AI525">
        <v>1.4</v>
      </c>
      <c r="AJ525">
        <v>250</v>
      </c>
      <c r="AK525">
        <v>0.31</v>
      </c>
      <c r="AL525" s="63">
        <f>IFERROR(INDEX(Job_Training[[Solar]:[Wind]],MATCH(AL$1,Job_Training[[`Typical Entry Level Education`]:[`Typical Entry Level Education`]],0),MATCH(LEFT($D525,5),Job_Training[[#Headers],[Solar]:[Wind]],0)),0)</f>
        <v>0</v>
      </c>
      <c r="AM525" s="63">
        <f>IFERROR(INDEX(Job_Training[[Solar]:[Wind]],MATCH(AM$1,Job_Training[[`Typical Entry Level Education`]:[`Typical Entry Level Education`]],0),MATCH(LEFT($D525,5),Job_Training[[#Headers],[Solar]:[Wind]],0)),0)</f>
        <v>0</v>
      </c>
      <c r="AN525" s="63">
        <f>IFERROR(INDEX(Job_Training[[Solar]:[Wind]],MATCH(AN$1,Job_Training[[`Typical Entry Level Education`]:[`Typical Entry Level Education`]],0),MATCH(LEFT($D525,5),Job_Training[[#Headers],[Solar]:[Wind]],0)),0)</f>
        <v>0</v>
      </c>
      <c r="AO525" s="63">
        <f>IFERROR(INDEX(Job_Training[[Solar]:[Wind]],MATCH(AO$1,Job_Training[[`Typical Entry Level Education`]:[`Typical Entry Level Education`]],0),MATCH(LEFT($D525,5),Job_Training[[#Headers],[Solar]:[Wind]],0)),0)</f>
        <v>0</v>
      </c>
      <c r="AP525">
        <f t="shared" si="165"/>
        <v>0</v>
      </c>
      <c r="AQ525" s="63">
        <f>IF(AP525&gt;0,IFERROR(INDEX(Assumptions!$C$165:$D$165,MATCH(LEFT($D525,5),Job_Training[[#Headers],[Solar]:[Wind]],0)),0),0)</f>
        <v>0</v>
      </c>
      <c r="AR525">
        <f>IF(AP525&gt;0,IFERROR(INDEX(Assumptions!$C$166:$D$166,MATCH(LEFT($D525,5),Job_Training[[#Headers],[Solar]:[Wind]],0)),0),0)</f>
        <v>0</v>
      </c>
    </row>
    <row r="526" spans="1:44" hidden="1" x14ac:dyDescent="0.35">
      <c r="A526" t="str">
        <f>UserInput!$B$56</f>
        <v>Max Buildout</v>
      </c>
      <c r="B526">
        <v>2045</v>
      </c>
      <c r="C526" s="16" t="s">
        <v>73</v>
      </c>
      <c r="D526" t="s">
        <v>74</v>
      </c>
      <c r="E526" s="66">
        <f>INDEX(UserInput!$C$56:$M$76,MATCH(UserMade_Scenario!B526,UserInput!$A$56:$A$76,0),MATCH(LEFT(IF(RIGHT(C526,2)="H2",UserMade_Scenario!C526,D526),3),UserInput!$C$25:$M$25,0))</f>
        <v>87600</v>
      </c>
      <c r="F526" s="14" t="s">
        <v>75</v>
      </c>
      <c r="G526" s="14">
        <f t="shared" si="155"/>
        <v>1.0511999999999999E-2</v>
      </c>
      <c r="H526" s="63">
        <f t="shared" si="156"/>
        <v>0.14218904278805125</v>
      </c>
      <c r="I526" s="63">
        <f t="shared" si="157"/>
        <v>0</v>
      </c>
      <c r="J526" s="63">
        <f t="shared" si="158"/>
        <v>0.2843780855761025</v>
      </c>
      <c r="K526" s="30">
        <f>IF(OR(LEFT($D526,5)="Solar",$D526="Wind"),INDEX(Land_Use[AVG],MATCH(LEFT($D526,5),Land_Use[Tech],0)),0)*$E526</f>
        <v>0</v>
      </c>
      <c r="L526" s="30">
        <f>IF(OR(LEFT($D526,5)="Solar",$D526="Wind"),INDEX(Land_Use[MIN],MATCH(LEFT($D526,5),Land_Use[Tech],0)),0)*$E526</f>
        <v>0</v>
      </c>
      <c r="M526" s="30">
        <f>IF(OR(LEFT($D526,5)="Solar",$D526="Wind"),INDEX(Land_Use[MAX],MATCH(LEFT($D526,5),Land_Use[Tech],0)),0)*$E526</f>
        <v>0</v>
      </c>
      <c r="N526" s="15">
        <f t="shared" si="150"/>
        <v>245.27999999999997</v>
      </c>
      <c r="O526" s="11">
        <f t="shared" si="151"/>
        <v>0</v>
      </c>
      <c r="P526" s="11">
        <f t="shared" si="152"/>
        <v>0</v>
      </c>
      <c r="Q526" s="11">
        <f t="shared" si="153"/>
        <v>0</v>
      </c>
      <c r="R526" s="11">
        <f t="shared" si="154"/>
        <v>0</v>
      </c>
      <c r="S526" s="30">
        <f t="shared" si="159"/>
        <v>0</v>
      </c>
      <c r="T526" s="30">
        <f t="shared" si="160"/>
        <v>0</v>
      </c>
      <c r="U526" s="30">
        <f t="shared" si="161"/>
        <v>0</v>
      </c>
      <c r="V526" s="30">
        <f t="shared" si="162"/>
        <v>0</v>
      </c>
      <c r="W526" s="30">
        <f t="shared" si="163"/>
        <v>0</v>
      </c>
      <c r="X526" s="30">
        <f t="shared" si="164"/>
        <v>0</v>
      </c>
      <c r="Z526" s="23" t="s">
        <v>76</v>
      </c>
      <c r="AA526" s="40" t="str">
        <f>IF(C526="Electricity",E526*SUMIFS(Electricity!S:S,Electricity!P:P,UserMade_Scenario!B526,Electricity!M:M,UserMade_Scenario!Z526,Electricity!O:O,UserMade_Scenario!D526),"")</f>
        <v/>
      </c>
      <c r="AB526" s="76">
        <f>1000*Assumptions!$B$17/1000000000000</f>
        <v>1.1999999999999999E-7</v>
      </c>
      <c r="AC526" s="67" t="s">
        <v>77</v>
      </c>
      <c r="AD526" s="39">
        <f>SUMIFS(Hydrogen!AK:AK,Hydrogen!$AA:$AA,UserMade_Scenario!$Z526,Hydrogen!$Y:$Y,UserMade_Scenario!$D526,Hydrogen!$AB:$AB,UserMade_Scenario!$B526,Hydrogen!$Z:$Z,UserMade_Scenario!$C526)</f>
        <v>-13.526354907539123</v>
      </c>
      <c r="AE526" s="39">
        <f>SUMIFS(Hydrogen!AL:AL,Hydrogen!$AA:$AA,UserMade_Scenario!$Z526,Hydrogen!$Y:$Y,UserMade_Scenario!$D526,Hydrogen!$AB:$AB,UserMade_Scenario!$B526,Hydrogen!$Z:$Z,UserMade_Scenario!$C526)</f>
        <v>0</v>
      </c>
      <c r="AF526" s="39">
        <f>SUMIFS(Hydrogen!AM:AM,Hydrogen!$AA:$AA,UserMade_Scenario!$Z526,Hydrogen!$Y:$Y,UserMade_Scenario!$D526,Hydrogen!$AB:$AB,UserMade_Scenario!$B526,Hydrogen!$Z:$Z,UserMade_Scenario!$C526)</f>
        <v>-27.052709815078245</v>
      </c>
      <c r="AG526" s="68">
        <f>IFERROR(INDEX(WaterUseH2[Average Direct Water Consumption (Gal/ kg h2)],MATCH(LEFT(D526,3),WaterUseH2[Key],0)),0)</f>
        <v>2.8</v>
      </c>
      <c r="AH526">
        <v>14</v>
      </c>
      <c r="AI526">
        <v>1.4</v>
      </c>
      <c r="AJ526">
        <v>250</v>
      </c>
      <c r="AK526">
        <v>0.31</v>
      </c>
      <c r="AL526" s="63">
        <f>IFERROR(INDEX(Job_Training[[Solar]:[Wind]],MATCH(AL$1,Job_Training[[`Typical Entry Level Education`]:[`Typical Entry Level Education`]],0),MATCH(LEFT($D526,5),Job_Training[[#Headers],[Solar]:[Wind]],0)),0)</f>
        <v>0</v>
      </c>
      <c r="AM526" s="63">
        <f>IFERROR(INDEX(Job_Training[[Solar]:[Wind]],MATCH(AM$1,Job_Training[[`Typical Entry Level Education`]:[`Typical Entry Level Education`]],0),MATCH(LEFT($D526,5),Job_Training[[#Headers],[Solar]:[Wind]],0)),0)</f>
        <v>0</v>
      </c>
      <c r="AN526" s="63">
        <f>IFERROR(INDEX(Job_Training[[Solar]:[Wind]],MATCH(AN$1,Job_Training[[`Typical Entry Level Education`]:[`Typical Entry Level Education`]],0),MATCH(LEFT($D526,5),Job_Training[[#Headers],[Solar]:[Wind]],0)),0)</f>
        <v>0</v>
      </c>
      <c r="AO526" s="63">
        <f>IFERROR(INDEX(Job_Training[[Solar]:[Wind]],MATCH(AO$1,Job_Training[[`Typical Entry Level Education`]:[`Typical Entry Level Education`]],0),MATCH(LEFT($D526,5),Job_Training[[#Headers],[Solar]:[Wind]],0)),0)</f>
        <v>0</v>
      </c>
      <c r="AP526">
        <f t="shared" si="165"/>
        <v>0</v>
      </c>
      <c r="AQ526" s="63">
        <f>IF(AP526&gt;0,IFERROR(INDEX(Assumptions!$C$165:$D$165,MATCH(LEFT($D526,5),Job_Training[[#Headers],[Solar]:[Wind]],0)),0),0)</f>
        <v>0</v>
      </c>
      <c r="AR526">
        <f>IF(AP526&gt;0,IFERROR(INDEX(Assumptions!$C$166:$D$166,MATCH(LEFT($D526,5),Job_Training[[#Headers],[Solar]:[Wind]],0)),0),0)</f>
        <v>0</v>
      </c>
    </row>
    <row r="527" spans="1:44" hidden="1" x14ac:dyDescent="0.35">
      <c r="A527" t="str">
        <f>UserInput!$B$56</f>
        <v>Max Buildout</v>
      </c>
      <c r="B527">
        <v>2025</v>
      </c>
      <c r="C527" t="s">
        <v>78</v>
      </c>
      <c r="D527" t="s">
        <v>79</v>
      </c>
      <c r="E527" s="66">
        <f>INDEX(UserInput!$C$56:$M$76,MATCH(UserMade_Scenario!B527,UserInput!$A$56:$A$76,0),MATCH(LEFT(IF(RIGHT(C527,2)="H2",UserMade_Scenario!C527,D527),3),UserInput!$C$25:$M$25,0))</f>
        <v>0</v>
      </c>
      <c r="F527" s="14" t="s">
        <v>75</v>
      </c>
      <c r="G527" s="14">
        <f t="shared" si="155"/>
        <v>0</v>
      </c>
      <c r="H527" s="63">
        <f t="shared" si="156"/>
        <v>0</v>
      </c>
      <c r="I527" s="63">
        <f t="shared" si="157"/>
        <v>0</v>
      </c>
      <c r="J527" s="63">
        <f t="shared" si="158"/>
        <v>0</v>
      </c>
      <c r="K527" s="30">
        <f>IF(OR(LEFT($D527,5)="Solar",$D527="Wind"),INDEX(Land_Use[AVG],MATCH(LEFT($D527,5),Land_Use[Tech],0)),0)*$E527</f>
        <v>0</v>
      </c>
      <c r="L527" s="30">
        <f>IF(OR(LEFT($D527,5)="Solar",$D527="Wind"),INDEX(Land_Use[MIN],MATCH(LEFT($D527,5),Land_Use[Tech],0)),0)*$E527</f>
        <v>0</v>
      </c>
      <c r="M527" s="30">
        <f>IF(OR(LEFT($D527,5)="Solar",$D527="Wind"),INDEX(Land_Use[MAX],MATCH(LEFT($D527,5),Land_Use[Tech],0)),0)*$E527</f>
        <v>0</v>
      </c>
      <c r="N527" s="13">
        <f t="shared" si="150"/>
        <v>0</v>
      </c>
      <c r="O527" s="13">
        <f t="shared" si="151"/>
        <v>0</v>
      </c>
      <c r="P527" s="13">
        <f t="shared" si="152"/>
        <v>0</v>
      </c>
      <c r="Q527" s="13">
        <f t="shared" si="153"/>
        <v>0</v>
      </c>
      <c r="R527" s="13">
        <f t="shared" si="154"/>
        <v>0</v>
      </c>
      <c r="S527" s="30">
        <f t="shared" si="159"/>
        <v>0</v>
      </c>
      <c r="T527" s="30">
        <f t="shared" si="160"/>
        <v>0</v>
      </c>
      <c r="U527" s="30">
        <f t="shared" si="161"/>
        <v>0</v>
      </c>
      <c r="V527" s="30">
        <f t="shared" si="162"/>
        <v>0</v>
      </c>
      <c r="W527" s="30">
        <f t="shared" si="163"/>
        <v>0</v>
      </c>
      <c r="X527" s="30">
        <f t="shared" si="164"/>
        <v>0</v>
      </c>
      <c r="Z527" s="23" t="s">
        <v>76</v>
      </c>
      <c r="AA527" s="40" t="str">
        <f>IF(C527="Electricity",E527*SUMIFS(Electricity!S:S,Electricity!P:P,UserMade_Scenario!B527,Electricity!M:M,UserMade_Scenario!Z527,Electricity!O:O,UserMade_Scenario!D527),"")</f>
        <v/>
      </c>
      <c r="AB527" s="76">
        <f>1000*Assumptions!$B$17/1000000000000</f>
        <v>1.1999999999999999E-7</v>
      </c>
      <c r="AC527" s="67" t="s">
        <v>77</v>
      </c>
      <c r="AD527" s="39">
        <f>SUMIFS(Hydrogen!AK:AK,Hydrogen!$AA:$AA,UserMade_Scenario!$Z527,Hydrogen!$Y:$Y,UserMade_Scenario!$D527,Hydrogen!$AB:$AB,UserMade_Scenario!$B527,Hydrogen!$Z:$Z,UserMade_Scenario!$C527)</f>
        <v>-88.849553682831996</v>
      </c>
      <c r="AE527" s="39">
        <f>SUMIFS(Hydrogen!AL:AL,Hydrogen!$AA:$AA,UserMade_Scenario!$Z527,Hydrogen!$Y:$Y,UserMade_Scenario!$D527,Hydrogen!$AB:$AB,UserMade_Scenario!$B527,Hydrogen!$Z:$Z,UserMade_Scenario!$C527)</f>
        <v>-87.759107365663994</v>
      </c>
      <c r="AF527" s="39">
        <f>SUMIFS(Hydrogen!AM:AM,Hydrogen!$AA:$AA,UserMade_Scenario!$Z527,Hydrogen!$Y:$Y,UserMade_Scenario!$D527,Hydrogen!$AB:$AB,UserMade_Scenario!$B527,Hydrogen!$Z:$Z,UserMade_Scenario!$C527)</f>
        <v>-89.94</v>
      </c>
      <c r="AG527" s="68">
        <f>IFERROR(INDEX(WaterUseH2[Average Direct Water Consumption (Gal/ kg h2)],MATCH(LEFT(D527,3),WaterUseH2[Key],0)),0)</f>
        <v>4.0999999999999996</v>
      </c>
      <c r="AH527">
        <v>14</v>
      </c>
      <c r="AI527">
        <v>1.4</v>
      </c>
      <c r="AJ527">
        <v>250</v>
      </c>
      <c r="AK527">
        <v>0.31</v>
      </c>
      <c r="AL527" s="63">
        <f>IFERROR(INDEX(Job_Training[[Solar]:[Wind]],MATCH(AL$1,Job_Training[[`Typical Entry Level Education`]:[`Typical Entry Level Education`]],0),MATCH(LEFT($D527,5),Job_Training[[#Headers],[Solar]:[Wind]],0)),0)</f>
        <v>0</v>
      </c>
      <c r="AM527" s="63">
        <f>IFERROR(INDEX(Job_Training[[Solar]:[Wind]],MATCH(AM$1,Job_Training[[`Typical Entry Level Education`]:[`Typical Entry Level Education`]],0),MATCH(LEFT($D527,5),Job_Training[[#Headers],[Solar]:[Wind]],0)),0)</f>
        <v>0</v>
      </c>
      <c r="AN527" s="63">
        <f>IFERROR(INDEX(Job_Training[[Solar]:[Wind]],MATCH(AN$1,Job_Training[[`Typical Entry Level Education`]:[`Typical Entry Level Education`]],0),MATCH(LEFT($D527,5),Job_Training[[#Headers],[Solar]:[Wind]],0)),0)</f>
        <v>0</v>
      </c>
      <c r="AO527" s="63">
        <f>IFERROR(INDEX(Job_Training[[Solar]:[Wind]],MATCH(AO$1,Job_Training[[`Typical Entry Level Education`]:[`Typical Entry Level Education`]],0),MATCH(LEFT($D527,5),Job_Training[[#Headers],[Solar]:[Wind]],0)),0)</f>
        <v>0</v>
      </c>
      <c r="AP527">
        <f t="shared" si="165"/>
        <v>0</v>
      </c>
      <c r="AQ527" s="63">
        <f>IF(AP527&gt;0,IFERROR(INDEX(Assumptions!$C$165:$D$165,MATCH(LEFT($D527,5),Job_Training[[#Headers],[Solar]:[Wind]],0)),0),0)</f>
        <v>0</v>
      </c>
      <c r="AR527">
        <f>IF(AP527&gt;0,IFERROR(INDEX(Assumptions!$C$166:$D$166,MATCH(LEFT($D527,5),Job_Training[[#Headers],[Solar]:[Wind]],0)),0),0)</f>
        <v>0</v>
      </c>
    </row>
    <row r="528" spans="1:44" hidden="1" x14ac:dyDescent="0.35">
      <c r="A528" t="str">
        <f>UserInput!$B$56</f>
        <v>Max Buildout</v>
      </c>
      <c r="B528">
        <v>2026</v>
      </c>
      <c r="C528" t="s">
        <v>78</v>
      </c>
      <c r="D528" t="s">
        <v>79</v>
      </c>
      <c r="E528" s="66">
        <f>INDEX(UserInput!$C$56:$M$76,MATCH(UserMade_Scenario!B528,UserInput!$A$56:$A$76,0),MATCH(LEFT(IF(RIGHT(C528,2)="H2",UserMade_Scenario!C528,D528),3),UserInput!$C$25:$M$25,0))</f>
        <v>0</v>
      </c>
      <c r="F528" s="14" t="s">
        <v>75</v>
      </c>
      <c r="G528" s="14">
        <f t="shared" si="155"/>
        <v>0</v>
      </c>
      <c r="H528" s="63">
        <f t="shared" si="156"/>
        <v>0</v>
      </c>
      <c r="I528" s="63">
        <f t="shared" si="157"/>
        <v>0</v>
      </c>
      <c r="J528" s="63">
        <f t="shared" si="158"/>
        <v>0</v>
      </c>
      <c r="K528" s="30">
        <f>IF(OR(LEFT($D528,5)="Solar",$D528="Wind"),INDEX(Land_Use[AVG],MATCH(LEFT($D528,5),Land_Use[Tech],0)),0)*$E528</f>
        <v>0</v>
      </c>
      <c r="L528" s="30">
        <f>IF(OR(LEFT($D528,5)="Solar",$D528="Wind"),INDEX(Land_Use[MIN],MATCH(LEFT($D528,5),Land_Use[Tech],0)),0)*$E528</f>
        <v>0</v>
      </c>
      <c r="M528" s="30">
        <f>IF(OR(LEFT($D528,5)="Solar",$D528="Wind"),INDEX(Land_Use[MAX],MATCH(LEFT($D528,5),Land_Use[Tech],0)),0)*$E528</f>
        <v>0</v>
      </c>
      <c r="N528" s="13">
        <f t="shared" si="150"/>
        <v>0</v>
      </c>
      <c r="O528" s="13">
        <f t="shared" si="151"/>
        <v>0</v>
      </c>
      <c r="P528" s="13">
        <f t="shared" si="152"/>
        <v>0</v>
      </c>
      <c r="Q528" s="13">
        <f t="shared" si="153"/>
        <v>0</v>
      </c>
      <c r="R528" s="13">
        <f t="shared" si="154"/>
        <v>0</v>
      </c>
      <c r="S528" s="30">
        <f t="shared" si="159"/>
        <v>0</v>
      </c>
      <c r="T528" s="30">
        <f t="shared" si="160"/>
        <v>0</v>
      </c>
      <c r="U528" s="30">
        <f t="shared" si="161"/>
        <v>0</v>
      </c>
      <c r="V528" s="30">
        <f t="shared" si="162"/>
        <v>0</v>
      </c>
      <c r="W528" s="30">
        <f t="shared" si="163"/>
        <v>0</v>
      </c>
      <c r="X528" s="30">
        <f t="shared" si="164"/>
        <v>0</v>
      </c>
      <c r="Z528" s="23" t="s">
        <v>76</v>
      </c>
      <c r="AA528" s="40" t="str">
        <f>IF(C528="Electricity",E528*SUMIFS(Electricity!S:S,Electricity!P:P,UserMade_Scenario!B528,Electricity!M:M,UserMade_Scenario!Z528,Electricity!O:O,UserMade_Scenario!D528),"")</f>
        <v/>
      </c>
      <c r="AB528" s="76">
        <f>1000*Assumptions!$B$17/1000000000000</f>
        <v>1.1999999999999999E-7</v>
      </c>
      <c r="AC528" s="67" t="s">
        <v>77</v>
      </c>
      <c r="AD528" s="39">
        <f>SUMIFS(Hydrogen!AK:AK,Hydrogen!$AA:$AA,UserMade_Scenario!$Z528,Hydrogen!$Y:$Y,UserMade_Scenario!$D528,Hydrogen!$AB:$AB,UserMade_Scenario!$B528,Hydrogen!$Z:$Z,UserMade_Scenario!$C528)</f>
        <v>-88.490787443158112</v>
      </c>
      <c r="AE528" s="39">
        <f>SUMIFS(Hydrogen!AL:AL,Hydrogen!$AA:$AA,UserMade_Scenario!$Z528,Hydrogen!$Y:$Y,UserMade_Scenario!$D528,Hydrogen!$AB:$AB,UserMade_Scenario!$B528,Hydrogen!$Z:$Z,UserMade_Scenario!$C528)</f>
        <v>-87.041574886316226</v>
      </c>
      <c r="AF528" s="39">
        <f>SUMIFS(Hydrogen!AM:AM,Hydrogen!$AA:$AA,UserMade_Scenario!$Z528,Hydrogen!$Y:$Y,UserMade_Scenario!$D528,Hydrogen!$AB:$AB,UserMade_Scenario!$B528,Hydrogen!$Z:$Z,UserMade_Scenario!$C528)</f>
        <v>-89.94</v>
      </c>
      <c r="AG528" s="68">
        <f>IFERROR(INDEX(WaterUseH2[Average Direct Water Consumption (Gal/ kg h2)],MATCH(LEFT(D528,3),WaterUseH2[Key],0)),0)</f>
        <v>4.0999999999999996</v>
      </c>
      <c r="AH528">
        <v>14</v>
      </c>
      <c r="AI528">
        <v>1.4</v>
      </c>
      <c r="AJ528">
        <v>250</v>
      </c>
      <c r="AK528">
        <v>0.31</v>
      </c>
      <c r="AL528" s="63">
        <f>IFERROR(INDEX(Job_Training[[Solar]:[Wind]],MATCH(AL$1,Job_Training[[`Typical Entry Level Education`]:[`Typical Entry Level Education`]],0),MATCH(LEFT($D528,5),Job_Training[[#Headers],[Solar]:[Wind]],0)),0)</f>
        <v>0</v>
      </c>
      <c r="AM528" s="63">
        <f>IFERROR(INDEX(Job_Training[[Solar]:[Wind]],MATCH(AM$1,Job_Training[[`Typical Entry Level Education`]:[`Typical Entry Level Education`]],0),MATCH(LEFT($D528,5),Job_Training[[#Headers],[Solar]:[Wind]],0)),0)</f>
        <v>0</v>
      </c>
      <c r="AN528" s="63">
        <f>IFERROR(INDEX(Job_Training[[Solar]:[Wind]],MATCH(AN$1,Job_Training[[`Typical Entry Level Education`]:[`Typical Entry Level Education`]],0),MATCH(LEFT($D528,5),Job_Training[[#Headers],[Solar]:[Wind]],0)),0)</f>
        <v>0</v>
      </c>
      <c r="AO528" s="63">
        <f>IFERROR(INDEX(Job_Training[[Solar]:[Wind]],MATCH(AO$1,Job_Training[[`Typical Entry Level Education`]:[`Typical Entry Level Education`]],0),MATCH(LEFT($D528,5),Job_Training[[#Headers],[Solar]:[Wind]],0)),0)</f>
        <v>0</v>
      </c>
      <c r="AP528">
        <f t="shared" si="165"/>
        <v>0</v>
      </c>
      <c r="AQ528" s="63">
        <f>IF(AP528&gt;0,IFERROR(INDEX(Assumptions!$C$165:$D$165,MATCH(LEFT($D528,5),Job_Training[[#Headers],[Solar]:[Wind]],0)),0),0)</f>
        <v>0</v>
      </c>
      <c r="AR528">
        <f>IF(AP528&gt;0,IFERROR(INDEX(Assumptions!$C$166:$D$166,MATCH(LEFT($D528,5),Job_Training[[#Headers],[Solar]:[Wind]],0)),0),0)</f>
        <v>0</v>
      </c>
    </row>
    <row r="529" spans="1:44" hidden="1" x14ac:dyDescent="0.35">
      <c r="A529" t="str">
        <f>UserInput!$B$56</f>
        <v>Max Buildout</v>
      </c>
      <c r="B529">
        <v>2027</v>
      </c>
      <c r="C529" t="s">
        <v>78</v>
      </c>
      <c r="D529" t="s">
        <v>79</v>
      </c>
      <c r="E529" s="66">
        <f>INDEX(UserInput!$C$56:$M$76,MATCH(UserMade_Scenario!B529,UserInput!$A$56:$A$76,0),MATCH(LEFT(IF(RIGHT(C529,2)="H2",UserMade_Scenario!C529,D529),3),UserInput!$C$25:$M$25,0))</f>
        <v>0</v>
      </c>
      <c r="F529" s="14" t="s">
        <v>75</v>
      </c>
      <c r="G529" s="14">
        <f t="shared" si="155"/>
        <v>0</v>
      </c>
      <c r="H529" s="63">
        <f t="shared" si="156"/>
        <v>0</v>
      </c>
      <c r="I529" s="63">
        <f t="shared" si="157"/>
        <v>0</v>
      </c>
      <c r="J529" s="63">
        <f t="shared" si="158"/>
        <v>0</v>
      </c>
      <c r="K529" s="30">
        <f>IF(OR(LEFT($D529,5)="Solar",$D529="Wind"),INDEX(Land_Use[AVG],MATCH(LEFT($D529,5),Land_Use[Tech],0)),0)*$E529</f>
        <v>0</v>
      </c>
      <c r="L529" s="30">
        <f>IF(OR(LEFT($D529,5)="Solar",$D529="Wind"),INDEX(Land_Use[MIN],MATCH(LEFT($D529,5),Land_Use[Tech],0)),0)*$E529</f>
        <v>0</v>
      </c>
      <c r="M529" s="30">
        <f>IF(OR(LEFT($D529,5)="Solar",$D529="Wind"),INDEX(Land_Use[MAX],MATCH(LEFT($D529,5),Land_Use[Tech],0)),0)*$E529</f>
        <v>0</v>
      </c>
      <c r="N529" s="13">
        <f t="shared" si="150"/>
        <v>0</v>
      </c>
      <c r="O529" s="13">
        <f t="shared" si="151"/>
        <v>0</v>
      </c>
      <c r="P529" s="13">
        <f t="shared" si="152"/>
        <v>0</v>
      </c>
      <c r="Q529" s="13">
        <f t="shared" si="153"/>
        <v>0</v>
      </c>
      <c r="R529" s="13">
        <f t="shared" si="154"/>
        <v>0</v>
      </c>
      <c r="S529" s="30">
        <f t="shared" si="159"/>
        <v>0</v>
      </c>
      <c r="T529" s="30">
        <f t="shared" si="160"/>
        <v>0</v>
      </c>
      <c r="U529" s="30">
        <f t="shared" si="161"/>
        <v>0</v>
      </c>
      <c r="V529" s="30">
        <f t="shared" si="162"/>
        <v>0</v>
      </c>
      <c r="W529" s="30">
        <f t="shared" si="163"/>
        <v>0</v>
      </c>
      <c r="X529" s="30">
        <f t="shared" si="164"/>
        <v>0</v>
      </c>
      <c r="Z529" s="23" t="s">
        <v>76</v>
      </c>
      <c r="AA529" s="40" t="str">
        <f>IF(C529="Electricity",E529*SUMIFS(Electricity!S:S,Electricity!P:P,UserMade_Scenario!B529,Electricity!M:M,UserMade_Scenario!Z529,Electricity!O:O,UserMade_Scenario!D529),"")</f>
        <v/>
      </c>
      <c r="AB529" s="76">
        <f>1000*Assumptions!$B$17/1000000000000</f>
        <v>1.1999999999999999E-7</v>
      </c>
      <c r="AC529" s="67" t="s">
        <v>77</v>
      </c>
      <c r="AD529" s="39">
        <f>SUMIFS(Hydrogen!AK:AK,Hydrogen!$AA:$AA,UserMade_Scenario!$Z529,Hydrogen!$Y:$Y,UserMade_Scenario!$D529,Hydrogen!$AB:$AB,UserMade_Scenario!$B529,Hydrogen!$Z:$Z,UserMade_Scenario!$C529)</f>
        <v>-88.052436921360083</v>
      </c>
      <c r="AE529" s="39">
        <f>SUMIFS(Hydrogen!AL:AL,Hydrogen!$AA:$AA,UserMade_Scenario!$Z529,Hydrogen!$Y:$Y,UserMade_Scenario!$D529,Hydrogen!$AB:$AB,UserMade_Scenario!$B529,Hydrogen!$Z:$Z,UserMade_Scenario!$C529)</f>
        <v>-86.164873842720169</v>
      </c>
      <c r="AF529" s="39">
        <f>SUMIFS(Hydrogen!AM:AM,Hydrogen!$AA:$AA,UserMade_Scenario!$Z529,Hydrogen!$Y:$Y,UserMade_Scenario!$D529,Hydrogen!$AB:$AB,UserMade_Scenario!$B529,Hydrogen!$Z:$Z,UserMade_Scenario!$C529)</f>
        <v>-89.94</v>
      </c>
      <c r="AG529" s="68">
        <f>IFERROR(INDEX(WaterUseH2[Average Direct Water Consumption (Gal/ kg h2)],MATCH(LEFT(D529,3),WaterUseH2[Key],0)),0)</f>
        <v>4.0999999999999996</v>
      </c>
      <c r="AH529">
        <v>14</v>
      </c>
      <c r="AI529">
        <v>1.4</v>
      </c>
      <c r="AJ529">
        <v>250</v>
      </c>
      <c r="AK529">
        <v>0.31</v>
      </c>
      <c r="AL529" s="63">
        <f>IFERROR(INDEX(Job_Training[[Solar]:[Wind]],MATCH(AL$1,Job_Training[[`Typical Entry Level Education`]:[`Typical Entry Level Education`]],0),MATCH(LEFT($D529,5),Job_Training[[#Headers],[Solar]:[Wind]],0)),0)</f>
        <v>0</v>
      </c>
      <c r="AM529" s="63">
        <f>IFERROR(INDEX(Job_Training[[Solar]:[Wind]],MATCH(AM$1,Job_Training[[`Typical Entry Level Education`]:[`Typical Entry Level Education`]],0),MATCH(LEFT($D529,5),Job_Training[[#Headers],[Solar]:[Wind]],0)),0)</f>
        <v>0</v>
      </c>
      <c r="AN529" s="63">
        <f>IFERROR(INDEX(Job_Training[[Solar]:[Wind]],MATCH(AN$1,Job_Training[[`Typical Entry Level Education`]:[`Typical Entry Level Education`]],0),MATCH(LEFT($D529,5),Job_Training[[#Headers],[Solar]:[Wind]],0)),0)</f>
        <v>0</v>
      </c>
      <c r="AO529" s="63">
        <f>IFERROR(INDEX(Job_Training[[Solar]:[Wind]],MATCH(AO$1,Job_Training[[`Typical Entry Level Education`]:[`Typical Entry Level Education`]],0),MATCH(LEFT($D529,5),Job_Training[[#Headers],[Solar]:[Wind]],0)),0)</f>
        <v>0</v>
      </c>
      <c r="AP529">
        <f t="shared" si="165"/>
        <v>0</v>
      </c>
      <c r="AQ529" s="63">
        <f>IF(AP529&gt;0,IFERROR(INDEX(Assumptions!$C$165:$D$165,MATCH(LEFT($D529,5),Job_Training[[#Headers],[Solar]:[Wind]],0)),0),0)</f>
        <v>0</v>
      </c>
      <c r="AR529">
        <f>IF(AP529&gt;0,IFERROR(INDEX(Assumptions!$C$166:$D$166,MATCH(LEFT($D529,5),Job_Training[[#Headers],[Solar]:[Wind]],0)),0),0)</f>
        <v>0</v>
      </c>
    </row>
    <row r="530" spans="1:44" hidden="1" x14ac:dyDescent="0.35">
      <c r="A530" t="str">
        <f>UserInput!$B$56</f>
        <v>Max Buildout</v>
      </c>
      <c r="B530">
        <v>2028</v>
      </c>
      <c r="C530" t="s">
        <v>78</v>
      </c>
      <c r="D530" t="s">
        <v>79</v>
      </c>
      <c r="E530" s="66">
        <f>INDEX(UserInput!$C$56:$M$76,MATCH(UserMade_Scenario!B530,UserInput!$A$56:$A$76,0),MATCH(LEFT(IF(RIGHT(C530,2)="H2",UserMade_Scenario!C530,D530),3),UserInput!$C$25:$M$25,0))</f>
        <v>0</v>
      </c>
      <c r="F530" s="14" t="s">
        <v>75</v>
      </c>
      <c r="G530" s="14">
        <f t="shared" si="155"/>
        <v>0</v>
      </c>
      <c r="H530" s="63">
        <f t="shared" si="156"/>
        <v>0</v>
      </c>
      <c r="I530" s="63">
        <f t="shared" si="157"/>
        <v>0</v>
      </c>
      <c r="J530" s="63">
        <f t="shared" si="158"/>
        <v>0</v>
      </c>
      <c r="K530" s="30">
        <f>IF(OR(LEFT($D530,5)="Solar",$D530="Wind"),INDEX(Land_Use[AVG],MATCH(LEFT($D530,5),Land_Use[Tech],0)),0)*$E530</f>
        <v>0</v>
      </c>
      <c r="L530" s="30">
        <f>IF(OR(LEFT($D530,5)="Solar",$D530="Wind"),INDEX(Land_Use[MIN],MATCH(LEFT($D530,5),Land_Use[Tech],0)),0)*$E530</f>
        <v>0</v>
      </c>
      <c r="M530" s="30">
        <f>IF(OR(LEFT($D530,5)="Solar",$D530="Wind"),INDEX(Land_Use[MAX],MATCH(LEFT($D530,5),Land_Use[Tech],0)),0)*$E530</f>
        <v>0</v>
      </c>
      <c r="N530" s="13">
        <f t="shared" si="150"/>
        <v>0</v>
      </c>
      <c r="O530" s="13">
        <f t="shared" si="151"/>
        <v>0</v>
      </c>
      <c r="P530" s="13">
        <f t="shared" si="152"/>
        <v>0</v>
      </c>
      <c r="Q530" s="13">
        <f t="shared" si="153"/>
        <v>0</v>
      </c>
      <c r="R530" s="13">
        <f t="shared" si="154"/>
        <v>0</v>
      </c>
      <c r="S530" s="30">
        <f t="shared" si="159"/>
        <v>0</v>
      </c>
      <c r="T530" s="30">
        <f t="shared" si="160"/>
        <v>0</v>
      </c>
      <c r="U530" s="30">
        <f t="shared" si="161"/>
        <v>0</v>
      </c>
      <c r="V530" s="30">
        <f t="shared" si="162"/>
        <v>0</v>
      </c>
      <c r="W530" s="30">
        <f t="shared" si="163"/>
        <v>0</v>
      </c>
      <c r="X530" s="30">
        <f t="shared" si="164"/>
        <v>0</v>
      </c>
      <c r="Z530" s="23" t="s">
        <v>76</v>
      </c>
      <c r="AA530" s="40" t="str">
        <f>IF(C530="Electricity",E530*SUMIFS(Electricity!S:S,Electricity!P:P,UserMade_Scenario!B530,Electricity!M:M,UserMade_Scenario!Z530,Electricity!O:O,UserMade_Scenario!D530),"")</f>
        <v/>
      </c>
      <c r="AB530" s="76">
        <f>1000*Assumptions!$B$17/1000000000000</f>
        <v>1.1999999999999999E-7</v>
      </c>
      <c r="AC530" s="67" t="s">
        <v>77</v>
      </c>
      <c r="AD530" s="39">
        <f>SUMIFS(Hydrogen!AK:AK,Hydrogen!$AA:$AA,UserMade_Scenario!$Z530,Hydrogen!$Y:$Y,UserMade_Scenario!$D530,Hydrogen!$AB:$AB,UserMade_Scenario!$B530,Hydrogen!$Z:$Z,UserMade_Scenario!$C530)</f>
        <v>-87.578874094271839</v>
      </c>
      <c r="AE530" s="39">
        <f>SUMIFS(Hydrogen!AL:AL,Hydrogen!$AA:$AA,UserMade_Scenario!$Z530,Hydrogen!$Y:$Y,UserMade_Scenario!$D530,Hydrogen!$AB:$AB,UserMade_Scenario!$B530,Hydrogen!$Z:$Z,UserMade_Scenario!$C530)</f>
        <v>-85.217748188543695</v>
      </c>
      <c r="AF530" s="39">
        <f>SUMIFS(Hydrogen!AM:AM,Hydrogen!$AA:$AA,UserMade_Scenario!$Z530,Hydrogen!$Y:$Y,UserMade_Scenario!$D530,Hydrogen!$AB:$AB,UserMade_Scenario!$B530,Hydrogen!$Z:$Z,UserMade_Scenario!$C530)</f>
        <v>-89.94</v>
      </c>
      <c r="AG530" s="68">
        <f>IFERROR(INDEX(WaterUseH2[Average Direct Water Consumption (Gal/ kg h2)],MATCH(LEFT(D530,3),WaterUseH2[Key],0)),0)</f>
        <v>4.0999999999999996</v>
      </c>
      <c r="AH530">
        <v>14</v>
      </c>
      <c r="AI530">
        <v>1.4</v>
      </c>
      <c r="AJ530">
        <v>250</v>
      </c>
      <c r="AK530">
        <v>0.31</v>
      </c>
      <c r="AL530" s="63">
        <f>IFERROR(INDEX(Job_Training[[Solar]:[Wind]],MATCH(AL$1,Job_Training[[`Typical Entry Level Education`]:[`Typical Entry Level Education`]],0),MATCH(LEFT($D530,5),Job_Training[[#Headers],[Solar]:[Wind]],0)),0)</f>
        <v>0</v>
      </c>
      <c r="AM530" s="63">
        <f>IFERROR(INDEX(Job_Training[[Solar]:[Wind]],MATCH(AM$1,Job_Training[[`Typical Entry Level Education`]:[`Typical Entry Level Education`]],0),MATCH(LEFT($D530,5),Job_Training[[#Headers],[Solar]:[Wind]],0)),0)</f>
        <v>0</v>
      </c>
      <c r="AN530" s="63">
        <f>IFERROR(INDEX(Job_Training[[Solar]:[Wind]],MATCH(AN$1,Job_Training[[`Typical Entry Level Education`]:[`Typical Entry Level Education`]],0),MATCH(LEFT($D530,5),Job_Training[[#Headers],[Solar]:[Wind]],0)),0)</f>
        <v>0</v>
      </c>
      <c r="AO530" s="63">
        <f>IFERROR(INDEX(Job_Training[[Solar]:[Wind]],MATCH(AO$1,Job_Training[[`Typical Entry Level Education`]:[`Typical Entry Level Education`]],0),MATCH(LEFT($D530,5),Job_Training[[#Headers],[Solar]:[Wind]],0)),0)</f>
        <v>0</v>
      </c>
      <c r="AP530">
        <f t="shared" si="165"/>
        <v>0</v>
      </c>
      <c r="AQ530" s="63">
        <f>IF(AP530&gt;0,IFERROR(INDEX(Assumptions!$C$165:$D$165,MATCH(LEFT($D530,5),Job_Training[[#Headers],[Solar]:[Wind]],0)),0),0)</f>
        <v>0</v>
      </c>
      <c r="AR530">
        <f>IF(AP530&gt;0,IFERROR(INDEX(Assumptions!$C$166:$D$166,MATCH(LEFT($D530,5),Job_Training[[#Headers],[Solar]:[Wind]],0)),0),0)</f>
        <v>0</v>
      </c>
    </row>
    <row r="531" spans="1:44" hidden="1" x14ac:dyDescent="0.35">
      <c r="A531" t="str">
        <f>UserInput!$B$56</f>
        <v>Max Buildout</v>
      </c>
      <c r="B531">
        <v>2029</v>
      </c>
      <c r="C531" t="s">
        <v>78</v>
      </c>
      <c r="D531" t="s">
        <v>79</v>
      </c>
      <c r="E531" s="66">
        <f>INDEX(UserInput!$C$56:$M$76,MATCH(UserMade_Scenario!B531,UserInput!$A$56:$A$76,0),MATCH(LEFT(IF(RIGHT(C531,2)="H2",UserMade_Scenario!C531,D531),3),UserInput!$C$25:$M$25,0))</f>
        <v>0</v>
      </c>
      <c r="F531" s="14" t="s">
        <v>75</v>
      </c>
      <c r="G531" s="14">
        <f t="shared" si="155"/>
        <v>0</v>
      </c>
      <c r="H531" s="63">
        <f t="shared" si="156"/>
        <v>0</v>
      </c>
      <c r="I531" s="63">
        <f t="shared" si="157"/>
        <v>0</v>
      </c>
      <c r="J531" s="63">
        <f t="shared" si="158"/>
        <v>0</v>
      </c>
      <c r="K531" s="30">
        <f>IF(OR(LEFT($D531,5)="Solar",$D531="Wind"),INDEX(Land_Use[AVG],MATCH(LEFT($D531,5),Land_Use[Tech],0)),0)*$E531</f>
        <v>0</v>
      </c>
      <c r="L531" s="30">
        <f>IF(OR(LEFT($D531,5)="Solar",$D531="Wind"),INDEX(Land_Use[MIN],MATCH(LEFT($D531,5),Land_Use[Tech],0)),0)*$E531</f>
        <v>0</v>
      </c>
      <c r="M531" s="30">
        <f>IF(OR(LEFT($D531,5)="Solar",$D531="Wind"),INDEX(Land_Use[MAX],MATCH(LEFT($D531,5),Land_Use[Tech],0)),0)*$E531</f>
        <v>0</v>
      </c>
      <c r="N531" s="13">
        <f t="shared" si="150"/>
        <v>0</v>
      </c>
      <c r="O531" s="13">
        <f t="shared" si="151"/>
        <v>0</v>
      </c>
      <c r="P531" s="13">
        <f t="shared" si="152"/>
        <v>0</v>
      </c>
      <c r="Q531" s="13">
        <f t="shared" si="153"/>
        <v>0</v>
      </c>
      <c r="R531" s="13">
        <f t="shared" si="154"/>
        <v>0</v>
      </c>
      <c r="S531" s="30">
        <f t="shared" si="159"/>
        <v>0</v>
      </c>
      <c r="T531" s="30">
        <f t="shared" si="160"/>
        <v>0</v>
      </c>
      <c r="U531" s="30">
        <f t="shared" si="161"/>
        <v>0</v>
      </c>
      <c r="V531" s="30">
        <f t="shared" si="162"/>
        <v>0</v>
      </c>
      <c r="W531" s="30">
        <f t="shared" si="163"/>
        <v>0</v>
      </c>
      <c r="X531" s="30">
        <f t="shared" si="164"/>
        <v>0</v>
      </c>
      <c r="Z531" s="23" t="s">
        <v>76</v>
      </c>
      <c r="AA531" s="40" t="str">
        <f>IF(C531="Electricity",E531*SUMIFS(Electricity!S:S,Electricity!P:P,UserMade_Scenario!B531,Electricity!M:M,UserMade_Scenario!Z531,Electricity!O:O,UserMade_Scenario!D531),"")</f>
        <v/>
      </c>
      <c r="AB531" s="76">
        <f>1000*Assumptions!$B$17/1000000000000</f>
        <v>1.1999999999999999E-7</v>
      </c>
      <c r="AC531" s="67" t="s">
        <v>77</v>
      </c>
      <c r="AD531" s="39">
        <f>SUMIFS(Hydrogen!AK:AK,Hydrogen!$AA:$AA,UserMade_Scenario!$Z531,Hydrogen!$Y:$Y,UserMade_Scenario!$D531,Hydrogen!$AB:$AB,UserMade_Scenario!$B531,Hydrogen!$Z:$Z,UserMade_Scenario!$C531)</f>
        <v>-87.034867879479833</v>
      </c>
      <c r="AE531" s="39">
        <f>SUMIFS(Hydrogen!AL:AL,Hydrogen!$AA:$AA,UserMade_Scenario!$Z531,Hydrogen!$Y:$Y,UserMade_Scenario!$D531,Hydrogen!$AB:$AB,UserMade_Scenario!$B531,Hydrogen!$Z:$Z,UserMade_Scenario!$C531)</f>
        <v>-84.129735758959683</v>
      </c>
      <c r="AF531" s="39">
        <f>SUMIFS(Hydrogen!AM:AM,Hydrogen!$AA:$AA,UserMade_Scenario!$Z531,Hydrogen!$Y:$Y,UserMade_Scenario!$D531,Hydrogen!$AB:$AB,UserMade_Scenario!$B531,Hydrogen!$Z:$Z,UserMade_Scenario!$C531)</f>
        <v>-89.94</v>
      </c>
      <c r="AG531" s="68">
        <f>IFERROR(INDEX(WaterUseH2[Average Direct Water Consumption (Gal/ kg h2)],MATCH(LEFT(D531,3),WaterUseH2[Key],0)),0)</f>
        <v>4.0999999999999996</v>
      </c>
      <c r="AH531">
        <v>14</v>
      </c>
      <c r="AI531">
        <v>1.4</v>
      </c>
      <c r="AJ531">
        <v>250</v>
      </c>
      <c r="AK531">
        <v>0.31</v>
      </c>
      <c r="AL531" s="63">
        <f>IFERROR(INDEX(Job_Training[[Solar]:[Wind]],MATCH(AL$1,Job_Training[[`Typical Entry Level Education`]:[`Typical Entry Level Education`]],0),MATCH(LEFT($D531,5),Job_Training[[#Headers],[Solar]:[Wind]],0)),0)</f>
        <v>0</v>
      </c>
      <c r="AM531" s="63">
        <f>IFERROR(INDEX(Job_Training[[Solar]:[Wind]],MATCH(AM$1,Job_Training[[`Typical Entry Level Education`]:[`Typical Entry Level Education`]],0),MATCH(LEFT($D531,5),Job_Training[[#Headers],[Solar]:[Wind]],0)),0)</f>
        <v>0</v>
      </c>
      <c r="AN531" s="63">
        <f>IFERROR(INDEX(Job_Training[[Solar]:[Wind]],MATCH(AN$1,Job_Training[[`Typical Entry Level Education`]:[`Typical Entry Level Education`]],0),MATCH(LEFT($D531,5),Job_Training[[#Headers],[Solar]:[Wind]],0)),0)</f>
        <v>0</v>
      </c>
      <c r="AO531" s="63">
        <f>IFERROR(INDEX(Job_Training[[Solar]:[Wind]],MATCH(AO$1,Job_Training[[`Typical Entry Level Education`]:[`Typical Entry Level Education`]],0),MATCH(LEFT($D531,5),Job_Training[[#Headers],[Solar]:[Wind]],0)),0)</f>
        <v>0</v>
      </c>
      <c r="AP531">
        <f t="shared" si="165"/>
        <v>0</v>
      </c>
      <c r="AQ531" s="63">
        <f>IF(AP531&gt;0,IFERROR(INDEX(Assumptions!$C$165:$D$165,MATCH(LEFT($D531,5),Job_Training[[#Headers],[Solar]:[Wind]],0)),0),0)</f>
        <v>0</v>
      </c>
      <c r="AR531">
        <f>IF(AP531&gt;0,IFERROR(INDEX(Assumptions!$C$166:$D$166,MATCH(LEFT($D531,5),Job_Training[[#Headers],[Solar]:[Wind]],0)),0),0)</f>
        <v>0</v>
      </c>
    </row>
    <row r="532" spans="1:44" hidden="1" x14ac:dyDescent="0.35">
      <c r="A532" t="str">
        <f>UserInput!$B$56</f>
        <v>Max Buildout</v>
      </c>
      <c r="B532">
        <v>2030</v>
      </c>
      <c r="C532" t="s">
        <v>78</v>
      </c>
      <c r="D532" t="s">
        <v>79</v>
      </c>
      <c r="E532" s="66">
        <f>INDEX(UserInput!$C$56:$M$76,MATCH(UserMade_Scenario!B532,UserInput!$A$56:$A$76,0),MATCH(LEFT(IF(RIGHT(C532,2)="H2",UserMade_Scenario!C532,D532),3),UserInput!$C$25:$M$25,0))</f>
        <v>16425</v>
      </c>
      <c r="F532" s="14" t="s">
        <v>75</v>
      </c>
      <c r="G532" s="14">
        <f t="shared" si="155"/>
        <v>1.9709999999999997E-3</v>
      </c>
      <c r="H532" s="63">
        <f t="shared" si="156"/>
        <v>0.17032320487891631</v>
      </c>
      <c r="I532" s="63">
        <f t="shared" si="157"/>
        <v>0.16337466975783269</v>
      </c>
      <c r="J532" s="63">
        <f t="shared" si="158"/>
        <v>0.17727173999999996</v>
      </c>
      <c r="K532" s="30">
        <f>IF(OR(LEFT($D532,5)="Solar",$D532="Wind"),INDEX(Land_Use[AVG],MATCH(LEFT($D532,5),Land_Use[Tech],0)),0)*$E532</f>
        <v>0</v>
      </c>
      <c r="L532" s="30">
        <f>IF(OR(LEFT($D532,5)="Solar",$D532="Wind"),INDEX(Land_Use[MIN],MATCH(LEFT($D532,5),Land_Use[Tech],0)),0)*$E532</f>
        <v>0</v>
      </c>
      <c r="M532" s="30">
        <f>IF(OR(LEFT($D532,5)="Solar",$D532="Wind"),INDEX(Land_Use[MAX],MATCH(LEFT($D532,5),Land_Use[Tech],0)),0)*$E532</f>
        <v>0</v>
      </c>
      <c r="N532" s="13">
        <f t="shared" si="150"/>
        <v>67.342500000000001</v>
      </c>
      <c r="O532" s="13">
        <f t="shared" si="151"/>
        <v>0</v>
      </c>
      <c r="P532" s="13">
        <f t="shared" si="152"/>
        <v>0</v>
      </c>
      <c r="Q532" s="13">
        <f t="shared" si="153"/>
        <v>0</v>
      </c>
      <c r="R532" s="13">
        <f t="shared" si="154"/>
        <v>0</v>
      </c>
      <c r="S532" s="30">
        <f t="shared" si="159"/>
        <v>0</v>
      </c>
      <c r="T532" s="30">
        <f t="shared" si="160"/>
        <v>0</v>
      </c>
      <c r="U532" s="30">
        <f t="shared" si="161"/>
        <v>0</v>
      </c>
      <c r="V532" s="30">
        <f t="shared" si="162"/>
        <v>0</v>
      </c>
      <c r="W532" s="30">
        <f t="shared" si="163"/>
        <v>0</v>
      </c>
      <c r="X532" s="30">
        <f t="shared" si="164"/>
        <v>0</v>
      </c>
      <c r="Z532" s="23" t="s">
        <v>76</v>
      </c>
      <c r="AA532" s="40" t="str">
        <f>IF(C532="Electricity",E532*SUMIFS(Electricity!S:S,Electricity!P:P,UserMade_Scenario!B532,Electricity!M:M,UserMade_Scenario!Z532,Electricity!O:O,UserMade_Scenario!D532),"")</f>
        <v/>
      </c>
      <c r="AB532" s="76">
        <f>1000*Assumptions!$B$17/1000000000000</f>
        <v>1.1999999999999999E-7</v>
      </c>
      <c r="AC532" s="67" t="s">
        <v>77</v>
      </c>
      <c r="AD532" s="39">
        <f>SUMIFS(Hydrogen!AK:AK,Hydrogen!$AA:$AA,UserMade_Scenario!$Z532,Hydrogen!$Y:$Y,UserMade_Scenario!$D532,Hydrogen!$AB:$AB,UserMade_Scenario!$B532,Hydrogen!$Z:$Z,UserMade_Scenario!$C532)</f>
        <v>-86.41461434749688</v>
      </c>
      <c r="AE532" s="39">
        <f>SUMIFS(Hydrogen!AL:AL,Hydrogen!$AA:$AA,UserMade_Scenario!$Z532,Hydrogen!$Y:$Y,UserMade_Scenario!$D532,Hydrogen!$AB:$AB,UserMade_Scenario!$B532,Hydrogen!$Z:$Z,UserMade_Scenario!$C532)</f>
        <v>-82.889228694993761</v>
      </c>
      <c r="AF532" s="39">
        <f>SUMIFS(Hydrogen!AM:AM,Hydrogen!$AA:$AA,UserMade_Scenario!$Z532,Hydrogen!$Y:$Y,UserMade_Scenario!$D532,Hydrogen!$AB:$AB,UserMade_Scenario!$B532,Hydrogen!$Z:$Z,UserMade_Scenario!$C532)</f>
        <v>-89.94</v>
      </c>
      <c r="AG532" s="68">
        <f>IFERROR(INDEX(WaterUseH2[Average Direct Water Consumption (Gal/ kg h2)],MATCH(LEFT(D532,3),WaterUseH2[Key],0)),0)</f>
        <v>4.0999999999999996</v>
      </c>
      <c r="AH532">
        <v>14</v>
      </c>
      <c r="AI532">
        <v>1.4</v>
      </c>
      <c r="AJ532">
        <v>250</v>
      </c>
      <c r="AK532">
        <v>0.31</v>
      </c>
      <c r="AL532" s="63">
        <f>IFERROR(INDEX(Job_Training[[Solar]:[Wind]],MATCH(AL$1,Job_Training[[`Typical Entry Level Education`]:[`Typical Entry Level Education`]],0),MATCH(LEFT($D532,5),Job_Training[[#Headers],[Solar]:[Wind]],0)),0)</f>
        <v>0</v>
      </c>
      <c r="AM532" s="63">
        <f>IFERROR(INDEX(Job_Training[[Solar]:[Wind]],MATCH(AM$1,Job_Training[[`Typical Entry Level Education`]:[`Typical Entry Level Education`]],0),MATCH(LEFT($D532,5),Job_Training[[#Headers],[Solar]:[Wind]],0)),0)</f>
        <v>0</v>
      </c>
      <c r="AN532" s="63">
        <f>IFERROR(INDEX(Job_Training[[Solar]:[Wind]],MATCH(AN$1,Job_Training[[`Typical Entry Level Education`]:[`Typical Entry Level Education`]],0),MATCH(LEFT($D532,5),Job_Training[[#Headers],[Solar]:[Wind]],0)),0)</f>
        <v>0</v>
      </c>
      <c r="AO532" s="63">
        <f>IFERROR(INDEX(Job_Training[[Solar]:[Wind]],MATCH(AO$1,Job_Training[[`Typical Entry Level Education`]:[`Typical Entry Level Education`]],0),MATCH(LEFT($D532,5),Job_Training[[#Headers],[Solar]:[Wind]],0)),0)</f>
        <v>0</v>
      </c>
      <c r="AP532">
        <f t="shared" si="165"/>
        <v>0</v>
      </c>
      <c r="AQ532" s="63">
        <f>IF(AP532&gt;0,IFERROR(INDEX(Assumptions!$C$165:$D$165,MATCH(LEFT($D532,5),Job_Training[[#Headers],[Solar]:[Wind]],0)),0),0)</f>
        <v>0</v>
      </c>
      <c r="AR532">
        <f>IF(AP532&gt;0,IFERROR(INDEX(Assumptions!$C$166:$D$166,MATCH(LEFT($D532,5),Job_Training[[#Headers],[Solar]:[Wind]],0)),0),0)</f>
        <v>0</v>
      </c>
    </row>
    <row r="533" spans="1:44" hidden="1" x14ac:dyDescent="0.35">
      <c r="A533" t="str">
        <f>UserInput!$B$56</f>
        <v>Max Buildout</v>
      </c>
      <c r="B533">
        <v>2031</v>
      </c>
      <c r="C533" t="s">
        <v>78</v>
      </c>
      <c r="D533" t="s">
        <v>79</v>
      </c>
      <c r="E533" s="66">
        <f>INDEX(UserInput!$C$56:$M$76,MATCH(UserMade_Scenario!B533,UserInput!$A$56:$A$76,0),MATCH(LEFT(IF(RIGHT(C533,2)="H2",UserMade_Scenario!C533,D533),3),UserInput!$C$25:$M$25,0))</f>
        <v>32850</v>
      </c>
      <c r="F533" s="14" t="s">
        <v>75</v>
      </c>
      <c r="G533" s="14">
        <f t="shared" si="155"/>
        <v>3.9419999999999993E-3</v>
      </c>
      <c r="H533" s="63">
        <f t="shared" si="156"/>
        <v>0.33786833698491497</v>
      </c>
      <c r="I533" s="63">
        <f t="shared" si="157"/>
        <v>0.32119319396983009</v>
      </c>
      <c r="J533" s="63">
        <f t="shared" si="158"/>
        <v>0.35454347999999991</v>
      </c>
      <c r="K533" s="30">
        <f>IF(OR(LEFT($D533,5)="Solar",$D533="Wind"),INDEX(Land_Use[AVG],MATCH(LEFT($D533,5),Land_Use[Tech],0)),0)*$E533</f>
        <v>0</v>
      </c>
      <c r="L533" s="30">
        <f>IF(OR(LEFT($D533,5)="Solar",$D533="Wind"),INDEX(Land_Use[MIN],MATCH(LEFT($D533,5),Land_Use[Tech],0)),0)*$E533</f>
        <v>0</v>
      </c>
      <c r="M533" s="30">
        <f>IF(OR(LEFT($D533,5)="Solar",$D533="Wind"),INDEX(Land_Use[MAX],MATCH(LEFT($D533,5),Land_Use[Tech],0)),0)*$E533</f>
        <v>0</v>
      </c>
      <c r="N533" s="13">
        <f t="shared" si="150"/>
        <v>134.685</v>
      </c>
      <c r="O533" s="13">
        <f t="shared" si="151"/>
        <v>0</v>
      </c>
      <c r="P533" s="13">
        <f t="shared" si="152"/>
        <v>0</v>
      </c>
      <c r="Q533" s="13">
        <f t="shared" si="153"/>
        <v>0</v>
      </c>
      <c r="R533" s="13">
        <f t="shared" si="154"/>
        <v>0</v>
      </c>
      <c r="S533" s="30">
        <f t="shared" si="159"/>
        <v>0</v>
      </c>
      <c r="T533" s="30">
        <f t="shared" si="160"/>
        <v>0</v>
      </c>
      <c r="U533" s="30">
        <f t="shared" si="161"/>
        <v>0</v>
      </c>
      <c r="V533" s="30">
        <f t="shared" si="162"/>
        <v>0</v>
      </c>
      <c r="W533" s="30">
        <f t="shared" si="163"/>
        <v>0</v>
      </c>
      <c r="X533" s="30">
        <f t="shared" si="164"/>
        <v>0</v>
      </c>
      <c r="Z533" s="23" t="s">
        <v>76</v>
      </c>
      <c r="AA533" s="40" t="str">
        <f>IF(C533="Electricity",E533*SUMIFS(Electricity!S:S,Electricity!P:P,UserMade_Scenario!B533,Electricity!M:M,UserMade_Scenario!Z533,Electricity!O:O,UserMade_Scenario!D533),"")</f>
        <v/>
      </c>
      <c r="AB533" s="76">
        <f>1000*Assumptions!$B$17/1000000000000</f>
        <v>1.1999999999999999E-7</v>
      </c>
      <c r="AC533" s="67" t="s">
        <v>77</v>
      </c>
      <c r="AD533" s="39">
        <f>SUMIFS(Hydrogen!AK:AK,Hydrogen!$AA:$AA,UserMade_Scenario!$Z533,Hydrogen!$Y:$Y,UserMade_Scenario!$D533,Hydrogen!$AB:$AB,UserMade_Scenario!$B533,Hydrogen!$Z:$Z,UserMade_Scenario!$C533)</f>
        <v>-85.709877469537048</v>
      </c>
      <c r="AE533" s="39">
        <f>SUMIFS(Hydrogen!AL:AL,Hydrogen!$AA:$AA,UserMade_Scenario!$Z533,Hydrogen!$Y:$Y,UserMade_Scenario!$D533,Hydrogen!$AB:$AB,UserMade_Scenario!$B533,Hydrogen!$Z:$Z,UserMade_Scenario!$C533)</f>
        <v>-81.479754939074112</v>
      </c>
      <c r="AF533" s="39">
        <f>SUMIFS(Hydrogen!AM:AM,Hydrogen!$AA:$AA,UserMade_Scenario!$Z533,Hydrogen!$Y:$Y,UserMade_Scenario!$D533,Hydrogen!$AB:$AB,UserMade_Scenario!$B533,Hydrogen!$Z:$Z,UserMade_Scenario!$C533)</f>
        <v>-89.94</v>
      </c>
      <c r="AG533" s="68">
        <f>IFERROR(INDEX(WaterUseH2[Average Direct Water Consumption (Gal/ kg h2)],MATCH(LEFT(D533,3),WaterUseH2[Key],0)),0)</f>
        <v>4.0999999999999996</v>
      </c>
      <c r="AH533">
        <v>14</v>
      </c>
      <c r="AI533">
        <v>1.4</v>
      </c>
      <c r="AJ533">
        <v>250</v>
      </c>
      <c r="AK533">
        <v>0.31</v>
      </c>
      <c r="AL533" s="63">
        <f>IFERROR(INDEX(Job_Training[[Solar]:[Wind]],MATCH(AL$1,Job_Training[[`Typical Entry Level Education`]:[`Typical Entry Level Education`]],0),MATCH(LEFT($D533,5),Job_Training[[#Headers],[Solar]:[Wind]],0)),0)</f>
        <v>0</v>
      </c>
      <c r="AM533" s="63">
        <f>IFERROR(INDEX(Job_Training[[Solar]:[Wind]],MATCH(AM$1,Job_Training[[`Typical Entry Level Education`]:[`Typical Entry Level Education`]],0),MATCH(LEFT($D533,5),Job_Training[[#Headers],[Solar]:[Wind]],0)),0)</f>
        <v>0</v>
      </c>
      <c r="AN533" s="63">
        <f>IFERROR(INDEX(Job_Training[[Solar]:[Wind]],MATCH(AN$1,Job_Training[[`Typical Entry Level Education`]:[`Typical Entry Level Education`]],0),MATCH(LEFT($D533,5),Job_Training[[#Headers],[Solar]:[Wind]],0)),0)</f>
        <v>0</v>
      </c>
      <c r="AO533" s="63">
        <f>IFERROR(INDEX(Job_Training[[Solar]:[Wind]],MATCH(AO$1,Job_Training[[`Typical Entry Level Education`]:[`Typical Entry Level Education`]],0),MATCH(LEFT($D533,5),Job_Training[[#Headers],[Solar]:[Wind]],0)),0)</f>
        <v>0</v>
      </c>
      <c r="AP533">
        <f t="shared" si="165"/>
        <v>0</v>
      </c>
      <c r="AQ533" s="63">
        <f>IF(AP533&gt;0,IFERROR(INDEX(Assumptions!$C$165:$D$165,MATCH(LEFT($D533,5),Job_Training[[#Headers],[Solar]:[Wind]],0)),0),0)</f>
        <v>0</v>
      </c>
      <c r="AR533">
        <f>IF(AP533&gt;0,IFERROR(INDEX(Assumptions!$C$166:$D$166,MATCH(LEFT($D533,5),Job_Training[[#Headers],[Solar]:[Wind]],0)),0),0)</f>
        <v>0</v>
      </c>
    </row>
    <row r="534" spans="1:44" hidden="1" x14ac:dyDescent="0.35">
      <c r="A534" t="str">
        <f>UserInput!$B$56</f>
        <v>Max Buildout</v>
      </c>
      <c r="B534">
        <v>2032</v>
      </c>
      <c r="C534" t="s">
        <v>78</v>
      </c>
      <c r="D534" t="s">
        <v>79</v>
      </c>
      <c r="E534" s="66">
        <f>INDEX(UserInput!$C$56:$M$76,MATCH(UserMade_Scenario!B534,UserInput!$A$56:$A$76,0),MATCH(LEFT(IF(RIGHT(C534,2)="H2",UserMade_Scenario!C534,D534),3),UserInput!$C$25:$M$25,0))</f>
        <v>49275</v>
      </c>
      <c r="F534" s="14" t="s">
        <v>75</v>
      </c>
      <c r="G534" s="14">
        <f t="shared" si="155"/>
        <v>5.9129999999999999E-3</v>
      </c>
      <c r="H534" s="63">
        <f t="shared" si="156"/>
        <v>0.5021391321763865</v>
      </c>
      <c r="I534" s="63">
        <f t="shared" si="157"/>
        <v>0.47246304435277298</v>
      </c>
      <c r="J534" s="63">
        <f t="shared" si="158"/>
        <v>0.53181521999999992</v>
      </c>
      <c r="K534" s="30">
        <f>IF(OR(LEFT($D534,5)="Solar",$D534="Wind"),INDEX(Land_Use[AVG],MATCH(LEFT($D534,5),Land_Use[Tech],0)),0)*$E534</f>
        <v>0</v>
      </c>
      <c r="L534" s="30">
        <f>IF(OR(LEFT($D534,5)="Solar",$D534="Wind"),INDEX(Land_Use[MIN],MATCH(LEFT($D534,5),Land_Use[Tech],0)),0)*$E534</f>
        <v>0</v>
      </c>
      <c r="M534" s="30">
        <f>IF(OR(LEFT($D534,5)="Solar",$D534="Wind"),INDEX(Land_Use[MAX],MATCH(LEFT($D534,5),Land_Use[Tech],0)),0)*$E534</f>
        <v>0</v>
      </c>
      <c r="N534" s="13">
        <f t="shared" si="150"/>
        <v>202.02749999999997</v>
      </c>
      <c r="O534" s="13">
        <f t="shared" si="151"/>
        <v>0</v>
      </c>
      <c r="P534" s="13">
        <f t="shared" si="152"/>
        <v>0</v>
      </c>
      <c r="Q534" s="13">
        <f t="shared" si="153"/>
        <v>0</v>
      </c>
      <c r="R534" s="13">
        <f t="shared" si="154"/>
        <v>0</v>
      </c>
      <c r="S534" s="30">
        <f t="shared" si="159"/>
        <v>0</v>
      </c>
      <c r="T534" s="30">
        <f t="shared" si="160"/>
        <v>0</v>
      </c>
      <c r="U534" s="30">
        <f t="shared" si="161"/>
        <v>0</v>
      </c>
      <c r="V534" s="30">
        <f t="shared" si="162"/>
        <v>0</v>
      </c>
      <c r="W534" s="30">
        <f t="shared" si="163"/>
        <v>0</v>
      </c>
      <c r="X534" s="30">
        <f t="shared" si="164"/>
        <v>0</v>
      </c>
      <c r="Z534" s="23" t="s">
        <v>76</v>
      </c>
      <c r="AA534" s="40" t="str">
        <f>IF(C534="Electricity",E534*SUMIFS(Electricity!S:S,Electricity!P:P,UserMade_Scenario!B534,Electricity!M:M,UserMade_Scenario!Z534,Electricity!O:O,UserMade_Scenario!D534),"")</f>
        <v/>
      </c>
      <c r="AB534" s="76">
        <f>1000*Assumptions!$B$17/1000000000000</f>
        <v>1.1999999999999999E-7</v>
      </c>
      <c r="AC534" s="67" t="s">
        <v>77</v>
      </c>
      <c r="AD534" s="39">
        <f>SUMIFS(Hydrogen!AK:AK,Hydrogen!$AA:$AA,UserMade_Scenario!$Z534,Hydrogen!$Y:$Y,UserMade_Scenario!$D534,Hydrogen!$AB:$AB,UserMade_Scenario!$B534,Hydrogen!$Z:$Z,UserMade_Scenario!$C534)</f>
        <v>-84.921212950513535</v>
      </c>
      <c r="AE534" s="39">
        <f>SUMIFS(Hydrogen!AL:AL,Hydrogen!$AA:$AA,UserMade_Scenario!$Z534,Hydrogen!$Y:$Y,UserMade_Scenario!$D534,Hydrogen!$AB:$AB,UserMade_Scenario!$B534,Hydrogen!$Z:$Z,UserMade_Scenario!$C534)</f>
        <v>-79.902425901027058</v>
      </c>
      <c r="AF534" s="39">
        <f>SUMIFS(Hydrogen!AM:AM,Hydrogen!$AA:$AA,UserMade_Scenario!$Z534,Hydrogen!$Y:$Y,UserMade_Scenario!$D534,Hydrogen!$AB:$AB,UserMade_Scenario!$B534,Hydrogen!$Z:$Z,UserMade_Scenario!$C534)</f>
        <v>-89.94</v>
      </c>
      <c r="AG534" s="68">
        <f>IFERROR(INDEX(WaterUseH2[Average Direct Water Consumption (Gal/ kg h2)],MATCH(LEFT(D534,3),WaterUseH2[Key],0)),0)</f>
        <v>4.0999999999999996</v>
      </c>
      <c r="AH534">
        <v>14</v>
      </c>
      <c r="AI534">
        <v>1.4</v>
      </c>
      <c r="AJ534">
        <v>250</v>
      </c>
      <c r="AK534">
        <v>0.31</v>
      </c>
      <c r="AL534" s="63">
        <f>IFERROR(INDEX(Job_Training[[Solar]:[Wind]],MATCH(AL$1,Job_Training[[`Typical Entry Level Education`]:[`Typical Entry Level Education`]],0),MATCH(LEFT($D534,5),Job_Training[[#Headers],[Solar]:[Wind]],0)),0)</f>
        <v>0</v>
      </c>
      <c r="AM534" s="63">
        <f>IFERROR(INDEX(Job_Training[[Solar]:[Wind]],MATCH(AM$1,Job_Training[[`Typical Entry Level Education`]:[`Typical Entry Level Education`]],0),MATCH(LEFT($D534,5),Job_Training[[#Headers],[Solar]:[Wind]],0)),0)</f>
        <v>0</v>
      </c>
      <c r="AN534" s="63">
        <f>IFERROR(INDEX(Job_Training[[Solar]:[Wind]],MATCH(AN$1,Job_Training[[`Typical Entry Level Education`]:[`Typical Entry Level Education`]],0),MATCH(LEFT($D534,5),Job_Training[[#Headers],[Solar]:[Wind]],0)),0)</f>
        <v>0</v>
      </c>
      <c r="AO534" s="63">
        <f>IFERROR(INDEX(Job_Training[[Solar]:[Wind]],MATCH(AO$1,Job_Training[[`Typical Entry Level Education`]:[`Typical Entry Level Education`]],0),MATCH(LEFT($D534,5),Job_Training[[#Headers],[Solar]:[Wind]],0)),0)</f>
        <v>0</v>
      </c>
      <c r="AP534">
        <f t="shared" si="165"/>
        <v>0</v>
      </c>
      <c r="AQ534" s="63">
        <f>IF(AP534&gt;0,IFERROR(INDEX(Assumptions!$C$165:$D$165,MATCH(LEFT($D534,5),Job_Training[[#Headers],[Solar]:[Wind]],0)),0),0)</f>
        <v>0</v>
      </c>
      <c r="AR534">
        <f>IF(AP534&gt;0,IFERROR(INDEX(Assumptions!$C$166:$D$166,MATCH(LEFT($D534,5),Job_Training[[#Headers],[Solar]:[Wind]],0)),0),0)</f>
        <v>0</v>
      </c>
    </row>
    <row r="535" spans="1:44" hidden="1" x14ac:dyDescent="0.35">
      <c r="A535" t="str">
        <f>UserInput!$B$56</f>
        <v>Max Buildout</v>
      </c>
      <c r="B535">
        <v>2033</v>
      </c>
      <c r="C535" t="s">
        <v>78</v>
      </c>
      <c r="D535" t="s">
        <v>79</v>
      </c>
      <c r="E535" s="66">
        <f>INDEX(UserInput!$C$56:$M$76,MATCH(UserMade_Scenario!B535,UserInput!$A$56:$A$76,0),MATCH(LEFT(IF(RIGHT(C535,2)="H2",UserMade_Scenario!C535,D535),3),UserInput!$C$25:$M$25,0))</f>
        <v>65700</v>
      </c>
      <c r="F535" s="14" t="s">
        <v>75</v>
      </c>
      <c r="G535" s="14">
        <f t="shared" si="155"/>
        <v>7.8839999999999986E-3</v>
      </c>
      <c r="H535" s="63">
        <f t="shared" si="156"/>
        <v>0.66237817008633926</v>
      </c>
      <c r="I535" s="63">
        <f t="shared" si="157"/>
        <v>0.61566938017267869</v>
      </c>
      <c r="J535" s="63">
        <f t="shared" si="158"/>
        <v>0.70908695999999982</v>
      </c>
      <c r="K535" s="30">
        <f>IF(OR(LEFT($D535,5)="Solar",$D535="Wind"),INDEX(Land_Use[AVG],MATCH(LEFT($D535,5),Land_Use[Tech],0)),0)*$E535</f>
        <v>0</v>
      </c>
      <c r="L535" s="30">
        <f>IF(OR(LEFT($D535,5)="Solar",$D535="Wind"),INDEX(Land_Use[MIN],MATCH(LEFT($D535,5),Land_Use[Tech],0)),0)*$E535</f>
        <v>0</v>
      </c>
      <c r="M535" s="30">
        <f>IF(OR(LEFT($D535,5)="Solar",$D535="Wind"),INDEX(Land_Use[MAX],MATCH(LEFT($D535,5),Land_Use[Tech],0)),0)*$E535</f>
        <v>0</v>
      </c>
      <c r="N535" s="13">
        <f t="shared" si="150"/>
        <v>269.37</v>
      </c>
      <c r="O535" s="13">
        <f t="shared" si="151"/>
        <v>0</v>
      </c>
      <c r="P535" s="13">
        <f t="shared" si="152"/>
        <v>0</v>
      </c>
      <c r="Q535" s="13">
        <f t="shared" si="153"/>
        <v>0</v>
      </c>
      <c r="R535" s="13">
        <f t="shared" si="154"/>
        <v>0</v>
      </c>
      <c r="S535" s="30">
        <f t="shared" si="159"/>
        <v>0</v>
      </c>
      <c r="T535" s="30">
        <f t="shared" si="160"/>
        <v>0</v>
      </c>
      <c r="U535" s="30">
        <f t="shared" si="161"/>
        <v>0</v>
      </c>
      <c r="V535" s="30">
        <f t="shared" si="162"/>
        <v>0</v>
      </c>
      <c r="W535" s="30">
        <f t="shared" si="163"/>
        <v>0</v>
      </c>
      <c r="X535" s="30">
        <f t="shared" si="164"/>
        <v>0</v>
      </c>
      <c r="Z535" s="23" t="s">
        <v>76</v>
      </c>
      <c r="AA535" s="40" t="str">
        <f>IF(C535="Electricity",E535*SUMIFS(Electricity!S:S,Electricity!P:P,UserMade_Scenario!B535,Electricity!M:M,UserMade_Scenario!Z535,Electricity!O:O,UserMade_Scenario!D535),"")</f>
        <v/>
      </c>
      <c r="AB535" s="76">
        <f>1000*Assumptions!$B$17/1000000000000</f>
        <v>1.1999999999999999E-7</v>
      </c>
      <c r="AC535" s="67" t="s">
        <v>77</v>
      </c>
      <c r="AD535" s="39">
        <f>SUMIFS(Hydrogen!AK:AK,Hydrogen!$AA:$AA,UserMade_Scenario!$Z535,Hydrogen!$Y:$Y,UserMade_Scenario!$D535,Hydrogen!$AB:$AB,UserMade_Scenario!$B535,Hydrogen!$Z:$Z,UserMade_Scenario!$C535)</f>
        <v>-84.015495952097837</v>
      </c>
      <c r="AE535" s="39">
        <f>SUMIFS(Hydrogen!AL:AL,Hydrogen!$AA:$AA,UserMade_Scenario!$Z535,Hydrogen!$Y:$Y,UserMade_Scenario!$D535,Hydrogen!$AB:$AB,UserMade_Scenario!$B535,Hydrogen!$Z:$Z,UserMade_Scenario!$C535)</f>
        <v>-78.09099190419569</v>
      </c>
      <c r="AF535" s="39">
        <f>SUMIFS(Hydrogen!AM:AM,Hydrogen!$AA:$AA,UserMade_Scenario!$Z535,Hydrogen!$Y:$Y,UserMade_Scenario!$D535,Hydrogen!$AB:$AB,UserMade_Scenario!$B535,Hydrogen!$Z:$Z,UserMade_Scenario!$C535)</f>
        <v>-89.94</v>
      </c>
      <c r="AG535" s="68">
        <f>IFERROR(INDEX(WaterUseH2[Average Direct Water Consumption (Gal/ kg h2)],MATCH(LEFT(D535,3),WaterUseH2[Key],0)),0)</f>
        <v>4.0999999999999996</v>
      </c>
      <c r="AH535">
        <v>14</v>
      </c>
      <c r="AI535">
        <v>1.4</v>
      </c>
      <c r="AJ535">
        <v>250</v>
      </c>
      <c r="AK535">
        <v>0.31</v>
      </c>
      <c r="AL535" s="63">
        <f>IFERROR(INDEX(Job_Training[[Solar]:[Wind]],MATCH(AL$1,Job_Training[[`Typical Entry Level Education`]:[`Typical Entry Level Education`]],0),MATCH(LEFT($D535,5),Job_Training[[#Headers],[Solar]:[Wind]],0)),0)</f>
        <v>0</v>
      </c>
      <c r="AM535" s="63">
        <f>IFERROR(INDEX(Job_Training[[Solar]:[Wind]],MATCH(AM$1,Job_Training[[`Typical Entry Level Education`]:[`Typical Entry Level Education`]],0),MATCH(LEFT($D535,5),Job_Training[[#Headers],[Solar]:[Wind]],0)),0)</f>
        <v>0</v>
      </c>
      <c r="AN535" s="63">
        <f>IFERROR(INDEX(Job_Training[[Solar]:[Wind]],MATCH(AN$1,Job_Training[[`Typical Entry Level Education`]:[`Typical Entry Level Education`]],0),MATCH(LEFT($D535,5),Job_Training[[#Headers],[Solar]:[Wind]],0)),0)</f>
        <v>0</v>
      </c>
      <c r="AO535" s="63">
        <f>IFERROR(INDEX(Job_Training[[Solar]:[Wind]],MATCH(AO$1,Job_Training[[`Typical Entry Level Education`]:[`Typical Entry Level Education`]],0),MATCH(LEFT($D535,5),Job_Training[[#Headers],[Solar]:[Wind]],0)),0)</f>
        <v>0</v>
      </c>
      <c r="AP535">
        <f t="shared" si="165"/>
        <v>0</v>
      </c>
      <c r="AQ535" s="63">
        <f>IF(AP535&gt;0,IFERROR(INDEX(Assumptions!$C$165:$D$165,MATCH(LEFT($D535,5),Job_Training[[#Headers],[Solar]:[Wind]],0)),0),0)</f>
        <v>0</v>
      </c>
      <c r="AR535">
        <f>IF(AP535&gt;0,IFERROR(INDEX(Assumptions!$C$166:$D$166,MATCH(LEFT($D535,5),Job_Training[[#Headers],[Solar]:[Wind]],0)),0),0)</f>
        <v>0</v>
      </c>
    </row>
    <row r="536" spans="1:44" hidden="1" x14ac:dyDescent="0.35">
      <c r="A536" t="str">
        <f>UserInput!$B$56</f>
        <v>Max Buildout</v>
      </c>
      <c r="B536">
        <v>2034</v>
      </c>
      <c r="C536" t="s">
        <v>78</v>
      </c>
      <c r="D536" t="s">
        <v>79</v>
      </c>
      <c r="E536" s="66">
        <f>INDEX(UserInput!$C$56:$M$76,MATCH(UserMade_Scenario!B536,UserInput!$A$56:$A$76,0),MATCH(LEFT(IF(RIGHT(C536,2)="H2",UserMade_Scenario!C536,D536),3),UserInput!$C$25:$M$25,0))</f>
        <v>82125</v>
      </c>
      <c r="F536" s="14" t="s">
        <v>75</v>
      </c>
      <c r="G536" s="14">
        <f t="shared" si="155"/>
        <v>9.8549999999999992E-3</v>
      </c>
      <c r="H536" s="63">
        <f t="shared" si="156"/>
        <v>0.81801622944864871</v>
      </c>
      <c r="I536" s="63">
        <f t="shared" si="157"/>
        <v>0.74967375889729748</v>
      </c>
      <c r="J536" s="63">
        <f t="shared" si="158"/>
        <v>0.88635869999999994</v>
      </c>
      <c r="K536" s="30">
        <f>IF(OR(LEFT($D536,5)="Solar",$D536="Wind"),INDEX(Land_Use[AVG],MATCH(LEFT($D536,5),Land_Use[Tech],0)),0)*$E536</f>
        <v>0</v>
      </c>
      <c r="L536" s="30">
        <f>IF(OR(LEFT($D536,5)="Solar",$D536="Wind"),INDEX(Land_Use[MIN],MATCH(LEFT($D536,5),Land_Use[Tech],0)),0)*$E536</f>
        <v>0</v>
      </c>
      <c r="M536" s="30">
        <f>IF(OR(LEFT($D536,5)="Solar",$D536="Wind"),INDEX(Land_Use[MAX],MATCH(LEFT($D536,5),Land_Use[Tech],0)),0)*$E536</f>
        <v>0</v>
      </c>
      <c r="N536" s="13">
        <f t="shared" si="150"/>
        <v>336.71249999999992</v>
      </c>
      <c r="O536" s="13">
        <f t="shared" si="151"/>
        <v>0</v>
      </c>
      <c r="P536" s="13">
        <f t="shared" si="152"/>
        <v>0</v>
      </c>
      <c r="Q536" s="13">
        <f t="shared" si="153"/>
        <v>0</v>
      </c>
      <c r="R536" s="13">
        <f t="shared" si="154"/>
        <v>0</v>
      </c>
      <c r="S536" s="30">
        <f t="shared" si="159"/>
        <v>0</v>
      </c>
      <c r="T536" s="30">
        <f t="shared" si="160"/>
        <v>0</v>
      </c>
      <c r="U536" s="30">
        <f t="shared" si="161"/>
        <v>0</v>
      </c>
      <c r="V536" s="30">
        <f t="shared" si="162"/>
        <v>0</v>
      </c>
      <c r="W536" s="30">
        <f t="shared" si="163"/>
        <v>0</v>
      </c>
      <c r="X536" s="30">
        <f t="shared" si="164"/>
        <v>0</v>
      </c>
      <c r="Z536" s="23" t="s">
        <v>76</v>
      </c>
      <c r="AA536" s="40" t="str">
        <f>IF(C536="Electricity",E536*SUMIFS(Electricity!S:S,Electricity!P:P,UserMade_Scenario!B536,Electricity!M:M,UserMade_Scenario!Z536,Electricity!O:O,UserMade_Scenario!D536),"")</f>
        <v/>
      </c>
      <c r="AB536" s="76">
        <f>1000*Assumptions!$B$17/1000000000000</f>
        <v>1.1999999999999999E-7</v>
      </c>
      <c r="AC536" s="67" t="s">
        <v>77</v>
      </c>
      <c r="AD536" s="39">
        <f>SUMIFS(Hydrogen!AK:AK,Hydrogen!$AA:$AA,UserMade_Scenario!$Z536,Hydrogen!$Y:$Y,UserMade_Scenario!$D536,Hydrogen!$AB:$AB,UserMade_Scenario!$B536,Hydrogen!$Z:$Z,UserMade_Scenario!$C536)</f>
        <v>-83.005198320512307</v>
      </c>
      <c r="AE536" s="39">
        <f>SUMIFS(Hydrogen!AL:AL,Hydrogen!$AA:$AA,UserMade_Scenario!$Z536,Hydrogen!$Y:$Y,UserMade_Scenario!$D536,Hydrogen!$AB:$AB,UserMade_Scenario!$B536,Hydrogen!$Z:$Z,UserMade_Scenario!$C536)</f>
        <v>-76.070396641024615</v>
      </c>
      <c r="AF536" s="39">
        <f>SUMIFS(Hydrogen!AM:AM,Hydrogen!$AA:$AA,UserMade_Scenario!$Z536,Hydrogen!$Y:$Y,UserMade_Scenario!$D536,Hydrogen!$AB:$AB,UserMade_Scenario!$B536,Hydrogen!$Z:$Z,UserMade_Scenario!$C536)</f>
        <v>-89.94</v>
      </c>
      <c r="AG536" s="68">
        <f>IFERROR(INDEX(WaterUseH2[Average Direct Water Consumption (Gal/ kg h2)],MATCH(LEFT(D536,3),WaterUseH2[Key],0)),0)</f>
        <v>4.0999999999999996</v>
      </c>
      <c r="AH536">
        <v>14</v>
      </c>
      <c r="AI536">
        <v>1.4</v>
      </c>
      <c r="AJ536">
        <v>250</v>
      </c>
      <c r="AK536">
        <v>0.31</v>
      </c>
      <c r="AL536" s="63">
        <f>IFERROR(INDEX(Job_Training[[Solar]:[Wind]],MATCH(AL$1,Job_Training[[`Typical Entry Level Education`]:[`Typical Entry Level Education`]],0),MATCH(LEFT($D536,5),Job_Training[[#Headers],[Solar]:[Wind]],0)),0)</f>
        <v>0</v>
      </c>
      <c r="AM536" s="63">
        <f>IFERROR(INDEX(Job_Training[[Solar]:[Wind]],MATCH(AM$1,Job_Training[[`Typical Entry Level Education`]:[`Typical Entry Level Education`]],0),MATCH(LEFT($D536,5),Job_Training[[#Headers],[Solar]:[Wind]],0)),0)</f>
        <v>0</v>
      </c>
      <c r="AN536" s="63">
        <f>IFERROR(INDEX(Job_Training[[Solar]:[Wind]],MATCH(AN$1,Job_Training[[`Typical Entry Level Education`]:[`Typical Entry Level Education`]],0),MATCH(LEFT($D536,5),Job_Training[[#Headers],[Solar]:[Wind]],0)),0)</f>
        <v>0</v>
      </c>
      <c r="AO536" s="63">
        <f>IFERROR(INDEX(Job_Training[[Solar]:[Wind]],MATCH(AO$1,Job_Training[[`Typical Entry Level Education`]:[`Typical Entry Level Education`]],0),MATCH(LEFT($D536,5),Job_Training[[#Headers],[Solar]:[Wind]],0)),0)</f>
        <v>0</v>
      </c>
      <c r="AP536">
        <f t="shared" si="165"/>
        <v>0</v>
      </c>
      <c r="AQ536" s="63">
        <f>IF(AP536&gt;0,IFERROR(INDEX(Assumptions!$C$165:$D$165,MATCH(LEFT($D536,5),Job_Training[[#Headers],[Solar]:[Wind]],0)),0),0)</f>
        <v>0</v>
      </c>
      <c r="AR536">
        <f>IF(AP536&gt;0,IFERROR(INDEX(Assumptions!$C$166:$D$166,MATCH(LEFT($D536,5),Job_Training[[#Headers],[Solar]:[Wind]],0)),0),0)</f>
        <v>0</v>
      </c>
    </row>
    <row r="537" spans="1:44" hidden="1" x14ac:dyDescent="0.35">
      <c r="A537" t="str">
        <f>UserInput!$B$56</f>
        <v>Max Buildout</v>
      </c>
      <c r="B537">
        <v>2035</v>
      </c>
      <c r="C537" t="s">
        <v>78</v>
      </c>
      <c r="D537" t="s">
        <v>79</v>
      </c>
      <c r="E537" s="66">
        <f>INDEX(UserInput!$C$56:$M$76,MATCH(UserMade_Scenario!B537,UserInput!$A$56:$A$76,0),MATCH(LEFT(IF(RIGHT(C537,2)="H2",UserMade_Scenario!C537,D537),3),UserInput!$C$25:$M$25,0))</f>
        <v>98550</v>
      </c>
      <c r="F537" s="14" t="s">
        <v>75</v>
      </c>
      <c r="G537" s="14">
        <f t="shared" si="155"/>
        <v>1.1826E-2</v>
      </c>
      <c r="H537" s="63">
        <f t="shared" si="156"/>
        <v>0.96797771838649127</v>
      </c>
      <c r="I537" s="63">
        <f t="shared" si="157"/>
        <v>0.87232499677298236</v>
      </c>
      <c r="J537" s="63">
        <f t="shared" si="158"/>
        <v>1.0636304399999998</v>
      </c>
      <c r="K537" s="30">
        <f>IF(OR(LEFT($D537,5)="Solar",$D537="Wind"),INDEX(Land_Use[AVG],MATCH(LEFT($D537,5),Land_Use[Tech],0)),0)*$E537</f>
        <v>0</v>
      </c>
      <c r="L537" s="30">
        <f>IF(OR(LEFT($D537,5)="Solar",$D537="Wind"),INDEX(Land_Use[MIN],MATCH(LEFT($D537,5),Land_Use[Tech],0)),0)*$E537</f>
        <v>0</v>
      </c>
      <c r="M537" s="30">
        <f>IF(OR(LEFT($D537,5)="Solar",$D537="Wind"),INDEX(Land_Use[MAX],MATCH(LEFT($D537,5),Land_Use[Tech],0)),0)*$E537</f>
        <v>0</v>
      </c>
      <c r="N537" s="13">
        <f t="shared" si="150"/>
        <v>404.05499999999995</v>
      </c>
      <c r="O537" s="13">
        <f t="shared" si="151"/>
        <v>0</v>
      </c>
      <c r="P537" s="13">
        <f t="shared" si="152"/>
        <v>0</v>
      </c>
      <c r="Q537" s="13">
        <f t="shared" si="153"/>
        <v>0</v>
      </c>
      <c r="R537" s="13">
        <f t="shared" si="154"/>
        <v>0</v>
      </c>
      <c r="S537" s="30">
        <f t="shared" si="159"/>
        <v>0</v>
      </c>
      <c r="T537" s="30">
        <f t="shared" si="160"/>
        <v>0</v>
      </c>
      <c r="U537" s="30">
        <f t="shared" si="161"/>
        <v>0</v>
      </c>
      <c r="V537" s="30">
        <f t="shared" si="162"/>
        <v>0</v>
      </c>
      <c r="W537" s="30">
        <f t="shared" si="163"/>
        <v>0</v>
      </c>
      <c r="X537" s="30">
        <f t="shared" si="164"/>
        <v>0</v>
      </c>
      <c r="Z537" s="23" t="s">
        <v>76</v>
      </c>
      <c r="AA537" s="40" t="str">
        <f>IF(C537="Electricity",E537*SUMIFS(Electricity!S:S,Electricity!P:P,UserMade_Scenario!B537,Electricity!M:M,UserMade_Scenario!Z537,Electricity!O:O,UserMade_Scenario!D537),"")</f>
        <v/>
      </c>
      <c r="AB537" s="76">
        <f>1000*Assumptions!$B$17/1000000000000</f>
        <v>1.1999999999999999E-7</v>
      </c>
      <c r="AC537" s="67" t="s">
        <v>77</v>
      </c>
      <c r="AD537" s="39">
        <f>SUMIFS(Hydrogen!AK:AK,Hydrogen!$AA:$AA,UserMade_Scenario!$Z537,Hydrogen!$Y:$Y,UserMade_Scenario!$D537,Hydrogen!$AB:$AB,UserMade_Scenario!$B537,Hydrogen!$Z:$Z,UserMade_Scenario!$C537)</f>
        <v>-81.851658919879185</v>
      </c>
      <c r="AE537" s="39">
        <f>SUMIFS(Hydrogen!AL:AL,Hydrogen!$AA:$AA,UserMade_Scenario!$Z537,Hydrogen!$Y:$Y,UserMade_Scenario!$D537,Hydrogen!$AB:$AB,UserMade_Scenario!$B537,Hydrogen!$Z:$Z,UserMade_Scenario!$C537)</f>
        <v>-73.763317839758358</v>
      </c>
      <c r="AF537" s="39">
        <f>SUMIFS(Hydrogen!AM:AM,Hydrogen!$AA:$AA,UserMade_Scenario!$Z537,Hydrogen!$Y:$Y,UserMade_Scenario!$D537,Hydrogen!$AB:$AB,UserMade_Scenario!$B537,Hydrogen!$Z:$Z,UserMade_Scenario!$C537)</f>
        <v>-89.94</v>
      </c>
      <c r="AG537" s="68">
        <f>IFERROR(INDEX(WaterUseH2[Average Direct Water Consumption (Gal/ kg h2)],MATCH(LEFT(D537,3),WaterUseH2[Key],0)),0)</f>
        <v>4.0999999999999996</v>
      </c>
      <c r="AH537">
        <v>14</v>
      </c>
      <c r="AI537">
        <v>1.4</v>
      </c>
      <c r="AJ537">
        <v>250</v>
      </c>
      <c r="AK537">
        <v>0.31</v>
      </c>
      <c r="AL537" s="63">
        <f>IFERROR(INDEX(Job_Training[[Solar]:[Wind]],MATCH(AL$1,Job_Training[[`Typical Entry Level Education`]:[`Typical Entry Level Education`]],0),MATCH(LEFT($D537,5),Job_Training[[#Headers],[Solar]:[Wind]],0)),0)</f>
        <v>0</v>
      </c>
      <c r="AM537" s="63">
        <f>IFERROR(INDEX(Job_Training[[Solar]:[Wind]],MATCH(AM$1,Job_Training[[`Typical Entry Level Education`]:[`Typical Entry Level Education`]],0),MATCH(LEFT($D537,5),Job_Training[[#Headers],[Solar]:[Wind]],0)),0)</f>
        <v>0</v>
      </c>
      <c r="AN537" s="63">
        <f>IFERROR(INDEX(Job_Training[[Solar]:[Wind]],MATCH(AN$1,Job_Training[[`Typical Entry Level Education`]:[`Typical Entry Level Education`]],0),MATCH(LEFT($D537,5),Job_Training[[#Headers],[Solar]:[Wind]],0)),0)</f>
        <v>0</v>
      </c>
      <c r="AO537" s="63">
        <f>IFERROR(INDEX(Job_Training[[Solar]:[Wind]],MATCH(AO$1,Job_Training[[`Typical Entry Level Education`]:[`Typical Entry Level Education`]],0),MATCH(LEFT($D537,5),Job_Training[[#Headers],[Solar]:[Wind]],0)),0)</f>
        <v>0</v>
      </c>
      <c r="AP537">
        <f t="shared" si="165"/>
        <v>0</v>
      </c>
      <c r="AQ537" s="63">
        <f>IF(AP537&gt;0,IFERROR(INDEX(Assumptions!$C$165:$D$165,MATCH(LEFT($D537,5),Job_Training[[#Headers],[Solar]:[Wind]],0)),0),0)</f>
        <v>0</v>
      </c>
      <c r="AR537">
        <f>IF(AP537&gt;0,IFERROR(INDEX(Assumptions!$C$166:$D$166,MATCH(LEFT($D537,5),Job_Training[[#Headers],[Solar]:[Wind]],0)),0),0)</f>
        <v>0</v>
      </c>
    </row>
    <row r="538" spans="1:44" hidden="1" x14ac:dyDescent="0.35">
      <c r="A538" t="str">
        <f>UserInput!$B$56</f>
        <v>Max Buildout</v>
      </c>
      <c r="B538">
        <v>2036</v>
      </c>
      <c r="C538" t="s">
        <v>78</v>
      </c>
      <c r="D538" t="s">
        <v>79</v>
      </c>
      <c r="E538" s="66">
        <f>INDEX(UserInput!$C$56:$M$76,MATCH(UserMade_Scenario!B538,UserInput!$A$56:$A$76,0),MATCH(LEFT(IF(RIGHT(C538,2)="H2",UserMade_Scenario!C538,D538),3),UserInput!$C$25:$M$25,0))</f>
        <v>114975</v>
      </c>
      <c r="F538" s="14" t="s">
        <v>75</v>
      </c>
      <c r="G538" s="14">
        <f t="shared" si="155"/>
        <v>1.3796999999999999E-2</v>
      </c>
      <c r="H538" s="63">
        <f t="shared" si="156"/>
        <v>1.112236506389616</v>
      </c>
      <c r="I538" s="63">
        <f t="shared" si="157"/>
        <v>0.9835708327792323</v>
      </c>
      <c r="J538" s="63">
        <f t="shared" si="158"/>
        <v>1.2409021799999997</v>
      </c>
      <c r="K538" s="30">
        <f>IF(OR(LEFT($D538,5)="Solar",$D538="Wind"),INDEX(Land_Use[AVG],MATCH(LEFT($D538,5),Land_Use[Tech],0)),0)*$E538</f>
        <v>0</v>
      </c>
      <c r="L538" s="30">
        <f>IF(OR(LEFT($D538,5)="Solar",$D538="Wind"),INDEX(Land_Use[MIN],MATCH(LEFT($D538,5),Land_Use[Tech],0)),0)*$E538</f>
        <v>0</v>
      </c>
      <c r="M538" s="30">
        <f>IF(OR(LEFT($D538,5)="Solar",$D538="Wind"),INDEX(Land_Use[MAX],MATCH(LEFT($D538,5),Land_Use[Tech],0)),0)*$E538</f>
        <v>0</v>
      </c>
      <c r="N538" s="13">
        <f t="shared" si="150"/>
        <v>471.39749999999992</v>
      </c>
      <c r="O538" s="13">
        <f t="shared" si="151"/>
        <v>0</v>
      </c>
      <c r="P538" s="13">
        <f t="shared" si="152"/>
        <v>0</v>
      </c>
      <c r="Q538" s="13">
        <f t="shared" si="153"/>
        <v>0</v>
      </c>
      <c r="R538" s="13">
        <f t="shared" si="154"/>
        <v>0</v>
      </c>
      <c r="S538" s="30">
        <f t="shared" si="159"/>
        <v>0</v>
      </c>
      <c r="T538" s="30">
        <f t="shared" si="160"/>
        <v>0</v>
      </c>
      <c r="U538" s="30">
        <f t="shared" si="161"/>
        <v>0</v>
      </c>
      <c r="V538" s="30">
        <f t="shared" si="162"/>
        <v>0</v>
      </c>
      <c r="W538" s="30">
        <f t="shared" si="163"/>
        <v>0</v>
      </c>
      <c r="X538" s="30">
        <f t="shared" si="164"/>
        <v>0</v>
      </c>
      <c r="Z538" s="23" t="s">
        <v>76</v>
      </c>
      <c r="AA538" s="40" t="str">
        <f>IF(C538="Electricity",E538*SUMIFS(Electricity!S:S,Electricity!P:P,UserMade_Scenario!B538,Electricity!M:M,UserMade_Scenario!Z538,Electricity!O:O,UserMade_Scenario!D538),"")</f>
        <v/>
      </c>
      <c r="AB538" s="76">
        <f>1000*Assumptions!$B$17/1000000000000</f>
        <v>1.1999999999999999E-7</v>
      </c>
      <c r="AC538" s="67" t="s">
        <v>77</v>
      </c>
      <c r="AD538" s="39">
        <f>SUMIFS(Hydrogen!AK:AK,Hydrogen!$AA:$AA,UserMade_Scenario!$Z538,Hydrogen!$Y:$Y,UserMade_Scenario!$D538,Hydrogen!$AB:$AB,UserMade_Scenario!$B538,Hydrogen!$Z:$Z,UserMade_Scenario!$C538)</f>
        <v>-80.61437315283149</v>
      </c>
      <c r="AE538" s="39">
        <f>SUMIFS(Hydrogen!AL:AL,Hydrogen!$AA:$AA,UserMade_Scenario!$Z538,Hydrogen!$Y:$Y,UserMade_Scenario!$D538,Hydrogen!$AB:$AB,UserMade_Scenario!$B538,Hydrogen!$Z:$Z,UserMade_Scenario!$C538)</f>
        <v>-71.288746305662997</v>
      </c>
      <c r="AF538" s="39">
        <f>SUMIFS(Hydrogen!AM:AM,Hydrogen!$AA:$AA,UserMade_Scenario!$Z538,Hydrogen!$Y:$Y,UserMade_Scenario!$D538,Hydrogen!$AB:$AB,UserMade_Scenario!$B538,Hydrogen!$Z:$Z,UserMade_Scenario!$C538)</f>
        <v>-89.94</v>
      </c>
      <c r="AG538" s="68">
        <f>IFERROR(INDEX(WaterUseH2[Average Direct Water Consumption (Gal/ kg h2)],MATCH(LEFT(D538,3),WaterUseH2[Key],0)),0)</f>
        <v>4.0999999999999996</v>
      </c>
      <c r="AH538">
        <v>14</v>
      </c>
      <c r="AI538">
        <v>1.4</v>
      </c>
      <c r="AJ538">
        <v>250</v>
      </c>
      <c r="AK538">
        <v>0.31</v>
      </c>
      <c r="AL538" s="63">
        <f>IFERROR(INDEX(Job_Training[[Solar]:[Wind]],MATCH(AL$1,Job_Training[[`Typical Entry Level Education`]:[`Typical Entry Level Education`]],0),MATCH(LEFT($D538,5),Job_Training[[#Headers],[Solar]:[Wind]],0)),0)</f>
        <v>0</v>
      </c>
      <c r="AM538" s="63">
        <f>IFERROR(INDEX(Job_Training[[Solar]:[Wind]],MATCH(AM$1,Job_Training[[`Typical Entry Level Education`]:[`Typical Entry Level Education`]],0),MATCH(LEFT($D538,5),Job_Training[[#Headers],[Solar]:[Wind]],0)),0)</f>
        <v>0</v>
      </c>
      <c r="AN538" s="63">
        <f>IFERROR(INDEX(Job_Training[[Solar]:[Wind]],MATCH(AN$1,Job_Training[[`Typical Entry Level Education`]:[`Typical Entry Level Education`]],0),MATCH(LEFT($D538,5),Job_Training[[#Headers],[Solar]:[Wind]],0)),0)</f>
        <v>0</v>
      </c>
      <c r="AO538" s="63">
        <f>IFERROR(INDEX(Job_Training[[Solar]:[Wind]],MATCH(AO$1,Job_Training[[`Typical Entry Level Education`]:[`Typical Entry Level Education`]],0),MATCH(LEFT($D538,5),Job_Training[[#Headers],[Solar]:[Wind]],0)),0)</f>
        <v>0</v>
      </c>
      <c r="AP538">
        <f t="shared" si="165"/>
        <v>0</v>
      </c>
      <c r="AQ538" s="63">
        <f>IF(AP538&gt;0,IFERROR(INDEX(Assumptions!$C$165:$D$165,MATCH(LEFT($D538,5),Job_Training[[#Headers],[Solar]:[Wind]],0)),0),0)</f>
        <v>0</v>
      </c>
      <c r="AR538">
        <f>IF(AP538&gt;0,IFERROR(INDEX(Assumptions!$C$166:$D$166,MATCH(LEFT($D538,5),Job_Training[[#Headers],[Solar]:[Wind]],0)),0),0)</f>
        <v>0</v>
      </c>
    </row>
    <row r="539" spans="1:44" hidden="1" x14ac:dyDescent="0.35">
      <c r="A539" t="str">
        <f>UserInput!$B$56</f>
        <v>Max Buildout</v>
      </c>
      <c r="B539">
        <v>2037</v>
      </c>
      <c r="C539" t="s">
        <v>78</v>
      </c>
      <c r="D539" t="s">
        <v>79</v>
      </c>
      <c r="E539" s="66">
        <f>INDEX(UserInput!$C$56:$M$76,MATCH(UserMade_Scenario!B539,UserInput!$A$56:$A$76,0),MATCH(LEFT(IF(RIGHT(C539,2)="H2",UserMade_Scenario!C539,D539),3),UserInput!$C$25:$M$25,0))</f>
        <v>131400</v>
      </c>
      <c r="F539" s="14" t="s">
        <v>75</v>
      </c>
      <c r="G539" s="14">
        <f t="shared" si="155"/>
        <v>1.5767999999999997E-2</v>
      </c>
      <c r="H539" s="63">
        <f t="shared" si="156"/>
        <v>1.2509682179431383</v>
      </c>
      <c r="I539" s="63">
        <f t="shared" si="157"/>
        <v>1.0837625158862774</v>
      </c>
      <c r="J539" s="63">
        <f t="shared" si="158"/>
        <v>1.4181739199999996</v>
      </c>
      <c r="K539" s="30">
        <f>IF(OR(LEFT($D539,5)="Solar",$D539="Wind"),INDEX(Land_Use[AVG],MATCH(LEFT($D539,5),Land_Use[Tech],0)),0)*$E539</f>
        <v>0</v>
      </c>
      <c r="L539" s="30">
        <f>IF(OR(LEFT($D539,5)="Solar",$D539="Wind"),INDEX(Land_Use[MIN],MATCH(LEFT($D539,5),Land_Use[Tech],0)),0)*$E539</f>
        <v>0</v>
      </c>
      <c r="M539" s="30">
        <f>IF(OR(LEFT($D539,5)="Solar",$D539="Wind"),INDEX(Land_Use[MAX],MATCH(LEFT($D539,5),Land_Use[Tech],0)),0)*$E539</f>
        <v>0</v>
      </c>
      <c r="N539" s="13">
        <f t="shared" si="150"/>
        <v>538.74</v>
      </c>
      <c r="O539" s="13">
        <f t="shared" si="151"/>
        <v>0</v>
      </c>
      <c r="P539" s="13">
        <f t="shared" si="152"/>
        <v>0</v>
      </c>
      <c r="Q539" s="13">
        <f t="shared" si="153"/>
        <v>0</v>
      </c>
      <c r="R539" s="13">
        <f t="shared" si="154"/>
        <v>0</v>
      </c>
      <c r="S539" s="30">
        <f t="shared" si="159"/>
        <v>0</v>
      </c>
      <c r="T539" s="30">
        <f t="shared" si="160"/>
        <v>0</v>
      </c>
      <c r="U539" s="30">
        <f t="shared" si="161"/>
        <v>0</v>
      </c>
      <c r="V539" s="30">
        <f t="shared" si="162"/>
        <v>0</v>
      </c>
      <c r="W539" s="30">
        <f t="shared" si="163"/>
        <v>0</v>
      </c>
      <c r="X539" s="30">
        <f t="shared" si="164"/>
        <v>0</v>
      </c>
      <c r="Z539" s="23" t="s">
        <v>76</v>
      </c>
      <c r="AA539" s="40" t="str">
        <f>IF(C539="Electricity",E539*SUMIFS(Electricity!S:S,Electricity!P:P,UserMade_Scenario!B539,Electricity!M:M,UserMade_Scenario!Z539,Electricity!O:O,UserMade_Scenario!D539),"")</f>
        <v/>
      </c>
      <c r="AB539" s="76">
        <f>1000*Assumptions!$B$17/1000000000000</f>
        <v>1.1999999999999999E-7</v>
      </c>
      <c r="AC539" s="67" t="s">
        <v>77</v>
      </c>
      <c r="AD539" s="39">
        <f>SUMIFS(Hydrogen!AK:AK,Hydrogen!$AA:$AA,UserMade_Scenario!$Z539,Hydrogen!$Y:$Y,UserMade_Scenario!$D539,Hydrogen!$AB:$AB,UserMade_Scenario!$B539,Hydrogen!$Z:$Z,UserMade_Scenario!$C539)</f>
        <v>-79.335883938555213</v>
      </c>
      <c r="AE539" s="39">
        <f>SUMIFS(Hydrogen!AL:AL,Hydrogen!$AA:$AA,UserMade_Scenario!$Z539,Hydrogen!$Y:$Y,UserMade_Scenario!$D539,Hydrogen!$AB:$AB,UserMade_Scenario!$B539,Hydrogen!$Z:$Z,UserMade_Scenario!$C539)</f>
        <v>-68.731767877110443</v>
      </c>
      <c r="AF539" s="39">
        <f>SUMIFS(Hydrogen!AM:AM,Hydrogen!$AA:$AA,UserMade_Scenario!$Z539,Hydrogen!$Y:$Y,UserMade_Scenario!$D539,Hydrogen!$AB:$AB,UserMade_Scenario!$B539,Hydrogen!$Z:$Z,UserMade_Scenario!$C539)</f>
        <v>-89.94</v>
      </c>
      <c r="AG539" s="68">
        <f>IFERROR(INDEX(WaterUseH2[Average Direct Water Consumption (Gal/ kg h2)],MATCH(LEFT(D539,3),WaterUseH2[Key],0)),0)</f>
        <v>4.0999999999999996</v>
      </c>
      <c r="AH539">
        <v>14</v>
      </c>
      <c r="AI539">
        <v>1.4</v>
      </c>
      <c r="AJ539">
        <v>250</v>
      </c>
      <c r="AK539">
        <v>0.31</v>
      </c>
      <c r="AL539" s="63">
        <f>IFERROR(INDEX(Job_Training[[Solar]:[Wind]],MATCH(AL$1,Job_Training[[`Typical Entry Level Education`]:[`Typical Entry Level Education`]],0),MATCH(LEFT($D539,5),Job_Training[[#Headers],[Solar]:[Wind]],0)),0)</f>
        <v>0</v>
      </c>
      <c r="AM539" s="63">
        <f>IFERROR(INDEX(Job_Training[[Solar]:[Wind]],MATCH(AM$1,Job_Training[[`Typical Entry Level Education`]:[`Typical Entry Level Education`]],0),MATCH(LEFT($D539,5),Job_Training[[#Headers],[Solar]:[Wind]],0)),0)</f>
        <v>0</v>
      </c>
      <c r="AN539" s="63">
        <f>IFERROR(INDEX(Job_Training[[Solar]:[Wind]],MATCH(AN$1,Job_Training[[`Typical Entry Level Education`]:[`Typical Entry Level Education`]],0),MATCH(LEFT($D539,5),Job_Training[[#Headers],[Solar]:[Wind]],0)),0)</f>
        <v>0</v>
      </c>
      <c r="AO539" s="63">
        <f>IFERROR(INDEX(Job_Training[[Solar]:[Wind]],MATCH(AO$1,Job_Training[[`Typical Entry Level Education`]:[`Typical Entry Level Education`]],0),MATCH(LEFT($D539,5),Job_Training[[#Headers],[Solar]:[Wind]],0)),0)</f>
        <v>0</v>
      </c>
      <c r="AP539">
        <f t="shared" si="165"/>
        <v>0</v>
      </c>
      <c r="AQ539" s="63">
        <f>IF(AP539&gt;0,IFERROR(INDEX(Assumptions!$C$165:$D$165,MATCH(LEFT($D539,5),Job_Training[[#Headers],[Solar]:[Wind]],0)),0),0)</f>
        <v>0</v>
      </c>
      <c r="AR539">
        <f>IF(AP539&gt;0,IFERROR(INDEX(Assumptions!$C$166:$D$166,MATCH(LEFT($D539,5),Job_Training[[#Headers],[Solar]:[Wind]],0)),0),0)</f>
        <v>0</v>
      </c>
    </row>
    <row r="540" spans="1:44" hidden="1" x14ac:dyDescent="0.35">
      <c r="A540" t="str">
        <f>UserInput!$B$56</f>
        <v>Max Buildout</v>
      </c>
      <c r="B540">
        <v>2038</v>
      </c>
      <c r="C540" t="s">
        <v>78</v>
      </c>
      <c r="D540" t="s">
        <v>79</v>
      </c>
      <c r="E540" s="66">
        <f>INDEX(UserInput!$C$56:$M$76,MATCH(UserMade_Scenario!B540,UserInput!$A$56:$A$76,0),MATCH(LEFT(IF(RIGHT(C540,2)="H2",UserMade_Scenario!C540,D540),3),UserInput!$C$25:$M$25,0))</f>
        <v>147825</v>
      </c>
      <c r="F540" s="14" t="s">
        <v>75</v>
      </c>
      <c r="G540" s="14">
        <f t="shared" si="155"/>
        <v>1.7738999999999998E-2</v>
      </c>
      <c r="H540" s="63">
        <f t="shared" si="156"/>
        <v>1.3847870025608262</v>
      </c>
      <c r="I540" s="63">
        <f t="shared" si="157"/>
        <v>1.1741283451216524</v>
      </c>
      <c r="J540" s="63">
        <f t="shared" si="158"/>
        <v>1.5954456599999998</v>
      </c>
      <c r="K540" s="30">
        <f>IF(OR(LEFT($D540,5)="Solar",$D540="Wind"),INDEX(Land_Use[AVG],MATCH(LEFT($D540,5),Land_Use[Tech],0)),0)*$E540</f>
        <v>0</v>
      </c>
      <c r="L540" s="30">
        <f>IF(OR(LEFT($D540,5)="Solar",$D540="Wind"),INDEX(Land_Use[MIN],MATCH(LEFT($D540,5),Land_Use[Tech],0)),0)*$E540</f>
        <v>0</v>
      </c>
      <c r="M540" s="30">
        <f>IF(OR(LEFT($D540,5)="Solar",$D540="Wind"),INDEX(Land_Use[MAX],MATCH(LEFT($D540,5),Land_Use[Tech],0)),0)*$E540</f>
        <v>0</v>
      </c>
      <c r="N540" s="13">
        <f t="shared" si="150"/>
        <v>606.08249999999998</v>
      </c>
      <c r="O540" s="13">
        <f t="shared" si="151"/>
        <v>0</v>
      </c>
      <c r="P540" s="13">
        <f t="shared" si="152"/>
        <v>0</v>
      </c>
      <c r="Q540" s="13">
        <f t="shared" si="153"/>
        <v>0</v>
      </c>
      <c r="R540" s="13">
        <f t="shared" si="154"/>
        <v>0</v>
      </c>
      <c r="S540" s="30">
        <f t="shared" si="159"/>
        <v>0</v>
      </c>
      <c r="T540" s="30">
        <f t="shared" si="160"/>
        <v>0</v>
      </c>
      <c r="U540" s="30">
        <f t="shared" si="161"/>
        <v>0</v>
      </c>
      <c r="V540" s="30">
        <f t="shared" si="162"/>
        <v>0</v>
      </c>
      <c r="W540" s="30">
        <f t="shared" si="163"/>
        <v>0</v>
      </c>
      <c r="X540" s="30">
        <f t="shared" si="164"/>
        <v>0</v>
      </c>
      <c r="Z540" s="23" t="s">
        <v>76</v>
      </c>
      <c r="AA540" s="40" t="str">
        <f>IF(C540="Electricity",E540*SUMIFS(Electricity!S:S,Electricity!P:P,UserMade_Scenario!B540,Electricity!M:M,UserMade_Scenario!Z540,Electricity!O:O,UserMade_Scenario!D540),"")</f>
        <v/>
      </c>
      <c r="AB540" s="76">
        <f>1000*Assumptions!$B$17/1000000000000</f>
        <v>1.1999999999999999E-7</v>
      </c>
      <c r="AC540" s="67" t="s">
        <v>77</v>
      </c>
      <c r="AD540" s="39">
        <f>SUMIFS(Hydrogen!AK:AK,Hydrogen!$AA:$AA,UserMade_Scenario!$Z540,Hydrogen!$Y:$Y,UserMade_Scenario!$D540,Hydrogen!$AB:$AB,UserMade_Scenario!$B540,Hydrogen!$Z:$Z,UserMade_Scenario!$C540)</f>
        <v>-78.06454718759943</v>
      </c>
      <c r="AE540" s="39">
        <f>SUMIFS(Hydrogen!AL:AL,Hydrogen!$AA:$AA,UserMade_Scenario!$Z540,Hydrogen!$Y:$Y,UserMade_Scenario!$D540,Hydrogen!$AB:$AB,UserMade_Scenario!$B540,Hydrogen!$Z:$Z,UserMade_Scenario!$C540)</f>
        <v>-66.189094375198863</v>
      </c>
      <c r="AF540" s="39">
        <f>SUMIFS(Hydrogen!AM:AM,Hydrogen!$AA:$AA,UserMade_Scenario!$Z540,Hydrogen!$Y:$Y,UserMade_Scenario!$D540,Hydrogen!$AB:$AB,UserMade_Scenario!$B540,Hydrogen!$Z:$Z,UserMade_Scenario!$C540)</f>
        <v>-89.94</v>
      </c>
      <c r="AG540" s="68">
        <f>IFERROR(INDEX(WaterUseH2[Average Direct Water Consumption (Gal/ kg h2)],MATCH(LEFT(D540,3),WaterUseH2[Key],0)),0)</f>
        <v>4.0999999999999996</v>
      </c>
      <c r="AH540">
        <v>14</v>
      </c>
      <c r="AI540">
        <v>1.4</v>
      </c>
      <c r="AJ540">
        <v>250</v>
      </c>
      <c r="AK540">
        <v>0.31</v>
      </c>
      <c r="AL540" s="63">
        <f>IFERROR(INDEX(Job_Training[[Solar]:[Wind]],MATCH(AL$1,Job_Training[[`Typical Entry Level Education`]:[`Typical Entry Level Education`]],0),MATCH(LEFT($D540,5),Job_Training[[#Headers],[Solar]:[Wind]],0)),0)</f>
        <v>0</v>
      </c>
      <c r="AM540" s="63">
        <f>IFERROR(INDEX(Job_Training[[Solar]:[Wind]],MATCH(AM$1,Job_Training[[`Typical Entry Level Education`]:[`Typical Entry Level Education`]],0),MATCH(LEFT($D540,5),Job_Training[[#Headers],[Solar]:[Wind]],0)),0)</f>
        <v>0</v>
      </c>
      <c r="AN540" s="63">
        <f>IFERROR(INDEX(Job_Training[[Solar]:[Wind]],MATCH(AN$1,Job_Training[[`Typical Entry Level Education`]:[`Typical Entry Level Education`]],0),MATCH(LEFT($D540,5),Job_Training[[#Headers],[Solar]:[Wind]],0)),0)</f>
        <v>0</v>
      </c>
      <c r="AO540" s="63">
        <f>IFERROR(INDEX(Job_Training[[Solar]:[Wind]],MATCH(AO$1,Job_Training[[`Typical Entry Level Education`]:[`Typical Entry Level Education`]],0),MATCH(LEFT($D540,5),Job_Training[[#Headers],[Solar]:[Wind]],0)),0)</f>
        <v>0</v>
      </c>
      <c r="AP540">
        <f t="shared" si="165"/>
        <v>0</v>
      </c>
      <c r="AQ540" s="63">
        <f>IF(AP540&gt;0,IFERROR(INDEX(Assumptions!$C$165:$D$165,MATCH(LEFT($D540,5),Job_Training[[#Headers],[Solar]:[Wind]],0)),0),0)</f>
        <v>0</v>
      </c>
      <c r="AR540">
        <f>IF(AP540&gt;0,IFERROR(INDEX(Assumptions!$C$166:$D$166,MATCH(LEFT($D540,5),Job_Training[[#Headers],[Solar]:[Wind]],0)),0),0)</f>
        <v>0</v>
      </c>
    </row>
    <row r="541" spans="1:44" hidden="1" x14ac:dyDescent="0.35">
      <c r="A541" t="str">
        <f>UserInput!$B$56</f>
        <v>Max Buildout</v>
      </c>
      <c r="B541">
        <v>2039</v>
      </c>
      <c r="C541" t="s">
        <v>78</v>
      </c>
      <c r="D541" t="s">
        <v>79</v>
      </c>
      <c r="E541" s="66">
        <f>INDEX(UserInput!$C$56:$M$76,MATCH(UserMade_Scenario!B541,UserInput!$A$56:$A$76,0),MATCH(LEFT(IF(RIGHT(C541,2)="H2",UserMade_Scenario!C541,D541),3),UserInput!$C$25:$M$25,0))</f>
        <v>164250</v>
      </c>
      <c r="F541" s="14" t="s">
        <v>75</v>
      </c>
      <c r="G541" s="14">
        <f t="shared" si="155"/>
        <v>1.9709999999999998E-2</v>
      </c>
      <c r="H541" s="63">
        <f t="shared" si="156"/>
        <v>1.5130081671467503</v>
      </c>
      <c r="I541" s="63">
        <f t="shared" si="157"/>
        <v>1.253298934293501</v>
      </c>
      <c r="J541" s="63">
        <f t="shared" si="158"/>
        <v>1.7727173999999999</v>
      </c>
      <c r="K541" s="30">
        <f>IF(OR(LEFT($D541,5)="Solar",$D541="Wind"),INDEX(Land_Use[AVG],MATCH(LEFT($D541,5),Land_Use[Tech],0)),0)*$E541</f>
        <v>0</v>
      </c>
      <c r="L541" s="30">
        <f>IF(OR(LEFT($D541,5)="Solar",$D541="Wind"),INDEX(Land_Use[MIN],MATCH(LEFT($D541,5),Land_Use[Tech],0)),0)*$E541</f>
        <v>0</v>
      </c>
      <c r="M541" s="30">
        <f>IF(OR(LEFT($D541,5)="Solar",$D541="Wind"),INDEX(Land_Use[MAX],MATCH(LEFT($D541,5),Land_Use[Tech],0)),0)*$E541</f>
        <v>0</v>
      </c>
      <c r="N541" s="13">
        <f t="shared" si="150"/>
        <v>673.42499999999984</v>
      </c>
      <c r="O541" s="13">
        <f t="shared" si="151"/>
        <v>0</v>
      </c>
      <c r="P541" s="13">
        <f t="shared" si="152"/>
        <v>0</v>
      </c>
      <c r="Q541" s="13">
        <f t="shared" si="153"/>
        <v>0</v>
      </c>
      <c r="R541" s="13">
        <f t="shared" si="154"/>
        <v>0</v>
      </c>
      <c r="S541" s="30">
        <f t="shared" si="159"/>
        <v>0</v>
      </c>
      <c r="T541" s="30">
        <f t="shared" si="160"/>
        <v>0</v>
      </c>
      <c r="U541" s="30">
        <f t="shared" si="161"/>
        <v>0</v>
      </c>
      <c r="V541" s="30">
        <f t="shared" si="162"/>
        <v>0</v>
      </c>
      <c r="W541" s="30">
        <f t="shared" si="163"/>
        <v>0</v>
      </c>
      <c r="X541" s="30">
        <f t="shared" si="164"/>
        <v>0</v>
      </c>
      <c r="Z541" s="23" t="s">
        <v>76</v>
      </c>
      <c r="AA541" s="40" t="str">
        <f>IF(C541="Electricity",E541*SUMIFS(Electricity!S:S,Electricity!P:P,UserMade_Scenario!B541,Electricity!M:M,UserMade_Scenario!Z541,Electricity!O:O,UserMade_Scenario!D541),"")</f>
        <v/>
      </c>
      <c r="AB541" s="76">
        <f>1000*Assumptions!$B$17/1000000000000</f>
        <v>1.1999999999999999E-7</v>
      </c>
      <c r="AC541" s="67" t="s">
        <v>77</v>
      </c>
      <c r="AD541" s="39">
        <f>SUMIFS(Hydrogen!AK:AK,Hydrogen!$AA:$AA,UserMade_Scenario!$Z541,Hydrogen!$Y:$Y,UserMade_Scenario!$D541,Hydrogen!$AB:$AB,UserMade_Scenario!$B541,Hydrogen!$Z:$Z,UserMade_Scenario!$C541)</f>
        <v>-76.763478799936607</v>
      </c>
      <c r="AE541" s="39">
        <f>SUMIFS(Hydrogen!AL:AL,Hydrogen!$AA:$AA,UserMade_Scenario!$Z541,Hydrogen!$Y:$Y,UserMade_Scenario!$D541,Hydrogen!$AB:$AB,UserMade_Scenario!$B541,Hydrogen!$Z:$Z,UserMade_Scenario!$C541)</f>
        <v>-63.586957599873223</v>
      </c>
      <c r="AF541" s="39">
        <f>SUMIFS(Hydrogen!AM:AM,Hydrogen!$AA:$AA,UserMade_Scenario!$Z541,Hydrogen!$Y:$Y,UserMade_Scenario!$D541,Hydrogen!$AB:$AB,UserMade_Scenario!$B541,Hydrogen!$Z:$Z,UserMade_Scenario!$C541)</f>
        <v>-89.94</v>
      </c>
      <c r="AG541" s="68">
        <f>IFERROR(INDEX(WaterUseH2[Average Direct Water Consumption (Gal/ kg h2)],MATCH(LEFT(D541,3),WaterUseH2[Key],0)),0)</f>
        <v>4.0999999999999996</v>
      </c>
      <c r="AH541">
        <v>14</v>
      </c>
      <c r="AI541">
        <v>1.4</v>
      </c>
      <c r="AJ541">
        <v>250</v>
      </c>
      <c r="AK541">
        <v>0.31</v>
      </c>
      <c r="AL541" s="63">
        <f>IFERROR(INDEX(Job_Training[[Solar]:[Wind]],MATCH(AL$1,Job_Training[[`Typical Entry Level Education`]:[`Typical Entry Level Education`]],0),MATCH(LEFT($D541,5),Job_Training[[#Headers],[Solar]:[Wind]],0)),0)</f>
        <v>0</v>
      </c>
      <c r="AM541" s="63">
        <f>IFERROR(INDEX(Job_Training[[Solar]:[Wind]],MATCH(AM$1,Job_Training[[`Typical Entry Level Education`]:[`Typical Entry Level Education`]],0),MATCH(LEFT($D541,5),Job_Training[[#Headers],[Solar]:[Wind]],0)),0)</f>
        <v>0</v>
      </c>
      <c r="AN541" s="63">
        <f>IFERROR(INDEX(Job_Training[[Solar]:[Wind]],MATCH(AN$1,Job_Training[[`Typical Entry Level Education`]:[`Typical Entry Level Education`]],0),MATCH(LEFT($D541,5),Job_Training[[#Headers],[Solar]:[Wind]],0)),0)</f>
        <v>0</v>
      </c>
      <c r="AO541" s="63">
        <f>IFERROR(INDEX(Job_Training[[Solar]:[Wind]],MATCH(AO$1,Job_Training[[`Typical Entry Level Education`]:[`Typical Entry Level Education`]],0),MATCH(LEFT($D541,5),Job_Training[[#Headers],[Solar]:[Wind]],0)),0)</f>
        <v>0</v>
      </c>
      <c r="AP541">
        <f t="shared" si="165"/>
        <v>0</v>
      </c>
      <c r="AQ541" s="63">
        <f>IF(AP541&gt;0,IFERROR(INDEX(Assumptions!$C$165:$D$165,MATCH(LEFT($D541,5),Job_Training[[#Headers],[Solar]:[Wind]],0)),0),0)</f>
        <v>0</v>
      </c>
      <c r="AR541">
        <f>IF(AP541&gt;0,IFERROR(INDEX(Assumptions!$C$166:$D$166,MATCH(LEFT($D541,5),Job_Training[[#Headers],[Solar]:[Wind]],0)),0),0)</f>
        <v>0</v>
      </c>
    </row>
    <row r="542" spans="1:44" hidden="1" x14ac:dyDescent="0.35">
      <c r="A542" t="str">
        <f>UserInput!$B$56</f>
        <v>Max Buildout</v>
      </c>
      <c r="B542">
        <v>2040</v>
      </c>
      <c r="C542" t="s">
        <v>78</v>
      </c>
      <c r="D542" t="s">
        <v>79</v>
      </c>
      <c r="E542" s="66">
        <f>INDEX(UserInput!$C$56:$M$76,MATCH(UserMade_Scenario!B542,UserInput!$A$56:$A$76,0),MATCH(LEFT(IF(RIGHT(C542,2)="H2",UserMade_Scenario!C542,D542),3),UserInput!$C$25:$M$25,0))</f>
        <v>180675</v>
      </c>
      <c r="F542" s="14" t="s">
        <v>75</v>
      </c>
      <c r="G542" s="14">
        <f t="shared" si="155"/>
        <v>2.1680999999999999E-2</v>
      </c>
      <c r="H542" s="63">
        <f t="shared" si="156"/>
        <v>1.6356422986204109</v>
      </c>
      <c r="I542" s="63">
        <f t="shared" si="157"/>
        <v>1.3212954572408222</v>
      </c>
      <c r="J542" s="63">
        <f t="shared" si="158"/>
        <v>1.9499891399999998</v>
      </c>
      <c r="K542" s="30">
        <f>IF(OR(LEFT($D542,5)="Solar",$D542="Wind"),INDEX(Land_Use[AVG],MATCH(LEFT($D542,5),Land_Use[Tech],0)),0)*$E542</f>
        <v>0</v>
      </c>
      <c r="L542" s="30">
        <f>IF(OR(LEFT($D542,5)="Solar",$D542="Wind"),INDEX(Land_Use[MIN],MATCH(LEFT($D542,5),Land_Use[Tech],0)),0)*$E542</f>
        <v>0</v>
      </c>
      <c r="M542" s="30">
        <f>IF(OR(LEFT($D542,5)="Solar",$D542="Wind"),INDEX(Land_Use[MAX],MATCH(LEFT($D542,5),Land_Use[Tech],0)),0)*$E542</f>
        <v>0</v>
      </c>
      <c r="N542" s="13">
        <f t="shared" si="150"/>
        <v>740.76749999999993</v>
      </c>
      <c r="O542" s="13">
        <f t="shared" si="151"/>
        <v>0</v>
      </c>
      <c r="P542" s="13">
        <f t="shared" si="152"/>
        <v>0</v>
      </c>
      <c r="Q542" s="13">
        <f t="shared" si="153"/>
        <v>0</v>
      </c>
      <c r="R542" s="13">
        <f t="shared" si="154"/>
        <v>0</v>
      </c>
      <c r="S542" s="30">
        <f t="shared" si="159"/>
        <v>0</v>
      </c>
      <c r="T542" s="30">
        <f t="shared" si="160"/>
        <v>0</v>
      </c>
      <c r="U542" s="30">
        <f t="shared" si="161"/>
        <v>0</v>
      </c>
      <c r="V542" s="30">
        <f t="shared" si="162"/>
        <v>0</v>
      </c>
      <c r="W542" s="30">
        <f t="shared" si="163"/>
        <v>0</v>
      </c>
      <c r="X542" s="30">
        <f t="shared" si="164"/>
        <v>0</v>
      </c>
      <c r="Z542" s="23" t="s">
        <v>76</v>
      </c>
      <c r="AA542" s="40" t="str">
        <f>IF(C542="Electricity",E542*SUMIFS(Electricity!S:S,Electricity!P:P,UserMade_Scenario!B542,Electricity!M:M,UserMade_Scenario!Z542,Electricity!O:O,UserMade_Scenario!D542),"")</f>
        <v/>
      </c>
      <c r="AB542" s="76">
        <f>1000*Assumptions!$B$17/1000000000000</f>
        <v>1.1999999999999999E-7</v>
      </c>
      <c r="AC542" s="67" t="s">
        <v>77</v>
      </c>
      <c r="AD542" s="39">
        <f>SUMIFS(Hydrogen!AK:AK,Hydrogen!$AA:$AA,UserMade_Scenario!$Z542,Hydrogen!$Y:$Y,UserMade_Scenario!$D542,Hydrogen!$AB:$AB,UserMade_Scenario!$B542,Hydrogen!$Z:$Z,UserMade_Scenario!$C542)</f>
        <v>-75.441275707781514</v>
      </c>
      <c r="AE542" s="39">
        <f>SUMIFS(Hydrogen!AL:AL,Hydrogen!$AA:$AA,UserMade_Scenario!$Z542,Hydrogen!$Y:$Y,UserMade_Scenario!$D542,Hydrogen!$AB:$AB,UserMade_Scenario!$B542,Hydrogen!$Z:$Z,UserMade_Scenario!$C542)</f>
        <v>-60.942551415563038</v>
      </c>
      <c r="AF542" s="39">
        <f>SUMIFS(Hydrogen!AM:AM,Hydrogen!$AA:$AA,UserMade_Scenario!$Z542,Hydrogen!$Y:$Y,UserMade_Scenario!$D542,Hydrogen!$AB:$AB,UserMade_Scenario!$B542,Hydrogen!$Z:$Z,UserMade_Scenario!$C542)</f>
        <v>-89.94</v>
      </c>
      <c r="AG542" s="68">
        <f>IFERROR(INDEX(WaterUseH2[Average Direct Water Consumption (Gal/ kg h2)],MATCH(LEFT(D542,3),WaterUseH2[Key],0)),0)</f>
        <v>4.0999999999999996</v>
      </c>
      <c r="AH542">
        <v>14</v>
      </c>
      <c r="AI542">
        <v>1.4</v>
      </c>
      <c r="AJ542">
        <v>250</v>
      </c>
      <c r="AK542">
        <v>0.31</v>
      </c>
      <c r="AL542" s="63">
        <f>IFERROR(INDEX(Job_Training[[Solar]:[Wind]],MATCH(AL$1,Job_Training[[`Typical Entry Level Education`]:[`Typical Entry Level Education`]],0),MATCH(LEFT($D542,5),Job_Training[[#Headers],[Solar]:[Wind]],0)),0)</f>
        <v>0</v>
      </c>
      <c r="AM542" s="63">
        <f>IFERROR(INDEX(Job_Training[[Solar]:[Wind]],MATCH(AM$1,Job_Training[[`Typical Entry Level Education`]:[`Typical Entry Level Education`]],0),MATCH(LEFT($D542,5),Job_Training[[#Headers],[Solar]:[Wind]],0)),0)</f>
        <v>0</v>
      </c>
      <c r="AN542" s="63">
        <f>IFERROR(INDEX(Job_Training[[Solar]:[Wind]],MATCH(AN$1,Job_Training[[`Typical Entry Level Education`]:[`Typical Entry Level Education`]],0),MATCH(LEFT($D542,5),Job_Training[[#Headers],[Solar]:[Wind]],0)),0)</f>
        <v>0</v>
      </c>
      <c r="AO542" s="63">
        <f>IFERROR(INDEX(Job_Training[[Solar]:[Wind]],MATCH(AO$1,Job_Training[[`Typical Entry Level Education`]:[`Typical Entry Level Education`]],0),MATCH(LEFT($D542,5),Job_Training[[#Headers],[Solar]:[Wind]],0)),0)</f>
        <v>0</v>
      </c>
      <c r="AP542">
        <f t="shared" si="165"/>
        <v>0</v>
      </c>
      <c r="AQ542" s="63">
        <f>IF(AP542&gt;0,IFERROR(INDEX(Assumptions!$C$165:$D$165,MATCH(LEFT($D542,5),Job_Training[[#Headers],[Solar]:[Wind]],0)),0),0)</f>
        <v>0</v>
      </c>
      <c r="AR542">
        <f>IF(AP542&gt;0,IFERROR(INDEX(Assumptions!$C$166:$D$166,MATCH(LEFT($D542,5),Job_Training[[#Headers],[Solar]:[Wind]],0)),0),0)</f>
        <v>0</v>
      </c>
    </row>
    <row r="543" spans="1:44" hidden="1" x14ac:dyDescent="0.35">
      <c r="A543" t="str">
        <f>UserInput!$B$56</f>
        <v>Max Buildout</v>
      </c>
      <c r="B543">
        <v>2041</v>
      </c>
      <c r="C543" t="s">
        <v>78</v>
      </c>
      <c r="D543" t="s">
        <v>79</v>
      </c>
      <c r="E543" s="66">
        <f>INDEX(UserInput!$C$56:$M$76,MATCH(UserMade_Scenario!B543,UserInput!$A$56:$A$76,0),MATCH(LEFT(IF(RIGHT(C543,2)="H2",UserMade_Scenario!C543,D543),3),UserInput!$C$25:$M$25,0))</f>
        <v>197100</v>
      </c>
      <c r="F543" s="14" t="s">
        <v>75</v>
      </c>
      <c r="G543" s="14">
        <f t="shared" si="155"/>
        <v>2.3651999999999999E-2</v>
      </c>
      <c r="H543" s="63">
        <f t="shared" si="156"/>
        <v>1.753257612658794</v>
      </c>
      <c r="I543" s="63">
        <f t="shared" si="157"/>
        <v>1.3792543453175883</v>
      </c>
      <c r="J543" s="63">
        <f t="shared" si="158"/>
        <v>2.1272608799999997</v>
      </c>
      <c r="K543" s="30">
        <f>IF(OR(LEFT($D543,5)="Solar",$D543="Wind"),INDEX(Land_Use[AVG],MATCH(LEFT($D543,5),Land_Use[Tech],0)),0)*$E543</f>
        <v>0</v>
      </c>
      <c r="L543" s="30">
        <f>IF(OR(LEFT($D543,5)="Solar",$D543="Wind"),INDEX(Land_Use[MIN],MATCH(LEFT($D543,5),Land_Use[Tech],0)),0)*$E543</f>
        <v>0</v>
      </c>
      <c r="M543" s="30">
        <f>IF(OR(LEFT($D543,5)="Solar",$D543="Wind"),INDEX(Land_Use[MAX],MATCH(LEFT($D543,5),Land_Use[Tech],0)),0)*$E543</f>
        <v>0</v>
      </c>
      <c r="N543" s="13">
        <f t="shared" si="150"/>
        <v>808.1099999999999</v>
      </c>
      <c r="O543" s="13">
        <f t="shared" si="151"/>
        <v>0</v>
      </c>
      <c r="P543" s="13">
        <f t="shared" si="152"/>
        <v>0</v>
      </c>
      <c r="Q543" s="13">
        <f t="shared" si="153"/>
        <v>0</v>
      </c>
      <c r="R543" s="13">
        <f t="shared" si="154"/>
        <v>0</v>
      </c>
      <c r="S543" s="30">
        <f t="shared" si="159"/>
        <v>0</v>
      </c>
      <c r="T543" s="30">
        <f t="shared" si="160"/>
        <v>0</v>
      </c>
      <c r="U543" s="30">
        <f t="shared" si="161"/>
        <v>0</v>
      </c>
      <c r="V543" s="30">
        <f t="shared" si="162"/>
        <v>0</v>
      </c>
      <c r="W543" s="30">
        <f t="shared" si="163"/>
        <v>0</v>
      </c>
      <c r="X543" s="30">
        <f t="shared" si="164"/>
        <v>0</v>
      </c>
      <c r="Z543" s="23" t="s">
        <v>76</v>
      </c>
      <c r="AA543" s="40" t="str">
        <f>IF(C543="Electricity",E543*SUMIFS(Electricity!S:S,Electricity!P:P,UserMade_Scenario!B543,Electricity!M:M,UserMade_Scenario!Z543,Electricity!O:O,UserMade_Scenario!D543),"")</f>
        <v/>
      </c>
      <c r="AB543" s="76">
        <f>1000*Assumptions!$B$17/1000000000000</f>
        <v>1.1999999999999999E-7</v>
      </c>
      <c r="AC543" s="67" t="s">
        <v>77</v>
      </c>
      <c r="AD543" s="39">
        <f>SUMIFS(Hydrogen!AK:AK,Hydrogen!$AA:$AA,UserMade_Scenario!$Z543,Hydrogen!$Y:$Y,UserMade_Scenario!$D543,Hydrogen!$AB:$AB,UserMade_Scenario!$B543,Hydrogen!$Z:$Z,UserMade_Scenario!$C543)</f>
        <v>-74.127245588482751</v>
      </c>
      <c r="AE543" s="39">
        <f>SUMIFS(Hydrogen!AL:AL,Hydrogen!$AA:$AA,UserMade_Scenario!$Z543,Hydrogen!$Y:$Y,UserMade_Scenario!$D543,Hydrogen!$AB:$AB,UserMade_Scenario!$B543,Hydrogen!$Z:$Z,UserMade_Scenario!$C543)</f>
        <v>-58.314491176965511</v>
      </c>
      <c r="AF543" s="39">
        <f>SUMIFS(Hydrogen!AM:AM,Hydrogen!$AA:$AA,UserMade_Scenario!$Z543,Hydrogen!$Y:$Y,UserMade_Scenario!$D543,Hydrogen!$AB:$AB,UserMade_Scenario!$B543,Hydrogen!$Z:$Z,UserMade_Scenario!$C543)</f>
        <v>-89.94</v>
      </c>
      <c r="AG543" s="68">
        <f>IFERROR(INDEX(WaterUseH2[Average Direct Water Consumption (Gal/ kg h2)],MATCH(LEFT(D543,3),WaterUseH2[Key],0)),0)</f>
        <v>4.0999999999999996</v>
      </c>
      <c r="AH543">
        <v>14</v>
      </c>
      <c r="AI543">
        <v>1.4</v>
      </c>
      <c r="AJ543">
        <v>250</v>
      </c>
      <c r="AK543">
        <v>0.31</v>
      </c>
      <c r="AL543" s="63">
        <f>IFERROR(INDEX(Job_Training[[Solar]:[Wind]],MATCH(AL$1,Job_Training[[`Typical Entry Level Education`]:[`Typical Entry Level Education`]],0),MATCH(LEFT($D543,5),Job_Training[[#Headers],[Solar]:[Wind]],0)),0)</f>
        <v>0</v>
      </c>
      <c r="AM543" s="63">
        <f>IFERROR(INDEX(Job_Training[[Solar]:[Wind]],MATCH(AM$1,Job_Training[[`Typical Entry Level Education`]:[`Typical Entry Level Education`]],0),MATCH(LEFT($D543,5),Job_Training[[#Headers],[Solar]:[Wind]],0)),0)</f>
        <v>0</v>
      </c>
      <c r="AN543" s="63">
        <f>IFERROR(INDEX(Job_Training[[Solar]:[Wind]],MATCH(AN$1,Job_Training[[`Typical Entry Level Education`]:[`Typical Entry Level Education`]],0),MATCH(LEFT($D543,5),Job_Training[[#Headers],[Solar]:[Wind]],0)),0)</f>
        <v>0</v>
      </c>
      <c r="AO543" s="63">
        <f>IFERROR(INDEX(Job_Training[[Solar]:[Wind]],MATCH(AO$1,Job_Training[[`Typical Entry Level Education`]:[`Typical Entry Level Education`]],0),MATCH(LEFT($D543,5),Job_Training[[#Headers],[Solar]:[Wind]],0)),0)</f>
        <v>0</v>
      </c>
      <c r="AP543">
        <f t="shared" si="165"/>
        <v>0</v>
      </c>
      <c r="AQ543" s="63">
        <f>IF(AP543&gt;0,IFERROR(INDEX(Assumptions!$C$165:$D$165,MATCH(LEFT($D543,5),Job_Training[[#Headers],[Solar]:[Wind]],0)),0),0)</f>
        <v>0</v>
      </c>
      <c r="AR543">
        <f>IF(AP543&gt;0,IFERROR(INDEX(Assumptions!$C$166:$D$166,MATCH(LEFT($D543,5),Job_Training[[#Headers],[Solar]:[Wind]],0)),0),0)</f>
        <v>0</v>
      </c>
    </row>
    <row r="544" spans="1:44" hidden="1" x14ac:dyDescent="0.35">
      <c r="A544" t="str">
        <f>UserInput!$B$56</f>
        <v>Max Buildout</v>
      </c>
      <c r="B544">
        <v>2042</v>
      </c>
      <c r="C544" t="s">
        <v>78</v>
      </c>
      <c r="D544" t="s">
        <v>79</v>
      </c>
      <c r="E544" s="66">
        <f>INDEX(UserInput!$C$56:$M$76,MATCH(UserMade_Scenario!B544,UserInput!$A$56:$A$76,0),MATCH(LEFT(IF(RIGHT(C544,2)="H2",UserMade_Scenario!C544,D544),3),UserInput!$C$25:$M$25,0))</f>
        <v>213525</v>
      </c>
      <c r="F544" s="14" t="s">
        <v>75</v>
      </c>
      <c r="G544" s="14">
        <f t="shared" si="155"/>
        <v>2.5622999999999996E-2</v>
      </c>
      <c r="H544" s="63">
        <f t="shared" si="156"/>
        <v>1.8667458918056412</v>
      </c>
      <c r="I544" s="63">
        <f t="shared" si="157"/>
        <v>1.4289591636112824</v>
      </c>
      <c r="J544" s="63">
        <f t="shared" si="158"/>
        <v>2.3045326199999998</v>
      </c>
      <c r="K544" s="30">
        <f>IF(OR(LEFT($D544,5)="Solar",$D544="Wind"),INDEX(Land_Use[AVG],MATCH(LEFT($D544,5),Land_Use[Tech],0)),0)*$E544</f>
        <v>0</v>
      </c>
      <c r="L544" s="30">
        <f>IF(OR(LEFT($D544,5)="Solar",$D544="Wind"),INDEX(Land_Use[MIN],MATCH(LEFT($D544,5),Land_Use[Tech],0)),0)*$E544</f>
        <v>0</v>
      </c>
      <c r="M544" s="30">
        <f>IF(OR(LEFT($D544,5)="Solar",$D544="Wind"),INDEX(Land_Use[MAX],MATCH(LEFT($D544,5),Land_Use[Tech],0)),0)*$E544</f>
        <v>0</v>
      </c>
      <c r="N544" s="13">
        <f t="shared" si="150"/>
        <v>875.45249999999987</v>
      </c>
      <c r="O544" s="13">
        <f t="shared" si="151"/>
        <v>0</v>
      </c>
      <c r="P544" s="13">
        <f t="shared" si="152"/>
        <v>0</v>
      </c>
      <c r="Q544" s="13">
        <f t="shared" si="153"/>
        <v>0</v>
      </c>
      <c r="R544" s="13">
        <f t="shared" si="154"/>
        <v>0</v>
      </c>
      <c r="S544" s="30">
        <f t="shared" si="159"/>
        <v>0</v>
      </c>
      <c r="T544" s="30">
        <f t="shared" si="160"/>
        <v>0</v>
      </c>
      <c r="U544" s="30">
        <f t="shared" si="161"/>
        <v>0</v>
      </c>
      <c r="V544" s="30">
        <f t="shared" si="162"/>
        <v>0</v>
      </c>
      <c r="W544" s="30">
        <f t="shared" si="163"/>
        <v>0</v>
      </c>
      <c r="X544" s="30">
        <f t="shared" si="164"/>
        <v>0</v>
      </c>
      <c r="Z544" s="23" t="s">
        <v>76</v>
      </c>
      <c r="AA544" s="40" t="str">
        <f>IF(C544="Electricity",E544*SUMIFS(Electricity!S:S,Electricity!P:P,UserMade_Scenario!B544,Electricity!M:M,UserMade_Scenario!Z544,Electricity!O:O,UserMade_Scenario!D544),"")</f>
        <v/>
      </c>
      <c r="AB544" s="76">
        <f>1000*Assumptions!$B$17/1000000000000</f>
        <v>1.1999999999999999E-7</v>
      </c>
      <c r="AC544" s="67" t="s">
        <v>77</v>
      </c>
      <c r="AD544" s="39">
        <f>SUMIFS(Hydrogen!AK:AK,Hydrogen!$AA:$AA,UserMade_Scenario!$Z544,Hydrogen!$Y:$Y,UserMade_Scenario!$D544,Hydrogen!$AB:$AB,UserMade_Scenario!$B544,Hydrogen!$Z:$Z,UserMade_Scenario!$C544)</f>
        <v>-72.85430635778954</v>
      </c>
      <c r="AE544" s="39">
        <f>SUMIFS(Hydrogen!AL:AL,Hydrogen!$AA:$AA,UserMade_Scenario!$Z544,Hydrogen!$Y:$Y,UserMade_Scenario!$D544,Hydrogen!$AB:$AB,UserMade_Scenario!$B544,Hydrogen!$Z:$Z,UserMade_Scenario!$C544)</f>
        <v>-55.768612715579074</v>
      </c>
      <c r="AF544" s="39">
        <f>SUMIFS(Hydrogen!AM:AM,Hydrogen!$AA:$AA,UserMade_Scenario!$Z544,Hydrogen!$Y:$Y,UserMade_Scenario!$D544,Hydrogen!$AB:$AB,UserMade_Scenario!$B544,Hydrogen!$Z:$Z,UserMade_Scenario!$C544)</f>
        <v>-89.94</v>
      </c>
      <c r="AG544" s="68">
        <f>IFERROR(INDEX(WaterUseH2[Average Direct Water Consumption (Gal/ kg h2)],MATCH(LEFT(D544,3),WaterUseH2[Key],0)),0)</f>
        <v>4.0999999999999996</v>
      </c>
      <c r="AH544">
        <v>14</v>
      </c>
      <c r="AI544">
        <v>1.4</v>
      </c>
      <c r="AJ544">
        <v>250</v>
      </c>
      <c r="AK544">
        <v>0.31</v>
      </c>
      <c r="AL544" s="63">
        <f>IFERROR(INDEX(Job_Training[[Solar]:[Wind]],MATCH(AL$1,Job_Training[[`Typical Entry Level Education`]:[`Typical Entry Level Education`]],0),MATCH(LEFT($D544,5),Job_Training[[#Headers],[Solar]:[Wind]],0)),0)</f>
        <v>0</v>
      </c>
      <c r="AM544" s="63">
        <f>IFERROR(INDEX(Job_Training[[Solar]:[Wind]],MATCH(AM$1,Job_Training[[`Typical Entry Level Education`]:[`Typical Entry Level Education`]],0),MATCH(LEFT($D544,5),Job_Training[[#Headers],[Solar]:[Wind]],0)),0)</f>
        <v>0</v>
      </c>
      <c r="AN544" s="63">
        <f>IFERROR(INDEX(Job_Training[[Solar]:[Wind]],MATCH(AN$1,Job_Training[[`Typical Entry Level Education`]:[`Typical Entry Level Education`]],0),MATCH(LEFT($D544,5),Job_Training[[#Headers],[Solar]:[Wind]],0)),0)</f>
        <v>0</v>
      </c>
      <c r="AO544" s="63">
        <f>IFERROR(INDEX(Job_Training[[Solar]:[Wind]],MATCH(AO$1,Job_Training[[`Typical Entry Level Education`]:[`Typical Entry Level Education`]],0),MATCH(LEFT($D544,5),Job_Training[[#Headers],[Solar]:[Wind]],0)),0)</f>
        <v>0</v>
      </c>
      <c r="AP544">
        <f t="shared" si="165"/>
        <v>0</v>
      </c>
      <c r="AQ544" s="63">
        <f>IF(AP544&gt;0,IFERROR(INDEX(Assumptions!$C$165:$D$165,MATCH(LEFT($D544,5),Job_Training[[#Headers],[Solar]:[Wind]],0)),0),0)</f>
        <v>0</v>
      </c>
      <c r="AR544">
        <f>IF(AP544&gt;0,IFERROR(INDEX(Assumptions!$C$166:$D$166,MATCH(LEFT($D544,5),Job_Training[[#Headers],[Solar]:[Wind]],0)),0),0)</f>
        <v>0</v>
      </c>
    </row>
    <row r="545" spans="1:44" hidden="1" x14ac:dyDescent="0.35">
      <c r="A545" t="str">
        <f>UserInput!$B$56</f>
        <v>Max Buildout</v>
      </c>
      <c r="B545">
        <v>2043</v>
      </c>
      <c r="C545" t="s">
        <v>78</v>
      </c>
      <c r="D545" t="s">
        <v>79</v>
      </c>
      <c r="E545" s="66">
        <f>INDEX(UserInput!$C$56:$M$76,MATCH(UserMade_Scenario!B545,UserInput!$A$56:$A$76,0),MATCH(LEFT(IF(RIGHT(C545,2)="H2",UserMade_Scenario!C545,D545),3),UserInput!$C$25:$M$25,0))</f>
        <v>229950</v>
      </c>
      <c r="F545" s="14" t="s">
        <v>75</v>
      </c>
      <c r="G545" s="14">
        <f t="shared" si="155"/>
        <v>2.7593999999999997E-2</v>
      </c>
      <c r="H545" s="63">
        <f t="shared" si="156"/>
        <v>1.9766328413934795</v>
      </c>
      <c r="I545" s="63">
        <f t="shared" si="157"/>
        <v>1.4714613227869595</v>
      </c>
      <c r="J545" s="63">
        <f t="shared" si="158"/>
        <v>2.4818043599999995</v>
      </c>
      <c r="K545" s="30">
        <f>IF(OR(LEFT($D545,5)="Solar",$D545="Wind"),INDEX(Land_Use[AVG],MATCH(LEFT($D545,5),Land_Use[Tech],0)),0)*$E545</f>
        <v>0</v>
      </c>
      <c r="L545" s="30">
        <f>IF(OR(LEFT($D545,5)="Solar",$D545="Wind"),INDEX(Land_Use[MIN],MATCH(LEFT($D545,5),Land_Use[Tech],0)),0)*$E545</f>
        <v>0</v>
      </c>
      <c r="M545" s="30">
        <f>IF(OR(LEFT($D545,5)="Solar",$D545="Wind"),INDEX(Land_Use[MAX],MATCH(LEFT($D545,5),Land_Use[Tech],0)),0)*$E545</f>
        <v>0</v>
      </c>
      <c r="N545" s="13">
        <f t="shared" si="150"/>
        <v>942.79499999999985</v>
      </c>
      <c r="O545" s="13">
        <f t="shared" si="151"/>
        <v>0</v>
      </c>
      <c r="P545" s="13">
        <f t="shared" si="152"/>
        <v>0</v>
      </c>
      <c r="Q545" s="13">
        <f t="shared" si="153"/>
        <v>0</v>
      </c>
      <c r="R545" s="13">
        <f t="shared" si="154"/>
        <v>0</v>
      </c>
      <c r="S545" s="30">
        <f t="shared" si="159"/>
        <v>0</v>
      </c>
      <c r="T545" s="30">
        <f t="shared" si="160"/>
        <v>0</v>
      </c>
      <c r="U545" s="30">
        <f t="shared" si="161"/>
        <v>0</v>
      </c>
      <c r="V545" s="30">
        <f t="shared" si="162"/>
        <v>0</v>
      </c>
      <c r="W545" s="30">
        <f t="shared" si="163"/>
        <v>0</v>
      </c>
      <c r="X545" s="30">
        <f t="shared" si="164"/>
        <v>0</v>
      </c>
      <c r="Z545" s="23" t="s">
        <v>76</v>
      </c>
      <c r="AA545" s="40" t="str">
        <f>IF(C545="Electricity",E545*SUMIFS(Electricity!S:S,Electricity!P:P,UserMade_Scenario!B545,Electricity!M:M,UserMade_Scenario!Z545,Electricity!O:O,UserMade_Scenario!D545),"")</f>
        <v/>
      </c>
      <c r="AB545" s="76">
        <f>1000*Assumptions!$B$17/1000000000000</f>
        <v>1.1999999999999999E-7</v>
      </c>
      <c r="AC545" s="67" t="s">
        <v>77</v>
      </c>
      <c r="AD545" s="39">
        <f>SUMIFS(Hydrogen!AK:AK,Hydrogen!$AA:$AA,UserMade_Scenario!$Z545,Hydrogen!$Y:$Y,UserMade_Scenario!$D545,Hydrogen!$AB:$AB,UserMade_Scenario!$B545,Hydrogen!$Z:$Z,UserMade_Scenario!$C545)</f>
        <v>-71.632704261559752</v>
      </c>
      <c r="AE545" s="39">
        <f>SUMIFS(Hydrogen!AL:AL,Hydrogen!$AA:$AA,UserMade_Scenario!$Z545,Hydrogen!$Y:$Y,UserMade_Scenario!$D545,Hydrogen!$AB:$AB,UserMade_Scenario!$B545,Hydrogen!$Z:$Z,UserMade_Scenario!$C545)</f>
        <v>-53.325408523119506</v>
      </c>
      <c r="AF545" s="39">
        <f>SUMIFS(Hydrogen!AM:AM,Hydrogen!$AA:$AA,UserMade_Scenario!$Z545,Hydrogen!$Y:$Y,UserMade_Scenario!$D545,Hydrogen!$AB:$AB,UserMade_Scenario!$B545,Hydrogen!$Z:$Z,UserMade_Scenario!$C545)</f>
        <v>-89.94</v>
      </c>
      <c r="AG545" s="68">
        <f>IFERROR(INDEX(WaterUseH2[Average Direct Water Consumption (Gal/ kg h2)],MATCH(LEFT(D545,3),WaterUseH2[Key],0)),0)</f>
        <v>4.0999999999999996</v>
      </c>
      <c r="AH545">
        <v>14</v>
      </c>
      <c r="AI545">
        <v>1.4</v>
      </c>
      <c r="AJ545">
        <v>250</v>
      </c>
      <c r="AK545">
        <v>0.31</v>
      </c>
      <c r="AL545" s="63">
        <f>IFERROR(INDEX(Job_Training[[Solar]:[Wind]],MATCH(AL$1,Job_Training[[`Typical Entry Level Education`]:[`Typical Entry Level Education`]],0),MATCH(LEFT($D545,5),Job_Training[[#Headers],[Solar]:[Wind]],0)),0)</f>
        <v>0</v>
      </c>
      <c r="AM545" s="63">
        <f>IFERROR(INDEX(Job_Training[[Solar]:[Wind]],MATCH(AM$1,Job_Training[[`Typical Entry Level Education`]:[`Typical Entry Level Education`]],0),MATCH(LEFT($D545,5),Job_Training[[#Headers],[Solar]:[Wind]],0)),0)</f>
        <v>0</v>
      </c>
      <c r="AN545" s="63">
        <f>IFERROR(INDEX(Job_Training[[Solar]:[Wind]],MATCH(AN$1,Job_Training[[`Typical Entry Level Education`]:[`Typical Entry Level Education`]],0),MATCH(LEFT($D545,5),Job_Training[[#Headers],[Solar]:[Wind]],0)),0)</f>
        <v>0</v>
      </c>
      <c r="AO545" s="63">
        <f>IFERROR(INDEX(Job_Training[[Solar]:[Wind]],MATCH(AO$1,Job_Training[[`Typical Entry Level Education`]:[`Typical Entry Level Education`]],0),MATCH(LEFT($D545,5),Job_Training[[#Headers],[Solar]:[Wind]],0)),0)</f>
        <v>0</v>
      </c>
      <c r="AP545">
        <f t="shared" si="165"/>
        <v>0</v>
      </c>
      <c r="AQ545" s="63">
        <f>IF(AP545&gt;0,IFERROR(INDEX(Assumptions!$C$165:$D$165,MATCH(LEFT($D545,5),Job_Training[[#Headers],[Solar]:[Wind]],0)),0),0)</f>
        <v>0</v>
      </c>
      <c r="AR545">
        <f>IF(AP545&gt;0,IFERROR(INDEX(Assumptions!$C$166:$D$166,MATCH(LEFT($D545,5),Job_Training[[#Headers],[Solar]:[Wind]],0)),0),0)</f>
        <v>0</v>
      </c>
    </row>
    <row r="546" spans="1:44" hidden="1" x14ac:dyDescent="0.35">
      <c r="A546" t="str">
        <f>UserInput!$B$56</f>
        <v>Max Buildout</v>
      </c>
      <c r="B546">
        <v>2044</v>
      </c>
      <c r="C546" t="s">
        <v>78</v>
      </c>
      <c r="D546" t="s">
        <v>79</v>
      </c>
      <c r="E546" s="66">
        <f>INDEX(UserInput!$C$56:$M$76,MATCH(UserMade_Scenario!B546,UserInput!$A$56:$A$76,0),MATCH(LEFT(IF(RIGHT(C546,2)="H2",UserMade_Scenario!C546,D546),3),UserInput!$C$25:$M$25,0))</f>
        <v>246375</v>
      </c>
      <c r="F546" s="14" t="s">
        <v>75</v>
      </c>
      <c r="G546" s="14">
        <f t="shared" si="155"/>
        <v>2.9564999999999998E-2</v>
      </c>
      <c r="H546" s="63">
        <f t="shared" si="156"/>
        <v>2.0837465570741931</v>
      </c>
      <c r="I546" s="63">
        <f t="shared" si="157"/>
        <v>1.5084170141483868</v>
      </c>
      <c r="J546" s="63">
        <f t="shared" si="158"/>
        <v>2.6590760999999996</v>
      </c>
      <c r="K546" s="30">
        <f>IF(OR(LEFT($D546,5)="Solar",$D546="Wind"),INDEX(Land_Use[AVG],MATCH(LEFT($D546,5),Land_Use[Tech],0)),0)*$E546</f>
        <v>0</v>
      </c>
      <c r="L546" s="30">
        <f>IF(OR(LEFT($D546,5)="Solar",$D546="Wind"),INDEX(Land_Use[MIN],MATCH(LEFT($D546,5),Land_Use[Tech],0)),0)*$E546</f>
        <v>0</v>
      </c>
      <c r="M546" s="30">
        <f>IF(OR(LEFT($D546,5)="Solar",$D546="Wind"),INDEX(Land_Use[MAX],MATCH(LEFT($D546,5),Land_Use[Tech],0)),0)*$E546</f>
        <v>0</v>
      </c>
      <c r="N546" s="13">
        <f t="shared" si="150"/>
        <v>1010.1374999999999</v>
      </c>
      <c r="O546" s="13">
        <f t="shared" si="151"/>
        <v>0</v>
      </c>
      <c r="P546" s="13">
        <f t="shared" si="152"/>
        <v>0</v>
      </c>
      <c r="Q546" s="13">
        <f t="shared" si="153"/>
        <v>0</v>
      </c>
      <c r="R546" s="13">
        <f t="shared" si="154"/>
        <v>0</v>
      </c>
      <c r="S546" s="30">
        <f t="shared" si="159"/>
        <v>0</v>
      </c>
      <c r="T546" s="30">
        <f t="shared" si="160"/>
        <v>0</v>
      </c>
      <c r="U546" s="30">
        <f t="shared" si="161"/>
        <v>0</v>
      </c>
      <c r="V546" s="30">
        <f t="shared" si="162"/>
        <v>0</v>
      </c>
      <c r="W546" s="30">
        <f t="shared" si="163"/>
        <v>0</v>
      </c>
      <c r="X546" s="30">
        <f t="shared" si="164"/>
        <v>0</v>
      </c>
      <c r="Z546" s="23" t="s">
        <v>76</v>
      </c>
      <c r="AA546" s="40" t="str">
        <f>IF(C546="Electricity",E546*SUMIFS(Electricity!S:S,Electricity!P:P,UserMade_Scenario!B546,Electricity!M:M,UserMade_Scenario!Z546,Electricity!O:O,UserMade_Scenario!D546),"")</f>
        <v/>
      </c>
      <c r="AB546" s="76">
        <f>1000*Assumptions!$B$17/1000000000000</f>
        <v>1.1999999999999999E-7</v>
      </c>
      <c r="AC546" s="67" t="s">
        <v>77</v>
      </c>
      <c r="AD546" s="39">
        <f>SUMIFS(Hydrogen!AK:AK,Hydrogen!$AA:$AA,UserMade_Scenario!$Z546,Hydrogen!$Y:$Y,UserMade_Scenario!$D546,Hydrogen!$AB:$AB,UserMade_Scenario!$B546,Hydrogen!$Z:$Z,UserMade_Scenario!$C546)</f>
        <v>-70.480181196488871</v>
      </c>
      <c r="AE546" s="39">
        <f>SUMIFS(Hydrogen!AL:AL,Hydrogen!$AA:$AA,UserMade_Scenario!$Z546,Hydrogen!$Y:$Y,UserMade_Scenario!$D546,Hydrogen!$AB:$AB,UserMade_Scenario!$B546,Hydrogen!$Z:$Z,UserMade_Scenario!$C546)</f>
        <v>-51.020362392977738</v>
      </c>
      <c r="AF546" s="39">
        <f>SUMIFS(Hydrogen!AM:AM,Hydrogen!$AA:$AA,UserMade_Scenario!$Z546,Hydrogen!$Y:$Y,UserMade_Scenario!$D546,Hydrogen!$AB:$AB,UserMade_Scenario!$B546,Hydrogen!$Z:$Z,UserMade_Scenario!$C546)</f>
        <v>-89.94</v>
      </c>
      <c r="AG546" s="68">
        <f>IFERROR(INDEX(WaterUseH2[Average Direct Water Consumption (Gal/ kg h2)],MATCH(LEFT(D546,3),WaterUseH2[Key],0)),0)</f>
        <v>4.0999999999999996</v>
      </c>
      <c r="AH546">
        <v>14</v>
      </c>
      <c r="AI546">
        <v>1.4</v>
      </c>
      <c r="AJ546">
        <v>250</v>
      </c>
      <c r="AK546">
        <v>0.31</v>
      </c>
      <c r="AL546" s="63">
        <f>IFERROR(INDEX(Job_Training[[Solar]:[Wind]],MATCH(AL$1,Job_Training[[`Typical Entry Level Education`]:[`Typical Entry Level Education`]],0),MATCH(LEFT($D546,5),Job_Training[[#Headers],[Solar]:[Wind]],0)),0)</f>
        <v>0</v>
      </c>
      <c r="AM546" s="63">
        <f>IFERROR(INDEX(Job_Training[[Solar]:[Wind]],MATCH(AM$1,Job_Training[[`Typical Entry Level Education`]:[`Typical Entry Level Education`]],0),MATCH(LEFT($D546,5),Job_Training[[#Headers],[Solar]:[Wind]],0)),0)</f>
        <v>0</v>
      </c>
      <c r="AN546" s="63">
        <f>IFERROR(INDEX(Job_Training[[Solar]:[Wind]],MATCH(AN$1,Job_Training[[`Typical Entry Level Education`]:[`Typical Entry Level Education`]],0),MATCH(LEFT($D546,5),Job_Training[[#Headers],[Solar]:[Wind]],0)),0)</f>
        <v>0</v>
      </c>
      <c r="AO546" s="63">
        <f>IFERROR(INDEX(Job_Training[[Solar]:[Wind]],MATCH(AO$1,Job_Training[[`Typical Entry Level Education`]:[`Typical Entry Level Education`]],0),MATCH(LEFT($D546,5),Job_Training[[#Headers],[Solar]:[Wind]],0)),0)</f>
        <v>0</v>
      </c>
      <c r="AP546">
        <f t="shared" si="165"/>
        <v>0</v>
      </c>
      <c r="AQ546" s="63">
        <f>IF(AP546&gt;0,IFERROR(INDEX(Assumptions!$C$165:$D$165,MATCH(LEFT($D546,5),Job_Training[[#Headers],[Solar]:[Wind]],0)),0),0)</f>
        <v>0</v>
      </c>
      <c r="AR546">
        <f>IF(AP546&gt;0,IFERROR(INDEX(Assumptions!$C$166:$D$166,MATCH(LEFT($D546,5),Job_Training[[#Headers],[Solar]:[Wind]],0)),0),0)</f>
        <v>0</v>
      </c>
    </row>
    <row r="547" spans="1:44" hidden="1" x14ac:dyDescent="0.35">
      <c r="A547" t="str">
        <f>UserInput!$B$56</f>
        <v>Max Buildout</v>
      </c>
      <c r="B547">
        <v>2045</v>
      </c>
      <c r="C547" t="s">
        <v>78</v>
      </c>
      <c r="D547" t="s">
        <v>79</v>
      </c>
      <c r="E547" s="66">
        <f>INDEX(UserInput!$C$56:$M$76,MATCH(UserMade_Scenario!B547,UserInput!$A$56:$A$76,0),MATCH(LEFT(IF(RIGHT(C547,2)="H2",UserMade_Scenario!C547,D547),3),UserInput!$C$25:$M$25,0))</f>
        <v>262800</v>
      </c>
      <c r="F547" s="14" t="s">
        <v>75</v>
      </c>
      <c r="G547" s="14">
        <f t="shared" si="155"/>
        <v>3.1535999999999995E-2</v>
      </c>
      <c r="H547" s="63">
        <f t="shared" si="156"/>
        <v>2.1889309172917861</v>
      </c>
      <c r="I547" s="63">
        <f t="shared" si="157"/>
        <v>1.5415139945835732</v>
      </c>
      <c r="J547" s="63">
        <f t="shared" si="158"/>
        <v>2.8363478399999993</v>
      </c>
      <c r="K547" s="30">
        <f>IF(OR(LEFT($D547,5)="Solar",$D547="Wind"),INDEX(Land_Use[AVG],MATCH(LEFT($D547,5),Land_Use[Tech],0)),0)*$E547</f>
        <v>0</v>
      </c>
      <c r="L547" s="30">
        <f>IF(OR(LEFT($D547,5)="Solar",$D547="Wind"),INDEX(Land_Use[MIN],MATCH(LEFT($D547,5),Land_Use[Tech],0)),0)*$E547</f>
        <v>0</v>
      </c>
      <c r="M547" s="30">
        <f>IF(OR(LEFT($D547,5)="Solar",$D547="Wind"),INDEX(Land_Use[MAX],MATCH(LEFT($D547,5),Land_Use[Tech],0)),0)*$E547</f>
        <v>0</v>
      </c>
      <c r="N547" s="13">
        <f t="shared" si="150"/>
        <v>1077.48</v>
      </c>
      <c r="O547" s="13">
        <f t="shared" si="151"/>
        <v>0</v>
      </c>
      <c r="P547" s="13">
        <f t="shared" si="152"/>
        <v>0</v>
      </c>
      <c r="Q547" s="13">
        <f t="shared" si="153"/>
        <v>0</v>
      </c>
      <c r="R547" s="13">
        <f t="shared" si="154"/>
        <v>0</v>
      </c>
      <c r="S547" s="30">
        <f t="shared" si="159"/>
        <v>0</v>
      </c>
      <c r="T547" s="30">
        <f t="shared" si="160"/>
        <v>0</v>
      </c>
      <c r="U547" s="30">
        <f t="shared" si="161"/>
        <v>0</v>
      </c>
      <c r="V547" s="30">
        <f t="shared" si="162"/>
        <v>0</v>
      </c>
      <c r="W547" s="30">
        <f t="shared" si="163"/>
        <v>0</v>
      </c>
      <c r="X547" s="30">
        <f t="shared" si="164"/>
        <v>0</v>
      </c>
      <c r="Z547" s="23" t="s">
        <v>76</v>
      </c>
      <c r="AA547" s="40" t="str">
        <f>IF(C547="Electricity",E547*SUMIFS(Electricity!S:S,Electricity!P:P,UserMade_Scenario!B547,Electricity!M:M,UserMade_Scenario!Z547,Electricity!O:O,UserMade_Scenario!D547),"")</f>
        <v/>
      </c>
      <c r="AB547" s="76">
        <f>1000*Assumptions!$B$17/1000000000000</f>
        <v>1.1999999999999999E-7</v>
      </c>
      <c r="AC547" s="67" t="s">
        <v>77</v>
      </c>
      <c r="AD547" s="39">
        <f>SUMIFS(Hydrogen!AK:AK,Hydrogen!$AA:$AA,UserMade_Scenario!$Z547,Hydrogen!$Y:$Y,UserMade_Scenario!$D547,Hydrogen!$AB:$AB,UserMade_Scenario!$B547,Hydrogen!$Z:$Z,UserMade_Scenario!$C547)</f>
        <v>-69.410544054153561</v>
      </c>
      <c r="AE547" s="39">
        <f>SUMIFS(Hydrogen!AL:AL,Hydrogen!$AA:$AA,UserMade_Scenario!$Z547,Hydrogen!$Y:$Y,UserMade_Scenario!$D547,Hydrogen!$AB:$AB,UserMade_Scenario!$B547,Hydrogen!$Z:$Z,UserMade_Scenario!$C547)</f>
        <v>-48.881088108307125</v>
      </c>
      <c r="AF547" s="39">
        <f>SUMIFS(Hydrogen!AM:AM,Hydrogen!$AA:$AA,UserMade_Scenario!$Z547,Hydrogen!$Y:$Y,UserMade_Scenario!$D547,Hydrogen!$AB:$AB,UserMade_Scenario!$B547,Hydrogen!$Z:$Z,UserMade_Scenario!$C547)</f>
        <v>-89.94</v>
      </c>
      <c r="AG547" s="68">
        <f>IFERROR(INDEX(WaterUseH2[Average Direct Water Consumption (Gal/ kg h2)],MATCH(LEFT(D547,3),WaterUseH2[Key],0)),0)</f>
        <v>4.0999999999999996</v>
      </c>
      <c r="AH547">
        <v>14</v>
      </c>
      <c r="AI547">
        <v>1.4</v>
      </c>
      <c r="AJ547">
        <v>250</v>
      </c>
      <c r="AK547">
        <v>0.31</v>
      </c>
      <c r="AL547" s="63">
        <f>IFERROR(INDEX(Job_Training[[Solar]:[Wind]],MATCH(AL$1,Job_Training[[`Typical Entry Level Education`]:[`Typical Entry Level Education`]],0),MATCH(LEFT($D547,5),Job_Training[[#Headers],[Solar]:[Wind]],0)),0)</f>
        <v>0</v>
      </c>
      <c r="AM547" s="63">
        <f>IFERROR(INDEX(Job_Training[[Solar]:[Wind]],MATCH(AM$1,Job_Training[[`Typical Entry Level Education`]:[`Typical Entry Level Education`]],0),MATCH(LEFT($D547,5),Job_Training[[#Headers],[Solar]:[Wind]],0)),0)</f>
        <v>0</v>
      </c>
      <c r="AN547" s="63">
        <f>IFERROR(INDEX(Job_Training[[Solar]:[Wind]],MATCH(AN$1,Job_Training[[`Typical Entry Level Education`]:[`Typical Entry Level Education`]],0),MATCH(LEFT($D547,5),Job_Training[[#Headers],[Solar]:[Wind]],0)),0)</f>
        <v>0</v>
      </c>
      <c r="AO547" s="63">
        <f>IFERROR(INDEX(Job_Training[[Solar]:[Wind]],MATCH(AO$1,Job_Training[[`Typical Entry Level Education`]:[`Typical Entry Level Education`]],0),MATCH(LEFT($D547,5),Job_Training[[#Headers],[Solar]:[Wind]],0)),0)</f>
        <v>0</v>
      </c>
      <c r="AP547">
        <f t="shared" si="165"/>
        <v>0</v>
      </c>
      <c r="AQ547" s="63">
        <f>IF(AP547&gt;0,IFERROR(INDEX(Assumptions!$C$165:$D$165,MATCH(LEFT($D547,5),Job_Training[[#Headers],[Solar]:[Wind]],0)),0),0)</f>
        <v>0</v>
      </c>
      <c r="AR547">
        <f>IF(AP547&gt;0,IFERROR(INDEX(Assumptions!$C$166:$D$166,MATCH(LEFT($D547,5),Job_Training[[#Headers],[Solar]:[Wind]],0)),0),0)</f>
        <v>0</v>
      </c>
    </row>
    <row r="548" spans="1:44" hidden="1" x14ac:dyDescent="0.35">
      <c r="A548" t="str">
        <f>UserInput!$B$56</f>
        <v>Max Buildout</v>
      </c>
      <c r="B548">
        <v>2025</v>
      </c>
      <c r="C548" t="s">
        <v>41</v>
      </c>
      <c r="D548" t="s">
        <v>80</v>
      </c>
      <c r="E548" s="66">
        <f>INDEX(UserInput!$C$56:$M$76,MATCH(UserMade_Scenario!B548,UserInput!$A$56:$A$76,0),MATCH(LEFT(IF(RIGHT(C548,2)="H2",UserMade_Scenario!C548,D548),3),UserInput!$C$25:$M$25,0))</f>
        <v>1171</v>
      </c>
      <c r="F548" t="s">
        <v>81</v>
      </c>
      <c r="G548" s="14">
        <f>AA548*AB548</f>
        <v>9.6702605611217567E-3</v>
      </c>
      <c r="H548" s="63">
        <f t="shared" si="156"/>
        <v>0.38691110363161241</v>
      </c>
      <c r="I548" s="63">
        <f t="shared" si="157"/>
        <v>0.35472836501890959</v>
      </c>
      <c r="J548" s="63">
        <f t="shared" si="158"/>
        <v>0.41909383955799928</v>
      </c>
      <c r="K548" s="30">
        <f>IF(OR(LEFT($D548,5)="Solar",$D548="Wind"),INDEX(Land_Use[AVG],MATCH(LEFT($D548,5),Land_Use[Tech],0)),0)*$E548</f>
        <v>4098.5</v>
      </c>
      <c r="L548" s="30">
        <f>IF(OR(LEFT($D548,5)="Solar",$D548="Wind"),INDEX(Land_Use[MIN],MATCH(LEFT($D548,5),Land_Use[Tech],0)),0)*$E548</f>
        <v>3278.7999999999997</v>
      </c>
      <c r="M548" s="30">
        <f>IF(OR(LEFT($D548,5)="Solar",$D548="Wind"),INDEX(Land_Use[MAX],MATCH(LEFT($D548,5),Land_Use[Tech],0)),0)*$E548</f>
        <v>4918.2</v>
      </c>
      <c r="N548" s="15">
        <f t="shared" si="150"/>
        <v>0</v>
      </c>
      <c r="O548" s="11">
        <f t="shared" si="151"/>
        <v>57379</v>
      </c>
      <c r="P548" s="11">
        <f t="shared" si="152"/>
        <v>5737.9</v>
      </c>
      <c r="Q548" s="11">
        <f t="shared" si="153"/>
        <v>1024625</v>
      </c>
      <c r="R548" s="11">
        <f t="shared" si="154"/>
        <v>1270.5350000000001</v>
      </c>
      <c r="S548" s="30">
        <f t="shared" si="159"/>
        <v>40.516599999999997</v>
      </c>
      <c r="T548" s="30">
        <f t="shared" si="160"/>
        <v>33.022199999999998</v>
      </c>
      <c r="U548" s="30">
        <f t="shared" si="161"/>
        <v>39.111399999999996</v>
      </c>
      <c r="V548" s="30">
        <f t="shared" si="162"/>
        <v>6.5810199999999996</v>
      </c>
      <c r="W548" s="30">
        <f t="shared" si="163"/>
        <v>119.23121999999999</v>
      </c>
      <c r="X548" s="30">
        <f t="shared" si="164"/>
        <v>7153.8731999999991</v>
      </c>
      <c r="Z548" s="23" t="s">
        <v>76</v>
      </c>
      <c r="AA548" s="40">
        <f>IF(C548="Electricity",E548*SUMIFS(Electricity!S:S,Electricity!P:P,UserMade_Scenario!B548,Electricity!M:M,UserMade_Scenario!Z548,Electricity!O:O,UserMade_Scenario!D548),"")</f>
        <v>2686315.8887658324</v>
      </c>
      <c r="AB548" s="76">
        <f>1/Assumptions!$B$23/1000000000000</f>
        <v>3.5998225679871703E-9</v>
      </c>
      <c r="AC548" s="67" t="s">
        <v>82</v>
      </c>
      <c r="AD548" s="69">
        <f>INDEX(Table11[AVG
CO2e MT per MWh],MATCH(UserMade_Scenario!$B548,Table11[[Year]:[Year]],0))</f>
        <v>-0.14403038200000001</v>
      </c>
      <c r="AE548" s="69">
        <f>INDEX(Table11[MIN
CO2e MT per MWh],MATCH(UserMade_Scenario!$B548,Table11[[Year]:[Year]],0))</f>
        <v>-0.13205013099999999</v>
      </c>
      <c r="AF548" s="69">
        <f>INDEX(Table11[MAX CO2e MT per MWh],MATCH(UserMade_Scenario!$B548,Table11[[Year]:[Year]],0))</f>
        <v>-0.15601063200000001</v>
      </c>
      <c r="AG548" s="68">
        <f>IFERROR(INDEX(WaterUseH2[Average Direct Water Consumption (Gal/ kg h2)],MATCH(LEFT(D548,3),WaterUseH2[Key],0)),0)</f>
        <v>0</v>
      </c>
      <c r="AH548">
        <v>14</v>
      </c>
      <c r="AI548">
        <v>1.4</v>
      </c>
      <c r="AJ548">
        <v>250</v>
      </c>
      <c r="AK548">
        <v>0.31</v>
      </c>
      <c r="AL548" s="63">
        <f>IFERROR(INDEX(Job_Training[[Solar]:[Wind]],MATCH(AL$1,Job_Training[[`Typical Entry Level Education`]:[`Typical Entry Level Education`]],0),MATCH(LEFT($D548,5),Job_Training[[#Headers],[Solar]:[Wind]],0)),0)</f>
        <v>3.4599999999999999E-2</v>
      </c>
      <c r="AM548" s="63">
        <f>IFERROR(INDEX(Job_Training[[Solar]:[Wind]],MATCH(AM$1,Job_Training[[`Typical Entry Level Education`]:[`Typical Entry Level Education`]],0),MATCH(LEFT($D548,5),Job_Training[[#Headers],[Solar]:[Wind]],0)),0)</f>
        <v>2.8199999999999999E-2</v>
      </c>
      <c r="AN548" s="63">
        <f>IFERROR(INDEX(Job_Training[[Solar]:[Wind]],MATCH(AN$1,Job_Training[[`Typical Entry Level Education`]:[`Typical Entry Level Education`]],0),MATCH(LEFT($D548,5),Job_Training[[#Headers],[Solar]:[Wind]],0)),0)</f>
        <v>3.3399999999999999E-2</v>
      </c>
      <c r="AO548" s="63">
        <f>IFERROR(INDEX(Job_Training[[Solar]:[Wind]],MATCH(AO$1,Job_Training[[`Typical Entry Level Education`]:[`Typical Entry Level Education`]],0),MATCH(LEFT($D548,5),Job_Training[[#Headers],[Solar]:[Wind]],0)),0)</f>
        <v>5.62E-3</v>
      </c>
      <c r="AP548">
        <f t="shared" si="165"/>
        <v>1171</v>
      </c>
      <c r="AQ548" s="63">
        <f>IF(AP548&gt;0,IFERROR(INDEX(Assumptions!$C$165:$D$165,MATCH(LEFT($D548,5),Job_Training[[#Headers],[Solar]:[Wind]],0)),0),0)</f>
        <v>0.10181999999999999</v>
      </c>
      <c r="AR548">
        <f>IF(AP548&gt;0,IFERROR(INDEX(Assumptions!$C$166:$D$166,MATCH(LEFT($D548,5),Job_Training[[#Headers],[Solar]:[Wind]],0)),0),0)</f>
        <v>6.1091999999999995</v>
      </c>
    </row>
    <row r="549" spans="1:44" hidden="1" x14ac:dyDescent="0.35">
      <c r="A549" t="str">
        <f>UserInput!$B$56</f>
        <v>Max Buildout</v>
      </c>
      <c r="B549">
        <v>2026</v>
      </c>
      <c r="C549" t="s">
        <v>41</v>
      </c>
      <c r="D549" t="s">
        <v>80</v>
      </c>
      <c r="E549" s="66">
        <f>INDEX(UserInput!$C$56:$M$76,MATCH(UserMade_Scenario!B549,UserInput!$A$56:$A$76,0),MATCH(LEFT(IF(RIGHT(C549,2)="H2",UserMade_Scenario!C549,D549),3),UserInput!$C$25:$M$25,0))</f>
        <v>2342</v>
      </c>
      <c r="F549" t="s">
        <v>81</v>
      </c>
      <c r="G549" s="14">
        <f t="shared" ref="G549:G612" si="166">AA549*AB549</f>
        <v>1.8886309524751267E-2</v>
      </c>
      <c r="H549" s="63">
        <f t="shared" si="156"/>
        <v>0.73348838330280919</v>
      </c>
      <c r="I549" s="63">
        <f t="shared" si="157"/>
        <v>0.66573516186895565</v>
      </c>
      <c r="J549" s="63">
        <f t="shared" si="158"/>
        <v>0.80124159949020701</v>
      </c>
      <c r="K549" s="30">
        <f>IF(OR(LEFT($D549,5)="Solar",$D549="Wind"),INDEX(Land_Use[AVG],MATCH(LEFT($D549,5),Land_Use[Tech],0)),0)*$E549</f>
        <v>8197</v>
      </c>
      <c r="L549" s="30">
        <f>IF(OR(LEFT($D549,5)="Solar",$D549="Wind"),INDEX(Land_Use[MIN],MATCH(LEFT($D549,5),Land_Use[Tech],0)),0)*$E549</f>
        <v>6557.5999999999995</v>
      </c>
      <c r="M549" s="30">
        <f>IF(OR(LEFT($D549,5)="Solar",$D549="Wind"),INDEX(Land_Use[MAX],MATCH(LEFT($D549,5),Land_Use[Tech],0)),0)*$E549</f>
        <v>9836.4</v>
      </c>
      <c r="N549" s="15">
        <f t="shared" si="150"/>
        <v>0</v>
      </c>
      <c r="O549" s="11">
        <f t="shared" si="151"/>
        <v>114758</v>
      </c>
      <c r="P549" s="11">
        <f t="shared" si="152"/>
        <v>11475.8</v>
      </c>
      <c r="Q549" s="11">
        <f t="shared" si="153"/>
        <v>2049250</v>
      </c>
      <c r="R549" s="11">
        <f t="shared" si="154"/>
        <v>2541.0700000000002</v>
      </c>
      <c r="S549" s="30">
        <f t="shared" si="159"/>
        <v>40.516599999999997</v>
      </c>
      <c r="T549" s="30">
        <f t="shared" si="160"/>
        <v>33.022199999999998</v>
      </c>
      <c r="U549" s="30">
        <f t="shared" si="161"/>
        <v>39.111399999999996</v>
      </c>
      <c r="V549" s="30">
        <f t="shared" si="162"/>
        <v>6.5810199999999996</v>
      </c>
      <c r="W549" s="30">
        <f t="shared" si="163"/>
        <v>119.23121999999999</v>
      </c>
      <c r="X549" s="30">
        <f t="shared" si="164"/>
        <v>7153.8731999999991</v>
      </c>
      <c r="Z549" s="23" t="s">
        <v>76</v>
      </c>
      <c r="AA549" s="40">
        <f>IF(C549="Electricity",E549*SUMIFS(Electricity!S:S,Electricity!P:P,UserMade_Scenario!B549,Electricity!M:M,UserMade_Scenario!Z549,Electricity!O:O,UserMade_Scenario!D549),"")</f>
        <v>5246455.6705391984</v>
      </c>
      <c r="AB549" s="76">
        <f>1/Assumptions!$B$23/1000000000000</f>
        <v>3.5998225679871703E-9</v>
      </c>
      <c r="AC549" s="67" t="s">
        <v>82</v>
      </c>
      <c r="AD549" s="69">
        <f>INDEX(Table11[AVG
CO2e MT per MWh],MATCH(UserMade_Scenario!$B549,Table11[[Year]:[Year]],0))</f>
        <v>-0.13980645780000001</v>
      </c>
      <c r="AE549" s="69">
        <f>INDEX(Table11[MIN
CO2e MT per MWh],MATCH(UserMade_Scenario!$B549,Table11[[Year]:[Year]],0))</f>
        <v>-0.12689236385</v>
      </c>
      <c r="AF549" s="69">
        <f>INDEX(Table11[MAX CO2e MT per MWh],MATCH(UserMade_Scenario!$B549,Table11[[Year]:[Year]],0))</f>
        <v>-0.15272055075000002</v>
      </c>
      <c r="AG549" s="68">
        <f>IFERROR(INDEX(WaterUseH2[Average Direct Water Consumption (Gal/ kg h2)],MATCH(LEFT(D549,3),WaterUseH2[Key],0)),0)</f>
        <v>0</v>
      </c>
      <c r="AH549">
        <v>14</v>
      </c>
      <c r="AI549">
        <v>1.4</v>
      </c>
      <c r="AJ549">
        <v>250</v>
      </c>
      <c r="AK549">
        <v>0.31</v>
      </c>
      <c r="AL549" s="63">
        <f>IFERROR(INDEX(Job_Training[[Solar]:[Wind]],MATCH(AL$1,Job_Training[[`Typical Entry Level Education`]:[`Typical Entry Level Education`]],0),MATCH(LEFT($D549,5),Job_Training[[#Headers],[Solar]:[Wind]],0)),0)</f>
        <v>3.4599999999999999E-2</v>
      </c>
      <c r="AM549" s="63">
        <f>IFERROR(INDEX(Job_Training[[Solar]:[Wind]],MATCH(AM$1,Job_Training[[`Typical Entry Level Education`]:[`Typical Entry Level Education`]],0),MATCH(LEFT($D549,5),Job_Training[[#Headers],[Solar]:[Wind]],0)),0)</f>
        <v>2.8199999999999999E-2</v>
      </c>
      <c r="AN549" s="63">
        <f>IFERROR(INDEX(Job_Training[[Solar]:[Wind]],MATCH(AN$1,Job_Training[[`Typical Entry Level Education`]:[`Typical Entry Level Education`]],0),MATCH(LEFT($D549,5),Job_Training[[#Headers],[Solar]:[Wind]],0)),0)</f>
        <v>3.3399999999999999E-2</v>
      </c>
      <c r="AO549" s="63">
        <f>IFERROR(INDEX(Job_Training[[Solar]:[Wind]],MATCH(AO$1,Job_Training[[`Typical Entry Level Education`]:[`Typical Entry Level Education`]],0),MATCH(LEFT($D549,5),Job_Training[[#Headers],[Solar]:[Wind]],0)),0)</f>
        <v>5.62E-3</v>
      </c>
      <c r="AP549">
        <f t="shared" si="165"/>
        <v>1171</v>
      </c>
      <c r="AQ549" s="63">
        <f>IF(AP549&gt;0,IFERROR(INDEX(Assumptions!$C$165:$D$165,MATCH(LEFT($D549,5),Job_Training[[#Headers],[Solar]:[Wind]],0)),0),0)</f>
        <v>0.10181999999999999</v>
      </c>
      <c r="AR549">
        <f>IF(AP549&gt;0,IFERROR(INDEX(Assumptions!$C$166:$D$166,MATCH(LEFT($D549,5),Job_Training[[#Headers],[Solar]:[Wind]],0)),0),0)</f>
        <v>6.1091999999999995</v>
      </c>
    </row>
    <row r="550" spans="1:44" hidden="1" x14ac:dyDescent="0.35">
      <c r="A550" t="str">
        <f>UserInput!$B$56</f>
        <v>Max Buildout</v>
      </c>
      <c r="B550">
        <v>2027</v>
      </c>
      <c r="C550" t="s">
        <v>41</v>
      </c>
      <c r="D550" t="s">
        <v>80</v>
      </c>
      <c r="E550" s="66">
        <f>INDEX(UserInput!$C$56:$M$76,MATCH(UserMade_Scenario!B550,UserInput!$A$56:$A$76,0),MATCH(LEFT(IF(RIGHT(C550,2)="H2",UserMade_Scenario!C550,D550),3),UserInput!$C$25:$M$25,0))</f>
        <v>3513</v>
      </c>
      <c r="F550" t="s">
        <v>81</v>
      </c>
      <c r="G550" s="14">
        <f t="shared" si="166"/>
        <v>2.7648146890888538E-2</v>
      </c>
      <c r="H550" s="63">
        <f t="shared" si="156"/>
        <v>1.0413307139489523</v>
      </c>
      <c r="I550" s="63">
        <f t="shared" si="157"/>
        <v>0.93497275148942038</v>
      </c>
      <c r="J550" s="63">
        <f t="shared" si="158"/>
        <v>1.1476886687280652</v>
      </c>
      <c r="K550" s="30">
        <f>IF(OR(LEFT($D550,5)="Solar",$D550="Wind"),INDEX(Land_Use[AVG],MATCH(LEFT($D550,5),Land_Use[Tech],0)),0)*$E550</f>
        <v>12295.5</v>
      </c>
      <c r="L550" s="30">
        <f>IF(OR(LEFT($D550,5)="Solar",$D550="Wind"),INDEX(Land_Use[MIN],MATCH(LEFT($D550,5),Land_Use[Tech],0)),0)*$E550</f>
        <v>9836.4</v>
      </c>
      <c r="M550" s="30">
        <f>IF(OR(LEFT($D550,5)="Solar",$D550="Wind"),INDEX(Land_Use[MAX],MATCH(LEFT($D550,5),Land_Use[Tech],0)),0)*$E550</f>
        <v>14754.6</v>
      </c>
      <c r="N550" s="15">
        <f t="shared" si="150"/>
        <v>0</v>
      </c>
      <c r="O550" s="11">
        <f t="shared" si="151"/>
        <v>172137</v>
      </c>
      <c r="P550" s="11">
        <f t="shared" si="152"/>
        <v>17213.699999999997</v>
      </c>
      <c r="Q550" s="11">
        <f t="shared" si="153"/>
        <v>3073875</v>
      </c>
      <c r="R550" s="11">
        <f t="shared" si="154"/>
        <v>3811.605</v>
      </c>
      <c r="S550" s="30">
        <f t="shared" si="159"/>
        <v>40.516599999999997</v>
      </c>
      <c r="T550" s="30">
        <f t="shared" si="160"/>
        <v>33.022199999999998</v>
      </c>
      <c r="U550" s="30">
        <f t="shared" si="161"/>
        <v>39.111399999999996</v>
      </c>
      <c r="V550" s="30">
        <f t="shared" si="162"/>
        <v>6.5810199999999996</v>
      </c>
      <c r="W550" s="30">
        <f t="shared" si="163"/>
        <v>119.23121999999999</v>
      </c>
      <c r="X550" s="30">
        <f t="shared" si="164"/>
        <v>7153.8731999999991</v>
      </c>
      <c r="Z550" s="23" t="s">
        <v>76</v>
      </c>
      <c r="AA550" s="40">
        <f>IF(C550="Electricity",E550*SUMIFS(Electricity!S:S,Electricity!P:P,UserMade_Scenario!B550,Electricity!M:M,UserMade_Scenario!Z550,Electricity!O:O,UserMade_Scenario!D550),"")</f>
        <v>7680419.345320099</v>
      </c>
      <c r="AB550" s="76">
        <f>1/Assumptions!$B$23/1000000000000</f>
        <v>3.5998225679871703E-9</v>
      </c>
      <c r="AC550" s="67" t="s">
        <v>82</v>
      </c>
      <c r="AD550" s="69">
        <f>INDEX(Table11[AVG
CO2e MT per MWh],MATCH(UserMade_Scenario!$B550,Table11[[Year]:[Year]],0))</f>
        <v>-0.1355825336</v>
      </c>
      <c r="AE550" s="69">
        <f>INDEX(Table11[MIN
CO2e MT per MWh],MATCH(UserMade_Scenario!$B550,Table11[[Year]:[Year]],0))</f>
        <v>-0.1217345967</v>
      </c>
      <c r="AF550" s="69">
        <f>INDEX(Table11[MAX CO2e MT per MWh],MATCH(UserMade_Scenario!$B550,Table11[[Year]:[Year]],0))</f>
        <v>-0.14943046950000002</v>
      </c>
      <c r="AG550" s="68">
        <f>IFERROR(INDEX(WaterUseH2[Average Direct Water Consumption (Gal/ kg h2)],MATCH(LEFT(D550,3),WaterUseH2[Key],0)),0)</f>
        <v>0</v>
      </c>
      <c r="AH550">
        <v>14</v>
      </c>
      <c r="AI550">
        <v>1.4</v>
      </c>
      <c r="AJ550">
        <v>250</v>
      </c>
      <c r="AK550">
        <v>0.31</v>
      </c>
      <c r="AL550" s="63">
        <f>IFERROR(INDEX(Job_Training[[Solar]:[Wind]],MATCH(AL$1,Job_Training[[`Typical Entry Level Education`]:[`Typical Entry Level Education`]],0),MATCH(LEFT($D550,5),Job_Training[[#Headers],[Solar]:[Wind]],0)),0)</f>
        <v>3.4599999999999999E-2</v>
      </c>
      <c r="AM550" s="63">
        <f>IFERROR(INDEX(Job_Training[[Solar]:[Wind]],MATCH(AM$1,Job_Training[[`Typical Entry Level Education`]:[`Typical Entry Level Education`]],0),MATCH(LEFT($D550,5),Job_Training[[#Headers],[Solar]:[Wind]],0)),0)</f>
        <v>2.8199999999999999E-2</v>
      </c>
      <c r="AN550" s="63">
        <f>IFERROR(INDEX(Job_Training[[Solar]:[Wind]],MATCH(AN$1,Job_Training[[`Typical Entry Level Education`]:[`Typical Entry Level Education`]],0),MATCH(LEFT($D550,5),Job_Training[[#Headers],[Solar]:[Wind]],0)),0)</f>
        <v>3.3399999999999999E-2</v>
      </c>
      <c r="AO550" s="63">
        <f>IFERROR(INDEX(Job_Training[[Solar]:[Wind]],MATCH(AO$1,Job_Training[[`Typical Entry Level Education`]:[`Typical Entry Level Education`]],0),MATCH(LEFT($D550,5),Job_Training[[#Headers],[Solar]:[Wind]],0)),0)</f>
        <v>5.62E-3</v>
      </c>
      <c r="AP550">
        <f t="shared" si="165"/>
        <v>1171</v>
      </c>
      <c r="AQ550" s="63">
        <f>IF(AP550&gt;0,IFERROR(INDEX(Assumptions!$C$165:$D$165,MATCH(LEFT($D550,5),Job_Training[[#Headers],[Solar]:[Wind]],0)),0),0)</f>
        <v>0.10181999999999999</v>
      </c>
      <c r="AR550">
        <f>IF(AP550&gt;0,IFERROR(INDEX(Assumptions!$C$166:$D$166,MATCH(LEFT($D550,5),Job_Training[[#Headers],[Solar]:[Wind]],0)),0),0)</f>
        <v>6.1091999999999995</v>
      </c>
    </row>
    <row r="551" spans="1:44" hidden="1" x14ac:dyDescent="0.35">
      <c r="A551" t="str">
        <f>UserInput!$B$56</f>
        <v>Max Buildout</v>
      </c>
      <c r="B551">
        <v>2028</v>
      </c>
      <c r="C551" t="s">
        <v>41</v>
      </c>
      <c r="D551" t="s">
        <v>80</v>
      </c>
      <c r="E551" s="66">
        <f>INDEX(UserInput!$C$56:$M$76,MATCH(UserMade_Scenario!B551,UserInput!$A$56:$A$76,0),MATCH(LEFT(IF(RIGHT(C551,2)="H2",UserMade_Scenario!C551,D551),3),UserInput!$C$25:$M$25,0))</f>
        <v>4684</v>
      </c>
      <c r="F551" t="s">
        <v>81</v>
      </c>
      <c r="G551" s="14">
        <f t="shared" si="166"/>
        <v>3.5955772659533571E-2</v>
      </c>
      <c r="H551" s="63">
        <f t="shared" si="156"/>
        <v>1.3120369705054034</v>
      </c>
      <c r="I551" s="63">
        <f t="shared" si="157"/>
        <v>1.1643934948195851</v>
      </c>
      <c r="J551" s="63">
        <f t="shared" si="158"/>
        <v>1.4596804362030154</v>
      </c>
      <c r="K551" s="30">
        <f>IF(OR(LEFT($D551,5)="Solar",$D551="Wind"),INDEX(Land_Use[AVG],MATCH(LEFT($D551,5),Land_Use[Tech],0)),0)*$E551</f>
        <v>16394</v>
      </c>
      <c r="L551" s="30">
        <f>IF(OR(LEFT($D551,5)="Solar",$D551="Wind"),INDEX(Land_Use[MIN],MATCH(LEFT($D551,5),Land_Use[Tech],0)),0)*$E551</f>
        <v>13115.199999999999</v>
      </c>
      <c r="M551" s="30">
        <f>IF(OR(LEFT($D551,5)="Solar",$D551="Wind"),INDEX(Land_Use[MAX],MATCH(LEFT($D551,5),Land_Use[Tech],0)),0)*$E551</f>
        <v>19672.8</v>
      </c>
      <c r="N551" s="15">
        <f t="shared" si="150"/>
        <v>0</v>
      </c>
      <c r="O551" s="11">
        <f t="shared" si="151"/>
        <v>229516</v>
      </c>
      <c r="P551" s="11">
        <f t="shared" si="152"/>
        <v>22951.599999999999</v>
      </c>
      <c r="Q551" s="11">
        <f t="shared" si="153"/>
        <v>4098500</v>
      </c>
      <c r="R551" s="11">
        <f t="shared" si="154"/>
        <v>5082.1400000000003</v>
      </c>
      <c r="S551" s="30">
        <f t="shared" si="159"/>
        <v>40.516599999999997</v>
      </c>
      <c r="T551" s="30">
        <f t="shared" si="160"/>
        <v>33.022199999999998</v>
      </c>
      <c r="U551" s="30">
        <f t="shared" si="161"/>
        <v>39.111399999999996</v>
      </c>
      <c r="V551" s="30">
        <f t="shared" si="162"/>
        <v>6.5810199999999996</v>
      </c>
      <c r="W551" s="30">
        <f t="shared" si="163"/>
        <v>119.23121999999999</v>
      </c>
      <c r="X551" s="30">
        <f t="shared" si="164"/>
        <v>7153.8731999999991</v>
      </c>
      <c r="Z551" s="23" t="s">
        <v>76</v>
      </c>
      <c r="AA551" s="40">
        <f>IF(C551="Electricity",E551*SUMIFS(Electricity!S:S,Electricity!P:P,UserMade_Scenario!B551,Electricity!M:M,UserMade_Scenario!Z551,Electricity!O:O,UserMade_Scenario!D551),"")</f>
        <v>9988206.9131085332</v>
      </c>
      <c r="AB551" s="76">
        <f>1/Assumptions!$B$23/1000000000000</f>
        <v>3.5998225679871703E-9</v>
      </c>
      <c r="AC551" s="67" t="s">
        <v>82</v>
      </c>
      <c r="AD551" s="69">
        <f>INDEX(Table11[AVG
CO2e MT per MWh],MATCH(UserMade_Scenario!$B551,Table11[[Year]:[Year]],0))</f>
        <v>-0.13135860939999999</v>
      </c>
      <c r="AE551" s="69">
        <f>INDEX(Table11[MIN
CO2e MT per MWh],MATCH(UserMade_Scenario!$B551,Table11[[Year]:[Year]],0))</f>
        <v>-0.11657682955000001</v>
      </c>
      <c r="AF551" s="69">
        <f>INDEX(Table11[MAX CO2e MT per MWh],MATCH(UserMade_Scenario!$B551,Table11[[Year]:[Year]],0))</f>
        <v>-0.14614038825000003</v>
      </c>
      <c r="AG551" s="68">
        <f>IFERROR(INDEX(WaterUseH2[Average Direct Water Consumption (Gal/ kg h2)],MATCH(LEFT(D551,3),WaterUseH2[Key],0)),0)</f>
        <v>0</v>
      </c>
      <c r="AH551">
        <v>14</v>
      </c>
      <c r="AI551">
        <v>1.4</v>
      </c>
      <c r="AJ551">
        <v>250</v>
      </c>
      <c r="AK551">
        <v>0.31</v>
      </c>
      <c r="AL551" s="63">
        <f>IFERROR(INDEX(Job_Training[[Solar]:[Wind]],MATCH(AL$1,Job_Training[[`Typical Entry Level Education`]:[`Typical Entry Level Education`]],0),MATCH(LEFT($D551,5),Job_Training[[#Headers],[Solar]:[Wind]],0)),0)</f>
        <v>3.4599999999999999E-2</v>
      </c>
      <c r="AM551" s="63">
        <f>IFERROR(INDEX(Job_Training[[Solar]:[Wind]],MATCH(AM$1,Job_Training[[`Typical Entry Level Education`]:[`Typical Entry Level Education`]],0),MATCH(LEFT($D551,5),Job_Training[[#Headers],[Solar]:[Wind]],0)),0)</f>
        <v>2.8199999999999999E-2</v>
      </c>
      <c r="AN551" s="63">
        <f>IFERROR(INDEX(Job_Training[[Solar]:[Wind]],MATCH(AN$1,Job_Training[[`Typical Entry Level Education`]:[`Typical Entry Level Education`]],0),MATCH(LEFT($D551,5),Job_Training[[#Headers],[Solar]:[Wind]],0)),0)</f>
        <v>3.3399999999999999E-2</v>
      </c>
      <c r="AO551" s="63">
        <f>IFERROR(INDEX(Job_Training[[Solar]:[Wind]],MATCH(AO$1,Job_Training[[`Typical Entry Level Education`]:[`Typical Entry Level Education`]],0),MATCH(LEFT($D551,5),Job_Training[[#Headers],[Solar]:[Wind]],0)),0)</f>
        <v>5.62E-3</v>
      </c>
      <c r="AP551">
        <f t="shared" si="165"/>
        <v>1171</v>
      </c>
      <c r="AQ551" s="63">
        <f>IF(AP551&gt;0,IFERROR(INDEX(Assumptions!$C$165:$D$165,MATCH(LEFT($D551,5),Job_Training[[#Headers],[Solar]:[Wind]],0)),0),0)</f>
        <v>0.10181999999999999</v>
      </c>
      <c r="AR551">
        <f>IF(AP551&gt;0,IFERROR(INDEX(Assumptions!$C$166:$D$166,MATCH(LEFT($D551,5),Job_Training[[#Headers],[Solar]:[Wind]],0)),0),0)</f>
        <v>6.1091999999999995</v>
      </c>
    </row>
    <row r="552" spans="1:44" hidden="1" x14ac:dyDescent="0.35">
      <c r="A552" t="str">
        <f>UserInput!$B$56</f>
        <v>Max Buildout</v>
      </c>
      <c r="B552">
        <v>2029</v>
      </c>
      <c r="C552" t="s">
        <v>41</v>
      </c>
      <c r="D552" t="s">
        <v>80</v>
      </c>
      <c r="E552" s="66">
        <f>INDEX(UserInput!$C$56:$M$76,MATCH(UserMade_Scenario!B552,UserInput!$A$56:$A$76,0),MATCH(LEFT(IF(RIGHT(C552,2)="H2",UserMade_Scenario!C552,D552),3),UserInput!$C$25:$M$25,0))</f>
        <v>5854</v>
      </c>
      <c r="F552" t="s">
        <v>81</v>
      </c>
      <c r="G552" s="14">
        <f t="shared" si="166"/>
        <v>4.3801704475975728E-2</v>
      </c>
      <c r="H552" s="63">
        <f t="shared" si="156"/>
        <v>1.5469417741025873</v>
      </c>
      <c r="I552" s="63">
        <f t="shared" si="157"/>
        <v>1.3557181644549579</v>
      </c>
      <c r="J552" s="63">
        <f t="shared" si="158"/>
        <v>1.7381653715824776</v>
      </c>
      <c r="K552" s="30">
        <f>IF(OR(LEFT($D552,5)="Solar",$D552="Wind"),INDEX(Land_Use[AVG],MATCH(LEFT($D552,5),Land_Use[Tech],0)),0)*$E552</f>
        <v>20489</v>
      </c>
      <c r="L552" s="30">
        <f>IF(OR(LEFT($D552,5)="Solar",$D552="Wind"),INDEX(Land_Use[MIN],MATCH(LEFT($D552,5),Land_Use[Tech],0)),0)*$E552</f>
        <v>16391.2</v>
      </c>
      <c r="M552" s="30">
        <f>IF(OR(LEFT($D552,5)="Solar",$D552="Wind"),INDEX(Land_Use[MAX],MATCH(LEFT($D552,5),Land_Use[Tech],0)),0)*$E552</f>
        <v>24586.799999999999</v>
      </c>
      <c r="N552" s="15">
        <f t="shared" si="150"/>
        <v>0</v>
      </c>
      <c r="O552" s="11">
        <f t="shared" si="151"/>
        <v>286846</v>
      </c>
      <c r="P552" s="11">
        <f t="shared" si="152"/>
        <v>28684.6</v>
      </c>
      <c r="Q552" s="11">
        <f t="shared" si="153"/>
        <v>5122250</v>
      </c>
      <c r="R552" s="11">
        <f t="shared" si="154"/>
        <v>6351.59</v>
      </c>
      <c r="S552" s="30">
        <f t="shared" si="159"/>
        <v>40.481999999999999</v>
      </c>
      <c r="T552" s="30">
        <f t="shared" si="160"/>
        <v>32.994</v>
      </c>
      <c r="U552" s="30">
        <f t="shared" si="161"/>
        <v>39.077999999999996</v>
      </c>
      <c r="V552" s="30">
        <f t="shared" si="162"/>
        <v>6.5754000000000001</v>
      </c>
      <c r="W552" s="30">
        <f t="shared" si="163"/>
        <v>119.12939999999999</v>
      </c>
      <c r="X552" s="30">
        <f t="shared" si="164"/>
        <v>7147.7639999999992</v>
      </c>
      <c r="Z552" s="23" t="s">
        <v>76</v>
      </c>
      <c r="AA552" s="40">
        <f>IF(C552="Electricity",E552*SUMIFS(Electricity!S:S,Electricity!P:P,UserMade_Scenario!B552,Electricity!M:M,UserMade_Scenario!Z552,Electricity!O:O,UserMade_Scenario!D552),"")</f>
        <v>12167739.839596404</v>
      </c>
      <c r="AB552" s="76">
        <f>1/Assumptions!$B$23/1000000000000</f>
        <v>3.5998225679871703E-9</v>
      </c>
      <c r="AC552" s="67" t="s">
        <v>82</v>
      </c>
      <c r="AD552" s="69">
        <f>INDEX(Table11[AVG
CO2e MT per MWh],MATCH(UserMade_Scenario!$B552,Table11[[Year]:[Year]],0))</f>
        <v>-0.12713468519999999</v>
      </c>
      <c r="AE552" s="69">
        <f>INDEX(Table11[MIN
CO2e MT per MWh],MATCH(UserMade_Scenario!$B552,Table11[[Year]:[Year]],0))</f>
        <v>-0.11141906240000002</v>
      </c>
      <c r="AF552" s="69">
        <f>INDEX(Table11[MAX CO2e MT per MWh],MATCH(UserMade_Scenario!$B552,Table11[[Year]:[Year]],0))</f>
        <v>-0.14285030700000004</v>
      </c>
      <c r="AG552" s="68">
        <f>IFERROR(INDEX(WaterUseH2[Average Direct Water Consumption (Gal/ kg h2)],MATCH(LEFT(D552,3),WaterUseH2[Key],0)),0)</f>
        <v>0</v>
      </c>
      <c r="AH552">
        <v>14</v>
      </c>
      <c r="AI552">
        <v>1.4</v>
      </c>
      <c r="AJ552">
        <v>250</v>
      </c>
      <c r="AK552">
        <v>0.31</v>
      </c>
      <c r="AL552" s="63">
        <f>IFERROR(INDEX(Job_Training[[Solar]:[Wind]],MATCH(AL$1,Job_Training[[`Typical Entry Level Education`]:[`Typical Entry Level Education`]],0),MATCH(LEFT($D552,5),Job_Training[[#Headers],[Solar]:[Wind]],0)),0)</f>
        <v>3.4599999999999999E-2</v>
      </c>
      <c r="AM552" s="63">
        <f>IFERROR(INDEX(Job_Training[[Solar]:[Wind]],MATCH(AM$1,Job_Training[[`Typical Entry Level Education`]:[`Typical Entry Level Education`]],0),MATCH(LEFT($D552,5),Job_Training[[#Headers],[Solar]:[Wind]],0)),0)</f>
        <v>2.8199999999999999E-2</v>
      </c>
      <c r="AN552" s="63">
        <f>IFERROR(INDEX(Job_Training[[Solar]:[Wind]],MATCH(AN$1,Job_Training[[`Typical Entry Level Education`]:[`Typical Entry Level Education`]],0),MATCH(LEFT($D552,5),Job_Training[[#Headers],[Solar]:[Wind]],0)),0)</f>
        <v>3.3399999999999999E-2</v>
      </c>
      <c r="AO552" s="63">
        <f>IFERROR(INDEX(Job_Training[[Solar]:[Wind]],MATCH(AO$1,Job_Training[[`Typical Entry Level Education`]:[`Typical Entry Level Education`]],0),MATCH(LEFT($D552,5),Job_Training[[#Headers],[Solar]:[Wind]],0)),0)</f>
        <v>5.62E-3</v>
      </c>
      <c r="AP552">
        <f t="shared" si="165"/>
        <v>1170</v>
      </c>
      <c r="AQ552" s="63">
        <f>IF(AP552&gt;0,IFERROR(INDEX(Assumptions!$C$165:$D$165,MATCH(LEFT($D552,5),Job_Training[[#Headers],[Solar]:[Wind]],0)),0),0)</f>
        <v>0.10181999999999999</v>
      </c>
      <c r="AR552">
        <f>IF(AP552&gt;0,IFERROR(INDEX(Assumptions!$C$166:$D$166,MATCH(LEFT($D552,5),Job_Training[[#Headers],[Solar]:[Wind]],0)),0),0)</f>
        <v>6.1091999999999995</v>
      </c>
    </row>
    <row r="553" spans="1:44" hidden="1" x14ac:dyDescent="0.35">
      <c r="A553" t="str">
        <f>UserInput!$B$56</f>
        <v>Max Buildout</v>
      </c>
      <c r="B553">
        <v>2030</v>
      </c>
      <c r="C553" t="s">
        <v>41</v>
      </c>
      <c r="D553" t="s">
        <v>80</v>
      </c>
      <c r="E553" s="66">
        <f>INDEX(UserInput!$C$56:$M$76,MATCH(UserMade_Scenario!B553,UserInput!$A$56:$A$76,0),MATCH(LEFT(IF(RIGHT(C553,2)="H2",UserMade_Scenario!C553,D553),3),UserInput!$C$25:$M$25,0))</f>
        <v>7025</v>
      </c>
      <c r="F553" t="s">
        <v>81</v>
      </c>
      <c r="G553" s="14">
        <f t="shared" si="166"/>
        <v>5.120110099139439E-2</v>
      </c>
      <c r="H553" s="63">
        <f t="shared" si="156"/>
        <v>1.7481879087193295</v>
      </c>
      <c r="I553" s="63">
        <f t="shared" si="157"/>
        <v>1.511378743484509</v>
      </c>
      <c r="J553" s="63">
        <f t="shared" si="158"/>
        <v>1.9849970597309223</v>
      </c>
      <c r="K553" s="30">
        <f>IF(OR(LEFT($D553,5)="Solar",$D553="Wind"),INDEX(Land_Use[AVG],MATCH(LEFT($D553,5),Land_Use[Tech],0)),0)*$E553</f>
        <v>24587.5</v>
      </c>
      <c r="L553" s="30">
        <f>IF(OR(LEFT($D553,5)="Solar",$D553="Wind"),INDEX(Land_Use[MIN],MATCH(LEFT($D553,5),Land_Use[Tech],0)),0)*$E553</f>
        <v>19670</v>
      </c>
      <c r="M553" s="30">
        <f>IF(OR(LEFT($D553,5)="Solar",$D553="Wind"),INDEX(Land_Use[MAX],MATCH(LEFT($D553,5),Land_Use[Tech],0)),0)*$E553</f>
        <v>29505</v>
      </c>
      <c r="N553" s="15">
        <f t="shared" si="150"/>
        <v>0</v>
      </c>
      <c r="O553" s="11">
        <f t="shared" si="151"/>
        <v>344225</v>
      </c>
      <c r="P553" s="11">
        <f t="shared" si="152"/>
        <v>34422.5</v>
      </c>
      <c r="Q553" s="11">
        <f t="shared" si="153"/>
        <v>6146875</v>
      </c>
      <c r="R553" s="11">
        <f t="shared" si="154"/>
        <v>7622.125</v>
      </c>
      <c r="S553" s="30">
        <f t="shared" si="159"/>
        <v>40.516599999999997</v>
      </c>
      <c r="T553" s="30">
        <f t="shared" si="160"/>
        <v>33.022199999999998</v>
      </c>
      <c r="U553" s="30">
        <f t="shared" si="161"/>
        <v>39.111399999999996</v>
      </c>
      <c r="V553" s="30">
        <f t="shared" si="162"/>
        <v>6.5810199999999996</v>
      </c>
      <c r="W553" s="30">
        <f t="shared" si="163"/>
        <v>119.23121999999999</v>
      </c>
      <c r="X553" s="30">
        <f t="shared" si="164"/>
        <v>7153.8731999999991</v>
      </c>
      <c r="Z553" s="23" t="s">
        <v>76</v>
      </c>
      <c r="AA553" s="40">
        <f>IF(C553="Electricity",E553*SUMIFS(Electricity!S:S,Electricity!P:P,UserMade_Scenario!B553,Electricity!M:M,UserMade_Scenario!Z553,Electricity!O:O,UserMade_Scenario!D553),"")</f>
        <v>14223229.068765832</v>
      </c>
      <c r="AB553" s="76">
        <f>1/Assumptions!$B$23/1000000000000</f>
        <v>3.5998225679871703E-9</v>
      </c>
      <c r="AC553" s="67" t="s">
        <v>82</v>
      </c>
      <c r="AD553" s="69">
        <f>INDEX(Table11[AVG
CO2e MT per MWh],MATCH(UserMade_Scenario!$B553,Table11[[Year]:[Year]],0))</f>
        <v>-0.12291076099999998</v>
      </c>
      <c r="AE553" s="69">
        <f>INDEX(Table11[MIN
CO2e MT per MWh],MATCH(UserMade_Scenario!$B553,Table11[[Year]:[Year]],0))</f>
        <v>-0.10626129525000003</v>
      </c>
      <c r="AF553" s="69">
        <f>INDEX(Table11[MAX CO2e MT per MWh],MATCH(UserMade_Scenario!$B553,Table11[[Year]:[Year]],0))</f>
        <v>-0.13956022575000004</v>
      </c>
      <c r="AG553" s="68">
        <f>IFERROR(INDEX(WaterUseH2[Average Direct Water Consumption (Gal/ kg h2)],MATCH(LEFT(D553,3),WaterUseH2[Key],0)),0)</f>
        <v>0</v>
      </c>
      <c r="AH553">
        <v>14</v>
      </c>
      <c r="AI553">
        <v>1.4</v>
      </c>
      <c r="AJ553">
        <v>250</v>
      </c>
      <c r="AK553">
        <v>0.31</v>
      </c>
      <c r="AL553" s="63">
        <f>IFERROR(INDEX(Job_Training[[Solar]:[Wind]],MATCH(AL$1,Job_Training[[`Typical Entry Level Education`]:[`Typical Entry Level Education`]],0),MATCH(LEFT($D553,5),Job_Training[[#Headers],[Solar]:[Wind]],0)),0)</f>
        <v>3.4599999999999999E-2</v>
      </c>
      <c r="AM553" s="63">
        <f>IFERROR(INDEX(Job_Training[[Solar]:[Wind]],MATCH(AM$1,Job_Training[[`Typical Entry Level Education`]:[`Typical Entry Level Education`]],0),MATCH(LEFT($D553,5),Job_Training[[#Headers],[Solar]:[Wind]],0)),0)</f>
        <v>2.8199999999999999E-2</v>
      </c>
      <c r="AN553" s="63">
        <f>IFERROR(INDEX(Job_Training[[Solar]:[Wind]],MATCH(AN$1,Job_Training[[`Typical Entry Level Education`]:[`Typical Entry Level Education`]],0),MATCH(LEFT($D553,5),Job_Training[[#Headers],[Solar]:[Wind]],0)),0)</f>
        <v>3.3399999999999999E-2</v>
      </c>
      <c r="AO553" s="63">
        <f>IFERROR(INDEX(Job_Training[[Solar]:[Wind]],MATCH(AO$1,Job_Training[[`Typical Entry Level Education`]:[`Typical Entry Level Education`]],0),MATCH(LEFT($D553,5),Job_Training[[#Headers],[Solar]:[Wind]],0)),0)</f>
        <v>5.62E-3</v>
      </c>
      <c r="AP553">
        <f t="shared" si="165"/>
        <v>1171</v>
      </c>
      <c r="AQ553" s="63">
        <f>IF(AP553&gt;0,IFERROR(INDEX(Assumptions!$C$165:$D$165,MATCH(LEFT($D553,5),Job_Training[[#Headers],[Solar]:[Wind]],0)),0),0)</f>
        <v>0.10181999999999999</v>
      </c>
      <c r="AR553">
        <f>IF(AP553&gt;0,IFERROR(INDEX(Assumptions!$C$166:$D$166,MATCH(LEFT($D553,5),Job_Training[[#Headers],[Solar]:[Wind]],0)),0),0)</f>
        <v>6.1091999999999995</v>
      </c>
    </row>
    <row r="554" spans="1:44" hidden="1" x14ac:dyDescent="0.35">
      <c r="A554" t="str">
        <f>UserInput!$B$56</f>
        <v>Max Buildout</v>
      </c>
      <c r="B554">
        <v>2031</v>
      </c>
      <c r="C554" t="s">
        <v>41</v>
      </c>
      <c r="D554" t="s">
        <v>80</v>
      </c>
      <c r="E554" s="66">
        <f>INDEX(UserInput!$C$56:$M$76,MATCH(UserMade_Scenario!B554,UserInput!$A$56:$A$76,0),MATCH(LEFT(IF(RIGHT(C554,2)="H2",UserMade_Scenario!C554,D554),3),UserInput!$C$25:$M$25,0))</f>
        <v>8196</v>
      </c>
      <c r="F554" t="s">
        <v>81</v>
      </c>
      <c r="G554" s="14">
        <f t="shared" si="166"/>
        <v>5.8146285909320798E-2</v>
      </c>
      <c r="H554" s="63">
        <f t="shared" si="156"/>
        <v>1.9170941389215412</v>
      </c>
      <c r="I554" s="63">
        <f t="shared" si="157"/>
        <v>1.6330790032884208</v>
      </c>
      <c r="J554" s="63">
        <f t="shared" si="158"/>
        <v>2.2011092584021217</v>
      </c>
      <c r="K554" s="30">
        <f>IF(OR(LEFT($D554,5)="Solar",$D554="Wind"),INDEX(Land_Use[AVG],MATCH(LEFT($D554,5),Land_Use[Tech],0)),0)*$E554</f>
        <v>28686</v>
      </c>
      <c r="L554" s="30">
        <f>IF(OR(LEFT($D554,5)="Solar",$D554="Wind"),INDEX(Land_Use[MIN],MATCH(LEFT($D554,5),Land_Use[Tech],0)),0)*$E554</f>
        <v>22948.799999999999</v>
      </c>
      <c r="M554" s="30">
        <f>IF(OR(LEFT($D554,5)="Solar",$D554="Wind"),INDEX(Land_Use[MAX],MATCH(LEFT($D554,5),Land_Use[Tech],0)),0)*$E554</f>
        <v>34423.200000000004</v>
      </c>
      <c r="N554" s="15">
        <f t="shared" si="150"/>
        <v>0</v>
      </c>
      <c r="O554" s="11">
        <f t="shared" si="151"/>
        <v>401604</v>
      </c>
      <c r="P554" s="11">
        <f t="shared" si="152"/>
        <v>40160.399999999994</v>
      </c>
      <c r="Q554" s="11">
        <f t="shared" si="153"/>
        <v>7171500</v>
      </c>
      <c r="R554" s="11">
        <f t="shared" si="154"/>
        <v>8892.66</v>
      </c>
      <c r="S554" s="30">
        <f t="shared" si="159"/>
        <v>40.516599999999997</v>
      </c>
      <c r="T554" s="30">
        <f t="shared" si="160"/>
        <v>33.022199999999998</v>
      </c>
      <c r="U554" s="30">
        <f t="shared" si="161"/>
        <v>39.111399999999996</v>
      </c>
      <c r="V554" s="30">
        <f t="shared" si="162"/>
        <v>6.5810199999999996</v>
      </c>
      <c r="W554" s="30">
        <f t="shared" si="163"/>
        <v>119.23121999999999</v>
      </c>
      <c r="X554" s="30">
        <f t="shared" si="164"/>
        <v>7153.8731999999991</v>
      </c>
      <c r="Z554" s="23" t="s">
        <v>76</v>
      </c>
      <c r="AA554" s="40">
        <f>IF(C554="Electricity",E554*SUMIFS(Electricity!S:S,Electricity!P:P,UserMade_Scenario!B554,Electricity!M:M,UserMade_Scenario!Z554,Electricity!O:O,UserMade_Scenario!D554),"")</f>
        <v>16152542.190942792</v>
      </c>
      <c r="AB554" s="76">
        <f>1/Assumptions!$B$23/1000000000000</f>
        <v>3.5998225679871703E-9</v>
      </c>
      <c r="AC554" s="67" t="s">
        <v>82</v>
      </c>
      <c r="AD554" s="69">
        <f>INDEX(Table11[AVG
CO2e MT per MWh],MATCH(UserMade_Scenario!$B554,Table11[[Year]:[Year]],0))</f>
        <v>-0.11868683679999997</v>
      </c>
      <c r="AE554" s="69">
        <f>INDEX(Table11[MIN
CO2e MT per MWh],MATCH(UserMade_Scenario!$B554,Table11[[Year]:[Year]],0))</f>
        <v>-0.10110352810000003</v>
      </c>
      <c r="AF554" s="69">
        <f>INDEX(Table11[MAX CO2e MT per MWh],MATCH(UserMade_Scenario!$B554,Table11[[Year]:[Year]],0))</f>
        <v>-0.13627014450000005</v>
      </c>
      <c r="AG554" s="68">
        <f>IFERROR(INDEX(WaterUseH2[Average Direct Water Consumption (Gal/ kg h2)],MATCH(LEFT(D554,3),WaterUseH2[Key],0)),0)</f>
        <v>0</v>
      </c>
      <c r="AH554">
        <v>14</v>
      </c>
      <c r="AI554">
        <v>1.4</v>
      </c>
      <c r="AJ554">
        <v>250</v>
      </c>
      <c r="AK554">
        <v>0.31</v>
      </c>
      <c r="AL554" s="63">
        <f>IFERROR(INDEX(Job_Training[[Solar]:[Wind]],MATCH(AL$1,Job_Training[[`Typical Entry Level Education`]:[`Typical Entry Level Education`]],0),MATCH(LEFT($D554,5),Job_Training[[#Headers],[Solar]:[Wind]],0)),0)</f>
        <v>3.4599999999999999E-2</v>
      </c>
      <c r="AM554" s="63">
        <f>IFERROR(INDEX(Job_Training[[Solar]:[Wind]],MATCH(AM$1,Job_Training[[`Typical Entry Level Education`]:[`Typical Entry Level Education`]],0),MATCH(LEFT($D554,5),Job_Training[[#Headers],[Solar]:[Wind]],0)),0)</f>
        <v>2.8199999999999999E-2</v>
      </c>
      <c r="AN554" s="63">
        <f>IFERROR(INDEX(Job_Training[[Solar]:[Wind]],MATCH(AN$1,Job_Training[[`Typical Entry Level Education`]:[`Typical Entry Level Education`]],0),MATCH(LEFT($D554,5),Job_Training[[#Headers],[Solar]:[Wind]],0)),0)</f>
        <v>3.3399999999999999E-2</v>
      </c>
      <c r="AO554" s="63">
        <f>IFERROR(INDEX(Job_Training[[Solar]:[Wind]],MATCH(AO$1,Job_Training[[`Typical Entry Level Education`]:[`Typical Entry Level Education`]],0),MATCH(LEFT($D554,5),Job_Training[[#Headers],[Solar]:[Wind]],0)),0)</f>
        <v>5.62E-3</v>
      </c>
      <c r="AP554">
        <f t="shared" si="165"/>
        <v>1171</v>
      </c>
      <c r="AQ554" s="63">
        <f>IF(AP554&gt;0,IFERROR(INDEX(Assumptions!$C$165:$D$165,MATCH(LEFT($D554,5),Job_Training[[#Headers],[Solar]:[Wind]],0)),0),0)</f>
        <v>0.10181999999999999</v>
      </c>
      <c r="AR554">
        <f>IF(AP554&gt;0,IFERROR(INDEX(Assumptions!$C$166:$D$166,MATCH(LEFT($D554,5),Job_Training[[#Headers],[Solar]:[Wind]],0)),0),0)</f>
        <v>6.1091999999999995</v>
      </c>
    </row>
    <row r="555" spans="1:44" hidden="1" x14ac:dyDescent="0.35">
      <c r="A555" t="str">
        <f>UserInput!$B$56</f>
        <v>Max Buildout</v>
      </c>
      <c r="B555">
        <v>2032</v>
      </c>
      <c r="C555" t="s">
        <v>41</v>
      </c>
      <c r="D555" t="s">
        <v>80</v>
      </c>
      <c r="E555" s="66">
        <f>INDEX(UserInput!$C$56:$M$76,MATCH(UserMade_Scenario!B555,UserInput!$A$56:$A$76,0),MATCH(LEFT(IF(RIGHT(C555,2)="H2",UserMade_Scenario!C555,D555),3),UserInput!$C$25:$M$25,0))</f>
        <v>9367</v>
      </c>
      <c r="F555" t="s">
        <v>81</v>
      </c>
      <c r="G555" s="14">
        <f t="shared" si="166"/>
        <v>6.4637259229754981E-2</v>
      </c>
      <c r="H555" s="63">
        <f t="shared" si="156"/>
        <v>2.0552593396445848</v>
      </c>
      <c r="I555" s="63">
        <f t="shared" si="157"/>
        <v>1.7227713048059754</v>
      </c>
      <c r="J555" s="63">
        <f t="shared" si="158"/>
        <v>2.3877473565275178</v>
      </c>
      <c r="K555" s="30">
        <f>IF(OR(LEFT($D555,5)="Solar",$D555="Wind"),INDEX(Land_Use[AVG],MATCH(LEFT($D555,5),Land_Use[Tech],0)),0)*$E555</f>
        <v>32784.5</v>
      </c>
      <c r="L555" s="30">
        <f>IF(OR(LEFT($D555,5)="Solar",$D555="Wind"),INDEX(Land_Use[MIN],MATCH(LEFT($D555,5),Land_Use[Tech],0)),0)*$E555</f>
        <v>26227.599999999999</v>
      </c>
      <c r="M555" s="30">
        <f>IF(OR(LEFT($D555,5)="Solar",$D555="Wind"),INDEX(Land_Use[MAX],MATCH(LEFT($D555,5),Land_Use[Tech],0)),0)*$E555</f>
        <v>39341.4</v>
      </c>
      <c r="N555" s="15">
        <f t="shared" ref="N555:N628" si="167">E555*AG555*1000/1000000</f>
        <v>0</v>
      </c>
      <c r="O555" s="11">
        <f t="shared" ref="O555:O628" si="168">$K555*AH$2</f>
        <v>458983</v>
      </c>
      <c r="P555" s="11">
        <f t="shared" ref="P555:P628" si="169">$K555*AI$2</f>
        <v>45898.299999999996</v>
      </c>
      <c r="Q555" s="11">
        <f t="shared" ref="Q555:Q628" si="170">$K555*AJ$2</f>
        <v>8196125</v>
      </c>
      <c r="R555" s="11">
        <f t="shared" ref="R555:R628" si="171">$K555*AK$2</f>
        <v>10163.195</v>
      </c>
      <c r="S555" s="30">
        <f t="shared" si="159"/>
        <v>40.516599999999997</v>
      </c>
      <c r="T555" s="30">
        <f t="shared" si="160"/>
        <v>33.022199999999998</v>
      </c>
      <c r="U555" s="30">
        <f t="shared" si="161"/>
        <v>39.111399999999996</v>
      </c>
      <c r="V555" s="30">
        <f t="shared" si="162"/>
        <v>6.5810199999999996</v>
      </c>
      <c r="W555" s="30">
        <f t="shared" si="163"/>
        <v>119.23121999999999</v>
      </c>
      <c r="X555" s="30">
        <f t="shared" si="164"/>
        <v>7153.8731999999991</v>
      </c>
      <c r="Z555" s="23" t="s">
        <v>76</v>
      </c>
      <c r="AA555" s="40">
        <f>IF(C555="Electricity",E555*SUMIFS(Electricity!S:S,Electricity!P:P,UserMade_Scenario!B555,Electricity!M:M,UserMade_Scenario!Z555,Electricity!O:O,UserMade_Scenario!D555),"")</f>
        <v>17955679.20612729</v>
      </c>
      <c r="AB555" s="76">
        <f>1/Assumptions!$B$23/1000000000000</f>
        <v>3.5998225679871703E-9</v>
      </c>
      <c r="AC555" s="67" t="s">
        <v>82</v>
      </c>
      <c r="AD555" s="69">
        <f>INDEX(Table11[AVG
CO2e MT per MWh],MATCH(UserMade_Scenario!$B555,Table11[[Year]:[Year]],0))</f>
        <v>-0.11446291259999997</v>
      </c>
      <c r="AE555" s="69">
        <f>INDEX(Table11[MIN
CO2e MT per MWh],MATCH(UserMade_Scenario!$B555,Table11[[Year]:[Year]],0))</f>
        <v>-9.5945760950000042E-2</v>
      </c>
      <c r="AF555" s="69">
        <f>INDEX(Table11[MAX CO2e MT per MWh],MATCH(UserMade_Scenario!$B555,Table11[[Year]:[Year]],0))</f>
        <v>-0.13298006325000006</v>
      </c>
      <c r="AG555" s="68">
        <f>IFERROR(INDEX(WaterUseH2[Average Direct Water Consumption (Gal/ kg h2)],MATCH(LEFT(D555,3),WaterUseH2[Key],0)),0)</f>
        <v>0</v>
      </c>
      <c r="AH555">
        <v>14</v>
      </c>
      <c r="AI555">
        <v>1.4</v>
      </c>
      <c r="AJ555">
        <v>250</v>
      </c>
      <c r="AK555">
        <v>0.31</v>
      </c>
      <c r="AL555" s="63">
        <f>IFERROR(INDEX(Job_Training[[Solar]:[Wind]],MATCH(AL$1,Job_Training[[`Typical Entry Level Education`]:[`Typical Entry Level Education`]],0),MATCH(LEFT($D555,5),Job_Training[[#Headers],[Solar]:[Wind]],0)),0)</f>
        <v>3.4599999999999999E-2</v>
      </c>
      <c r="AM555" s="63">
        <f>IFERROR(INDEX(Job_Training[[Solar]:[Wind]],MATCH(AM$1,Job_Training[[`Typical Entry Level Education`]:[`Typical Entry Level Education`]],0),MATCH(LEFT($D555,5),Job_Training[[#Headers],[Solar]:[Wind]],0)),0)</f>
        <v>2.8199999999999999E-2</v>
      </c>
      <c r="AN555" s="63">
        <f>IFERROR(INDEX(Job_Training[[Solar]:[Wind]],MATCH(AN$1,Job_Training[[`Typical Entry Level Education`]:[`Typical Entry Level Education`]],0),MATCH(LEFT($D555,5),Job_Training[[#Headers],[Solar]:[Wind]],0)),0)</f>
        <v>3.3399999999999999E-2</v>
      </c>
      <c r="AO555" s="63">
        <f>IFERROR(INDEX(Job_Training[[Solar]:[Wind]],MATCH(AO$1,Job_Training[[`Typical Entry Level Education`]:[`Typical Entry Level Education`]],0),MATCH(LEFT($D555,5),Job_Training[[#Headers],[Solar]:[Wind]],0)),0)</f>
        <v>5.62E-3</v>
      </c>
      <c r="AP555">
        <f t="shared" si="165"/>
        <v>1171</v>
      </c>
      <c r="AQ555" s="63">
        <f>IF(AP555&gt;0,IFERROR(INDEX(Assumptions!$C$165:$D$165,MATCH(LEFT($D555,5),Job_Training[[#Headers],[Solar]:[Wind]],0)),0),0)</f>
        <v>0.10181999999999999</v>
      </c>
      <c r="AR555">
        <f>IF(AP555&gt;0,IFERROR(INDEX(Assumptions!$C$166:$D$166,MATCH(LEFT($D555,5),Job_Training[[#Headers],[Solar]:[Wind]],0)),0),0)</f>
        <v>6.1091999999999995</v>
      </c>
    </row>
    <row r="556" spans="1:44" hidden="1" x14ac:dyDescent="0.35">
      <c r="A556" t="str">
        <f>UserInput!$B$56</f>
        <v>Max Buildout</v>
      </c>
      <c r="B556">
        <v>2033</v>
      </c>
      <c r="C556" t="s">
        <v>41</v>
      </c>
      <c r="D556" t="s">
        <v>80</v>
      </c>
      <c r="E556" s="66">
        <f>INDEX(UserInput!$C$56:$M$76,MATCH(UserMade_Scenario!B556,UserInput!$A$56:$A$76,0),MATCH(LEFT(IF(RIGHT(C556,2)="H2",UserMade_Scenario!C556,D556),3),UserInput!$C$25:$M$25,0))</f>
        <v>10538</v>
      </c>
      <c r="F556" t="s">
        <v>81</v>
      </c>
      <c r="G556" s="14">
        <f t="shared" si="166"/>
        <v>7.0674020952696898E-2</v>
      </c>
      <c r="H556" s="63">
        <f t="shared" si="156"/>
        <v>2.1642823858238214</v>
      </c>
      <c r="I556" s="63">
        <f t="shared" si="157"/>
        <v>1.7824080089764547</v>
      </c>
      <c r="J556" s="63">
        <f t="shared" si="158"/>
        <v>2.5461567430385519</v>
      </c>
      <c r="K556" s="30">
        <f>IF(OR(LEFT($D556,5)="Solar",$D556="Wind"),INDEX(Land_Use[AVG],MATCH(LEFT($D556,5),Land_Use[Tech],0)),0)*$E556</f>
        <v>36883</v>
      </c>
      <c r="L556" s="30">
        <f>IF(OR(LEFT($D556,5)="Solar",$D556="Wind"),INDEX(Land_Use[MIN],MATCH(LEFT($D556,5),Land_Use[Tech],0)),0)*$E556</f>
        <v>29506.399999999998</v>
      </c>
      <c r="M556" s="30">
        <f>IF(OR(LEFT($D556,5)="Solar",$D556="Wind"),INDEX(Land_Use[MAX],MATCH(LEFT($D556,5),Land_Use[Tech],0)),0)*$E556</f>
        <v>44259.6</v>
      </c>
      <c r="N556" s="15">
        <f t="shared" si="167"/>
        <v>0</v>
      </c>
      <c r="O556" s="11">
        <f t="shared" si="168"/>
        <v>516362</v>
      </c>
      <c r="P556" s="11">
        <f t="shared" si="169"/>
        <v>51636.2</v>
      </c>
      <c r="Q556" s="11">
        <f t="shared" si="170"/>
        <v>9220750</v>
      </c>
      <c r="R556" s="11">
        <f t="shared" si="171"/>
        <v>11433.73</v>
      </c>
      <c r="S556" s="30">
        <f t="shared" si="159"/>
        <v>40.516599999999997</v>
      </c>
      <c r="T556" s="30">
        <f t="shared" si="160"/>
        <v>33.022199999999998</v>
      </c>
      <c r="U556" s="30">
        <f t="shared" si="161"/>
        <v>39.111399999999996</v>
      </c>
      <c r="V556" s="30">
        <f t="shared" si="162"/>
        <v>6.5810199999999996</v>
      </c>
      <c r="W556" s="30">
        <f t="shared" si="163"/>
        <v>119.23121999999999</v>
      </c>
      <c r="X556" s="30">
        <f t="shared" si="164"/>
        <v>7153.8731999999991</v>
      </c>
      <c r="Z556" s="23" t="s">
        <v>76</v>
      </c>
      <c r="AA556" s="40">
        <f>IF(C556="Electricity",E556*SUMIFS(Electricity!S:S,Electricity!P:P,UserMade_Scenario!B556,Electricity!M:M,UserMade_Scenario!Z556,Electricity!O:O,UserMade_Scenario!D556),"")</f>
        <v>19632640.114319317</v>
      </c>
      <c r="AB556" s="76">
        <f>1/Assumptions!$B$23/1000000000000</f>
        <v>3.5998225679871703E-9</v>
      </c>
      <c r="AC556" s="67" t="s">
        <v>82</v>
      </c>
      <c r="AD556" s="69">
        <f>INDEX(Table11[AVG
CO2e MT per MWh],MATCH(UserMade_Scenario!$B556,Table11[[Year]:[Year]],0))</f>
        <v>-0.11023898839999996</v>
      </c>
      <c r="AE556" s="69">
        <f>INDEX(Table11[MIN
CO2e MT per MWh],MATCH(UserMade_Scenario!$B556,Table11[[Year]:[Year]],0))</f>
        <v>-9.078799380000005E-2</v>
      </c>
      <c r="AF556" s="69">
        <f>INDEX(Table11[MAX CO2e MT per MWh],MATCH(UserMade_Scenario!$B556,Table11[[Year]:[Year]],0))</f>
        <v>-0.12968998200000006</v>
      </c>
      <c r="AG556" s="68">
        <f>IFERROR(INDEX(WaterUseH2[Average Direct Water Consumption (Gal/ kg h2)],MATCH(LEFT(D556,3),WaterUseH2[Key],0)),0)</f>
        <v>0</v>
      </c>
      <c r="AH556">
        <v>14</v>
      </c>
      <c r="AI556">
        <v>1.4</v>
      </c>
      <c r="AJ556">
        <v>250</v>
      </c>
      <c r="AK556">
        <v>0.31</v>
      </c>
      <c r="AL556" s="63">
        <f>IFERROR(INDEX(Job_Training[[Solar]:[Wind]],MATCH(AL$1,Job_Training[[`Typical Entry Level Education`]:[`Typical Entry Level Education`]],0),MATCH(LEFT($D556,5),Job_Training[[#Headers],[Solar]:[Wind]],0)),0)</f>
        <v>3.4599999999999999E-2</v>
      </c>
      <c r="AM556" s="63">
        <f>IFERROR(INDEX(Job_Training[[Solar]:[Wind]],MATCH(AM$1,Job_Training[[`Typical Entry Level Education`]:[`Typical Entry Level Education`]],0),MATCH(LEFT($D556,5),Job_Training[[#Headers],[Solar]:[Wind]],0)),0)</f>
        <v>2.8199999999999999E-2</v>
      </c>
      <c r="AN556" s="63">
        <f>IFERROR(INDEX(Job_Training[[Solar]:[Wind]],MATCH(AN$1,Job_Training[[`Typical Entry Level Education`]:[`Typical Entry Level Education`]],0),MATCH(LEFT($D556,5),Job_Training[[#Headers],[Solar]:[Wind]],0)),0)</f>
        <v>3.3399999999999999E-2</v>
      </c>
      <c r="AO556" s="63">
        <f>IFERROR(INDEX(Job_Training[[Solar]:[Wind]],MATCH(AO$1,Job_Training[[`Typical Entry Level Education`]:[`Typical Entry Level Education`]],0),MATCH(LEFT($D556,5),Job_Training[[#Headers],[Solar]:[Wind]],0)),0)</f>
        <v>5.62E-3</v>
      </c>
      <c r="AP556">
        <f t="shared" si="165"/>
        <v>1171</v>
      </c>
      <c r="AQ556" s="63">
        <f>IF(AP556&gt;0,IFERROR(INDEX(Assumptions!$C$165:$D$165,MATCH(LEFT($D556,5),Job_Training[[#Headers],[Solar]:[Wind]],0)),0),0)</f>
        <v>0.10181999999999999</v>
      </c>
      <c r="AR556">
        <f>IF(AP556&gt;0,IFERROR(INDEX(Assumptions!$C$166:$D$166,MATCH(LEFT($D556,5),Job_Training[[#Headers],[Solar]:[Wind]],0)),0),0)</f>
        <v>6.1091999999999995</v>
      </c>
    </row>
    <row r="557" spans="1:44" hidden="1" x14ac:dyDescent="0.35">
      <c r="A557" t="str">
        <f>UserInput!$B$56</f>
        <v>Max Buildout</v>
      </c>
      <c r="B557">
        <v>2034</v>
      </c>
      <c r="C557" t="s">
        <v>41</v>
      </c>
      <c r="D557" t="s">
        <v>80</v>
      </c>
      <c r="E557" s="66">
        <f>INDEX(UserInput!$C$56:$M$76,MATCH(UserMade_Scenario!B557,UserInput!$A$56:$A$76,0),MATCH(LEFT(IF(RIGHT(C557,2)="H2",UserMade_Scenario!C557,D557),3),UserInput!$C$25:$M$25,0))</f>
        <v>11709</v>
      </c>
      <c r="F557" t="s">
        <v>81</v>
      </c>
      <c r="G557" s="14">
        <f t="shared" si="166"/>
        <v>7.6256571078146596E-2</v>
      </c>
      <c r="H557" s="63">
        <f t="shared" si="156"/>
        <v>2.245762152394613</v>
      </c>
      <c r="I557" s="63">
        <f t="shared" si="157"/>
        <v>1.8139414767391404</v>
      </c>
      <c r="J557" s="63">
        <f t="shared" si="158"/>
        <v>2.6775828068666656</v>
      </c>
      <c r="K557" s="30">
        <f>IF(OR(LEFT($D557,5)="Solar",$D557="Wind"),INDEX(Land_Use[AVG],MATCH(LEFT($D557,5),Land_Use[Tech],0)),0)*$E557</f>
        <v>40981.5</v>
      </c>
      <c r="L557" s="30">
        <f>IF(OR(LEFT($D557,5)="Solar",$D557="Wind"),INDEX(Land_Use[MIN],MATCH(LEFT($D557,5),Land_Use[Tech],0)),0)*$E557</f>
        <v>32785.199999999997</v>
      </c>
      <c r="M557" s="30">
        <f>IF(OR(LEFT($D557,5)="Solar",$D557="Wind"),INDEX(Land_Use[MAX],MATCH(LEFT($D557,5),Land_Use[Tech],0)),0)*$E557</f>
        <v>49177.8</v>
      </c>
      <c r="N557" s="15">
        <f t="shared" si="167"/>
        <v>0</v>
      </c>
      <c r="O557" s="11">
        <f t="shared" si="168"/>
        <v>573741</v>
      </c>
      <c r="P557" s="11">
        <f t="shared" si="169"/>
        <v>57374.1</v>
      </c>
      <c r="Q557" s="11">
        <f t="shared" si="170"/>
        <v>10245375</v>
      </c>
      <c r="R557" s="11">
        <f t="shared" si="171"/>
        <v>12704.264999999999</v>
      </c>
      <c r="S557" s="30">
        <f t="shared" si="159"/>
        <v>40.516599999999997</v>
      </c>
      <c r="T557" s="30">
        <f t="shared" si="160"/>
        <v>33.022199999999998</v>
      </c>
      <c r="U557" s="30">
        <f t="shared" si="161"/>
        <v>39.111399999999996</v>
      </c>
      <c r="V557" s="30">
        <f t="shared" si="162"/>
        <v>6.5810199999999996</v>
      </c>
      <c r="W557" s="30">
        <f t="shared" si="163"/>
        <v>119.23121999999999</v>
      </c>
      <c r="X557" s="30">
        <f t="shared" si="164"/>
        <v>7153.8731999999991</v>
      </c>
      <c r="Z557" s="23" t="s">
        <v>76</v>
      </c>
      <c r="AA557" s="40">
        <f>IF(C557="Electricity",E557*SUMIFS(Electricity!S:S,Electricity!P:P,UserMade_Scenario!B557,Electricity!M:M,UserMade_Scenario!Z557,Electricity!O:O,UserMade_Scenario!D557),"")</f>
        <v>21183424.915518884</v>
      </c>
      <c r="AB557" s="76">
        <f>1/Assumptions!$B$23/1000000000000</f>
        <v>3.5998225679871703E-9</v>
      </c>
      <c r="AC557" s="67" t="s">
        <v>82</v>
      </c>
      <c r="AD557" s="69">
        <f>INDEX(Table11[AVG
CO2e MT per MWh],MATCH(UserMade_Scenario!$B557,Table11[[Year]:[Year]],0))</f>
        <v>-0.10601506419999995</v>
      </c>
      <c r="AE557" s="69">
        <f>INDEX(Table11[MIN
CO2e MT per MWh],MATCH(UserMade_Scenario!$B557,Table11[[Year]:[Year]],0))</f>
        <v>-8.5630226650000058E-2</v>
      </c>
      <c r="AF557" s="69">
        <f>INDEX(Table11[MAX CO2e MT per MWh],MATCH(UserMade_Scenario!$B557,Table11[[Year]:[Year]],0))</f>
        <v>-0.12639990075000007</v>
      </c>
      <c r="AG557" s="68">
        <f>IFERROR(INDEX(WaterUseH2[Average Direct Water Consumption (Gal/ kg h2)],MATCH(LEFT(D557,3),WaterUseH2[Key],0)),0)</f>
        <v>0</v>
      </c>
      <c r="AH557">
        <v>14</v>
      </c>
      <c r="AI557">
        <v>1.4</v>
      </c>
      <c r="AJ557">
        <v>250</v>
      </c>
      <c r="AK557">
        <v>0.31</v>
      </c>
      <c r="AL557" s="63">
        <f>IFERROR(INDEX(Job_Training[[Solar]:[Wind]],MATCH(AL$1,Job_Training[[`Typical Entry Level Education`]:[`Typical Entry Level Education`]],0),MATCH(LEFT($D557,5),Job_Training[[#Headers],[Solar]:[Wind]],0)),0)</f>
        <v>3.4599999999999999E-2</v>
      </c>
      <c r="AM557" s="63">
        <f>IFERROR(INDEX(Job_Training[[Solar]:[Wind]],MATCH(AM$1,Job_Training[[`Typical Entry Level Education`]:[`Typical Entry Level Education`]],0),MATCH(LEFT($D557,5),Job_Training[[#Headers],[Solar]:[Wind]],0)),0)</f>
        <v>2.8199999999999999E-2</v>
      </c>
      <c r="AN557" s="63">
        <f>IFERROR(INDEX(Job_Training[[Solar]:[Wind]],MATCH(AN$1,Job_Training[[`Typical Entry Level Education`]:[`Typical Entry Level Education`]],0),MATCH(LEFT($D557,5),Job_Training[[#Headers],[Solar]:[Wind]],0)),0)</f>
        <v>3.3399999999999999E-2</v>
      </c>
      <c r="AO557" s="63">
        <f>IFERROR(INDEX(Job_Training[[Solar]:[Wind]],MATCH(AO$1,Job_Training[[`Typical Entry Level Education`]:[`Typical Entry Level Education`]],0),MATCH(LEFT($D557,5),Job_Training[[#Headers],[Solar]:[Wind]],0)),0)</f>
        <v>5.62E-3</v>
      </c>
      <c r="AP557">
        <f t="shared" si="165"/>
        <v>1171</v>
      </c>
      <c r="AQ557" s="63">
        <f>IF(AP557&gt;0,IFERROR(INDEX(Assumptions!$C$165:$D$165,MATCH(LEFT($D557,5),Job_Training[[#Headers],[Solar]:[Wind]],0)),0),0)</f>
        <v>0.10181999999999999</v>
      </c>
      <c r="AR557">
        <f>IF(AP557&gt;0,IFERROR(INDEX(Assumptions!$C$166:$D$166,MATCH(LEFT($D557,5),Job_Training[[#Headers],[Solar]:[Wind]],0)),0),0)</f>
        <v>6.1091999999999995</v>
      </c>
    </row>
    <row r="558" spans="1:44" hidden="1" x14ac:dyDescent="0.35">
      <c r="A558" t="str">
        <f>UserInput!$B$56</f>
        <v>Max Buildout</v>
      </c>
      <c r="B558">
        <v>2035</v>
      </c>
      <c r="C558" t="s">
        <v>41</v>
      </c>
      <c r="D558" t="s">
        <v>80</v>
      </c>
      <c r="E558" s="66">
        <f>INDEX(UserInput!$C$56:$M$76,MATCH(UserMade_Scenario!B558,UserInput!$A$56:$A$76,0),MATCH(LEFT(IF(RIGHT(C558,2)="H2",UserMade_Scenario!C558,D558),3),UserInput!$C$25:$M$25,0))</f>
        <v>12880</v>
      </c>
      <c r="F558" t="s">
        <v>81</v>
      </c>
      <c r="G558" s="14">
        <f t="shared" si="166"/>
        <v>8.1384909606104033E-2</v>
      </c>
      <c r="H558" s="63">
        <f t="shared" si="156"/>
        <v>2.3012975142923215</v>
      </c>
      <c r="I558" s="63">
        <f t="shared" si="157"/>
        <v>1.8193240690333143</v>
      </c>
      <c r="J558" s="63">
        <f t="shared" si="158"/>
        <v>2.7832709369433006</v>
      </c>
      <c r="K558" s="30">
        <f>IF(OR(LEFT($D558,5)="Solar",$D558="Wind"),INDEX(Land_Use[AVG],MATCH(LEFT($D558,5),Land_Use[Tech],0)),0)*$E558</f>
        <v>45080</v>
      </c>
      <c r="L558" s="30">
        <f>IF(OR(LEFT($D558,5)="Solar",$D558="Wind"),INDEX(Land_Use[MIN],MATCH(LEFT($D558,5),Land_Use[Tech],0)),0)*$E558</f>
        <v>36064</v>
      </c>
      <c r="M558" s="30">
        <f>IF(OR(LEFT($D558,5)="Solar",$D558="Wind"),INDEX(Land_Use[MAX],MATCH(LEFT($D558,5),Land_Use[Tech],0)),0)*$E558</f>
        <v>54096</v>
      </c>
      <c r="N558" s="15">
        <f t="shared" si="167"/>
        <v>0</v>
      </c>
      <c r="O558" s="11">
        <f t="shared" si="168"/>
        <v>631120</v>
      </c>
      <c r="P558" s="11">
        <f t="shared" si="169"/>
        <v>63111.999999999993</v>
      </c>
      <c r="Q558" s="11">
        <f t="shared" si="170"/>
        <v>11270000</v>
      </c>
      <c r="R558" s="11">
        <f t="shared" si="171"/>
        <v>13974.8</v>
      </c>
      <c r="S558" s="30">
        <f t="shared" si="159"/>
        <v>40.516599999999997</v>
      </c>
      <c r="T558" s="30">
        <f t="shared" si="160"/>
        <v>33.022199999999998</v>
      </c>
      <c r="U558" s="30">
        <f t="shared" si="161"/>
        <v>39.111399999999996</v>
      </c>
      <c r="V558" s="30">
        <f t="shared" si="162"/>
        <v>6.5810199999999996</v>
      </c>
      <c r="W558" s="30">
        <f t="shared" si="163"/>
        <v>119.23121999999999</v>
      </c>
      <c r="X558" s="30">
        <f t="shared" si="164"/>
        <v>7153.8731999999991</v>
      </c>
      <c r="Z558" s="23" t="s">
        <v>76</v>
      </c>
      <c r="AA558" s="40">
        <f>IF(C558="Electricity",E558*SUMIFS(Electricity!S:S,Electricity!P:P,UserMade_Scenario!B558,Electricity!M:M,UserMade_Scenario!Z558,Electricity!O:O,UserMade_Scenario!D558),"")</f>
        <v>22608033.609725982</v>
      </c>
      <c r="AB558" s="76">
        <f>1/Assumptions!$B$23/1000000000000</f>
        <v>3.5998225679871703E-9</v>
      </c>
      <c r="AC558" s="67" t="s">
        <v>82</v>
      </c>
      <c r="AD558" s="69">
        <f>INDEX(Table11[AVG
CO2e MT per MWh],MATCH(UserMade_Scenario!$B558,Table11[[Year]:[Year]],0))</f>
        <v>-0.10179113999999995</v>
      </c>
      <c r="AE558" s="69">
        <f>INDEX(Table11[MIN
CO2e MT per MWh],MATCH(UserMade_Scenario!$B558,Table11[[Year]:[Year]],0))</f>
        <v>-8.0472459500000065E-2</v>
      </c>
      <c r="AF558" s="69">
        <f>INDEX(Table11[MAX CO2e MT per MWh],MATCH(UserMade_Scenario!$B558,Table11[[Year]:[Year]],0))</f>
        <v>-0.12310981950000006</v>
      </c>
      <c r="AG558" s="68">
        <f>IFERROR(INDEX(WaterUseH2[Average Direct Water Consumption (Gal/ kg h2)],MATCH(LEFT(D558,3),WaterUseH2[Key],0)),0)</f>
        <v>0</v>
      </c>
      <c r="AH558">
        <v>14</v>
      </c>
      <c r="AI558">
        <v>1.4</v>
      </c>
      <c r="AJ558">
        <v>250</v>
      </c>
      <c r="AK558">
        <v>0.31</v>
      </c>
      <c r="AL558" s="63">
        <f>IFERROR(INDEX(Job_Training[[Solar]:[Wind]],MATCH(AL$1,Job_Training[[`Typical Entry Level Education`]:[`Typical Entry Level Education`]],0),MATCH(LEFT($D558,5),Job_Training[[#Headers],[Solar]:[Wind]],0)),0)</f>
        <v>3.4599999999999999E-2</v>
      </c>
      <c r="AM558" s="63">
        <f>IFERROR(INDEX(Job_Training[[Solar]:[Wind]],MATCH(AM$1,Job_Training[[`Typical Entry Level Education`]:[`Typical Entry Level Education`]],0),MATCH(LEFT($D558,5),Job_Training[[#Headers],[Solar]:[Wind]],0)),0)</f>
        <v>2.8199999999999999E-2</v>
      </c>
      <c r="AN558" s="63">
        <f>IFERROR(INDEX(Job_Training[[Solar]:[Wind]],MATCH(AN$1,Job_Training[[`Typical Entry Level Education`]:[`Typical Entry Level Education`]],0),MATCH(LEFT($D558,5),Job_Training[[#Headers],[Solar]:[Wind]],0)),0)</f>
        <v>3.3399999999999999E-2</v>
      </c>
      <c r="AO558" s="63">
        <f>IFERROR(INDEX(Job_Training[[Solar]:[Wind]],MATCH(AO$1,Job_Training[[`Typical Entry Level Education`]:[`Typical Entry Level Education`]],0),MATCH(LEFT($D558,5),Job_Training[[#Headers],[Solar]:[Wind]],0)),0)</f>
        <v>5.62E-3</v>
      </c>
      <c r="AP558">
        <f t="shared" si="165"/>
        <v>1171</v>
      </c>
      <c r="AQ558" s="63">
        <f>IF(AP558&gt;0,IFERROR(INDEX(Assumptions!$C$165:$D$165,MATCH(LEFT($D558,5),Job_Training[[#Headers],[Solar]:[Wind]],0)),0),0)</f>
        <v>0.10181999999999999</v>
      </c>
      <c r="AR558">
        <f>IF(AP558&gt;0,IFERROR(INDEX(Assumptions!$C$166:$D$166,MATCH(LEFT($D558,5),Job_Training[[#Headers],[Solar]:[Wind]],0)),0),0)</f>
        <v>6.1091999999999995</v>
      </c>
    </row>
    <row r="559" spans="1:44" hidden="1" x14ac:dyDescent="0.35">
      <c r="A559" t="str">
        <f>UserInput!$B$56</f>
        <v>Max Buildout</v>
      </c>
      <c r="B559">
        <v>2036</v>
      </c>
      <c r="C559" t="s">
        <v>41</v>
      </c>
      <c r="D559" t="s">
        <v>80</v>
      </c>
      <c r="E559" s="66">
        <f>INDEX(UserInput!$C$56:$M$76,MATCH(UserMade_Scenario!B559,UserInput!$A$56:$A$76,0),MATCH(LEFT(IF(RIGHT(C559,2)="H2",UserMade_Scenario!C559,D559),3),UserInput!$C$25:$M$25,0))</f>
        <v>14051</v>
      </c>
      <c r="F559" t="s">
        <v>81</v>
      </c>
      <c r="G559" s="14">
        <f t="shared" si="166"/>
        <v>8.6059036536569253E-2</v>
      </c>
      <c r="H559" s="63">
        <f t="shared" si="156"/>
        <v>2.332487346452309</v>
      </c>
      <c r="I559" s="63">
        <f t="shared" si="157"/>
        <v>1.8005081467982589</v>
      </c>
      <c r="J559" s="63">
        <f t="shared" si="158"/>
        <v>2.8644665221998991</v>
      </c>
      <c r="K559" s="30">
        <f>IF(OR(LEFT($D559,5)="Solar",$D559="Wind"),INDEX(Land_Use[AVG],MATCH(LEFT($D559,5),Land_Use[Tech],0)),0)*$E559</f>
        <v>49178.5</v>
      </c>
      <c r="L559" s="30">
        <f>IF(OR(LEFT($D559,5)="Solar",$D559="Wind"),INDEX(Land_Use[MIN],MATCH(LEFT($D559,5),Land_Use[Tech],0)),0)*$E559</f>
        <v>39342.799999999996</v>
      </c>
      <c r="M559" s="30">
        <f>IF(OR(LEFT($D559,5)="Solar",$D559="Wind"),INDEX(Land_Use[MAX],MATCH(LEFT($D559,5),Land_Use[Tech],0)),0)*$E559</f>
        <v>59014.200000000004</v>
      </c>
      <c r="N559" s="15">
        <f t="shared" si="167"/>
        <v>0</v>
      </c>
      <c r="O559" s="11">
        <f t="shared" si="168"/>
        <v>688499</v>
      </c>
      <c r="P559" s="11">
        <f t="shared" si="169"/>
        <v>68849.899999999994</v>
      </c>
      <c r="Q559" s="11">
        <f t="shared" si="170"/>
        <v>12294625</v>
      </c>
      <c r="R559" s="11">
        <f t="shared" si="171"/>
        <v>15245.334999999999</v>
      </c>
      <c r="S559" s="30">
        <f t="shared" si="159"/>
        <v>40.516599999999997</v>
      </c>
      <c r="T559" s="30">
        <f t="shared" si="160"/>
        <v>33.022199999999998</v>
      </c>
      <c r="U559" s="30">
        <f t="shared" si="161"/>
        <v>39.111399999999996</v>
      </c>
      <c r="V559" s="30">
        <f t="shared" si="162"/>
        <v>6.5810199999999996</v>
      </c>
      <c r="W559" s="30">
        <f t="shared" si="163"/>
        <v>119.23121999999999</v>
      </c>
      <c r="X559" s="30">
        <f t="shared" si="164"/>
        <v>7153.8731999999991</v>
      </c>
      <c r="Z559" s="23" t="s">
        <v>76</v>
      </c>
      <c r="AA559" s="40">
        <f>IF(C559="Electricity",E559*SUMIFS(Electricity!S:S,Electricity!P:P,UserMade_Scenario!B559,Electricity!M:M,UserMade_Scenario!Z559,Electricity!O:O,UserMade_Scenario!D559),"")</f>
        <v>23906466.196940616</v>
      </c>
      <c r="AB559" s="76">
        <f>1/Assumptions!$B$23/1000000000000</f>
        <v>3.5998225679871703E-9</v>
      </c>
      <c r="AC559" s="67" t="s">
        <v>82</v>
      </c>
      <c r="AD559" s="69">
        <f>INDEX(Table11[AVG
CO2e MT per MWh],MATCH(UserMade_Scenario!$B559,Table11[[Year]:[Year]],0))</f>
        <v>-9.756721579999994E-2</v>
      </c>
      <c r="AE559" s="69">
        <f>INDEX(Table11[MIN
CO2e MT per MWh],MATCH(UserMade_Scenario!$B559,Table11[[Year]:[Year]],0))</f>
        <v>-7.5314692350000073E-2</v>
      </c>
      <c r="AF559" s="69">
        <f>INDEX(Table11[MAX CO2e MT per MWh],MATCH(UserMade_Scenario!$B559,Table11[[Year]:[Year]],0))</f>
        <v>-0.11981973825000006</v>
      </c>
      <c r="AG559" s="68">
        <f>IFERROR(INDEX(WaterUseH2[Average Direct Water Consumption (Gal/ kg h2)],MATCH(LEFT(D559,3),WaterUseH2[Key],0)),0)</f>
        <v>0</v>
      </c>
      <c r="AH559">
        <v>14</v>
      </c>
      <c r="AI559">
        <v>1.4</v>
      </c>
      <c r="AJ559">
        <v>250</v>
      </c>
      <c r="AK559">
        <v>0.31</v>
      </c>
      <c r="AL559" s="63">
        <f>IFERROR(INDEX(Job_Training[[Solar]:[Wind]],MATCH(AL$1,Job_Training[[`Typical Entry Level Education`]:[`Typical Entry Level Education`]],0),MATCH(LEFT($D559,5),Job_Training[[#Headers],[Solar]:[Wind]],0)),0)</f>
        <v>3.4599999999999999E-2</v>
      </c>
      <c r="AM559" s="63">
        <f>IFERROR(INDEX(Job_Training[[Solar]:[Wind]],MATCH(AM$1,Job_Training[[`Typical Entry Level Education`]:[`Typical Entry Level Education`]],0),MATCH(LEFT($D559,5),Job_Training[[#Headers],[Solar]:[Wind]],0)),0)</f>
        <v>2.8199999999999999E-2</v>
      </c>
      <c r="AN559" s="63">
        <f>IFERROR(INDEX(Job_Training[[Solar]:[Wind]],MATCH(AN$1,Job_Training[[`Typical Entry Level Education`]:[`Typical Entry Level Education`]],0),MATCH(LEFT($D559,5),Job_Training[[#Headers],[Solar]:[Wind]],0)),0)</f>
        <v>3.3399999999999999E-2</v>
      </c>
      <c r="AO559" s="63">
        <f>IFERROR(INDEX(Job_Training[[Solar]:[Wind]],MATCH(AO$1,Job_Training[[`Typical Entry Level Education`]:[`Typical Entry Level Education`]],0),MATCH(LEFT($D559,5),Job_Training[[#Headers],[Solar]:[Wind]],0)),0)</f>
        <v>5.62E-3</v>
      </c>
      <c r="AP559">
        <f t="shared" si="165"/>
        <v>1171</v>
      </c>
      <c r="AQ559" s="63">
        <f>IF(AP559&gt;0,IFERROR(INDEX(Assumptions!$C$165:$D$165,MATCH(LEFT($D559,5),Job_Training[[#Headers],[Solar]:[Wind]],0)),0),0)</f>
        <v>0.10181999999999999</v>
      </c>
      <c r="AR559">
        <f>IF(AP559&gt;0,IFERROR(INDEX(Assumptions!$C$166:$D$166,MATCH(LEFT($D559,5),Job_Training[[#Headers],[Solar]:[Wind]],0)),0),0)</f>
        <v>6.1091999999999995</v>
      </c>
    </row>
    <row r="560" spans="1:44" hidden="1" x14ac:dyDescent="0.35">
      <c r="A560" t="str">
        <f>UserInput!$B$56</f>
        <v>Max Buildout</v>
      </c>
      <c r="B560">
        <v>2037</v>
      </c>
      <c r="C560" t="s">
        <v>41</v>
      </c>
      <c r="D560" t="s">
        <v>80</v>
      </c>
      <c r="E560" s="66">
        <f>INDEX(UserInput!$C$56:$M$76,MATCH(UserMade_Scenario!B560,UserInput!$A$56:$A$76,0),MATCH(LEFT(IF(RIGHT(C560,2)="H2",UserMade_Scenario!C560,D560),3),UserInput!$C$25:$M$25,0))</f>
        <v>15221</v>
      </c>
      <c r="F560" t="s">
        <v>81</v>
      </c>
      <c r="G560" s="14">
        <f t="shared" si="166"/>
        <v>9.0273021048896465E-2</v>
      </c>
      <c r="H560" s="63">
        <f t="shared" si="156"/>
        <v>2.3407767378078468</v>
      </c>
      <c r="I560" s="63">
        <f t="shared" si="157"/>
        <v>1.7593304852374139</v>
      </c>
      <c r="J560" s="63">
        <f t="shared" si="158"/>
        <v>2.9222229653012111</v>
      </c>
      <c r="K560" s="30">
        <f>IF(OR(LEFT($D560,5)="Solar",$D560="Wind"),INDEX(Land_Use[AVG],MATCH(LEFT($D560,5),Land_Use[Tech],0)),0)*$E560</f>
        <v>53273.5</v>
      </c>
      <c r="L560" s="30">
        <f>IF(OR(LEFT($D560,5)="Solar",$D560="Wind"),INDEX(Land_Use[MIN],MATCH(LEFT($D560,5),Land_Use[Tech],0)),0)*$E560</f>
        <v>42618.799999999996</v>
      </c>
      <c r="M560" s="30">
        <f>IF(OR(LEFT($D560,5)="Solar",$D560="Wind"),INDEX(Land_Use[MAX],MATCH(LEFT($D560,5),Land_Use[Tech],0)),0)*$E560</f>
        <v>63928.200000000004</v>
      </c>
      <c r="N560" s="15">
        <f t="shared" si="167"/>
        <v>0</v>
      </c>
      <c r="O560" s="11">
        <f t="shared" si="168"/>
        <v>745829</v>
      </c>
      <c r="P560" s="11">
        <f t="shared" si="169"/>
        <v>74582.899999999994</v>
      </c>
      <c r="Q560" s="11">
        <f t="shared" si="170"/>
        <v>13318375</v>
      </c>
      <c r="R560" s="11">
        <f t="shared" si="171"/>
        <v>16514.785</v>
      </c>
      <c r="S560" s="30">
        <f t="shared" si="159"/>
        <v>40.481999999999999</v>
      </c>
      <c r="T560" s="30">
        <f t="shared" si="160"/>
        <v>32.994</v>
      </c>
      <c r="U560" s="30">
        <f t="shared" si="161"/>
        <v>39.077999999999996</v>
      </c>
      <c r="V560" s="30">
        <f t="shared" si="162"/>
        <v>6.5754000000000001</v>
      </c>
      <c r="W560" s="30">
        <f t="shared" si="163"/>
        <v>119.12939999999999</v>
      </c>
      <c r="X560" s="30">
        <f t="shared" si="164"/>
        <v>7147.7639999999992</v>
      </c>
      <c r="Z560" s="23" t="s">
        <v>76</v>
      </c>
      <c r="AA560" s="40">
        <f>IF(C560="Electricity",E560*SUMIFS(Electricity!S:S,Electricity!P:P,UserMade_Scenario!B560,Electricity!M:M,UserMade_Scenario!Z560,Electricity!O:O,UserMade_Scenario!D560),"")</f>
        <v>25077075.145782072</v>
      </c>
      <c r="AB560" s="76">
        <f>1/Assumptions!$B$23/1000000000000</f>
        <v>3.5998225679871703E-9</v>
      </c>
      <c r="AC560" s="67" t="s">
        <v>82</v>
      </c>
      <c r="AD560" s="69">
        <f>INDEX(Table11[AVG
CO2e MT per MWh],MATCH(UserMade_Scenario!$B560,Table11[[Year]:[Year]],0))</f>
        <v>-9.3343291599999934E-2</v>
      </c>
      <c r="AE560" s="69">
        <f>INDEX(Table11[MIN
CO2e MT per MWh],MATCH(UserMade_Scenario!$B560,Table11[[Year]:[Year]],0))</f>
        <v>-7.0156925200000081E-2</v>
      </c>
      <c r="AF560" s="69">
        <f>INDEX(Table11[MAX CO2e MT per MWh],MATCH(UserMade_Scenario!$B560,Table11[[Year]:[Year]],0))</f>
        <v>-0.11652965700000005</v>
      </c>
      <c r="AG560" s="68">
        <f>IFERROR(INDEX(WaterUseH2[Average Direct Water Consumption (Gal/ kg h2)],MATCH(LEFT(D560,3),WaterUseH2[Key],0)),0)</f>
        <v>0</v>
      </c>
      <c r="AH560">
        <v>14</v>
      </c>
      <c r="AI560">
        <v>1.4</v>
      </c>
      <c r="AJ560">
        <v>250</v>
      </c>
      <c r="AK560">
        <v>0.31</v>
      </c>
      <c r="AL560" s="63">
        <f>IFERROR(INDEX(Job_Training[[Solar]:[Wind]],MATCH(AL$1,Job_Training[[`Typical Entry Level Education`]:[`Typical Entry Level Education`]],0),MATCH(LEFT($D560,5),Job_Training[[#Headers],[Solar]:[Wind]],0)),0)</f>
        <v>3.4599999999999999E-2</v>
      </c>
      <c r="AM560" s="63">
        <f>IFERROR(INDEX(Job_Training[[Solar]:[Wind]],MATCH(AM$1,Job_Training[[`Typical Entry Level Education`]:[`Typical Entry Level Education`]],0),MATCH(LEFT($D560,5),Job_Training[[#Headers],[Solar]:[Wind]],0)),0)</f>
        <v>2.8199999999999999E-2</v>
      </c>
      <c r="AN560" s="63">
        <f>IFERROR(INDEX(Job_Training[[Solar]:[Wind]],MATCH(AN$1,Job_Training[[`Typical Entry Level Education`]:[`Typical Entry Level Education`]],0),MATCH(LEFT($D560,5),Job_Training[[#Headers],[Solar]:[Wind]],0)),0)</f>
        <v>3.3399999999999999E-2</v>
      </c>
      <c r="AO560" s="63">
        <f>IFERROR(INDEX(Job_Training[[Solar]:[Wind]],MATCH(AO$1,Job_Training[[`Typical Entry Level Education`]:[`Typical Entry Level Education`]],0),MATCH(LEFT($D560,5),Job_Training[[#Headers],[Solar]:[Wind]],0)),0)</f>
        <v>5.62E-3</v>
      </c>
      <c r="AP560">
        <f t="shared" si="165"/>
        <v>1170</v>
      </c>
      <c r="AQ560" s="63">
        <f>IF(AP560&gt;0,IFERROR(INDEX(Assumptions!$C$165:$D$165,MATCH(LEFT($D560,5),Job_Training[[#Headers],[Solar]:[Wind]],0)),0),0)</f>
        <v>0.10181999999999999</v>
      </c>
      <c r="AR560">
        <f>IF(AP560&gt;0,IFERROR(INDEX(Assumptions!$C$166:$D$166,MATCH(LEFT($D560,5),Job_Training[[#Headers],[Solar]:[Wind]],0)),0),0)</f>
        <v>6.1091999999999995</v>
      </c>
    </row>
    <row r="561" spans="1:44" hidden="1" x14ac:dyDescent="0.35">
      <c r="A561" t="str">
        <f>UserInput!$B$56</f>
        <v>Max Buildout</v>
      </c>
      <c r="B561">
        <v>2038</v>
      </c>
      <c r="C561" t="s">
        <v>41</v>
      </c>
      <c r="D561" t="s">
        <v>80</v>
      </c>
      <c r="E561" s="66">
        <f>INDEX(UserInput!$C$56:$M$76,MATCH(UserMade_Scenario!B561,UserInput!$A$56:$A$76,0),MATCH(LEFT(IF(RIGHT(C561,2)="H2",UserMade_Scenario!C561,D561),3),UserInput!$C$25:$M$25,0))</f>
        <v>16392</v>
      </c>
      <c r="F561" t="s">
        <v>81</v>
      </c>
      <c r="G561" s="14">
        <f t="shared" si="166"/>
        <v>9.4038918726135304E-2</v>
      </c>
      <c r="H561" s="63">
        <f t="shared" si="156"/>
        <v>2.3280838956846757</v>
      </c>
      <c r="I561" s="63">
        <f t="shared" si="157"/>
        <v>1.6979866161984032</v>
      </c>
      <c r="J561" s="63">
        <f t="shared" si="158"/>
        <v>2.9581811490477463</v>
      </c>
      <c r="K561" s="30">
        <f>IF(OR(LEFT($D561,5)="Solar",$D561="Wind"),INDEX(Land_Use[AVG],MATCH(LEFT($D561,5),Land_Use[Tech],0)),0)*$E561</f>
        <v>57372</v>
      </c>
      <c r="L561" s="30">
        <f>IF(OR(LEFT($D561,5)="Solar",$D561="Wind"),INDEX(Land_Use[MIN],MATCH(LEFT($D561,5),Land_Use[Tech],0)),0)*$E561</f>
        <v>45897.599999999999</v>
      </c>
      <c r="M561" s="30">
        <f>IF(OR(LEFT($D561,5)="Solar",$D561="Wind"),INDEX(Land_Use[MAX],MATCH(LEFT($D561,5),Land_Use[Tech],0)),0)*$E561</f>
        <v>68846.400000000009</v>
      </c>
      <c r="N561" s="15">
        <f t="shared" si="167"/>
        <v>0</v>
      </c>
      <c r="O561" s="11">
        <f t="shared" si="168"/>
        <v>803208</v>
      </c>
      <c r="P561" s="11">
        <f t="shared" si="169"/>
        <v>80320.799999999988</v>
      </c>
      <c r="Q561" s="11">
        <f t="shared" si="170"/>
        <v>14343000</v>
      </c>
      <c r="R561" s="11">
        <f t="shared" si="171"/>
        <v>17785.32</v>
      </c>
      <c r="S561" s="30">
        <f t="shared" si="159"/>
        <v>40.516599999999997</v>
      </c>
      <c r="T561" s="30">
        <f t="shared" si="160"/>
        <v>33.022199999999998</v>
      </c>
      <c r="U561" s="30">
        <f t="shared" si="161"/>
        <v>39.111399999999996</v>
      </c>
      <c r="V561" s="30">
        <f t="shared" si="162"/>
        <v>6.5810199999999996</v>
      </c>
      <c r="W561" s="30">
        <f t="shared" si="163"/>
        <v>119.23121999999999</v>
      </c>
      <c r="X561" s="30">
        <f t="shared" si="164"/>
        <v>7153.8731999999991</v>
      </c>
      <c r="Z561" s="23" t="s">
        <v>76</v>
      </c>
      <c r="AA561" s="40">
        <f>IF(C561="Electricity",E561*SUMIFS(Electricity!S:S,Electricity!P:P,UserMade_Scenario!B561,Electricity!M:M,UserMade_Scenario!Z561,Electricity!O:O,UserMade_Scenario!D561),"")</f>
        <v>26123209.394377701</v>
      </c>
      <c r="AB561" s="76">
        <f>1/Assumptions!$B$23/1000000000000</f>
        <v>3.5998225679871703E-9</v>
      </c>
      <c r="AC561" s="67" t="s">
        <v>82</v>
      </c>
      <c r="AD561" s="69">
        <f>INDEX(Table11[AVG
CO2e MT per MWh],MATCH(UserMade_Scenario!$B561,Table11[[Year]:[Year]],0))</f>
        <v>-8.9119367399999927E-2</v>
      </c>
      <c r="AE561" s="69">
        <f>INDEX(Table11[MIN
CO2e MT per MWh],MATCH(UserMade_Scenario!$B561,Table11[[Year]:[Year]],0))</f>
        <v>-6.4999158050000089E-2</v>
      </c>
      <c r="AF561" s="69">
        <f>INDEX(Table11[MAX CO2e MT per MWh],MATCH(UserMade_Scenario!$B561,Table11[[Year]:[Year]],0))</f>
        <v>-0.11323957575000004</v>
      </c>
      <c r="AG561" s="68">
        <f>IFERROR(INDEX(WaterUseH2[Average Direct Water Consumption (Gal/ kg h2)],MATCH(LEFT(D561,3),WaterUseH2[Key],0)),0)</f>
        <v>0</v>
      </c>
      <c r="AH561">
        <v>14</v>
      </c>
      <c r="AI561">
        <v>1.4</v>
      </c>
      <c r="AJ561">
        <v>250</v>
      </c>
      <c r="AK561">
        <v>0.31</v>
      </c>
      <c r="AL561" s="63">
        <f>IFERROR(INDEX(Job_Training[[Solar]:[Wind]],MATCH(AL$1,Job_Training[[`Typical Entry Level Education`]:[`Typical Entry Level Education`]],0),MATCH(LEFT($D561,5),Job_Training[[#Headers],[Solar]:[Wind]],0)),0)</f>
        <v>3.4599999999999999E-2</v>
      </c>
      <c r="AM561" s="63">
        <f>IFERROR(INDEX(Job_Training[[Solar]:[Wind]],MATCH(AM$1,Job_Training[[`Typical Entry Level Education`]:[`Typical Entry Level Education`]],0),MATCH(LEFT($D561,5),Job_Training[[#Headers],[Solar]:[Wind]],0)),0)</f>
        <v>2.8199999999999999E-2</v>
      </c>
      <c r="AN561" s="63">
        <f>IFERROR(INDEX(Job_Training[[Solar]:[Wind]],MATCH(AN$1,Job_Training[[`Typical Entry Level Education`]:[`Typical Entry Level Education`]],0),MATCH(LEFT($D561,5),Job_Training[[#Headers],[Solar]:[Wind]],0)),0)</f>
        <v>3.3399999999999999E-2</v>
      </c>
      <c r="AO561" s="63">
        <f>IFERROR(INDEX(Job_Training[[Solar]:[Wind]],MATCH(AO$1,Job_Training[[`Typical Entry Level Education`]:[`Typical Entry Level Education`]],0),MATCH(LEFT($D561,5),Job_Training[[#Headers],[Solar]:[Wind]],0)),0)</f>
        <v>5.62E-3</v>
      </c>
      <c r="AP561">
        <f t="shared" si="165"/>
        <v>1171</v>
      </c>
      <c r="AQ561" s="63">
        <f>IF(AP561&gt;0,IFERROR(INDEX(Assumptions!$C$165:$D$165,MATCH(LEFT($D561,5),Job_Training[[#Headers],[Solar]:[Wind]],0)),0),0)</f>
        <v>0.10181999999999999</v>
      </c>
      <c r="AR561">
        <f>IF(AP561&gt;0,IFERROR(INDEX(Assumptions!$C$166:$D$166,MATCH(LEFT($D561,5),Job_Training[[#Headers],[Solar]:[Wind]],0)),0),0)</f>
        <v>6.1091999999999995</v>
      </c>
    </row>
    <row r="562" spans="1:44" hidden="1" x14ac:dyDescent="0.35">
      <c r="A562" t="str">
        <f>UserInput!$B$56</f>
        <v>Max Buildout</v>
      </c>
      <c r="B562">
        <v>2039</v>
      </c>
      <c r="C562" t="s">
        <v>41</v>
      </c>
      <c r="D562" t="s">
        <v>80</v>
      </c>
      <c r="E562" s="66">
        <f>INDEX(UserInput!$C$56:$M$76,MATCH(UserMade_Scenario!B562,UserInput!$A$56:$A$76,0),MATCH(LEFT(IF(RIGHT(C562,2)="H2",UserMade_Scenario!C562,D562),3),UserInput!$C$25:$M$25,0))</f>
        <v>17563</v>
      </c>
      <c r="F562" t="s">
        <v>81</v>
      </c>
      <c r="G562" s="14">
        <f t="shared" si="166"/>
        <v>9.7350604805881882E-2</v>
      </c>
      <c r="H562" s="63">
        <f t="shared" si="156"/>
        <v>2.2958416934989447</v>
      </c>
      <c r="I562" s="63">
        <f t="shared" si="157"/>
        <v>1.6183007596948227</v>
      </c>
      <c r="J562" s="63">
        <f t="shared" si="158"/>
        <v>2.9733826002599066</v>
      </c>
      <c r="K562" s="30">
        <f>IF(OR(LEFT($D562,5)="Solar",$D562="Wind"),INDEX(Land_Use[AVG],MATCH(LEFT($D562,5),Land_Use[Tech],0)),0)*$E562</f>
        <v>61470.5</v>
      </c>
      <c r="L562" s="30">
        <f>IF(OR(LEFT($D562,5)="Solar",$D562="Wind"),INDEX(Land_Use[MIN],MATCH(LEFT($D562,5),Land_Use[Tech],0)),0)*$E562</f>
        <v>49176.399999999994</v>
      </c>
      <c r="M562" s="30">
        <f>IF(OR(LEFT($D562,5)="Solar",$D562="Wind"),INDEX(Land_Use[MAX],MATCH(LEFT($D562,5),Land_Use[Tech],0)),0)*$E562</f>
        <v>73764.600000000006</v>
      </c>
      <c r="N562" s="15">
        <f t="shared" si="167"/>
        <v>0</v>
      </c>
      <c r="O562" s="11">
        <f t="shared" si="168"/>
        <v>860587</v>
      </c>
      <c r="P562" s="11">
        <f t="shared" si="169"/>
        <v>86058.7</v>
      </c>
      <c r="Q562" s="11">
        <f t="shared" si="170"/>
        <v>15367625</v>
      </c>
      <c r="R562" s="11">
        <f t="shared" si="171"/>
        <v>19055.855</v>
      </c>
      <c r="S562" s="30">
        <f t="shared" si="159"/>
        <v>40.516599999999997</v>
      </c>
      <c r="T562" s="30">
        <f t="shared" si="160"/>
        <v>33.022199999999998</v>
      </c>
      <c r="U562" s="30">
        <f t="shared" si="161"/>
        <v>39.111399999999996</v>
      </c>
      <c r="V562" s="30">
        <f t="shared" si="162"/>
        <v>6.5810199999999996</v>
      </c>
      <c r="W562" s="30">
        <f t="shared" si="163"/>
        <v>119.23121999999999</v>
      </c>
      <c r="X562" s="30">
        <f t="shared" si="164"/>
        <v>7153.8731999999991</v>
      </c>
      <c r="Z562" s="23" t="s">
        <v>76</v>
      </c>
      <c r="AA562" s="40">
        <f>IF(C562="Electricity",E562*SUMIFS(Electricity!S:S,Electricity!P:P,UserMade_Scenario!B562,Electricity!M:M,UserMade_Scenario!Z562,Electricity!O:O,UserMade_Scenario!D562),"")</f>
        <v>27043167.535980858</v>
      </c>
      <c r="AB562" s="76">
        <f>1/Assumptions!$B$23/1000000000000</f>
        <v>3.5998225679871703E-9</v>
      </c>
      <c r="AC562" s="67" t="s">
        <v>82</v>
      </c>
      <c r="AD562" s="69">
        <f>INDEX(Table11[AVG
CO2e MT per MWh],MATCH(UserMade_Scenario!$B562,Table11[[Year]:[Year]],0))</f>
        <v>-8.489544319999992E-2</v>
      </c>
      <c r="AE562" s="69">
        <f>INDEX(Table11[MIN
CO2e MT per MWh],MATCH(UserMade_Scenario!$B562,Table11[[Year]:[Year]],0))</f>
        <v>-5.984139090000009E-2</v>
      </c>
      <c r="AF562" s="69">
        <f>INDEX(Table11[MAX CO2e MT per MWh],MATCH(UserMade_Scenario!$B562,Table11[[Year]:[Year]],0))</f>
        <v>-0.10994949450000004</v>
      </c>
      <c r="AG562" s="68">
        <f>IFERROR(INDEX(WaterUseH2[Average Direct Water Consumption (Gal/ kg h2)],MATCH(LEFT(D562,3),WaterUseH2[Key],0)),0)</f>
        <v>0</v>
      </c>
      <c r="AH562">
        <v>14</v>
      </c>
      <c r="AI562">
        <v>1.4</v>
      </c>
      <c r="AJ562">
        <v>250</v>
      </c>
      <c r="AK562">
        <v>0.31</v>
      </c>
      <c r="AL562" s="63">
        <f>IFERROR(INDEX(Job_Training[[Solar]:[Wind]],MATCH(AL$1,Job_Training[[`Typical Entry Level Education`]:[`Typical Entry Level Education`]],0),MATCH(LEFT($D562,5),Job_Training[[#Headers],[Solar]:[Wind]],0)),0)</f>
        <v>3.4599999999999999E-2</v>
      </c>
      <c r="AM562" s="63">
        <f>IFERROR(INDEX(Job_Training[[Solar]:[Wind]],MATCH(AM$1,Job_Training[[`Typical Entry Level Education`]:[`Typical Entry Level Education`]],0),MATCH(LEFT($D562,5),Job_Training[[#Headers],[Solar]:[Wind]],0)),0)</f>
        <v>2.8199999999999999E-2</v>
      </c>
      <c r="AN562" s="63">
        <f>IFERROR(INDEX(Job_Training[[Solar]:[Wind]],MATCH(AN$1,Job_Training[[`Typical Entry Level Education`]:[`Typical Entry Level Education`]],0),MATCH(LEFT($D562,5),Job_Training[[#Headers],[Solar]:[Wind]],0)),0)</f>
        <v>3.3399999999999999E-2</v>
      </c>
      <c r="AO562" s="63">
        <f>IFERROR(INDEX(Job_Training[[Solar]:[Wind]],MATCH(AO$1,Job_Training[[`Typical Entry Level Education`]:[`Typical Entry Level Education`]],0),MATCH(LEFT($D562,5),Job_Training[[#Headers],[Solar]:[Wind]],0)),0)</f>
        <v>5.62E-3</v>
      </c>
      <c r="AP562">
        <f t="shared" si="165"/>
        <v>1171</v>
      </c>
      <c r="AQ562" s="63">
        <f>IF(AP562&gt;0,IFERROR(INDEX(Assumptions!$C$165:$D$165,MATCH(LEFT($D562,5),Job_Training[[#Headers],[Solar]:[Wind]],0)),0),0)</f>
        <v>0.10181999999999999</v>
      </c>
      <c r="AR562">
        <f>IF(AP562&gt;0,IFERROR(INDEX(Assumptions!$C$166:$D$166,MATCH(LEFT($D562,5),Job_Training[[#Headers],[Solar]:[Wind]],0)),0),0)</f>
        <v>6.1091999999999995</v>
      </c>
    </row>
    <row r="563" spans="1:44" hidden="1" x14ac:dyDescent="0.35">
      <c r="A563" t="str">
        <f>UserInput!$B$56</f>
        <v>Max Buildout</v>
      </c>
      <c r="B563">
        <v>2040</v>
      </c>
      <c r="C563" t="s">
        <v>41</v>
      </c>
      <c r="D563" t="s">
        <v>80</v>
      </c>
      <c r="E563" s="66">
        <f>INDEX(UserInput!$C$56:$M$76,MATCH(UserMade_Scenario!B563,UserInput!$A$56:$A$76,0),MATCH(LEFT(IF(RIGHT(C563,2)="H2",UserMade_Scenario!C563,D563),3),UserInput!$C$25:$M$25,0))</f>
        <v>18734</v>
      </c>
      <c r="F563" t="s">
        <v>81</v>
      </c>
      <c r="G563" s="14">
        <f t="shared" si="166"/>
        <v>0.10020807928813624</v>
      </c>
      <c r="H563" s="63">
        <f t="shared" si="156"/>
        <v>2.2456490061860159</v>
      </c>
      <c r="I563" s="63">
        <f t="shared" si="157"/>
        <v>1.522225276665955</v>
      </c>
      <c r="J563" s="63">
        <f t="shared" si="158"/>
        <v>2.9690727078691355</v>
      </c>
      <c r="K563" s="30">
        <f>IF(OR(LEFT($D563,5)="Solar",$D563="Wind"),INDEX(Land_Use[AVG],MATCH(LEFT($D563,5),Land_Use[Tech],0)),0)*$E563</f>
        <v>65569</v>
      </c>
      <c r="L563" s="30">
        <f>IF(OR(LEFT($D563,5)="Solar",$D563="Wind"),INDEX(Land_Use[MIN],MATCH(LEFT($D563,5),Land_Use[Tech],0)),0)*$E563</f>
        <v>52455.199999999997</v>
      </c>
      <c r="M563" s="30">
        <f>IF(OR(LEFT($D563,5)="Solar",$D563="Wind"),INDEX(Land_Use[MAX],MATCH(LEFT($D563,5),Land_Use[Tech],0)),0)*$E563</f>
        <v>78682.8</v>
      </c>
      <c r="N563" s="15">
        <f t="shared" si="167"/>
        <v>0</v>
      </c>
      <c r="O563" s="11">
        <f t="shared" si="168"/>
        <v>917966</v>
      </c>
      <c r="P563" s="11">
        <f t="shared" si="169"/>
        <v>91796.599999999991</v>
      </c>
      <c r="Q563" s="11">
        <f t="shared" si="170"/>
        <v>16392250</v>
      </c>
      <c r="R563" s="11">
        <f t="shared" si="171"/>
        <v>20326.39</v>
      </c>
      <c r="S563" s="30">
        <f t="shared" si="159"/>
        <v>40.516599999999997</v>
      </c>
      <c r="T563" s="30">
        <f t="shared" si="160"/>
        <v>33.022199999999998</v>
      </c>
      <c r="U563" s="30">
        <f t="shared" si="161"/>
        <v>39.111399999999996</v>
      </c>
      <c r="V563" s="30">
        <f t="shared" si="162"/>
        <v>6.5810199999999996</v>
      </c>
      <c r="W563" s="30">
        <f t="shared" si="163"/>
        <v>119.23121999999999</v>
      </c>
      <c r="X563" s="30">
        <f t="shared" si="164"/>
        <v>7153.8731999999991</v>
      </c>
      <c r="Z563" s="23" t="s">
        <v>76</v>
      </c>
      <c r="AA563" s="40">
        <f>IF(C563="Electricity",E563*SUMIFS(Electricity!S:S,Electricity!P:P,UserMade_Scenario!B563,Electricity!M:M,UserMade_Scenario!Z563,Electricity!O:O,UserMade_Scenario!D563),"")</f>
        <v>27836949.570591554</v>
      </c>
      <c r="AB563" s="76">
        <f>1/Assumptions!$B$23/1000000000000</f>
        <v>3.5998225679871703E-9</v>
      </c>
      <c r="AC563" s="67" t="s">
        <v>82</v>
      </c>
      <c r="AD563" s="69">
        <f>INDEX(Table11[AVG
CO2e MT per MWh],MATCH(UserMade_Scenario!$B563,Table11[[Year]:[Year]],0))</f>
        <v>-8.0671518999999914E-2</v>
      </c>
      <c r="AE563" s="69">
        <f>INDEX(Table11[MIN
CO2e MT per MWh],MATCH(UserMade_Scenario!$B563,Table11[[Year]:[Year]],0))</f>
        <v>-5.468362375000009E-2</v>
      </c>
      <c r="AF563" s="69">
        <f>INDEX(Table11[MAX CO2e MT per MWh],MATCH(UserMade_Scenario!$B563,Table11[[Year]:[Year]],0))</f>
        <v>-0.10665941325000003</v>
      </c>
      <c r="AG563" s="68">
        <f>IFERROR(INDEX(WaterUseH2[Average Direct Water Consumption (Gal/ kg h2)],MATCH(LEFT(D563,3),WaterUseH2[Key],0)),0)</f>
        <v>0</v>
      </c>
      <c r="AH563">
        <v>14</v>
      </c>
      <c r="AI563">
        <v>1.4</v>
      </c>
      <c r="AJ563">
        <v>250</v>
      </c>
      <c r="AK563">
        <v>0.31</v>
      </c>
      <c r="AL563" s="63">
        <f>IFERROR(INDEX(Job_Training[[Solar]:[Wind]],MATCH(AL$1,Job_Training[[`Typical Entry Level Education`]:[`Typical Entry Level Education`]],0),MATCH(LEFT($D563,5),Job_Training[[#Headers],[Solar]:[Wind]],0)),0)</f>
        <v>3.4599999999999999E-2</v>
      </c>
      <c r="AM563" s="63">
        <f>IFERROR(INDEX(Job_Training[[Solar]:[Wind]],MATCH(AM$1,Job_Training[[`Typical Entry Level Education`]:[`Typical Entry Level Education`]],0),MATCH(LEFT($D563,5),Job_Training[[#Headers],[Solar]:[Wind]],0)),0)</f>
        <v>2.8199999999999999E-2</v>
      </c>
      <c r="AN563" s="63">
        <f>IFERROR(INDEX(Job_Training[[Solar]:[Wind]],MATCH(AN$1,Job_Training[[`Typical Entry Level Education`]:[`Typical Entry Level Education`]],0),MATCH(LEFT($D563,5),Job_Training[[#Headers],[Solar]:[Wind]],0)),0)</f>
        <v>3.3399999999999999E-2</v>
      </c>
      <c r="AO563" s="63">
        <f>IFERROR(INDEX(Job_Training[[Solar]:[Wind]],MATCH(AO$1,Job_Training[[`Typical Entry Level Education`]:[`Typical Entry Level Education`]],0),MATCH(LEFT($D563,5),Job_Training[[#Headers],[Solar]:[Wind]],0)),0)</f>
        <v>5.62E-3</v>
      </c>
      <c r="AP563">
        <f t="shared" si="165"/>
        <v>1171</v>
      </c>
      <c r="AQ563" s="63">
        <f>IF(AP563&gt;0,IFERROR(INDEX(Assumptions!$C$165:$D$165,MATCH(LEFT($D563,5),Job_Training[[#Headers],[Solar]:[Wind]],0)),0),0)</f>
        <v>0.10181999999999999</v>
      </c>
      <c r="AR563">
        <f>IF(AP563&gt;0,IFERROR(INDEX(Assumptions!$C$166:$D$166,MATCH(LEFT($D563,5),Job_Training[[#Headers],[Solar]:[Wind]],0)),0),0)</f>
        <v>6.1091999999999995</v>
      </c>
    </row>
    <row r="564" spans="1:44" hidden="1" x14ac:dyDescent="0.35">
      <c r="A564" t="str">
        <f>UserInput!$B$56</f>
        <v>Max Buildout</v>
      </c>
      <c r="B564">
        <v>2041</v>
      </c>
      <c r="C564" t="s">
        <v>41</v>
      </c>
      <c r="D564" t="s">
        <v>80</v>
      </c>
      <c r="E564" s="66">
        <f>INDEX(UserInput!$C$56:$M$76,MATCH(UserMade_Scenario!B564,UserInput!$A$56:$A$76,0),MATCH(LEFT(IF(RIGHT(C564,2)="H2",UserMade_Scenario!C564,D564),3),UserInput!$C$25:$M$25,0))</f>
        <v>19905</v>
      </c>
      <c r="F564" t="s">
        <v>81</v>
      </c>
      <c r="G564" s="14">
        <f t="shared" si="166"/>
        <v>0.10261134217289836</v>
      </c>
      <c r="H564" s="63">
        <f t="shared" si="156"/>
        <v>2.1791047086812507</v>
      </c>
      <c r="I564" s="63">
        <f t="shared" si="157"/>
        <v>1.4117125280510818</v>
      </c>
      <c r="J564" s="63">
        <f t="shared" si="158"/>
        <v>2.9464968608068731</v>
      </c>
      <c r="K564" s="30">
        <f>IF(OR(LEFT($D564,5)="Solar",$D564="Wind"),INDEX(Land_Use[AVG],MATCH(LEFT($D564,5),Land_Use[Tech],0)),0)*$E564</f>
        <v>69667.5</v>
      </c>
      <c r="L564" s="30">
        <f>IF(OR(LEFT($D564,5)="Solar",$D564="Wind"),INDEX(Land_Use[MIN],MATCH(LEFT($D564,5),Land_Use[Tech],0)),0)*$E564</f>
        <v>55734</v>
      </c>
      <c r="M564" s="30">
        <f>IF(OR(LEFT($D564,5)="Solar",$D564="Wind"),INDEX(Land_Use[MAX],MATCH(LEFT($D564,5),Land_Use[Tech],0)),0)*$E564</f>
        <v>83601</v>
      </c>
      <c r="N564" s="15">
        <f t="shared" si="167"/>
        <v>0</v>
      </c>
      <c r="O564" s="11">
        <f t="shared" si="168"/>
        <v>975345</v>
      </c>
      <c r="P564" s="11">
        <f t="shared" si="169"/>
        <v>97534.5</v>
      </c>
      <c r="Q564" s="11">
        <f t="shared" si="170"/>
        <v>17416875</v>
      </c>
      <c r="R564" s="11">
        <f t="shared" si="171"/>
        <v>21596.924999999999</v>
      </c>
      <c r="S564" s="30">
        <f t="shared" si="159"/>
        <v>40.516599999999997</v>
      </c>
      <c r="T564" s="30">
        <f t="shared" si="160"/>
        <v>33.022199999999998</v>
      </c>
      <c r="U564" s="30">
        <f t="shared" si="161"/>
        <v>39.111399999999996</v>
      </c>
      <c r="V564" s="30">
        <f t="shared" si="162"/>
        <v>6.5810199999999996</v>
      </c>
      <c r="W564" s="30">
        <f t="shared" si="163"/>
        <v>119.23121999999999</v>
      </c>
      <c r="X564" s="30">
        <f t="shared" si="164"/>
        <v>7153.8731999999991</v>
      </c>
      <c r="Z564" s="23" t="s">
        <v>76</v>
      </c>
      <c r="AA564" s="40">
        <f>IF(C564="Electricity",E564*SUMIFS(Electricity!S:S,Electricity!P:P,UserMade_Scenario!B564,Electricity!M:M,UserMade_Scenario!Z564,Electricity!O:O,UserMade_Scenario!D564),"")</f>
        <v>28504555.498209782</v>
      </c>
      <c r="AB564" s="76">
        <f>1/Assumptions!$B$23/1000000000000</f>
        <v>3.5998225679871703E-9</v>
      </c>
      <c r="AC564" s="67" t="s">
        <v>82</v>
      </c>
      <c r="AD564" s="69">
        <f>INDEX(Table11[AVG
CO2e MT per MWh],MATCH(UserMade_Scenario!$B564,Table11[[Year]:[Year]],0))</f>
        <v>-7.6447594799999907E-2</v>
      </c>
      <c r="AE564" s="69">
        <f>INDEX(Table11[MIN
CO2e MT per MWh],MATCH(UserMade_Scenario!$B564,Table11[[Year]:[Year]],0))</f>
        <v>-4.9525856600000091E-2</v>
      </c>
      <c r="AF564" s="69">
        <f>INDEX(Table11[MAX CO2e MT per MWh],MATCH(UserMade_Scenario!$B564,Table11[[Year]:[Year]],0))</f>
        <v>-0.10336933200000002</v>
      </c>
      <c r="AG564" s="68">
        <f>IFERROR(INDEX(WaterUseH2[Average Direct Water Consumption (Gal/ kg h2)],MATCH(LEFT(D564,3),WaterUseH2[Key],0)),0)</f>
        <v>0</v>
      </c>
      <c r="AH564">
        <v>14</v>
      </c>
      <c r="AI564">
        <v>1.4</v>
      </c>
      <c r="AJ564">
        <v>250</v>
      </c>
      <c r="AK564">
        <v>0.31</v>
      </c>
      <c r="AL564" s="63">
        <f>IFERROR(INDEX(Job_Training[[Solar]:[Wind]],MATCH(AL$1,Job_Training[[`Typical Entry Level Education`]:[`Typical Entry Level Education`]],0),MATCH(LEFT($D564,5),Job_Training[[#Headers],[Solar]:[Wind]],0)),0)</f>
        <v>3.4599999999999999E-2</v>
      </c>
      <c r="AM564" s="63">
        <f>IFERROR(INDEX(Job_Training[[Solar]:[Wind]],MATCH(AM$1,Job_Training[[`Typical Entry Level Education`]:[`Typical Entry Level Education`]],0),MATCH(LEFT($D564,5),Job_Training[[#Headers],[Solar]:[Wind]],0)),0)</f>
        <v>2.8199999999999999E-2</v>
      </c>
      <c r="AN564" s="63">
        <f>IFERROR(INDEX(Job_Training[[Solar]:[Wind]],MATCH(AN$1,Job_Training[[`Typical Entry Level Education`]:[`Typical Entry Level Education`]],0),MATCH(LEFT($D564,5),Job_Training[[#Headers],[Solar]:[Wind]],0)),0)</f>
        <v>3.3399999999999999E-2</v>
      </c>
      <c r="AO564" s="63">
        <f>IFERROR(INDEX(Job_Training[[Solar]:[Wind]],MATCH(AO$1,Job_Training[[`Typical Entry Level Education`]:[`Typical Entry Level Education`]],0),MATCH(LEFT($D564,5),Job_Training[[#Headers],[Solar]:[Wind]],0)),0)</f>
        <v>5.62E-3</v>
      </c>
      <c r="AP564">
        <f t="shared" si="165"/>
        <v>1171</v>
      </c>
      <c r="AQ564" s="63">
        <f>IF(AP564&gt;0,IFERROR(INDEX(Assumptions!$C$165:$D$165,MATCH(LEFT($D564,5),Job_Training[[#Headers],[Solar]:[Wind]],0)),0),0)</f>
        <v>0.10181999999999999</v>
      </c>
      <c r="AR564">
        <f>IF(AP564&gt;0,IFERROR(INDEX(Assumptions!$C$166:$D$166,MATCH(LEFT($D564,5),Job_Training[[#Headers],[Solar]:[Wind]],0)),0),0)</f>
        <v>6.1091999999999995</v>
      </c>
    </row>
    <row r="565" spans="1:44" hidden="1" x14ac:dyDescent="0.35">
      <c r="A565" t="str">
        <f>UserInput!$B$56</f>
        <v>Max Buildout</v>
      </c>
      <c r="B565">
        <v>2042</v>
      </c>
      <c r="C565" t="s">
        <v>41</v>
      </c>
      <c r="D565" t="s">
        <v>80</v>
      </c>
      <c r="E565" s="66">
        <f>INDEX(UserInput!$C$56:$M$76,MATCH(UserMade_Scenario!B565,UserInput!$A$56:$A$76,0),MATCH(LEFT(IF(RIGHT(C565,2)="H2",UserMade_Scenario!C565,D565),3),UserInput!$C$25:$M$25,0))</f>
        <v>21076</v>
      </c>
      <c r="F565" t="s">
        <v>81</v>
      </c>
      <c r="G565" s="14">
        <f t="shared" si="166"/>
        <v>0.10456039346016822</v>
      </c>
      <c r="H565" s="63">
        <f t="shared" si="156"/>
        <v>2.0978076759200115</v>
      </c>
      <c r="I565" s="63">
        <f t="shared" si="157"/>
        <v>1.288714874789485</v>
      </c>
      <c r="J565" s="63">
        <f t="shared" si="158"/>
        <v>2.9069004480045617</v>
      </c>
      <c r="K565" s="30">
        <f>IF(OR(LEFT($D565,5)="Solar",$D565="Wind"),INDEX(Land_Use[AVG],MATCH(LEFT($D565,5),Land_Use[Tech],0)),0)*$E565</f>
        <v>73766</v>
      </c>
      <c r="L565" s="30">
        <f>IF(OR(LEFT($D565,5)="Solar",$D565="Wind"),INDEX(Land_Use[MIN],MATCH(LEFT($D565,5),Land_Use[Tech],0)),0)*$E565</f>
        <v>59012.799999999996</v>
      </c>
      <c r="M565" s="30">
        <f>IF(OR(LEFT($D565,5)="Solar",$D565="Wind"),INDEX(Land_Use[MAX],MATCH(LEFT($D565,5),Land_Use[Tech],0)),0)*$E565</f>
        <v>88519.2</v>
      </c>
      <c r="N565" s="15">
        <f t="shared" si="167"/>
        <v>0</v>
      </c>
      <c r="O565" s="11">
        <f t="shared" si="168"/>
        <v>1032724</v>
      </c>
      <c r="P565" s="11">
        <f t="shared" si="169"/>
        <v>103272.4</v>
      </c>
      <c r="Q565" s="11">
        <f t="shared" si="170"/>
        <v>18441500</v>
      </c>
      <c r="R565" s="11">
        <f t="shared" si="171"/>
        <v>22867.46</v>
      </c>
      <c r="S565" s="30">
        <f t="shared" si="159"/>
        <v>40.516599999999997</v>
      </c>
      <c r="T565" s="30">
        <f t="shared" si="160"/>
        <v>33.022199999999998</v>
      </c>
      <c r="U565" s="30">
        <f t="shared" si="161"/>
        <v>39.111399999999996</v>
      </c>
      <c r="V565" s="30">
        <f t="shared" si="162"/>
        <v>6.5810199999999996</v>
      </c>
      <c r="W565" s="30">
        <f t="shared" si="163"/>
        <v>119.23121999999999</v>
      </c>
      <c r="X565" s="30">
        <f t="shared" si="164"/>
        <v>7153.8731999999991</v>
      </c>
      <c r="Z565" s="23" t="s">
        <v>76</v>
      </c>
      <c r="AA565" s="40">
        <f>IF(C565="Electricity",E565*SUMIFS(Electricity!S:S,Electricity!P:P,UserMade_Scenario!B565,Electricity!M:M,UserMade_Scenario!Z565,Electricity!O:O,UserMade_Scenario!D565),"")</f>
        <v>29045985.318835545</v>
      </c>
      <c r="AB565" s="76">
        <f>1/Assumptions!$B$23/1000000000000</f>
        <v>3.5998225679871703E-9</v>
      </c>
      <c r="AC565" s="67" t="s">
        <v>82</v>
      </c>
      <c r="AD565" s="69">
        <f>INDEX(Table11[AVG
CO2e MT per MWh],MATCH(UserMade_Scenario!$B565,Table11[[Year]:[Year]],0))</f>
        <v>-7.2223670599999901E-2</v>
      </c>
      <c r="AE565" s="69">
        <f>INDEX(Table11[MIN
CO2e MT per MWh],MATCH(UserMade_Scenario!$B565,Table11[[Year]:[Year]],0))</f>
        <v>-4.4368089450000092E-2</v>
      </c>
      <c r="AF565" s="69">
        <f>INDEX(Table11[MAX CO2e MT per MWh],MATCH(UserMade_Scenario!$B565,Table11[[Year]:[Year]],0))</f>
        <v>-0.10007925075000002</v>
      </c>
      <c r="AG565" s="68">
        <f>IFERROR(INDEX(WaterUseH2[Average Direct Water Consumption (Gal/ kg h2)],MATCH(LEFT(D565,3),WaterUseH2[Key],0)),0)</f>
        <v>0</v>
      </c>
      <c r="AH565">
        <v>14</v>
      </c>
      <c r="AI565">
        <v>1.4</v>
      </c>
      <c r="AJ565">
        <v>250</v>
      </c>
      <c r="AK565">
        <v>0.31</v>
      </c>
      <c r="AL565" s="63">
        <f>IFERROR(INDEX(Job_Training[[Solar]:[Wind]],MATCH(AL$1,Job_Training[[`Typical Entry Level Education`]:[`Typical Entry Level Education`]],0),MATCH(LEFT($D565,5),Job_Training[[#Headers],[Solar]:[Wind]],0)),0)</f>
        <v>3.4599999999999999E-2</v>
      </c>
      <c r="AM565" s="63">
        <f>IFERROR(INDEX(Job_Training[[Solar]:[Wind]],MATCH(AM$1,Job_Training[[`Typical Entry Level Education`]:[`Typical Entry Level Education`]],0),MATCH(LEFT($D565,5),Job_Training[[#Headers],[Solar]:[Wind]],0)),0)</f>
        <v>2.8199999999999999E-2</v>
      </c>
      <c r="AN565" s="63">
        <f>IFERROR(INDEX(Job_Training[[Solar]:[Wind]],MATCH(AN$1,Job_Training[[`Typical Entry Level Education`]:[`Typical Entry Level Education`]],0),MATCH(LEFT($D565,5),Job_Training[[#Headers],[Solar]:[Wind]],0)),0)</f>
        <v>3.3399999999999999E-2</v>
      </c>
      <c r="AO565" s="63">
        <f>IFERROR(INDEX(Job_Training[[Solar]:[Wind]],MATCH(AO$1,Job_Training[[`Typical Entry Level Education`]:[`Typical Entry Level Education`]],0),MATCH(LEFT($D565,5),Job_Training[[#Headers],[Solar]:[Wind]],0)),0)</f>
        <v>5.62E-3</v>
      </c>
      <c r="AP565">
        <f t="shared" si="165"/>
        <v>1171</v>
      </c>
      <c r="AQ565" s="63">
        <f>IF(AP565&gt;0,IFERROR(INDEX(Assumptions!$C$165:$D$165,MATCH(LEFT($D565,5),Job_Training[[#Headers],[Solar]:[Wind]],0)),0),0)</f>
        <v>0.10181999999999999</v>
      </c>
      <c r="AR565">
        <f>IF(AP565&gt;0,IFERROR(INDEX(Assumptions!$C$166:$D$166,MATCH(LEFT($D565,5),Job_Training[[#Headers],[Solar]:[Wind]],0)),0),0)</f>
        <v>6.1091999999999995</v>
      </c>
    </row>
    <row r="566" spans="1:44" hidden="1" x14ac:dyDescent="0.35">
      <c r="A566" t="str">
        <f>UserInput!$B$56</f>
        <v>Max Buildout</v>
      </c>
      <c r="B566">
        <v>2043</v>
      </c>
      <c r="C566" t="s">
        <v>41</v>
      </c>
      <c r="D566" t="s">
        <v>80</v>
      </c>
      <c r="E566" s="66">
        <f>INDEX(UserInput!$C$56:$M$76,MATCH(UserMade_Scenario!B566,UserInput!$A$56:$A$76,0),MATCH(LEFT(IF(RIGHT(C566,2)="H2",UserMade_Scenario!C566,D566),3),UserInput!$C$25:$M$25,0))</f>
        <v>22247</v>
      </c>
      <c r="F566" t="s">
        <v>81</v>
      </c>
      <c r="G566" s="14">
        <f t="shared" si="166"/>
        <v>0.10605523314994585</v>
      </c>
      <c r="H566" s="63">
        <f t="shared" si="156"/>
        <v>2.0033567828376597</v>
      </c>
      <c r="I566" s="63">
        <f t="shared" si="157"/>
        <v>1.1551846778204462</v>
      </c>
      <c r="J566" s="63">
        <f t="shared" si="158"/>
        <v>2.8515288583936429</v>
      </c>
      <c r="K566" s="30">
        <f>IF(OR(LEFT($D566,5)="Solar",$D566="Wind"),INDEX(Land_Use[AVG],MATCH(LEFT($D566,5),Land_Use[Tech],0)),0)*$E566</f>
        <v>77864.5</v>
      </c>
      <c r="L566" s="30">
        <f>IF(OR(LEFT($D566,5)="Solar",$D566="Wind"),INDEX(Land_Use[MIN],MATCH(LEFT($D566,5),Land_Use[Tech],0)),0)*$E566</f>
        <v>62291.6</v>
      </c>
      <c r="M566" s="30">
        <f>IF(OR(LEFT($D566,5)="Solar",$D566="Wind"),INDEX(Land_Use[MAX],MATCH(LEFT($D566,5),Land_Use[Tech],0)),0)*$E566</f>
        <v>93437.400000000009</v>
      </c>
      <c r="N566" s="15">
        <f t="shared" si="167"/>
        <v>0</v>
      </c>
      <c r="O566" s="11">
        <f t="shared" si="168"/>
        <v>1090103</v>
      </c>
      <c r="P566" s="11">
        <f t="shared" si="169"/>
        <v>109010.29999999999</v>
      </c>
      <c r="Q566" s="11">
        <f t="shared" si="170"/>
        <v>19466125</v>
      </c>
      <c r="R566" s="11">
        <f t="shared" si="171"/>
        <v>24137.994999999999</v>
      </c>
      <c r="S566" s="30">
        <f t="shared" si="159"/>
        <v>40.516599999999997</v>
      </c>
      <c r="T566" s="30">
        <f t="shared" si="160"/>
        <v>33.022199999999998</v>
      </c>
      <c r="U566" s="30">
        <f t="shared" si="161"/>
        <v>39.111399999999996</v>
      </c>
      <c r="V566" s="30">
        <f t="shared" si="162"/>
        <v>6.5810199999999996</v>
      </c>
      <c r="W566" s="30">
        <f t="shared" si="163"/>
        <v>119.23121999999999</v>
      </c>
      <c r="X566" s="30">
        <f t="shared" si="164"/>
        <v>7153.8731999999991</v>
      </c>
      <c r="Z566" s="23" t="s">
        <v>76</v>
      </c>
      <c r="AA566" s="40">
        <f>IF(C566="Electricity",E566*SUMIFS(Electricity!S:S,Electricity!P:P,UserMade_Scenario!B566,Electricity!M:M,UserMade_Scenario!Z566,Electricity!O:O,UserMade_Scenario!D566),"")</f>
        <v>29461239.032468844</v>
      </c>
      <c r="AB566" s="76">
        <f>1/Assumptions!$B$23/1000000000000</f>
        <v>3.5998225679871703E-9</v>
      </c>
      <c r="AC566" s="67" t="s">
        <v>82</v>
      </c>
      <c r="AD566" s="69">
        <f>INDEX(Table11[AVG
CO2e MT per MWh],MATCH(UserMade_Scenario!$B566,Table11[[Year]:[Year]],0))</f>
        <v>-6.7999746399999894E-2</v>
      </c>
      <c r="AE566" s="69">
        <f>INDEX(Table11[MIN
CO2e MT per MWh],MATCH(UserMade_Scenario!$B566,Table11[[Year]:[Year]],0))</f>
        <v>-3.9210322300000093E-2</v>
      </c>
      <c r="AF566" s="69">
        <f>INDEX(Table11[MAX CO2e MT per MWh],MATCH(UserMade_Scenario!$B566,Table11[[Year]:[Year]],0))</f>
        <v>-9.6789169500000008E-2</v>
      </c>
      <c r="AG566" s="68">
        <f>IFERROR(INDEX(WaterUseH2[Average Direct Water Consumption (Gal/ kg h2)],MATCH(LEFT(D566,3),WaterUseH2[Key],0)),0)</f>
        <v>0</v>
      </c>
      <c r="AH566">
        <v>14</v>
      </c>
      <c r="AI566">
        <v>1.4</v>
      </c>
      <c r="AJ566">
        <v>250</v>
      </c>
      <c r="AK566">
        <v>0.31</v>
      </c>
      <c r="AL566" s="63">
        <f>IFERROR(INDEX(Job_Training[[Solar]:[Wind]],MATCH(AL$1,Job_Training[[`Typical Entry Level Education`]:[`Typical Entry Level Education`]],0),MATCH(LEFT($D566,5),Job_Training[[#Headers],[Solar]:[Wind]],0)),0)</f>
        <v>3.4599999999999999E-2</v>
      </c>
      <c r="AM566" s="63">
        <f>IFERROR(INDEX(Job_Training[[Solar]:[Wind]],MATCH(AM$1,Job_Training[[`Typical Entry Level Education`]:[`Typical Entry Level Education`]],0),MATCH(LEFT($D566,5),Job_Training[[#Headers],[Solar]:[Wind]],0)),0)</f>
        <v>2.8199999999999999E-2</v>
      </c>
      <c r="AN566" s="63">
        <f>IFERROR(INDEX(Job_Training[[Solar]:[Wind]],MATCH(AN$1,Job_Training[[`Typical Entry Level Education`]:[`Typical Entry Level Education`]],0),MATCH(LEFT($D566,5),Job_Training[[#Headers],[Solar]:[Wind]],0)),0)</f>
        <v>3.3399999999999999E-2</v>
      </c>
      <c r="AO566" s="63">
        <f>IFERROR(INDEX(Job_Training[[Solar]:[Wind]],MATCH(AO$1,Job_Training[[`Typical Entry Level Education`]:[`Typical Entry Level Education`]],0),MATCH(LEFT($D566,5),Job_Training[[#Headers],[Solar]:[Wind]],0)),0)</f>
        <v>5.62E-3</v>
      </c>
      <c r="AP566">
        <f t="shared" si="165"/>
        <v>1171</v>
      </c>
      <c r="AQ566" s="63">
        <f>IF(AP566&gt;0,IFERROR(INDEX(Assumptions!$C$165:$D$165,MATCH(LEFT($D566,5),Job_Training[[#Headers],[Solar]:[Wind]],0)),0),0)</f>
        <v>0.10181999999999999</v>
      </c>
      <c r="AR566">
        <f>IF(AP566&gt;0,IFERROR(INDEX(Assumptions!$C$166:$D$166,MATCH(LEFT($D566,5),Job_Training[[#Headers],[Solar]:[Wind]],0)),0),0)</f>
        <v>6.1091999999999995</v>
      </c>
    </row>
    <row r="567" spans="1:44" hidden="1" x14ac:dyDescent="0.35">
      <c r="A567" t="str">
        <f>UserInput!$B$56</f>
        <v>Max Buildout</v>
      </c>
      <c r="B567">
        <v>2044</v>
      </c>
      <c r="C567" t="s">
        <v>41</v>
      </c>
      <c r="D567" t="s">
        <v>80</v>
      </c>
      <c r="E567" s="66">
        <f>INDEX(UserInput!$C$56:$M$76,MATCH(UserMade_Scenario!B567,UserInput!$A$56:$A$76,0),MATCH(LEFT(IF(RIGHT(C567,2)="H2",UserMade_Scenario!C567,D567),3),UserInput!$C$25:$M$25,0))</f>
        <v>23418</v>
      </c>
      <c r="F567" t="s">
        <v>81</v>
      </c>
      <c r="G567" s="14">
        <f t="shared" si="166"/>
        <v>0.10709586124223124</v>
      </c>
      <c r="H567" s="63">
        <f t="shared" si="156"/>
        <v>1.8973509043695567</v>
      </c>
      <c r="I567" s="63">
        <f t="shared" si="157"/>
        <v>1.0130742980832477</v>
      </c>
      <c r="J567" s="63">
        <f t="shared" si="158"/>
        <v>2.7816274809055588</v>
      </c>
      <c r="K567" s="30">
        <f>IF(OR(LEFT($D567,5)="Solar",$D567="Wind"),INDEX(Land_Use[AVG],MATCH(LEFT($D567,5),Land_Use[Tech],0)),0)*$E567</f>
        <v>81963</v>
      </c>
      <c r="L567" s="30">
        <f>IF(OR(LEFT($D567,5)="Solar",$D567="Wind"),INDEX(Land_Use[MIN],MATCH(LEFT($D567,5),Land_Use[Tech],0)),0)*$E567</f>
        <v>65570.399999999994</v>
      </c>
      <c r="M567" s="30">
        <f>IF(OR(LEFT($D567,5)="Solar",$D567="Wind"),INDEX(Land_Use[MAX],MATCH(LEFT($D567,5),Land_Use[Tech],0)),0)*$E567</f>
        <v>98355.6</v>
      </c>
      <c r="N567" s="15">
        <f t="shared" si="167"/>
        <v>0</v>
      </c>
      <c r="O567" s="11">
        <f t="shared" si="168"/>
        <v>1147482</v>
      </c>
      <c r="P567" s="11">
        <f t="shared" si="169"/>
        <v>114748.2</v>
      </c>
      <c r="Q567" s="11">
        <f t="shared" si="170"/>
        <v>20490750</v>
      </c>
      <c r="R567" s="11">
        <f t="shared" si="171"/>
        <v>25408.53</v>
      </c>
      <c r="S567" s="30">
        <f t="shared" si="159"/>
        <v>40.516599999999997</v>
      </c>
      <c r="T567" s="30">
        <f t="shared" si="160"/>
        <v>33.022199999999998</v>
      </c>
      <c r="U567" s="30">
        <f t="shared" si="161"/>
        <v>39.111399999999996</v>
      </c>
      <c r="V567" s="30">
        <f t="shared" si="162"/>
        <v>6.5810199999999996</v>
      </c>
      <c r="W567" s="30">
        <f t="shared" si="163"/>
        <v>119.23121999999999</v>
      </c>
      <c r="X567" s="30">
        <f t="shared" si="164"/>
        <v>7153.8731999999991</v>
      </c>
      <c r="Z567" s="23" t="s">
        <v>76</v>
      </c>
      <c r="AA567" s="40">
        <f>IF(C567="Electricity",E567*SUMIFS(Electricity!S:S,Electricity!P:P,UserMade_Scenario!B567,Electricity!M:M,UserMade_Scenario!Z567,Electricity!O:O,UserMade_Scenario!D567),"")</f>
        <v>29750316.639109675</v>
      </c>
      <c r="AB567" s="76">
        <f>1/Assumptions!$B$23/1000000000000</f>
        <v>3.5998225679871703E-9</v>
      </c>
      <c r="AC567" s="67" t="s">
        <v>82</v>
      </c>
      <c r="AD567" s="69">
        <f>INDEX(Table11[AVG
CO2e MT per MWh],MATCH(UserMade_Scenario!$B567,Table11[[Year]:[Year]],0))</f>
        <v>-6.3775822199999888E-2</v>
      </c>
      <c r="AE567" s="69">
        <f>INDEX(Table11[MIN
CO2e MT per MWh],MATCH(UserMade_Scenario!$B567,Table11[[Year]:[Year]],0))</f>
        <v>-3.4052555150000094E-2</v>
      </c>
      <c r="AF567" s="69">
        <f>INDEX(Table11[MAX CO2e MT per MWh],MATCH(UserMade_Scenario!$B567,Table11[[Year]:[Year]],0))</f>
        <v>-9.3499088250000001E-2</v>
      </c>
      <c r="AG567" s="68">
        <f>IFERROR(INDEX(WaterUseH2[Average Direct Water Consumption (Gal/ kg h2)],MATCH(LEFT(D567,3),WaterUseH2[Key],0)),0)</f>
        <v>0</v>
      </c>
      <c r="AH567">
        <v>14</v>
      </c>
      <c r="AI567">
        <v>1.4</v>
      </c>
      <c r="AJ567">
        <v>250</v>
      </c>
      <c r="AK567">
        <v>0.31</v>
      </c>
      <c r="AL567" s="63">
        <f>IFERROR(INDEX(Job_Training[[Solar]:[Wind]],MATCH(AL$1,Job_Training[[`Typical Entry Level Education`]:[`Typical Entry Level Education`]],0),MATCH(LEFT($D567,5),Job_Training[[#Headers],[Solar]:[Wind]],0)),0)</f>
        <v>3.4599999999999999E-2</v>
      </c>
      <c r="AM567" s="63">
        <f>IFERROR(INDEX(Job_Training[[Solar]:[Wind]],MATCH(AM$1,Job_Training[[`Typical Entry Level Education`]:[`Typical Entry Level Education`]],0),MATCH(LEFT($D567,5),Job_Training[[#Headers],[Solar]:[Wind]],0)),0)</f>
        <v>2.8199999999999999E-2</v>
      </c>
      <c r="AN567" s="63">
        <f>IFERROR(INDEX(Job_Training[[Solar]:[Wind]],MATCH(AN$1,Job_Training[[`Typical Entry Level Education`]:[`Typical Entry Level Education`]],0),MATCH(LEFT($D567,5),Job_Training[[#Headers],[Solar]:[Wind]],0)),0)</f>
        <v>3.3399999999999999E-2</v>
      </c>
      <c r="AO567" s="63">
        <f>IFERROR(INDEX(Job_Training[[Solar]:[Wind]],MATCH(AO$1,Job_Training[[`Typical Entry Level Education`]:[`Typical Entry Level Education`]],0),MATCH(LEFT($D567,5),Job_Training[[#Headers],[Solar]:[Wind]],0)),0)</f>
        <v>5.62E-3</v>
      </c>
      <c r="AP567">
        <f t="shared" si="165"/>
        <v>1171</v>
      </c>
      <c r="AQ567" s="63">
        <f>IF(AP567&gt;0,IFERROR(INDEX(Assumptions!$C$165:$D$165,MATCH(LEFT($D567,5),Job_Training[[#Headers],[Solar]:[Wind]],0)),0),0)</f>
        <v>0.10181999999999999</v>
      </c>
      <c r="AR567">
        <f>IF(AP567&gt;0,IFERROR(INDEX(Assumptions!$C$166:$D$166,MATCH(LEFT($D567,5),Job_Training[[#Headers],[Solar]:[Wind]],0)),0),0)</f>
        <v>6.1091999999999995</v>
      </c>
    </row>
    <row r="568" spans="1:44" hidden="1" x14ac:dyDescent="0.35">
      <c r="A568" t="str">
        <f>UserInput!$B$56</f>
        <v>Max Buildout</v>
      </c>
      <c r="B568">
        <v>2045</v>
      </c>
      <c r="C568" t="s">
        <v>41</v>
      </c>
      <c r="D568" t="s">
        <v>80</v>
      </c>
      <c r="E568" s="66">
        <f>INDEX(UserInput!$C$56:$M$76,MATCH(UserMade_Scenario!B568,UserInput!$A$56:$A$76,0),MATCH(LEFT(IF(RIGHT(C568,2)="H2",UserMade_Scenario!C568,D568),3),UserInput!$C$25:$M$25,0))</f>
        <v>24589</v>
      </c>
      <c r="F568" t="s">
        <v>81</v>
      </c>
      <c r="G568" s="14">
        <f t="shared" si="166"/>
        <v>0.10768227773702438</v>
      </c>
      <c r="H568" s="63">
        <f t="shared" si="156"/>
        <v>1.7813889154510654</v>
      </c>
      <c r="I568" s="63">
        <f t="shared" si="157"/>
        <v>0.86433609651717103</v>
      </c>
      <c r="J568" s="63">
        <f t="shared" si="158"/>
        <v>2.698441704471751</v>
      </c>
      <c r="K568" s="30">
        <f>IF(OR(LEFT($D568,5)="Solar",$D568="Wind"),INDEX(Land_Use[AVG],MATCH(LEFT($D568,5),Land_Use[Tech],0)),0)*$E568</f>
        <v>86061.5</v>
      </c>
      <c r="L568" s="30">
        <f>IF(OR(LEFT($D568,5)="Solar",$D568="Wind"),INDEX(Land_Use[MIN],MATCH(LEFT($D568,5),Land_Use[Tech],0)),0)*$E568</f>
        <v>68849.2</v>
      </c>
      <c r="M568" s="30">
        <f>IF(OR(LEFT($D568,5)="Solar",$D568="Wind"),INDEX(Land_Use[MAX],MATCH(LEFT($D568,5),Land_Use[Tech],0)),0)*$E568</f>
        <v>103273.8</v>
      </c>
      <c r="N568" s="15">
        <f t="shared" si="167"/>
        <v>0</v>
      </c>
      <c r="O568" s="11">
        <f t="shared" si="168"/>
        <v>1204861</v>
      </c>
      <c r="P568" s="11">
        <f t="shared" si="169"/>
        <v>120486.09999999999</v>
      </c>
      <c r="Q568" s="11">
        <f t="shared" si="170"/>
        <v>21515375</v>
      </c>
      <c r="R568" s="11">
        <f t="shared" si="171"/>
        <v>26679.064999999999</v>
      </c>
      <c r="S568" s="30">
        <f t="shared" si="159"/>
        <v>40.516599999999997</v>
      </c>
      <c r="T568" s="30">
        <f t="shared" si="160"/>
        <v>33.022199999999998</v>
      </c>
      <c r="U568" s="30">
        <f t="shared" si="161"/>
        <v>39.111399999999996</v>
      </c>
      <c r="V568" s="30">
        <f t="shared" si="162"/>
        <v>6.5810199999999996</v>
      </c>
      <c r="W568" s="30">
        <f t="shared" si="163"/>
        <v>119.23121999999999</v>
      </c>
      <c r="X568" s="30">
        <f t="shared" si="164"/>
        <v>7153.8731999999991</v>
      </c>
      <c r="Z568" s="23" t="s">
        <v>76</v>
      </c>
      <c r="AA568" s="40">
        <f>IF(C568="Electricity",E568*SUMIFS(Electricity!S:S,Electricity!P:P,UserMade_Scenario!B568,Electricity!M:M,UserMade_Scenario!Z568,Electricity!O:O,UserMade_Scenario!D568),"")</f>
        <v>29913218.138758041</v>
      </c>
      <c r="AB568" s="76">
        <f>1/Assumptions!$B$23/1000000000000</f>
        <v>3.5998225679871703E-9</v>
      </c>
      <c r="AC568" s="67" t="s">
        <v>82</v>
      </c>
      <c r="AD568" s="69">
        <f>INDEX(Table11[AVG
CO2e MT per MWh],MATCH(UserMade_Scenario!$B568,Table11[[Year]:[Year]],0))</f>
        <v>-5.9551897999999888E-2</v>
      </c>
      <c r="AE568" s="69">
        <f>INDEX(Table11[MIN
CO2e MT per MWh],MATCH(UserMade_Scenario!$B568,Table11[[Year]:[Year]],0))</f>
        <v>-2.8894788000000095E-2</v>
      </c>
      <c r="AF568" s="69">
        <f>INDEX(Table11[MAX CO2e MT per MWh],MATCH(UserMade_Scenario!$B568,Table11[[Year]:[Year]],0))</f>
        <v>-9.0209006999999994E-2</v>
      </c>
      <c r="AG568" s="68">
        <f>IFERROR(INDEX(WaterUseH2[Average Direct Water Consumption (Gal/ kg h2)],MATCH(LEFT(D568,3),WaterUseH2[Key],0)),0)</f>
        <v>0</v>
      </c>
      <c r="AH568">
        <v>14</v>
      </c>
      <c r="AI568">
        <v>1.4</v>
      </c>
      <c r="AJ568">
        <v>250</v>
      </c>
      <c r="AK568">
        <v>0.31</v>
      </c>
      <c r="AL568" s="63">
        <f>IFERROR(INDEX(Job_Training[[Solar]:[Wind]],MATCH(AL$1,Job_Training[[`Typical Entry Level Education`]:[`Typical Entry Level Education`]],0),MATCH(LEFT($D568,5),Job_Training[[#Headers],[Solar]:[Wind]],0)),0)</f>
        <v>3.4599999999999999E-2</v>
      </c>
      <c r="AM568" s="63">
        <f>IFERROR(INDEX(Job_Training[[Solar]:[Wind]],MATCH(AM$1,Job_Training[[`Typical Entry Level Education`]:[`Typical Entry Level Education`]],0),MATCH(LEFT($D568,5),Job_Training[[#Headers],[Solar]:[Wind]],0)),0)</f>
        <v>2.8199999999999999E-2</v>
      </c>
      <c r="AN568" s="63">
        <f>IFERROR(INDEX(Job_Training[[Solar]:[Wind]],MATCH(AN$1,Job_Training[[`Typical Entry Level Education`]:[`Typical Entry Level Education`]],0),MATCH(LEFT($D568,5),Job_Training[[#Headers],[Solar]:[Wind]],0)),0)</f>
        <v>3.3399999999999999E-2</v>
      </c>
      <c r="AO568" s="63">
        <f>IFERROR(INDEX(Job_Training[[Solar]:[Wind]],MATCH(AO$1,Job_Training[[`Typical Entry Level Education`]:[`Typical Entry Level Education`]],0),MATCH(LEFT($D568,5),Job_Training[[#Headers],[Solar]:[Wind]],0)),0)</f>
        <v>5.62E-3</v>
      </c>
      <c r="AP568">
        <f t="shared" si="165"/>
        <v>1171</v>
      </c>
      <c r="AQ568" s="63">
        <f>IF(AP568&gt;0,IFERROR(INDEX(Assumptions!$C$165:$D$165,MATCH(LEFT($D568,5),Job_Training[[#Headers],[Solar]:[Wind]],0)),0),0)</f>
        <v>0.10181999999999999</v>
      </c>
      <c r="AR568">
        <f>IF(AP568&gt;0,IFERROR(INDEX(Assumptions!$C$166:$D$166,MATCH(LEFT($D568,5),Job_Training[[#Headers],[Solar]:[Wind]],0)),0),0)</f>
        <v>6.1091999999999995</v>
      </c>
    </row>
    <row r="569" spans="1:44" hidden="1" x14ac:dyDescent="0.35">
      <c r="A569" t="str">
        <f>UserInput!$B$56</f>
        <v>Max Buildout</v>
      </c>
      <c r="B569">
        <v>2025</v>
      </c>
      <c r="C569" t="s">
        <v>41</v>
      </c>
      <c r="D569" t="s">
        <v>83</v>
      </c>
      <c r="E569" s="66">
        <f>INDEX(UserInput!$C$56:$M$76,MATCH(UserMade_Scenario!B569,UserInput!$A$56:$A$76,0),MATCH(LEFT(IF(RIGHT(C569,2)="H2",UserMade_Scenario!C569,D569),3),UserInput!$C$25:$M$25,0))</f>
        <v>99</v>
      </c>
      <c r="F569" t="s">
        <v>81</v>
      </c>
      <c r="G569" s="14">
        <f t="shared" si="166"/>
        <v>8.9195705339215775E-4</v>
      </c>
      <c r="H569" s="63">
        <f t="shared" si="156"/>
        <v>3.568756867911406E-2</v>
      </c>
      <c r="I569" s="63">
        <f t="shared" si="157"/>
        <v>3.2719125324186867E-2</v>
      </c>
      <c r="J569" s="63">
        <f t="shared" si="158"/>
        <v>3.8656011786263191E-2</v>
      </c>
      <c r="K569" s="30">
        <f>IF(OR(LEFT($D569,5)="Solar",$D569="Wind"),INDEX(Land_Use[AVG],MATCH(LEFT($D569,5),Land_Use[Tech],0)),0)*$E569</f>
        <v>247.5</v>
      </c>
      <c r="L569" s="30">
        <f>IF(OR(LEFT($D569,5)="Solar",$D569="Wind"),INDEX(Land_Use[MIN],MATCH(LEFT($D569,5),Land_Use[Tech],0)),0)*$E569</f>
        <v>79.2</v>
      </c>
      <c r="M569" s="30">
        <f>IF(OR(LEFT($D569,5)="Solar",$D569="Wind"),INDEX(Land_Use[MAX],MATCH(LEFT($D569,5),Land_Use[Tech],0)),0)*$E569</f>
        <v>415.8</v>
      </c>
      <c r="N569" s="15">
        <f t="shared" si="167"/>
        <v>0</v>
      </c>
      <c r="O569" s="11">
        <f t="shared" si="168"/>
        <v>3465</v>
      </c>
      <c r="P569" s="11">
        <f t="shared" si="169"/>
        <v>346.5</v>
      </c>
      <c r="Q569" s="11">
        <f t="shared" si="170"/>
        <v>61875</v>
      </c>
      <c r="R569" s="11">
        <f t="shared" si="171"/>
        <v>76.724999999999994</v>
      </c>
      <c r="S569" s="30">
        <f t="shared" si="159"/>
        <v>2.3363999999999998</v>
      </c>
      <c r="T569" s="30">
        <f t="shared" si="160"/>
        <v>4.0491000000000001</v>
      </c>
      <c r="U569" s="30">
        <f t="shared" si="161"/>
        <v>1.98</v>
      </c>
      <c r="V569" s="30">
        <f t="shared" si="162"/>
        <v>0.11187</v>
      </c>
      <c r="W569" s="30">
        <f t="shared" si="163"/>
        <v>8.4773700000000005</v>
      </c>
      <c r="X569" s="30">
        <f t="shared" si="164"/>
        <v>67.818960000000004</v>
      </c>
      <c r="Z569" s="23" t="s">
        <v>76</v>
      </c>
      <c r="AA569" s="40">
        <f>IF(C569="Electricity",E569*SUMIFS(Electricity!S:S,Electricity!P:P,UserMade_Scenario!B569,Electricity!M:M,UserMade_Scenario!Z569,Electricity!O:O,UserMade_Scenario!D569),"")</f>
        <v>247778.06032003759</v>
      </c>
      <c r="AB569" s="76">
        <f>1/Assumptions!$B$23/1000000000000</f>
        <v>3.5998225679871703E-9</v>
      </c>
      <c r="AC569" s="67" t="s">
        <v>82</v>
      </c>
      <c r="AD569" s="69">
        <f>INDEX(Table11[AVG
CO2e MT per MWh],MATCH(UserMade_Scenario!$B569,Table11[[Year]:[Year]],0))</f>
        <v>-0.14403038200000001</v>
      </c>
      <c r="AE569" s="69">
        <f>INDEX(Table11[MIN
CO2e MT per MWh],MATCH(UserMade_Scenario!$B569,Table11[[Year]:[Year]],0))</f>
        <v>-0.13205013099999999</v>
      </c>
      <c r="AF569" s="69">
        <f>INDEX(Table11[MAX CO2e MT per MWh],MATCH(UserMade_Scenario!$B569,Table11[[Year]:[Year]],0))</f>
        <v>-0.15601063200000001</v>
      </c>
      <c r="AG569" s="68">
        <f>IFERROR(INDEX(WaterUseH2[Average Direct Water Consumption (Gal/ kg h2)],MATCH(LEFT(D569,3),WaterUseH2[Key],0)),0)</f>
        <v>0</v>
      </c>
      <c r="AH569">
        <v>14</v>
      </c>
      <c r="AI569">
        <v>1.4</v>
      </c>
      <c r="AJ569">
        <v>250</v>
      </c>
      <c r="AK569">
        <v>0.31</v>
      </c>
      <c r="AL569" s="63">
        <f>IFERROR(INDEX(Job_Training[[Solar]:[Wind]],MATCH(AL$1,Job_Training[[`Typical Entry Level Education`]:[`Typical Entry Level Education`]],0),MATCH(LEFT($D569,5),Job_Training[[#Headers],[Solar]:[Wind]],0)),0)</f>
        <v>2.3599999999999999E-2</v>
      </c>
      <c r="AM569" s="63">
        <f>IFERROR(INDEX(Job_Training[[Solar]:[Wind]],MATCH(AM$1,Job_Training[[`Typical Entry Level Education`]:[`Typical Entry Level Education`]],0),MATCH(LEFT($D569,5),Job_Training[[#Headers],[Solar]:[Wind]],0)),0)</f>
        <v>4.0899999999999999E-2</v>
      </c>
      <c r="AN569" s="63">
        <f>IFERROR(INDEX(Job_Training[[Solar]:[Wind]],MATCH(AN$1,Job_Training[[`Typical Entry Level Education`]:[`Typical Entry Level Education`]],0),MATCH(LEFT($D569,5),Job_Training[[#Headers],[Solar]:[Wind]],0)),0)</f>
        <v>0.02</v>
      </c>
      <c r="AO569" s="63">
        <f>IFERROR(INDEX(Job_Training[[Solar]:[Wind]],MATCH(AO$1,Job_Training[[`Typical Entry Level Education`]:[`Typical Entry Level Education`]],0),MATCH(LEFT($D569,5),Job_Training[[#Headers],[Solar]:[Wind]],0)),0)</f>
        <v>1.1299999999999999E-3</v>
      </c>
      <c r="AP569">
        <f t="shared" si="165"/>
        <v>99</v>
      </c>
      <c r="AQ569" s="63">
        <f>IF(AP569&gt;0,IFERROR(INDEX(Assumptions!$C$165:$D$165,MATCH(LEFT($D569,5),Job_Training[[#Headers],[Solar]:[Wind]],0)),0),0)</f>
        <v>8.5630000000000012E-2</v>
      </c>
      <c r="AR569">
        <f>IF(AP569&gt;0,IFERROR(INDEX(Assumptions!$C$166:$D$166,MATCH(LEFT($D569,5),Job_Training[[#Headers],[Solar]:[Wind]],0)),0),0)</f>
        <v>0.68504000000000009</v>
      </c>
    </row>
    <row r="570" spans="1:44" hidden="1" x14ac:dyDescent="0.35">
      <c r="A570" t="str">
        <f>UserInput!$B$56</f>
        <v>Max Buildout</v>
      </c>
      <c r="B570">
        <v>2026</v>
      </c>
      <c r="C570" t="s">
        <v>41</v>
      </c>
      <c r="D570" t="s">
        <v>83</v>
      </c>
      <c r="E570" s="66">
        <f>INDEX(UserInput!$C$56:$M$76,MATCH(UserMade_Scenario!B570,UserInput!$A$56:$A$76,0),MATCH(LEFT(IF(RIGHT(C570,2)="H2",UserMade_Scenario!C570,D570),3),UserInput!$C$25:$M$25,0))</f>
        <v>212</v>
      </c>
      <c r="F570" t="s">
        <v>81</v>
      </c>
      <c r="G570" s="14">
        <f t="shared" si="166"/>
        <v>1.8947544793857763E-3</v>
      </c>
      <c r="H570" s="63">
        <f t="shared" si="156"/>
        <v>7.3586657997904037E-2</v>
      </c>
      <c r="I570" s="63">
        <f t="shared" si="157"/>
        <v>6.6789368160184881E-2</v>
      </c>
      <c r="J570" s="63">
        <f t="shared" si="158"/>
        <v>8.038394730927656E-2</v>
      </c>
      <c r="K570" s="30">
        <f>IF(OR(LEFT($D570,5)="Solar",$D570="Wind"),INDEX(Land_Use[AVG],MATCH(LEFT($D570,5),Land_Use[Tech],0)),0)*$E570</f>
        <v>530</v>
      </c>
      <c r="L570" s="30">
        <f>IF(OR(LEFT($D570,5)="Solar",$D570="Wind"),INDEX(Land_Use[MIN],MATCH(LEFT($D570,5),Land_Use[Tech],0)),0)*$E570</f>
        <v>169.60000000000002</v>
      </c>
      <c r="M570" s="30">
        <f>IF(OR(LEFT($D570,5)="Solar",$D570="Wind"),INDEX(Land_Use[MAX],MATCH(LEFT($D570,5),Land_Use[Tech],0)),0)*$E570</f>
        <v>890.40000000000009</v>
      </c>
      <c r="N570" s="15">
        <f t="shared" si="167"/>
        <v>0</v>
      </c>
      <c r="O570" s="11">
        <f t="shared" si="168"/>
        <v>7420</v>
      </c>
      <c r="P570" s="11">
        <f t="shared" si="169"/>
        <v>742</v>
      </c>
      <c r="Q570" s="11">
        <f t="shared" si="170"/>
        <v>132500</v>
      </c>
      <c r="R570" s="11">
        <f t="shared" si="171"/>
        <v>164.3</v>
      </c>
      <c r="S570" s="30">
        <f t="shared" si="159"/>
        <v>2.6667999999999998</v>
      </c>
      <c r="T570" s="30">
        <f t="shared" si="160"/>
        <v>4.6216999999999997</v>
      </c>
      <c r="U570" s="30">
        <f t="shared" si="161"/>
        <v>2.2600000000000002</v>
      </c>
      <c r="V570" s="30">
        <f t="shared" si="162"/>
        <v>0.12769</v>
      </c>
      <c r="W570" s="30">
        <f t="shared" si="163"/>
        <v>9.6761900000000018</v>
      </c>
      <c r="X570" s="30">
        <f t="shared" si="164"/>
        <v>77.409520000000015</v>
      </c>
      <c r="Z570" s="23" t="s">
        <v>76</v>
      </c>
      <c r="AA570" s="40">
        <f>IF(C570="Electricity",E570*SUMIFS(Electricity!S:S,Electricity!P:P,UserMade_Scenario!B570,Electricity!M:M,UserMade_Scenario!Z570,Electricity!O:O,UserMade_Scenario!D570),"")</f>
        <v>526346.63059108006</v>
      </c>
      <c r="AB570" s="76">
        <f>1/Assumptions!$B$23/1000000000000</f>
        <v>3.5998225679871703E-9</v>
      </c>
      <c r="AC570" s="67" t="s">
        <v>82</v>
      </c>
      <c r="AD570" s="69">
        <f>INDEX(Table11[AVG
CO2e MT per MWh],MATCH(UserMade_Scenario!$B570,Table11[[Year]:[Year]],0))</f>
        <v>-0.13980645780000001</v>
      </c>
      <c r="AE570" s="69">
        <f>INDEX(Table11[MIN
CO2e MT per MWh],MATCH(UserMade_Scenario!$B570,Table11[[Year]:[Year]],0))</f>
        <v>-0.12689236385</v>
      </c>
      <c r="AF570" s="69">
        <f>INDEX(Table11[MAX CO2e MT per MWh],MATCH(UserMade_Scenario!$B570,Table11[[Year]:[Year]],0))</f>
        <v>-0.15272055075000002</v>
      </c>
      <c r="AG570" s="68">
        <f>IFERROR(INDEX(WaterUseH2[Average Direct Water Consumption (Gal/ kg h2)],MATCH(LEFT(D570,3),WaterUseH2[Key],0)),0)</f>
        <v>0</v>
      </c>
      <c r="AH570">
        <v>14</v>
      </c>
      <c r="AI570">
        <v>1.4</v>
      </c>
      <c r="AJ570">
        <v>250</v>
      </c>
      <c r="AK570">
        <v>0.31</v>
      </c>
      <c r="AL570" s="63">
        <f>IFERROR(INDEX(Job_Training[[Solar]:[Wind]],MATCH(AL$1,Job_Training[[`Typical Entry Level Education`]:[`Typical Entry Level Education`]],0),MATCH(LEFT($D570,5),Job_Training[[#Headers],[Solar]:[Wind]],0)),0)</f>
        <v>2.3599999999999999E-2</v>
      </c>
      <c r="AM570" s="63">
        <f>IFERROR(INDEX(Job_Training[[Solar]:[Wind]],MATCH(AM$1,Job_Training[[`Typical Entry Level Education`]:[`Typical Entry Level Education`]],0),MATCH(LEFT($D570,5),Job_Training[[#Headers],[Solar]:[Wind]],0)),0)</f>
        <v>4.0899999999999999E-2</v>
      </c>
      <c r="AN570" s="63">
        <f>IFERROR(INDEX(Job_Training[[Solar]:[Wind]],MATCH(AN$1,Job_Training[[`Typical Entry Level Education`]:[`Typical Entry Level Education`]],0),MATCH(LEFT($D570,5),Job_Training[[#Headers],[Solar]:[Wind]],0)),0)</f>
        <v>0.02</v>
      </c>
      <c r="AO570" s="63">
        <f>IFERROR(INDEX(Job_Training[[Solar]:[Wind]],MATCH(AO$1,Job_Training[[`Typical Entry Level Education`]:[`Typical Entry Level Education`]],0),MATCH(LEFT($D570,5),Job_Training[[#Headers],[Solar]:[Wind]],0)),0)</f>
        <v>1.1299999999999999E-3</v>
      </c>
      <c r="AP570">
        <f t="shared" si="165"/>
        <v>113</v>
      </c>
      <c r="AQ570" s="63">
        <f>IF(AP570&gt;0,IFERROR(INDEX(Assumptions!$C$165:$D$165,MATCH(LEFT($D570,5),Job_Training[[#Headers],[Solar]:[Wind]],0)),0),0)</f>
        <v>8.5630000000000012E-2</v>
      </c>
      <c r="AR570">
        <f>IF(AP570&gt;0,IFERROR(INDEX(Assumptions!$C$166:$D$166,MATCH(LEFT($D570,5),Job_Training[[#Headers],[Solar]:[Wind]],0)),0),0)</f>
        <v>0.68504000000000009</v>
      </c>
    </row>
    <row r="571" spans="1:44" hidden="1" x14ac:dyDescent="0.35">
      <c r="A571" t="str">
        <f>UserInput!$B$56</f>
        <v>Max Buildout</v>
      </c>
      <c r="B571">
        <v>2027</v>
      </c>
      <c r="C571" t="s">
        <v>41</v>
      </c>
      <c r="D571" t="s">
        <v>83</v>
      </c>
      <c r="E571" s="66">
        <f>INDEX(UserInput!$C$56:$M$76,MATCH(UserMade_Scenario!B571,UserInput!$A$56:$A$76,0),MATCH(LEFT(IF(RIGHT(C571,2)="H2",UserMade_Scenario!C571,D571),3),UserInput!$C$25:$M$25,0))</f>
        <v>325</v>
      </c>
      <c r="F571" t="s">
        <v>81</v>
      </c>
      <c r="G571" s="14">
        <f t="shared" si="166"/>
        <v>2.8812468920218714E-3</v>
      </c>
      <c r="H571" s="63">
        <f t="shared" ref="H571:H634" si="172">IF($C571="Electricity",$AA571/1000000,$G571)*AD571*-1</f>
        <v>0.10851833560393502</v>
      </c>
      <c r="I571" s="63">
        <f t="shared" ref="I571:I634" si="173">IF($C571="Electricity",$AA571/1000000,$G571)*AE571*-1</f>
        <v>9.7434643449532649E-2</v>
      </c>
      <c r="J571" s="63">
        <f t="shared" ref="J571:J634" si="174">IF($C571="Electricity",$AA571/1000000,$G571)*AF571*-1</f>
        <v>0.11960202695795161</v>
      </c>
      <c r="K571" s="30">
        <f>IF(OR(LEFT($D571,5)="Solar",$D571="Wind"),INDEX(Land_Use[AVG],MATCH(LEFT($D571,5),Land_Use[Tech],0)),0)*$E571</f>
        <v>812.5</v>
      </c>
      <c r="L571" s="30">
        <f>IF(OR(LEFT($D571,5)="Solar",$D571="Wind"),INDEX(Land_Use[MIN],MATCH(LEFT($D571,5),Land_Use[Tech],0)),0)*$E571</f>
        <v>260</v>
      </c>
      <c r="M571" s="30">
        <f>IF(OR(LEFT($D571,5)="Solar",$D571="Wind"),INDEX(Land_Use[MAX],MATCH(LEFT($D571,5),Land_Use[Tech],0)),0)*$E571</f>
        <v>1365</v>
      </c>
      <c r="N571" s="15">
        <f t="shared" si="167"/>
        <v>0</v>
      </c>
      <c r="O571" s="11">
        <f t="shared" si="168"/>
        <v>11375</v>
      </c>
      <c r="P571" s="11">
        <f t="shared" si="169"/>
        <v>1137.5</v>
      </c>
      <c r="Q571" s="11">
        <f t="shared" si="170"/>
        <v>203125</v>
      </c>
      <c r="R571" s="11">
        <f t="shared" si="171"/>
        <v>251.875</v>
      </c>
      <c r="S571" s="30">
        <f t="shared" si="159"/>
        <v>2.6667999999999998</v>
      </c>
      <c r="T571" s="30">
        <f t="shared" si="160"/>
        <v>4.6216999999999997</v>
      </c>
      <c r="U571" s="30">
        <f t="shared" si="161"/>
        <v>2.2600000000000002</v>
      </c>
      <c r="V571" s="30">
        <f t="shared" si="162"/>
        <v>0.12769</v>
      </c>
      <c r="W571" s="30">
        <f t="shared" si="163"/>
        <v>9.6761900000000018</v>
      </c>
      <c r="X571" s="30">
        <f t="shared" si="164"/>
        <v>77.409520000000015</v>
      </c>
      <c r="Z571" s="23" t="s">
        <v>76</v>
      </c>
      <c r="AA571" s="40">
        <f>IF(C571="Electricity",E571*SUMIFS(Electricity!S:S,Electricity!P:P,UserMade_Scenario!B571,Electricity!M:M,UserMade_Scenario!Z571,Electricity!O:O,UserMade_Scenario!D571),"")</f>
        <v>800385.80724630319</v>
      </c>
      <c r="AB571" s="76">
        <f>1/Assumptions!$B$23/1000000000000</f>
        <v>3.5998225679871703E-9</v>
      </c>
      <c r="AC571" s="67" t="s">
        <v>82</v>
      </c>
      <c r="AD571" s="69">
        <f>INDEX(Table11[AVG
CO2e MT per MWh],MATCH(UserMade_Scenario!$B571,Table11[[Year]:[Year]],0))</f>
        <v>-0.1355825336</v>
      </c>
      <c r="AE571" s="69">
        <f>INDEX(Table11[MIN
CO2e MT per MWh],MATCH(UserMade_Scenario!$B571,Table11[[Year]:[Year]],0))</f>
        <v>-0.1217345967</v>
      </c>
      <c r="AF571" s="69">
        <f>INDEX(Table11[MAX CO2e MT per MWh],MATCH(UserMade_Scenario!$B571,Table11[[Year]:[Year]],0))</f>
        <v>-0.14943046950000002</v>
      </c>
      <c r="AG571" s="68">
        <f>IFERROR(INDEX(WaterUseH2[Average Direct Water Consumption (Gal/ kg h2)],MATCH(LEFT(D571,3),WaterUseH2[Key],0)),0)</f>
        <v>0</v>
      </c>
      <c r="AH571">
        <v>14</v>
      </c>
      <c r="AI571">
        <v>1.4</v>
      </c>
      <c r="AJ571">
        <v>250</v>
      </c>
      <c r="AK571">
        <v>0.31</v>
      </c>
      <c r="AL571" s="63">
        <f>IFERROR(INDEX(Job_Training[[Solar]:[Wind]],MATCH(AL$1,Job_Training[[`Typical Entry Level Education`]:[`Typical Entry Level Education`]],0),MATCH(LEFT($D571,5),Job_Training[[#Headers],[Solar]:[Wind]],0)),0)</f>
        <v>2.3599999999999999E-2</v>
      </c>
      <c r="AM571" s="63">
        <f>IFERROR(INDEX(Job_Training[[Solar]:[Wind]],MATCH(AM$1,Job_Training[[`Typical Entry Level Education`]:[`Typical Entry Level Education`]],0),MATCH(LEFT($D571,5),Job_Training[[#Headers],[Solar]:[Wind]],0)),0)</f>
        <v>4.0899999999999999E-2</v>
      </c>
      <c r="AN571" s="63">
        <f>IFERROR(INDEX(Job_Training[[Solar]:[Wind]],MATCH(AN$1,Job_Training[[`Typical Entry Level Education`]:[`Typical Entry Level Education`]],0),MATCH(LEFT($D571,5),Job_Training[[#Headers],[Solar]:[Wind]],0)),0)</f>
        <v>0.02</v>
      </c>
      <c r="AO571" s="63">
        <f>IFERROR(INDEX(Job_Training[[Solar]:[Wind]],MATCH(AO$1,Job_Training[[`Typical Entry Level Education`]:[`Typical Entry Level Education`]],0),MATCH(LEFT($D571,5),Job_Training[[#Headers],[Solar]:[Wind]],0)),0)</f>
        <v>1.1299999999999999E-3</v>
      </c>
      <c r="AP571">
        <f t="shared" si="165"/>
        <v>113</v>
      </c>
      <c r="AQ571" s="63">
        <f>IF(AP571&gt;0,IFERROR(INDEX(Assumptions!$C$165:$D$165,MATCH(LEFT($D571,5),Job_Training[[#Headers],[Solar]:[Wind]],0)),0),0)</f>
        <v>8.5630000000000012E-2</v>
      </c>
      <c r="AR571">
        <f>IF(AP571&gt;0,IFERROR(INDEX(Assumptions!$C$166:$D$166,MATCH(LEFT($D571,5),Job_Training[[#Headers],[Solar]:[Wind]],0)),0),0)</f>
        <v>0.68504000000000009</v>
      </c>
    </row>
    <row r="572" spans="1:44" hidden="1" x14ac:dyDescent="0.35">
      <c r="A572" t="str">
        <f>UserInput!$B$56</f>
        <v>Max Buildout</v>
      </c>
      <c r="B572">
        <v>2028</v>
      </c>
      <c r="C572" t="s">
        <v>41</v>
      </c>
      <c r="D572" t="s">
        <v>83</v>
      </c>
      <c r="E572" s="66">
        <f>INDEX(UserInput!$C$56:$M$76,MATCH(UserMade_Scenario!B572,UserInput!$A$56:$A$76,0),MATCH(LEFT(IF(RIGHT(C572,2)="H2",UserMade_Scenario!C572,D572),3),UserInput!$C$25:$M$25,0))</f>
        <v>438</v>
      </c>
      <c r="F572" t="s">
        <v>81</v>
      </c>
      <c r="G572" s="14">
        <f t="shared" si="166"/>
        <v>3.8514342913004433E-3</v>
      </c>
      <c r="H572" s="63">
        <f t="shared" si="172"/>
        <v>0.14053999694312261</v>
      </c>
      <c r="I572" s="63">
        <f t="shared" si="173"/>
        <v>0.12472503586503352</v>
      </c>
      <c r="J572" s="63">
        <f t="shared" si="174"/>
        <v>0.15635495695131618</v>
      </c>
      <c r="K572" s="30">
        <f>IF(OR(LEFT($D572,5)="Solar",$D572="Wind"),INDEX(Land_Use[AVG],MATCH(LEFT($D572,5),Land_Use[Tech],0)),0)*$E572</f>
        <v>1095</v>
      </c>
      <c r="L572" s="30">
        <f>IF(OR(LEFT($D572,5)="Solar",$D572="Wind"),INDEX(Land_Use[MIN],MATCH(LEFT($D572,5),Land_Use[Tech],0)),0)*$E572</f>
        <v>350.40000000000003</v>
      </c>
      <c r="M572" s="30">
        <f>IF(OR(LEFT($D572,5)="Solar",$D572="Wind"),INDEX(Land_Use[MAX],MATCH(LEFT($D572,5),Land_Use[Tech],0)),0)*$E572</f>
        <v>1839.6000000000001</v>
      </c>
      <c r="N572" s="15">
        <f t="shared" si="167"/>
        <v>0</v>
      </c>
      <c r="O572" s="11">
        <f t="shared" si="168"/>
        <v>15330</v>
      </c>
      <c r="P572" s="11">
        <f t="shared" si="169"/>
        <v>1533</v>
      </c>
      <c r="Q572" s="11">
        <f t="shared" si="170"/>
        <v>273750</v>
      </c>
      <c r="R572" s="11">
        <f t="shared" si="171"/>
        <v>339.45</v>
      </c>
      <c r="S572" s="30">
        <f t="shared" si="159"/>
        <v>2.6667999999999998</v>
      </c>
      <c r="T572" s="30">
        <f t="shared" si="160"/>
        <v>4.6216999999999997</v>
      </c>
      <c r="U572" s="30">
        <f t="shared" si="161"/>
        <v>2.2600000000000002</v>
      </c>
      <c r="V572" s="30">
        <f t="shared" si="162"/>
        <v>0.12769</v>
      </c>
      <c r="W572" s="30">
        <f t="shared" si="163"/>
        <v>9.6761900000000018</v>
      </c>
      <c r="X572" s="30">
        <f t="shared" si="164"/>
        <v>77.409520000000015</v>
      </c>
      <c r="Z572" s="23" t="s">
        <v>76</v>
      </c>
      <c r="AA572" s="40">
        <f>IF(C572="Electricity",E572*SUMIFS(Electricity!S:S,Electricity!P:P,UserMade_Scenario!B572,Electricity!M:M,UserMade_Scenario!Z572,Electricity!O:O,UserMade_Scenario!D572),"")</f>
        <v>1069895.590285707</v>
      </c>
      <c r="AB572" s="76">
        <f>1/Assumptions!$B$23/1000000000000</f>
        <v>3.5998225679871703E-9</v>
      </c>
      <c r="AC572" s="67" t="s">
        <v>82</v>
      </c>
      <c r="AD572" s="69">
        <f>INDEX(Table11[AVG
CO2e MT per MWh],MATCH(UserMade_Scenario!$B572,Table11[[Year]:[Year]],0))</f>
        <v>-0.13135860939999999</v>
      </c>
      <c r="AE572" s="69">
        <f>INDEX(Table11[MIN
CO2e MT per MWh],MATCH(UserMade_Scenario!$B572,Table11[[Year]:[Year]],0))</f>
        <v>-0.11657682955000001</v>
      </c>
      <c r="AF572" s="69">
        <f>INDEX(Table11[MAX CO2e MT per MWh],MATCH(UserMade_Scenario!$B572,Table11[[Year]:[Year]],0))</f>
        <v>-0.14614038825000003</v>
      </c>
      <c r="AG572" s="68">
        <f>IFERROR(INDEX(WaterUseH2[Average Direct Water Consumption (Gal/ kg h2)],MATCH(LEFT(D572,3),WaterUseH2[Key],0)),0)</f>
        <v>0</v>
      </c>
      <c r="AH572">
        <v>14</v>
      </c>
      <c r="AI572">
        <v>1.4</v>
      </c>
      <c r="AJ572">
        <v>250</v>
      </c>
      <c r="AK572">
        <v>0.31</v>
      </c>
      <c r="AL572" s="63">
        <f>IFERROR(INDEX(Job_Training[[Solar]:[Wind]],MATCH(AL$1,Job_Training[[`Typical Entry Level Education`]:[`Typical Entry Level Education`]],0),MATCH(LEFT($D572,5),Job_Training[[#Headers],[Solar]:[Wind]],0)),0)</f>
        <v>2.3599999999999999E-2</v>
      </c>
      <c r="AM572" s="63">
        <f>IFERROR(INDEX(Job_Training[[Solar]:[Wind]],MATCH(AM$1,Job_Training[[`Typical Entry Level Education`]:[`Typical Entry Level Education`]],0),MATCH(LEFT($D572,5),Job_Training[[#Headers],[Solar]:[Wind]],0)),0)</f>
        <v>4.0899999999999999E-2</v>
      </c>
      <c r="AN572" s="63">
        <f>IFERROR(INDEX(Job_Training[[Solar]:[Wind]],MATCH(AN$1,Job_Training[[`Typical Entry Level Education`]:[`Typical Entry Level Education`]],0),MATCH(LEFT($D572,5),Job_Training[[#Headers],[Solar]:[Wind]],0)),0)</f>
        <v>0.02</v>
      </c>
      <c r="AO572" s="63">
        <f>IFERROR(INDEX(Job_Training[[Solar]:[Wind]],MATCH(AO$1,Job_Training[[`Typical Entry Level Education`]:[`Typical Entry Level Education`]],0),MATCH(LEFT($D572,5),Job_Training[[#Headers],[Solar]:[Wind]],0)),0)</f>
        <v>1.1299999999999999E-3</v>
      </c>
      <c r="AP572">
        <f t="shared" si="165"/>
        <v>113</v>
      </c>
      <c r="AQ572" s="63">
        <f>IF(AP572&gt;0,IFERROR(INDEX(Assumptions!$C$165:$D$165,MATCH(LEFT($D572,5),Job_Training[[#Headers],[Solar]:[Wind]],0)),0),0)</f>
        <v>8.5630000000000012E-2</v>
      </c>
      <c r="AR572">
        <f>IF(AP572&gt;0,IFERROR(INDEX(Assumptions!$C$166:$D$166,MATCH(LEFT($D572,5),Job_Training[[#Headers],[Solar]:[Wind]],0)),0),0)</f>
        <v>0.68504000000000009</v>
      </c>
    </row>
    <row r="573" spans="1:44" hidden="1" x14ac:dyDescent="0.35">
      <c r="A573" t="str">
        <f>UserInput!$B$56</f>
        <v>Max Buildout</v>
      </c>
      <c r="B573">
        <v>2029</v>
      </c>
      <c r="C573" t="s">
        <v>41</v>
      </c>
      <c r="D573" t="s">
        <v>83</v>
      </c>
      <c r="E573" s="66">
        <f>INDEX(UserInput!$C$56:$M$76,MATCH(UserMade_Scenario!B573,UserInput!$A$56:$A$76,0),MATCH(LEFT(IF(RIGHT(C573,2)="H2",UserMade_Scenario!C573,D573),3),UserInput!$C$25:$M$25,0))</f>
        <v>551</v>
      </c>
      <c r="F573" t="s">
        <v>81</v>
      </c>
      <c r="G573" s="14">
        <f t="shared" si="166"/>
        <v>4.8053166772214911E-3</v>
      </c>
      <c r="H573" s="63">
        <f t="shared" si="172"/>
        <v>0.16970903746138233</v>
      </c>
      <c r="I573" s="63">
        <f t="shared" si="173"/>
        <v>0.14873063007949069</v>
      </c>
      <c r="J573" s="63">
        <f t="shared" si="174"/>
        <v>0.19068744350839809</v>
      </c>
      <c r="K573" s="30">
        <f>IF(OR(LEFT($D573,5)="Solar",$D573="Wind"),INDEX(Land_Use[AVG],MATCH(LEFT($D573,5),Land_Use[Tech],0)),0)*$E573</f>
        <v>1377.5</v>
      </c>
      <c r="L573" s="30">
        <f>IF(OR(LEFT($D573,5)="Solar",$D573="Wind"),INDEX(Land_Use[MIN],MATCH(LEFT($D573,5),Land_Use[Tech],0)),0)*$E573</f>
        <v>440.8</v>
      </c>
      <c r="M573" s="30">
        <f>IF(OR(LEFT($D573,5)="Solar",$D573="Wind"),INDEX(Land_Use[MAX],MATCH(LEFT($D573,5),Land_Use[Tech],0)),0)*$E573</f>
        <v>2314.2000000000003</v>
      </c>
      <c r="N573" s="15">
        <f t="shared" si="167"/>
        <v>0</v>
      </c>
      <c r="O573" s="11">
        <f t="shared" si="168"/>
        <v>19285</v>
      </c>
      <c r="P573" s="11">
        <f t="shared" si="169"/>
        <v>1928.4999999999998</v>
      </c>
      <c r="Q573" s="11">
        <f t="shared" si="170"/>
        <v>344375</v>
      </c>
      <c r="R573" s="11">
        <f t="shared" si="171"/>
        <v>427.02499999999998</v>
      </c>
      <c r="S573" s="30">
        <f t="shared" si="159"/>
        <v>2.6667999999999998</v>
      </c>
      <c r="T573" s="30">
        <f t="shared" si="160"/>
        <v>4.6216999999999997</v>
      </c>
      <c r="U573" s="30">
        <f t="shared" si="161"/>
        <v>2.2600000000000002</v>
      </c>
      <c r="V573" s="30">
        <f t="shared" si="162"/>
        <v>0.12769</v>
      </c>
      <c r="W573" s="30">
        <f t="shared" si="163"/>
        <v>9.6761900000000018</v>
      </c>
      <c r="X573" s="30">
        <f t="shared" si="164"/>
        <v>77.409520000000015</v>
      </c>
      <c r="Z573" s="23" t="s">
        <v>76</v>
      </c>
      <c r="AA573" s="40">
        <f>IF(C573="Electricity",E573*SUMIFS(Electricity!S:S,Electricity!P:P,UserMade_Scenario!B573,Electricity!M:M,UserMade_Scenario!Z573,Electricity!O:O,UserMade_Scenario!D573),"")</f>
        <v>1334875.9797092914</v>
      </c>
      <c r="AB573" s="76">
        <f>1/Assumptions!$B$23/1000000000000</f>
        <v>3.5998225679871703E-9</v>
      </c>
      <c r="AC573" s="67" t="s">
        <v>82</v>
      </c>
      <c r="AD573" s="69">
        <f>INDEX(Table11[AVG
CO2e MT per MWh],MATCH(UserMade_Scenario!$B573,Table11[[Year]:[Year]],0))</f>
        <v>-0.12713468519999999</v>
      </c>
      <c r="AE573" s="69">
        <f>INDEX(Table11[MIN
CO2e MT per MWh],MATCH(UserMade_Scenario!$B573,Table11[[Year]:[Year]],0))</f>
        <v>-0.11141906240000002</v>
      </c>
      <c r="AF573" s="69">
        <f>INDEX(Table11[MAX CO2e MT per MWh],MATCH(UserMade_Scenario!$B573,Table11[[Year]:[Year]],0))</f>
        <v>-0.14285030700000004</v>
      </c>
      <c r="AG573" s="68">
        <f>IFERROR(INDEX(WaterUseH2[Average Direct Water Consumption (Gal/ kg h2)],MATCH(LEFT(D573,3),WaterUseH2[Key],0)),0)</f>
        <v>0</v>
      </c>
      <c r="AH573">
        <v>14</v>
      </c>
      <c r="AI573">
        <v>1.4</v>
      </c>
      <c r="AJ573">
        <v>250</v>
      </c>
      <c r="AK573">
        <v>0.31</v>
      </c>
      <c r="AL573" s="63">
        <f>IFERROR(INDEX(Job_Training[[Solar]:[Wind]],MATCH(AL$1,Job_Training[[`Typical Entry Level Education`]:[`Typical Entry Level Education`]],0),MATCH(LEFT($D573,5),Job_Training[[#Headers],[Solar]:[Wind]],0)),0)</f>
        <v>2.3599999999999999E-2</v>
      </c>
      <c r="AM573" s="63">
        <f>IFERROR(INDEX(Job_Training[[Solar]:[Wind]],MATCH(AM$1,Job_Training[[`Typical Entry Level Education`]:[`Typical Entry Level Education`]],0),MATCH(LEFT($D573,5),Job_Training[[#Headers],[Solar]:[Wind]],0)),0)</f>
        <v>4.0899999999999999E-2</v>
      </c>
      <c r="AN573" s="63">
        <f>IFERROR(INDEX(Job_Training[[Solar]:[Wind]],MATCH(AN$1,Job_Training[[`Typical Entry Level Education`]:[`Typical Entry Level Education`]],0),MATCH(LEFT($D573,5),Job_Training[[#Headers],[Solar]:[Wind]],0)),0)</f>
        <v>0.02</v>
      </c>
      <c r="AO573" s="63">
        <f>IFERROR(INDEX(Job_Training[[Solar]:[Wind]],MATCH(AO$1,Job_Training[[`Typical Entry Level Education`]:[`Typical Entry Level Education`]],0),MATCH(LEFT($D573,5),Job_Training[[#Headers],[Solar]:[Wind]],0)),0)</f>
        <v>1.1299999999999999E-3</v>
      </c>
      <c r="AP573">
        <f t="shared" si="165"/>
        <v>113</v>
      </c>
      <c r="AQ573" s="63">
        <f>IF(AP573&gt;0,IFERROR(INDEX(Assumptions!$C$165:$D$165,MATCH(LEFT($D573,5),Job_Training[[#Headers],[Solar]:[Wind]],0)),0),0)</f>
        <v>8.5630000000000012E-2</v>
      </c>
      <c r="AR573">
        <f>IF(AP573&gt;0,IFERROR(INDEX(Assumptions!$C$166:$D$166,MATCH(LEFT($D573,5),Job_Training[[#Headers],[Solar]:[Wind]],0)),0),0)</f>
        <v>0.68504000000000009</v>
      </c>
    </row>
    <row r="574" spans="1:44" hidden="1" x14ac:dyDescent="0.35">
      <c r="A574" t="str">
        <f>UserInput!$B$56</f>
        <v>Max Buildout</v>
      </c>
      <c r="B574">
        <v>2030</v>
      </c>
      <c r="C574" t="s">
        <v>41</v>
      </c>
      <c r="D574" t="s">
        <v>83</v>
      </c>
      <c r="E574" s="66">
        <f>INDEX(UserInput!$C$56:$M$76,MATCH(UserMade_Scenario!B574,UserInput!$A$56:$A$76,0),MATCH(LEFT(IF(RIGHT(C574,2)="H2",UserMade_Scenario!C574,D574),3),UserInput!$C$25:$M$25,0))</f>
        <v>664</v>
      </c>
      <c r="F574" t="s">
        <v>81</v>
      </c>
      <c r="G574" s="14">
        <f t="shared" si="166"/>
        <v>5.7428940497850156E-3</v>
      </c>
      <c r="H574" s="63">
        <f t="shared" si="172"/>
        <v>0.19608285260462974</v>
      </c>
      <c r="I574" s="63">
        <f t="shared" si="173"/>
        <v>0.16952151076570751</v>
      </c>
      <c r="J574" s="63">
        <f t="shared" si="174"/>
        <v>0.2226441928482252</v>
      </c>
      <c r="K574" s="30">
        <f>IF(OR(LEFT($D574,5)="Solar",$D574="Wind"),INDEX(Land_Use[AVG],MATCH(LEFT($D574,5),Land_Use[Tech],0)),0)*$E574</f>
        <v>1660</v>
      </c>
      <c r="L574" s="30">
        <f>IF(OR(LEFT($D574,5)="Solar",$D574="Wind"),INDEX(Land_Use[MIN],MATCH(LEFT($D574,5),Land_Use[Tech],0)),0)*$E574</f>
        <v>531.20000000000005</v>
      </c>
      <c r="M574" s="30">
        <f>IF(OR(LEFT($D574,5)="Solar",$D574="Wind"),INDEX(Land_Use[MAX],MATCH(LEFT($D574,5),Land_Use[Tech],0)),0)*$E574</f>
        <v>2788.8</v>
      </c>
      <c r="N574" s="15">
        <f t="shared" si="167"/>
        <v>0</v>
      </c>
      <c r="O574" s="11">
        <f t="shared" si="168"/>
        <v>23240</v>
      </c>
      <c r="P574" s="11">
        <f t="shared" si="169"/>
        <v>2324</v>
      </c>
      <c r="Q574" s="11">
        <f t="shared" si="170"/>
        <v>415000</v>
      </c>
      <c r="R574" s="11">
        <f t="shared" si="171"/>
        <v>514.6</v>
      </c>
      <c r="S574" s="30">
        <f t="shared" si="159"/>
        <v>2.6667999999999998</v>
      </c>
      <c r="T574" s="30">
        <f t="shared" si="160"/>
        <v>4.6216999999999997</v>
      </c>
      <c r="U574" s="30">
        <f t="shared" si="161"/>
        <v>2.2600000000000002</v>
      </c>
      <c r="V574" s="30">
        <f t="shared" si="162"/>
        <v>0.12769</v>
      </c>
      <c r="W574" s="30">
        <f t="shared" si="163"/>
        <v>9.6761900000000018</v>
      </c>
      <c r="X574" s="30">
        <f t="shared" si="164"/>
        <v>77.409520000000015</v>
      </c>
      <c r="Z574" s="23" t="s">
        <v>76</v>
      </c>
      <c r="AA574" s="40">
        <f>IF(C574="Electricity",E574*SUMIFS(Electricity!S:S,Electricity!P:P,UserMade_Scenario!B574,Electricity!M:M,UserMade_Scenario!Z574,Electricity!O:O,UserMade_Scenario!D574),"")</f>
        <v>1595326.9755170564</v>
      </c>
      <c r="AB574" s="76">
        <f>1/Assumptions!$B$23/1000000000000</f>
        <v>3.5998225679871703E-9</v>
      </c>
      <c r="AC574" s="67" t="s">
        <v>82</v>
      </c>
      <c r="AD574" s="69">
        <f>INDEX(Table11[AVG
CO2e MT per MWh],MATCH(UserMade_Scenario!$B574,Table11[[Year]:[Year]],0))</f>
        <v>-0.12291076099999998</v>
      </c>
      <c r="AE574" s="69">
        <f>INDEX(Table11[MIN
CO2e MT per MWh],MATCH(UserMade_Scenario!$B574,Table11[[Year]:[Year]],0))</f>
        <v>-0.10626129525000003</v>
      </c>
      <c r="AF574" s="69">
        <f>INDEX(Table11[MAX CO2e MT per MWh],MATCH(UserMade_Scenario!$B574,Table11[[Year]:[Year]],0))</f>
        <v>-0.13956022575000004</v>
      </c>
      <c r="AG574" s="68">
        <f>IFERROR(INDEX(WaterUseH2[Average Direct Water Consumption (Gal/ kg h2)],MATCH(LEFT(D574,3),WaterUseH2[Key],0)),0)</f>
        <v>0</v>
      </c>
      <c r="AH574">
        <v>14</v>
      </c>
      <c r="AI574">
        <v>1.4</v>
      </c>
      <c r="AJ574">
        <v>250</v>
      </c>
      <c r="AK574">
        <v>0.31</v>
      </c>
      <c r="AL574" s="63">
        <f>IFERROR(INDEX(Job_Training[[Solar]:[Wind]],MATCH(AL$1,Job_Training[[`Typical Entry Level Education`]:[`Typical Entry Level Education`]],0),MATCH(LEFT($D574,5),Job_Training[[#Headers],[Solar]:[Wind]],0)),0)</f>
        <v>2.3599999999999999E-2</v>
      </c>
      <c r="AM574" s="63">
        <f>IFERROR(INDEX(Job_Training[[Solar]:[Wind]],MATCH(AM$1,Job_Training[[`Typical Entry Level Education`]:[`Typical Entry Level Education`]],0),MATCH(LEFT($D574,5),Job_Training[[#Headers],[Solar]:[Wind]],0)),0)</f>
        <v>4.0899999999999999E-2</v>
      </c>
      <c r="AN574" s="63">
        <f>IFERROR(INDEX(Job_Training[[Solar]:[Wind]],MATCH(AN$1,Job_Training[[`Typical Entry Level Education`]:[`Typical Entry Level Education`]],0),MATCH(LEFT($D574,5),Job_Training[[#Headers],[Solar]:[Wind]],0)),0)</f>
        <v>0.02</v>
      </c>
      <c r="AO574" s="63">
        <f>IFERROR(INDEX(Job_Training[[Solar]:[Wind]],MATCH(AO$1,Job_Training[[`Typical Entry Level Education`]:[`Typical Entry Level Education`]],0),MATCH(LEFT($D574,5),Job_Training[[#Headers],[Solar]:[Wind]],0)),0)</f>
        <v>1.1299999999999999E-3</v>
      </c>
      <c r="AP574">
        <f t="shared" si="165"/>
        <v>113</v>
      </c>
      <c r="AQ574" s="63">
        <f>IF(AP574&gt;0,IFERROR(INDEX(Assumptions!$C$165:$D$165,MATCH(LEFT($D574,5),Job_Training[[#Headers],[Solar]:[Wind]],0)),0),0)</f>
        <v>8.5630000000000012E-2</v>
      </c>
      <c r="AR574">
        <f>IF(AP574&gt;0,IFERROR(INDEX(Assumptions!$C$166:$D$166,MATCH(LEFT($D574,5),Job_Training[[#Headers],[Solar]:[Wind]],0)),0),0)</f>
        <v>0.68504000000000009</v>
      </c>
    </row>
    <row r="575" spans="1:44" hidden="1" x14ac:dyDescent="0.35">
      <c r="A575" t="str">
        <f>UserInput!$B$56</f>
        <v>Max Buildout</v>
      </c>
      <c r="B575">
        <v>2031</v>
      </c>
      <c r="C575" t="s">
        <v>41</v>
      </c>
      <c r="D575" t="s">
        <v>83</v>
      </c>
      <c r="E575" s="66">
        <f>INDEX(UserInput!$C$56:$M$76,MATCH(UserMade_Scenario!B575,UserInput!$A$56:$A$76,0),MATCH(LEFT(IF(RIGHT(C575,2)="H2",UserMade_Scenario!C575,D575),3),UserInput!$C$25:$M$25,0))</f>
        <v>777</v>
      </c>
      <c r="F575" t="s">
        <v>81</v>
      </c>
      <c r="G575" s="14">
        <f t="shared" si="166"/>
        <v>6.6641664089910164E-3</v>
      </c>
      <c r="H575" s="63">
        <f t="shared" si="172"/>
        <v>0.2197188378187804</v>
      </c>
      <c r="I575" s="63">
        <f t="shared" si="173"/>
        <v>0.18716776259648721</v>
      </c>
      <c r="J575" s="63">
        <f t="shared" si="174"/>
        <v>0.25226991118982528</v>
      </c>
      <c r="K575" s="30">
        <f>IF(OR(LEFT($D575,5)="Solar",$D575="Wind"),INDEX(Land_Use[AVG],MATCH(LEFT($D575,5),Land_Use[Tech],0)),0)*$E575</f>
        <v>1942.5</v>
      </c>
      <c r="L575" s="30">
        <f>IF(OR(LEFT($D575,5)="Solar",$D575="Wind"),INDEX(Land_Use[MIN],MATCH(LEFT($D575,5),Land_Use[Tech],0)),0)*$E575</f>
        <v>621.6</v>
      </c>
      <c r="M575" s="30">
        <f>IF(OR(LEFT($D575,5)="Solar",$D575="Wind"),INDEX(Land_Use[MAX],MATCH(LEFT($D575,5),Land_Use[Tech],0)),0)*$E575</f>
        <v>3263.4</v>
      </c>
      <c r="N575" s="15">
        <f t="shared" si="167"/>
        <v>0</v>
      </c>
      <c r="O575" s="11">
        <f t="shared" si="168"/>
        <v>27195</v>
      </c>
      <c r="P575" s="11">
        <f t="shared" si="169"/>
        <v>2719.5</v>
      </c>
      <c r="Q575" s="11">
        <f t="shared" si="170"/>
        <v>485625</v>
      </c>
      <c r="R575" s="11">
        <f t="shared" si="171"/>
        <v>602.17499999999995</v>
      </c>
      <c r="S575" s="30">
        <f t="shared" si="159"/>
        <v>2.6667999999999998</v>
      </c>
      <c r="T575" s="30">
        <f t="shared" si="160"/>
        <v>4.6216999999999997</v>
      </c>
      <c r="U575" s="30">
        <f t="shared" si="161"/>
        <v>2.2600000000000002</v>
      </c>
      <c r="V575" s="30">
        <f t="shared" si="162"/>
        <v>0.12769</v>
      </c>
      <c r="W575" s="30">
        <f t="shared" si="163"/>
        <v>9.6761900000000018</v>
      </c>
      <c r="X575" s="30">
        <f t="shared" si="164"/>
        <v>77.409520000000015</v>
      </c>
      <c r="Z575" s="23" t="s">
        <v>76</v>
      </c>
      <c r="AA575" s="40">
        <f>IF(C575="Electricity",E575*SUMIFS(Electricity!S:S,Electricity!P:P,UserMade_Scenario!B575,Electricity!M:M,UserMade_Scenario!Z575,Electricity!O:O,UserMade_Scenario!D575),"")</f>
        <v>1851248.5777090022</v>
      </c>
      <c r="AB575" s="76">
        <f>1/Assumptions!$B$23/1000000000000</f>
        <v>3.5998225679871703E-9</v>
      </c>
      <c r="AC575" s="67" t="s">
        <v>82</v>
      </c>
      <c r="AD575" s="69">
        <f>INDEX(Table11[AVG
CO2e MT per MWh],MATCH(UserMade_Scenario!$B575,Table11[[Year]:[Year]],0))</f>
        <v>-0.11868683679999997</v>
      </c>
      <c r="AE575" s="69">
        <f>INDEX(Table11[MIN
CO2e MT per MWh],MATCH(UserMade_Scenario!$B575,Table11[[Year]:[Year]],0))</f>
        <v>-0.10110352810000003</v>
      </c>
      <c r="AF575" s="69">
        <f>INDEX(Table11[MAX CO2e MT per MWh],MATCH(UserMade_Scenario!$B575,Table11[[Year]:[Year]],0))</f>
        <v>-0.13627014450000005</v>
      </c>
      <c r="AG575" s="68">
        <f>IFERROR(INDEX(WaterUseH2[Average Direct Water Consumption (Gal/ kg h2)],MATCH(LEFT(D575,3),WaterUseH2[Key],0)),0)</f>
        <v>0</v>
      </c>
      <c r="AH575">
        <v>14</v>
      </c>
      <c r="AI575">
        <v>1.4</v>
      </c>
      <c r="AJ575">
        <v>250</v>
      </c>
      <c r="AK575">
        <v>0.31</v>
      </c>
      <c r="AL575" s="63">
        <f>IFERROR(INDEX(Job_Training[[Solar]:[Wind]],MATCH(AL$1,Job_Training[[`Typical Entry Level Education`]:[`Typical Entry Level Education`]],0),MATCH(LEFT($D575,5),Job_Training[[#Headers],[Solar]:[Wind]],0)),0)</f>
        <v>2.3599999999999999E-2</v>
      </c>
      <c r="AM575" s="63">
        <f>IFERROR(INDEX(Job_Training[[Solar]:[Wind]],MATCH(AM$1,Job_Training[[`Typical Entry Level Education`]:[`Typical Entry Level Education`]],0),MATCH(LEFT($D575,5),Job_Training[[#Headers],[Solar]:[Wind]],0)),0)</f>
        <v>4.0899999999999999E-2</v>
      </c>
      <c r="AN575" s="63">
        <f>IFERROR(INDEX(Job_Training[[Solar]:[Wind]],MATCH(AN$1,Job_Training[[`Typical Entry Level Education`]:[`Typical Entry Level Education`]],0),MATCH(LEFT($D575,5),Job_Training[[#Headers],[Solar]:[Wind]],0)),0)</f>
        <v>0.02</v>
      </c>
      <c r="AO575" s="63">
        <f>IFERROR(INDEX(Job_Training[[Solar]:[Wind]],MATCH(AO$1,Job_Training[[`Typical Entry Level Education`]:[`Typical Entry Level Education`]],0),MATCH(LEFT($D575,5),Job_Training[[#Headers],[Solar]:[Wind]],0)),0)</f>
        <v>1.1299999999999999E-3</v>
      </c>
      <c r="AP575">
        <f t="shared" si="165"/>
        <v>113</v>
      </c>
      <c r="AQ575" s="63">
        <f>IF(AP575&gt;0,IFERROR(INDEX(Assumptions!$C$165:$D$165,MATCH(LEFT($D575,5),Job_Training[[#Headers],[Solar]:[Wind]],0)),0),0)</f>
        <v>8.5630000000000012E-2</v>
      </c>
      <c r="AR575">
        <f>IF(AP575&gt;0,IFERROR(INDEX(Assumptions!$C$166:$D$166,MATCH(LEFT($D575,5),Job_Training[[#Headers],[Solar]:[Wind]],0)),0),0)</f>
        <v>0.68504000000000009</v>
      </c>
    </row>
    <row r="576" spans="1:44" hidden="1" x14ac:dyDescent="0.35">
      <c r="A576" t="str">
        <f>UserInput!$B$56</f>
        <v>Max Buildout</v>
      </c>
      <c r="B576">
        <v>2032</v>
      </c>
      <c r="C576" t="s">
        <v>41</v>
      </c>
      <c r="D576" t="s">
        <v>83</v>
      </c>
      <c r="E576" s="66">
        <f>INDEX(UserInput!$C$56:$M$76,MATCH(UserMade_Scenario!B576,UserInput!$A$56:$A$76,0),MATCH(LEFT(IF(RIGHT(C576,2)="H2",UserMade_Scenario!C576,D576),3),UserInput!$C$25:$M$25,0))</f>
        <v>890</v>
      </c>
      <c r="F576" t="s">
        <v>81</v>
      </c>
      <c r="G576" s="14">
        <f t="shared" si="166"/>
        <v>7.5691337548394943E-3</v>
      </c>
      <c r="H576" s="63">
        <f t="shared" si="172"/>
        <v>0.24067438854974987</v>
      </c>
      <c r="I576" s="63">
        <f t="shared" si="173"/>
        <v>0.20173947024463307</v>
      </c>
      <c r="J576" s="63">
        <f t="shared" si="174"/>
        <v>0.27960930475222628</v>
      </c>
      <c r="K576" s="30">
        <f>IF(OR(LEFT($D576,5)="Solar",$D576="Wind"),INDEX(Land_Use[AVG],MATCH(LEFT($D576,5),Land_Use[Tech],0)),0)*$E576</f>
        <v>2225</v>
      </c>
      <c r="L576" s="30">
        <f>IF(OR(LEFT($D576,5)="Solar",$D576="Wind"),INDEX(Land_Use[MIN],MATCH(LEFT($D576,5),Land_Use[Tech],0)),0)*$E576</f>
        <v>712</v>
      </c>
      <c r="M576" s="30">
        <f>IF(OR(LEFT($D576,5)="Solar",$D576="Wind"),INDEX(Land_Use[MAX],MATCH(LEFT($D576,5),Land_Use[Tech],0)),0)*$E576</f>
        <v>3738</v>
      </c>
      <c r="N576" s="15">
        <f t="shared" si="167"/>
        <v>0</v>
      </c>
      <c r="O576" s="11">
        <f t="shared" si="168"/>
        <v>31150</v>
      </c>
      <c r="P576" s="11">
        <f t="shared" si="169"/>
        <v>3115</v>
      </c>
      <c r="Q576" s="11">
        <f t="shared" si="170"/>
        <v>556250</v>
      </c>
      <c r="R576" s="11">
        <f t="shared" si="171"/>
        <v>689.75</v>
      </c>
      <c r="S576" s="30">
        <f t="shared" si="159"/>
        <v>2.6667999999999998</v>
      </c>
      <c r="T576" s="30">
        <f t="shared" si="160"/>
        <v>4.6216999999999997</v>
      </c>
      <c r="U576" s="30">
        <f t="shared" si="161"/>
        <v>2.2600000000000002</v>
      </c>
      <c r="V576" s="30">
        <f t="shared" si="162"/>
        <v>0.12769</v>
      </c>
      <c r="W576" s="30">
        <f t="shared" si="163"/>
        <v>9.6761900000000018</v>
      </c>
      <c r="X576" s="30">
        <f t="shared" si="164"/>
        <v>77.409520000000015</v>
      </c>
      <c r="Z576" s="23" t="s">
        <v>76</v>
      </c>
      <c r="AA576" s="40">
        <f>IF(C576="Electricity",E576*SUMIFS(Electricity!S:S,Electricity!P:P,UserMade_Scenario!B576,Electricity!M:M,UserMade_Scenario!Z576,Electricity!O:O,UserMade_Scenario!D576),"")</f>
        <v>2102640.7862851284</v>
      </c>
      <c r="AB576" s="76">
        <f>1/Assumptions!$B$23/1000000000000</f>
        <v>3.5998225679871703E-9</v>
      </c>
      <c r="AC576" s="67" t="s">
        <v>82</v>
      </c>
      <c r="AD576" s="69">
        <f>INDEX(Table11[AVG
CO2e MT per MWh],MATCH(UserMade_Scenario!$B576,Table11[[Year]:[Year]],0))</f>
        <v>-0.11446291259999997</v>
      </c>
      <c r="AE576" s="69">
        <f>INDEX(Table11[MIN
CO2e MT per MWh],MATCH(UserMade_Scenario!$B576,Table11[[Year]:[Year]],0))</f>
        <v>-9.5945760950000042E-2</v>
      </c>
      <c r="AF576" s="69">
        <f>INDEX(Table11[MAX CO2e MT per MWh],MATCH(UserMade_Scenario!$B576,Table11[[Year]:[Year]],0))</f>
        <v>-0.13298006325000006</v>
      </c>
      <c r="AG576" s="68">
        <f>IFERROR(INDEX(WaterUseH2[Average Direct Water Consumption (Gal/ kg h2)],MATCH(LEFT(D576,3),WaterUseH2[Key],0)),0)</f>
        <v>0</v>
      </c>
      <c r="AH576">
        <v>14</v>
      </c>
      <c r="AI576">
        <v>1.4</v>
      </c>
      <c r="AJ576">
        <v>250</v>
      </c>
      <c r="AK576">
        <v>0.31</v>
      </c>
      <c r="AL576" s="63">
        <f>IFERROR(INDEX(Job_Training[[Solar]:[Wind]],MATCH(AL$1,Job_Training[[`Typical Entry Level Education`]:[`Typical Entry Level Education`]],0),MATCH(LEFT($D576,5),Job_Training[[#Headers],[Solar]:[Wind]],0)),0)</f>
        <v>2.3599999999999999E-2</v>
      </c>
      <c r="AM576" s="63">
        <f>IFERROR(INDEX(Job_Training[[Solar]:[Wind]],MATCH(AM$1,Job_Training[[`Typical Entry Level Education`]:[`Typical Entry Level Education`]],0),MATCH(LEFT($D576,5),Job_Training[[#Headers],[Solar]:[Wind]],0)),0)</f>
        <v>4.0899999999999999E-2</v>
      </c>
      <c r="AN576" s="63">
        <f>IFERROR(INDEX(Job_Training[[Solar]:[Wind]],MATCH(AN$1,Job_Training[[`Typical Entry Level Education`]:[`Typical Entry Level Education`]],0),MATCH(LEFT($D576,5),Job_Training[[#Headers],[Solar]:[Wind]],0)),0)</f>
        <v>0.02</v>
      </c>
      <c r="AO576" s="63">
        <f>IFERROR(INDEX(Job_Training[[Solar]:[Wind]],MATCH(AO$1,Job_Training[[`Typical Entry Level Education`]:[`Typical Entry Level Education`]],0),MATCH(LEFT($D576,5),Job_Training[[#Headers],[Solar]:[Wind]],0)),0)</f>
        <v>1.1299999999999999E-3</v>
      </c>
      <c r="AP576">
        <f t="shared" si="165"/>
        <v>113</v>
      </c>
      <c r="AQ576" s="63">
        <f>IF(AP576&gt;0,IFERROR(INDEX(Assumptions!$C$165:$D$165,MATCH(LEFT($D576,5),Job_Training[[#Headers],[Solar]:[Wind]],0)),0),0)</f>
        <v>8.5630000000000012E-2</v>
      </c>
      <c r="AR576">
        <f>IF(AP576&gt;0,IFERROR(INDEX(Assumptions!$C$166:$D$166,MATCH(LEFT($D576,5),Job_Training[[#Headers],[Solar]:[Wind]],0)),0),0)</f>
        <v>0.68504000000000009</v>
      </c>
    </row>
    <row r="577" spans="1:44" hidden="1" x14ac:dyDescent="0.35">
      <c r="A577" t="str">
        <f>UserInput!$B$56</f>
        <v>Max Buildout</v>
      </c>
      <c r="B577">
        <v>2033</v>
      </c>
      <c r="C577" t="s">
        <v>41</v>
      </c>
      <c r="D577" t="s">
        <v>83</v>
      </c>
      <c r="E577" s="66">
        <f>INDEX(UserInput!$C$56:$M$76,MATCH(UserMade_Scenario!B577,UserInput!$A$56:$A$76,0),MATCH(LEFT(IF(RIGHT(C577,2)="H2",UserMade_Scenario!C577,D577),3),UserInput!$C$25:$M$25,0))</f>
        <v>1003</v>
      </c>
      <c r="F577" t="s">
        <v>81</v>
      </c>
      <c r="G577" s="14">
        <f t="shared" si="166"/>
        <v>8.4577960873304502E-3</v>
      </c>
      <c r="H577" s="63">
        <f t="shared" si="172"/>
        <v>0.25900690024345374</v>
      </c>
      <c r="I577" s="63">
        <f t="shared" si="173"/>
        <v>0.21330671838294843</v>
      </c>
      <c r="J577" s="63">
        <f t="shared" si="174"/>
        <v>0.30470707975445593</v>
      </c>
      <c r="K577" s="30">
        <f>IF(OR(LEFT($D577,5)="Solar",$D577="Wind"),INDEX(Land_Use[AVG],MATCH(LEFT($D577,5),Land_Use[Tech],0)),0)*$E577</f>
        <v>2507.5</v>
      </c>
      <c r="L577" s="30">
        <f>IF(OR(LEFT($D577,5)="Solar",$D577="Wind"),INDEX(Land_Use[MIN],MATCH(LEFT($D577,5),Land_Use[Tech],0)),0)*$E577</f>
        <v>802.40000000000009</v>
      </c>
      <c r="M577" s="30">
        <f>IF(OR(LEFT($D577,5)="Solar",$D577="Wind"),INDEX(Land_Use[MAX],MATCH(LEFT($D577,5),Land_Use[Tech],0)),0)*$E577</f>
        <v>4212.6000000000004</v>
      </c>
      <c r="N577" s="15">
        <f t="shared" si="167"/>
        <v>0</v>
      </c>
      <c r="O577" s="11">
        <f t="shared" si="168"/>
        <v>35105</v>
      </c>
      <c r="P577" s="11">
        <f t="shared" si="169"/>
        <v>3510.5</v>
      </c>
      <c r="Q577" s="11">
        <f t="shared" si="170"/>
        <v>626875</v>
      </c>
      <c r="R577" s="11">
        <f t="shared" si="171"/>
        <v>777.32500000000005</v>
      </c>
      <c r="S577" s="30">
        <f t="shared" si="159"/>
        <v>2.6667999999999998</v>
      </c>
      <c r="T577" s="30">
        <f t="shared" si="160"/>
        <v>4.6216999999999997</v>
      </c>
      <c r="U577" s="30">
        <f t="shared" si="161"/>
        <v>2.2600000000000002</v>
      </c>
      <c r="V577" s="30">
        <f t="shared" si="162"/>
        <v>0.12769</v>
      </c>
      <c r="W577" s="30">
        <f t="shared" si="163"/>
        <v>9.6761900000000018</v>
      </c>
      <c r="X577" s="30">
        <f t="shared" si="164"/>
        <v>77.409520000000015</v>
      </c>
      <c r="Z577" s="23" t="s">
        <v>76</v>
      </c>
      <c r="AA577" s="40">
        <f>IF(C577="Electricity",E577*SUMIFS(Electricity!S:S,Electricity!P:P,UserMade_Scenario!B577,Electricity!M:M,UserMade_Scenario!Z577,Electricity!O:O,UserMade_Scenario!D577),"")</f>
        <v>2349503.6012454359</v>
      </c>
      <c r="AB577" s="76">
        <f>1/Assumptions!$B$23/1000000000000</f>
        <v>3.5998225679871703E-9</v>
      </c>
      <c r="AC577" s="67" t="s">
        <v>82</v>
      </c>
      <c r="AD577" s="69">
        <f>INDEX(Table11[AVG
CO2e MT per MWh],MATCH(UserMade_Scenario!$B577,Table11[[Year]:[Year]],0))</f>
        <v>-0.11023898839999996</v>
      </c>
      <c r="AE577" s="69">
        <f>INDEX(Table11[MIN
CO2e MT per MWh],MATCH(UserMade_Scenario!$B577,Table11[[Year]:[Year]],0))</f>
        <v>-9.078799380000005E-2</v>
      </c>
      <c r="AF577" s="69">
        <f>INDEX(Table11[MAX CO2e MT per MWh],MATCH(UserMade_Scenario!$B577,Table11[[Year]:[Year]],0))</f>
        <v>-0.12968998200000006</v>
      </c>
      <c r="AG577" s="68">
        <f>IFERROR(INDEX(WaterUseH2[Average Direct Water Consumption (Gal/ kg h2)],MATCH(LEFT(D577,3),WaterUseH2[Key],0)),0)</f>
        <v>0</v>
      </c>
      <c r="AH577">
        <v>14</v>
      </c>
      <c r="AI577">
        <v>1.4</v>
      </c>
      <c r="AJ577">
        <v>250</v>
      </c>
      <c r="AK577">
        <v>0.31</v>
      </c>
      <c r="AL577" s="63">
        <f>IFERROR(INDEX(Job_Training[[Solar]:[Wind]],MATCH(AL$1,Job_Training[[`Typical Entry Level Education`]:[`Typical Entry Level Education`]],0),MATCH(LEFT($D577,5),Job_Training[[#Headers],[Solar]:[Wind]],0)),0)</f>
        <v>2.3599999999999999E-2</v>
      </c>
      <c r="AM577" s="63">
        <f>IFERROR(INDEX(Job_Training[[Solar]:[Wind]],MATCH(AM$1,Job_Training[[`Typical Entry Level Education`]:[`Typical Entry Level Education`]],0),MATCH(LEFT($D577,5),Job_Training[[#Headers],[Solar]:[Wind]],0)),0)</f>
        <v>4.0899999999999999E-2</v>
      </c>
      <c r="AN577" s="63">
        <f>IFERROR(INDEX(Job_Training[[Solar]:[Wind]],MATCH(AN$1,Job_Training[[`Typical Entry Level Education`]:[`Typical Entry Level Education`]],0),MATCH(LEFT($D577,5),Job_Training[[#Headers],[Solar]:[Wind]],0)),0)</f>
        <v>0.02</v>
      </c>
      <c r="AO577" s="63">
        <f>IFERROR(INDEX(Job_Training[[Solar]:[Wind]],MATCH(AO$1,Job_Training[[`Typical Entry Level Education`]:[`Typical Entry Level Education`]],0),MATCH(LEFT($D577,5),Job_Training[[#Headers],[Solar]:[Wind]],0)),0)</f>
        <v>1.1299999999999999E-3</v>
      </c>
      <c r="AP577">
        <f t="shared" si="165"/>
        <v>113</v>
      </c>
      <c r="AQ577" s="63">
        <f>IF(AP577&gt;0,IFERROR(INDEX(Assumptions!$C$165:$D$165,MATCH(LEFT($D577,5),Job_Training[[#Headers],[Solar]:[Wind]],0)),0),0)</f>
        <v>8.5630000000000012E-2</v>
      </c>
      <c r="AR577">
        <f>IF(AP577&gt;0,IFERROR(INDEX(Assumptions!$C$166:$D$166,MATCH(LEFT($D577,5),Job_Training[[#Headers],[Solar]:[Wind]],0)),0),0)</f>
        <v>0.68504000000000009</v>
      </c>
    </row>
    <row r="578" spans="1:44" hidden="1" x14ac:dyDescent="0.35">
      <c r="A578" t="str">
        <f>UserInput!$B$56</f>
        <v>Max Buildout</v>
      </c>
      <c r="B578">
        <v>2034</v>
      </c>
      <c r="C578" t="s">
        <v>41</v>
      </c>
      <c r="D578" t="s">
        <v>83</v>
      </c>
      <c r="E578" s="66">
        <f>INDEX(UserInput!$C$56:$M$76,MATCH(UserMade_Scenario!B578,UserInput!$A$56:$A$76,0),MATCH(LEFT(IF(RIGHT(C578,2)="H2",UserMade_Scenario!C578,D578),3),UserInput!$C$25:$M$25,0))</f>
        <v>1116</v>
      </c>
      <c r="F578" t="s">
        <v>81</v>
      </c>
      <c r="G578" s="14">
        <f t="shared" si="166"/>
        <v>9.3301534064638789E-3</v>
      </c>
      <c r="H578" s="63">
        <f t="shared" si="172"/>
        <v>0.27477376834580741</v>
      </c>
      <c r="I578" s="63">
        <f t="shared" si="173"/>
        <v>0.22193959168423644</v>
      </c>
      <c r="J578" s="63">
        <f t="shared" si="174"/>
        <v>0.32760794241554198</v>
      </c>
      <c r="K578" s="30">
        <f>IF(OR(LEFT($D578,5)="Solar",$D578="Wind"),INDEX(Land_Use[AVG],MATCH(LEFT($D578,5),Land_Use[Tech],0)),0)*$E578</f>
        <v>2790</v>
      </c>
      <c r="L578" s="30">
        <f>IF(OR(LEFT($D578,5)="Solar",$D578="Wind"),INDEX(Land_Use[MIN],MATCH(LEFT($D578,5),Land_Use[Tech],0)),0)*$E578</f>
        <v>892.80000000000007</v>
      </c>
      <c r="M578" s="30">
        <f>IF(OR(LEFT($D578,5)="Solar",$D578="Wind"),INDEX(Land_Use[MAX],MATCH(LEFT($D578,5),Land_Use[Tech],0)),0)*$E578</f>
        <v>4687.2</v>
      </c>
      <c r="N578" s="15">
        <f t="shared" si="167"/>
        <v>0</v>
      </c>
      <c r="O578" s="11">
        <f t="shared" si="168"/>
        <v>39060</v>
      </c>
      <c r="P578" s="11">
        <f t="shared" si="169"/>
        <v>3905.9999999999995</v>
      </c>
      <c r="Q578" s="11">
        <f t="shared" si="170"/>
        <v>697500</v>
      </c>
      <c r="R578" s="11">
        <f t="shared" si="171"/>
        <v>864.9</v>
      </c>
      <c r="S578" s="30">
        <f t="shared" si="159"/>
        <v>2.6667999999999998</v>
      </c>
      <c r="T578" s="30">
        <f t="shared" si="160"/>
        <v>4.6216999999999997</v>
      </c>
      <c r="U578" s="30">
        <f t="shared" si="161"/>
        <v>2.2600000000000002</v>
      </c>
      <c r="V578" s="30">
        <f t="shared" si="162"/>
        <v>0.12769</v>
      </c>
      <c r="W578" s="30">
        <f t="shared" si="163"/>
        <v>9.6761900000000018</v>
      </c>
      <c r="X578" s="30">
        <f t="shared" si="164"/>
        <v>77.409520000000015</v>
      </c>
      <c r="Z578" s="23" t="s">
        <v>76</v>
      </c>
      <c r="AA578" s="40">
        <f>IF(C578="Electricity",E578*SUMIFS(Electricity!S:S,Electricity!P:P,UserMade_Scenario!B578,Electricity!M:M,UserMade_Scenario!Z578,Electricity!O:O,UserMade_Scenario!D578),"")</f>
        <v>2591837.0225899233</v>
      </c>
      <c r="AB578" s="76">
        <f>1/Assumptions!$B$23/1000000000000</f>
        <v>3.5998225679871703E-9</v>
      </c>
      <c r="AC578" s="67" t="s">
        <v>82</v>
      </c>
      <c r="AD578" s="69">
        <f>INDEX(Table11[AVG
CO2e MT per MWh],MATCH(UserMade_Scenario!$B578,Table11[[Year]:[Year]],0))</f>
        <v>-0.10601506419999995</v>
      </c>
      <c r="AE578" s="69">
        <f>INDEX(Table11[MIN
CO2e MT per MWh],MATCH(UserMade_Scenario!$B578,Table11[[Year]:[Year]],0))</f>
        <v>-8.5630226650000058E-2</v>
      </c>
      <c r="AF578" s="69">
        <f>INDEX(Table11[MAX CO2e MT per MWh],MATCH(UserMade_Scenario!$B578,Table11[[Year]:[Year]],0))</f>
        <v>-0.12639990075000007</v>
      </c>
      <c r="AG578" s="68">
        <f>IFERROR(INDEX(WaterUseH2[Average Direct Water Consumption (Gal/ kg h2)],MATCH(LEFT(D578,3),WaterUseH2[Key],0)),0)</f>
        <v>0</v>
      </c>
      <c r="AH578">
        <v>14</v>
      </c>
      <c r="AI578">
        <v>1.4</v>
      </c>
      <c r="AJ578">
        <v>250</v>
      </c>
      <c r="AK578">
        <v>0.31</v>
      </c>
      <c r="AL578" s="63">
        <f>IFERROR(INDEX(Job_Training[[Solar]:[Wind]],MATCH(AL$1,Job_Training[[`Typical Entry Level Education`]:[`Typical Entry Level Education`]],0),MATCH(LEFT($D578,5),Job_Training[[#Headers],[Solar]:[Wind]],0)),0)</f>
        <v>2.3599999999999999E-2</v>
      </c>
      <c r="AM578" s="63">
        <f>IFERROR(INDEX(Job_Training[[Solar]:[Wind]],MATCH(AM$1,Job_Training[[`Typical Entry Level Education`]:[`Typical Entry Level Education`]],0),MATCH(LEFT($D578,5),Job_Training[[#Headers],[Solar]:[Wind]],0)),0)</f>
        <v>4.0899999999999999E-2</v>
      </c>
      <c r="AN578" s="63">
        <f>IFERROR(INDEX(Job_Training[[Solar]:[Wind]],MATCH(AN$1,Job_Training[[`Typical Entry Level Education`]:[`Typical Entry Level Education`]],0),MATCH(LEFT($D578,5),Job_Training[[#Headers],[Solar]:[Wind]],0)),0)</f>
        <v>0.02</v>
      </c>
      <c r="AO578" s="63">
        <f>IFERROR(INDEX(Job_Training[[Solar]:[Wind]],MATCH(AO$1,Job_Training[[`Typical Entry Level Education`]:[`Typical Entry Level Education`]],0),MATCH(LEFT($D578,5),Job_Training[[#Headers],[Solar]:[Wind]],0)),0)</f>
        <v>1.1299999999999999E-3</v>
      </c>
      <c r="AP578">
        <f t="shared" si="165"/>
        <v>113</v>
      </c>
      <c r="AQ578" s="63">
        <f>IF(AP578&gt;0,IFERROR(INDEX(Assumptions!$C$165:$D$165,MATCH(LEFT($D578,5),Job_Training[[#Headers],[Solar]:[Wind]],0)),0),0)</f>
        <v>8.5630000000000012E-2</v>
      </c>
      <c r="AR578">
        <f>IF(AP578&gt;0,IFERROR(INDEX(Assumptions!$C$166:$D$166,MATCH(LEFT($D578,5),Job_Training[[#Headers],[Solar]:[Wind]],0)),0),0)</f>
        <v>0.68504000000000009</v>
      </c>
    </row>
    <row r="579" spans="1:44" hidden="1" x14ac:dyDescent="0.35">
      <c r="A579" t="str">
        <f>UserInput!$B$56</f>
        <v>Max Buildout</v>
      </c>
      <c r="B579">
        <v>2035</v>
      </c>
      <c r="C579" t="s">
        <v>41</v>
      </c>
      <c r="D579" t="s">
        <v>83</v>
      </c>
      <c r="E579" s="66">
        <f>INDEX(UserInput!$C$56:$M$76,MATCH(UserMade_Scenario!B579,UserInput!$A$56:$A$76,0),MATCH(LEFT(IF(RIGHT(C579,2)="H2",UserMade_Scenario!C579,D579),3),UserInput!$C$25:$M$25,0))</f>
        <v>1229</v>
      </c>
      <c r="F579" t="s">
        <v>81</v>
      </c>
      <c r="G579" s="14">
        <f t="shared" si="166"/>
        <v>1.0186205712239787E-2</v>
      </c>
      <c r="H579" s="63">
        <f t="shared" si="172"/>
        <v>0.28803238830272665</v>
      </c>
      <c r="I579" s="63">
        <f t="shared" si="173"/>
        <v>0.22770817482130051</v>
      </c>
      <c r="J579" s="63">
        <f t="shared" si="174"/>
        <v>0.34835659895451243</v>
      </c>
      <c r="K579" s="30">
        <f>IF(OR(LEFT($D579,5)="Solar",$D579="Wind"),INDEX(Land_Use[AVG],MATCH(LEFT($D579,5),Land_Use[Tech],0)),0)*$E579</f>
        <v>3072.5</v>
      </c>
      <c r="L579" s="30">
        <f>IF(OR(LEFT($D579,5)="Solar",$D579="Wind"),INDEX(Land_Use[MIN],MATCH(LEFT($D579,5),Land_Use[Tech],0)),0)*$E579</f>
        <v>983.2</v>
      </c>
      <c r="M579" s="30">
        <f>IF(OR(LEFT($D579,5)="Solar",$D579="Wind"),INDEX(Land_Use[MAX],MATCH(LEFT($D579,5),Land_Use[Tech],0)),0)*$E579</f>
        <v>5161.8</v>
      </c>
      <c r="N579" s="15">
        <f t="shared" si="167"/>
        <v>0</v>
      </c>
      <c r="O579" s="11">
        <f t="shared" si="168"/>
        <v>43015</v>
      </c>
      <c r="P579" s="11">
        <f t="shared" si="169"/>
        <v>4301.5</v>
      </c>
      <c r="Q579" s="11">
        <f t="shared" si="170"/>
        <v>768125</v>
      </c>
      <c r="R579" s="11">
        <f t="shared" si="171"/>
        <v>952.47500000000002</v>
      </c>
      <c r="S579" s="30">
        <f t="shared" ref="S579:S642" si="175">MAX($AP579*AL579,0)</f>
        <v>2.6667999999999998</v>
      </c>
      <c r="T579" s="30">
        <f t="shared" ref="T579:T642" si="176">MAX($AP579*AM579,0)</f>
        <v>4.6216999999999997</v>
      </c>
      <c r="U579" s="30">
        <f t="shared" ref="U579:U642" si="177">MAX($AP579*AN579,0)</f>
        <v>2.2600000000000002</v>
      </c>
      <c r="V579" s="30">
        <f t="shared" ref="V579:V642" si="178">MAX($AP579*AO579,0)</f>
        <v>0.12769</v>
      </c>
      <c r="W579" s="30">
        <f t="shared" ref="W579:W642" si="179">$AP579*AQ579</f>
        <v>9.6761900000000018</v>
      </c>
      <c r="X579" s="30">
        <f t="shared" ref="X579:X642" si="180">$AP579*AR579</f>
        <v>77.409520000000015</v>
      </c>
      <c r="Z579" s="23" t="s">
        <v>76</v>
      </c>
      <c r="AA579" s="40">
        <f>IF(C579="Electricity",E579*SUMIFS(Electricity!S:S,Electricity!P:P,UserMade_Scenario!B579,Electricity!M:M,UserMade_Scenario!Z579,Electricity!O:O,UserMade_Scenario!D579),"")</f>
        <v>2829641.0503185918</v>
      </c>
      <c r="AB579" s="76">
        <f>1/Assumptions!$B$23/1000000000000</f>
        <v>3.5998225679871703E-9</v>
      </c>
      <c r="AC579" s="67" t="s">
        <v>82</v>
      </c>
      <c r="AD579" s="69">
        <f>INDEX(Table11[AVG
CO2e MT per MWh],MATCH(UserMade_Scenario!$B579,Table11[[Year]:[Year]],0))</f>
        <v>-0.10179113999999995</v>
      </c>
      <c r="AE579" s="69">
        <f>INDEX(Table11[MIN
CO2e MT per MWh],MATCH(UserMade_Scenario!$B579,Table11[[Year]:[Year]],0))</f>
        <v>-8.0472459500000065E-2</v>
      </c>
      <c r="AF579" s="69">
        <f>INDEX(Table11[MAX CO2e MT per MWh],MATCH(UserMade_Scenario!$B579,Table11[[Year]:[Year]],0))</f>
        <v>-0.12310981950000006</v>
      </c>
      <c r="AG579" s="68">
        <f>IFERROR(INDEX(WaterUseH2[Average Direct Water Consumption (Gal/ kg h2)],MATCH(LEFT(D579,3),WaterUseH2[Key],0)),0)</f>
        <v>0</v>
      </c>
      <c r="AH579">
        <v>14</v>
      </c>
      <c r="AI579">
        <v>1.4</v>
      </c>
      <c r="AJ579">
        <v>250</v>
      </c>
      <c r="AK579">
        <v>0.31</v>
      </c>
      <c r="AL579" s="63">
        <f>IFERROR(INDEX(Job_Training[[Solar]:[Wind]],MATCH(AL$1,Job_Training[[`Typical Entry Level Education`]:[`Typical Entry Level Education`]],0),MATCH(LEFT($D579,5),Job_Training[[#Headers],[Solar]:[Wind]],0)),0)</f>
        <v>2.3599999999999999E-2</v>
      </c>
      <c r="AM579" s="63">
        <f>IFERROR(INDEX(Job_Training[[Solar]:[Wind]],MATCH(AM$1,Job_Training[[`Typical Entry Level Education`]:[`Typical Entry Level Education`]],0),MATCH(LEFT($D579,5),Job_Training[[#Headers],[Solar]:[Wind]],0)),0)</f>
        <v>4.0899999999999999E-2</v>
      </c>
      <c r="AN579" s="63">
        <f>IFERROR(INDEX(Job_Training[[Solar]:[Wind]],MATCH(AN$1,Job_Training[[`Typical Entry Level Education`]:[`Typical Entry Level Education`]],0),MATCH(LEFT($D579,5),Job_Training[[#Headers],[Solar]:[Wind]],0)),0)</f>
        <v>0.02</v>
      </c>
      <c r="AO579" s="63">
        <f>IFERROR(INDEX(Job_Training[[Solar]:[Wind]],MATCH(AO$1,Job_Training[[`Typical Entry Level Education`]:[`Typical Entry Level Education`]],0),MATCH(LEFT($D579,5),Job_Training[[#Headers],[Solar]:[Wind]],0)),0)</f>
        <v>1.1299999999999999E-3</v>
      </c>
      <c r="AP579">
        <f t="shared" ref="AP579:AP642" si="181">IF(OR($C579="Electricity",$D579="Solar (Off-Grid)"),IF($B579=2025,$E579,$E579-$E578),0)</f>
        <v>113</v>
      </c>
      <c r="AQ579" s="63">
        <f>IF(AP579&gt;0,IFERROR(INDEX(Assumptions!$C$165:$D$165,MATCH(LEFT($D579,5),Job_Training[[#Headers],[Solar]:[Wind]],0)),0),0)</f>
        <v>8.5630000000000012E-2</v>
      </c>
      <c r="AR579">
        <f>IF(AP579&gt;0,IFERROR(INDEX(Assumptions!$C$166:$D$166,MATCH(LEFT($D579,5),Job_Training[[#Headers],[Solar]:[Wind]],0)),0),0)</f>
        <v>0.68504000000000009</v>
      </c>
    </row>
    <row r="580" spans="1:44" hidden="1" x14ac:dyDescent="0.35">
      <c r="A580" t="str">
        <f>UserInput!$B$56</f>
        <v>Max Buildout</v>
      </c>
      <c r="B580">
        <v>2036</v>
      </c>
      <c r="C580" t="s">
        <v>41</v>
      </c>
      <c r="D580" t="s">
        <v>83</v>
      </c>
      <c r="E580" s="66">
        <f>INDEX(UserInput!$C$56:$M$76,MATCH(UserMade_Scenario!B580,UserInput!$A$56:$A$76,0),MATCH(LEFT(IF(RIGHT(C580,2)="H2",UserMade_Scenario!C580,D580),3),UserInput!$C$25:$M$25,0))</f>
        <v>1342</v>
      </c>
      <c r="F580" t="s">
        <v>81</v>
      </c>
      <c r="G580" s="14">
        <f t="shared" si="166"/>
        <v>1.1025953004658169E-2</v>
      </c>
      <c r="H580" s="63">
        <f t="shared" si="172"/>
        <v>0.29884015556012689</v>
      </c>
      <c r="I580" s="63">
        <f t="shared" si="173"/>
        <v>0.23068255246694386</v>
      </c>
      <c r="J580" s="63">
        <f t="shared" si="174"/>
        <v>0.36699775559039499</v>
      </c>
      <c r="K580" s="30">
        <f>IF(OR(LEFT($D580,5)="Solar",$D580="Wind"),INDEX(Land_Use[AVG],MATCH(LEFT($D580,5),Land_Use[Tech],0)),0)*$E580</f>
        <v>3355</v>
      </c>
      <c r="L580" s="30">
        <f>IF(OR(LEFT($D580,5)="Solar",$D580="Wind"),INDEX(Land_Use[MIN],MATCH(LEFT($D580,5),Land_Use[Tech],0)),0)*$E580</f>
        <v>1073.6000000000001</v>
      </c>
      <c r="M580" s="30">
        <f>IF(OR(LEFT($D580,5)="Solar",$D580="Wind"),INDEX(Land_Use[MAX],MATCH(LEFT($D580,5),Land_Use[Tech],0)),0)*$E580</f>
        <v>5636.4000000000005</v>
      </c>
      <c r="N580" s="15">
        <f t="shared" si="167"/>
        <v>0</v>
      </c>
      <c r="O580" s="11">
        <f t="shared" si="168"/>
        <v>46970</v>
      </c>
      <c r="P580" s="11">
        <f t="shared" si="169"/>
        <v>4697</v>
      </c>
      <c r="Q580" s="11">
        <f t="shared" si="170"/>
        <v>838750</v>
      </c>
      <c r="R580" s="11">
        <f t="shared" si="171"/>
        <v>1040.05</v>
      </c>
      <c r="S580" s="30">
        <f t="shared" si="175"/>
        <v>2.6667999999999998</v>
      </c>
      <c r="T580" s="30">
        <f t="shared" si="176"/>
        <v>4.6216999999999997</v>
      </c>
      <c r="U580" s="30">
        <f t="shared" si="177"/>
        <v>2.2600000000000002</v>
      </c>
      <c r="V580" s="30">
        <f t="shared" si="178"/>
        <v>0.12769</v>
      </c>
      <c r="W580" s="30">
        <f t="shared" si="179"/>
        <v>9.6761900000000018</v>
      </c>
      <c r="X580" s="30">
        <f t="shared" si="180"/>
        <v>77.409520000000015</v>
      </c>
      <c r="Z580" s="23" t="s">
        <v>76</v>
      </c>
      <c r="AA580" s="40">
        <f>IF(C580="Electricity",E580*SUMIFS(Electricity!S:S,Electricity!P:P,UserMade_Scenario!B580,Electricity!M:M,UserMade_Scenario!Z580,Electricity!O:O,UserMade_Scenario!D580),"")</f>
        <v>3062915.6844314407</v>
      </c>
      <c r="AB580" s="76">
        <f>1/Assumptions!$B$23/1000000000000</f>
        <v>3.5998225679871703E-9</v>
      </c>
      <c r="AC580" s="67" t="s">
        <v>82</v>
      </c>
      <c r="AD580" s="69">
        <f>INDEX(Table11[AVG
CO2e MT per MWh],MATCH(UserMade_Scenario!$B580,Table11[[Year]:[Year]],0))</f>
        <v>-9.756721579999994E-2</v>
      </c>
      <c r="AE580" s="69">
        <f>INDEX(Table11[MIN
CO2e MT per MWh],MATCH(UserMade_Scenario!$B580,Table11[[Year]:[Year]],0))</f>
        <v>-7.5314692350000073E-2</v>
      </c>
      <c r="AF580" s="69">
        <f>INDEX(Table11[MAX CO2e MT per MWh],MATCH(UserMade_Scenario!$B580,Table11[[Year]:[Year]],0))</f>
        <v>-0.11981973825000006</v>
      </c>
      <c r="AG580" s="68">
        <f>IFERROR(INDEX(WaterUseH2[Average Direct Water Consumption (Gal/ kg h2)],MATCH(LEFT(D580,3),WaterUseH2[Key],0)),0)</f>
        <v>0</v>
      </c>
      <c r="AH580">
        <v>14</v>
      </c>
      <c r="AI580">
        <v>1.4</v>
      </c>
      <c r="AJ580">
        <v>250</v>
      </c>
      <c r="AK580">
        <v>0.31</v>
      </c>
      <c r="AL580" s="63">
        <f>IFERROR(INDEX(Job_Training[[Solar]:[Wind]],MATCH(AL$1,Job_Training[[`Typical Entry Level Education`]:[`Typical Entry Level Education`]],0),MATCH(LEFT($D580,5),Job_Training[[#Headers],[Solar]:[Wind]],0)),0)</f>
        <v>2.3599999999999999E-2</v>
      </c>
      <c r="AM580" s="63">
        <f>IFERROR(INDEX(Job_Training[[Solar]:[Wind]],MATCH(AM$1,Job_Training[[`Typical Entry Level Education`]:[`Typical Entry Level Education`]],0),MATCH(LEFT($D580,5),Job_Training[[#Headers],[Solar]:[Wind]],0)),0)</f>
        <v>4.0899999999999999E-2</v>
      </c>
      <c r="AN580" s="63">
        <f>IFERROR(INDEX(Job_Training[[Solar]:[Wind]],MATCH(AN$1,Job_Training[[`Typical Entry Level Education`]:[`Typical Entry Level Education`]],0),MATCH(LEFT($D580,5),Job_Training[[#Headers],[Solar]:[Wind]],0)),0)</f>
        <v>0.02</v>
      </c>
      <c r="AO580" s="63">
        <f>IFERROR(INDEX(Job_Training[[Solar]:[Wind]],MATCH(AO$1,Job_Training[[`Typical Entry Level Education`]:[`Typical Entry Level Education`]],0),MATCH(LEFT($D580,5),Job_Training[[#Headers],[Solar]:[Wind]],0)),0)</f>
        <v>1.1299999999999999E-3</v>
      </c>
      <c r="AP580">
        <f t="shared" si="181"/>
        <v>113</v>
      </c>
      <c r="AQ580" s="63">
        <f>IF(AP580&gt;0,IFERROR(INDEX(Assumptions!$C$165:$D$165,MATCH(LEFT($D580,5),Job_Training[[#Headers],[Solar]:[Wind]],0)),0),0)</f>
        <v>8.5630000000000012E-2</v>
      </c>
      <c r="AR580">
        <f>IF(AP580&gt;0,IFERROR(INDEX(Assumptions!$C$166:$D$166,MATCH(LEFT($D580,5),Job_Training[[#Headers],[Solar]:[Wind]],0)),0),0)</f>
        <v>0.68504000000000009</v>
      </c>
    </row>
    <row r="581" spans="1:44" hidden="1" x14ac:dyDescent="0.35">
      <c r="A581" t="str">
        <f>UserInput!$B$56</f>
        <v>Max Buildout</v>
      </c>
      <c r="B581">
        <v>2037</v>
      </c>
      <c r="C581" t="s">
        <v>41</v>
      </c>
      <c r="D581" t="s">
        <v>83</v>
      </c>
      <c r="E581" s="66">
        <f>INDEX(UserInput!$C$56:$M$76,MATCH(UserMade_Scenario!B581,UserInput!$A$56:$A$76,0),MATCH(LEFT(IF(RIGHT(C581,2)="H2",UserMade_Scenario!C581,D581),3),UserInput!$C$25:$M$25,0))</f>
        <v>1455</v>
      </c>
      <c r="F581" t="s">
        <v>81</v>
      </c>
      <c r="G581" s="14">
        <f t="shared" si="166"/>
        <v>1.1849395283719031E-2</v>
      </c>
      <c r="H581" s="63">
        <f t="shared" si="172"/>
        <v>0.30725446556392372</v>
      </c>
      <c r="I581" s="63">
        <f t="shared" si="173"/>
        <v>0.23093280929396978</v>
      </c>
      <c r="J581" s="63">
        <f t="shared" si="174"/>
        <v>0.38357611854221757</v>
      </c>
      <c r="K581" s="30">
        <f>IF(OR(LEFT($D581,5)="Solar",$D581="Wind"),INDEX(Land_Use[AVG],MATCH(LEFT($D581,5),Land_Use[Tech],0)),0)*$E581</f>
        <v>3637.5</v>
      </c>
      <c r="L581" s="30">
        <f>IF(OR(LEFT($D581,5)="Solar",$D581="Wind"),INDEX(Land_Use[MIN],MATCH(LEFT($D581,5),Land_Use[Tech],0)),0)*$E581</f>
        <v>1164</v>
      </c>
      <c r="M581" s="30">
        <f>IF(OR(LEFT($D581,5)="Solar",$D581="Wind"),INDEX(Land_Use[MAX],MATCH(LEFT($D581,5),Land_Use[Tech],0)),0)*$E581</f>
        <v>6111</v>
      </c>
      <c r="N581" s="15">
        <f t="shared" si="167"/>
        <v>0</v>
      </c>
      <c r="O581" s="11">
        <f t="shared" si="168"/>
        <v>50925</v>
      </c>
      <c r="P581" s="11">
        <f t="shared" si="169"/>
        <v>5092.5</v>
      </c>
      <c r="Q581" s="11">
        <f t="shared" si="170"/>
        <v>909375</v>
      </c>
      <c r="R581" s="11">
        <f t="shared" si="171"/>
        <v>1127.625</v>
      </c>
      <c r="S581" s="30">
        <f t="shared" si="175"/>
        <v>2.6667999999999998</v>
      </c>
      <c r="T581" s="30">
        <f t="shared" si="176"/>
        <v>4.6216999999999997</v>
      </c>
      <c r="U581" s="30">
        <f t="shared" si="177"/>
        <v>2.2600000000000002</v>
      </c>
      <c r="V581" s="30">
        <f t="shared" si="178"/>
        <v>0.12769</v>
      </c>
      <c r="W581" s="30">
        <f t="shared" si="179"/>
        <v>9.6761900000000018</v>
      </c>
      <c r="X581" s="30">
        <f t="shared" si="180"/>
        <v>77.409520000000015</v>
      </c>
      <c r="Z581" s="23" t="s">
        <v>76</v>
      </c>
      <c r="AA581" s="40">
        <f>IF(C581="Electricity",E581*SUMIFS(Electricity!S:S,Electricity!P:P,UserMade_Scenario!B581,Electricity!M:M,UserMade_Scenario!Z581,Electricity!O:O,UserMade_Scenario!D581),"")</f>
        <v>3291660.9249284705</v>
      </c>
      <c r="AB581" s="76">
        <f>1/Assumptions!$B$23/1000000000000</f>
        <v>3.5998225679871703E-9</v>
      </c>
      <c r="AC581" s="67" t="s">
        <v>82</v>
      </c>
      <c r="AD581" s="69">
        <f>INDEX(Table11[AVG
CO2e MT per MWh],MATCH(UserMade_Scenario!$B581,Table11[[Year]:[Year]],0))</f>
        <v>-9.3343291599999934E-2</v>
      </c>
      <c r="AE581" s="69">
        <f>INDEX(Table11[MIN
CO2e MT per MWh],MATCH(UserMade_Scenario!$B581,Table11[[Year]:[Year]],0))</f>
        <v>-7.0156925200000081E-2</v>
      </c>
      <c r="AF581" s="69">
        <f>INDEX(Table11[MAX CO2e MT per MWh],MATCH(UserMade_Scenario!$B581,Table11[[Year]:[Year]],0))</f>
        <v>-0.11652965700000005</v>
      </c>
      <c r="AG581" s="68">
        <f>IFERROR(INDEX(WaterUseH2[Average Direct Water Consumption (Gal/ kg h2)],MATCH(LEFT(D581,3),WaterUseH2[Key],0)),0)</f>
        <v>0</v>
      </c>
      <c r="AH581">
        <v>14</v>
      </c>
      <c r="AI581">
        <v>1.4</v>
      </c>
      <c r="AJ581">
        <v>250</v>
      </c>
      <c r="AK581">
        <v>0.31</v>
      </c>
      <c r="AL581" s="63">
        <f>IFERROR(INDEX(Job_Training[[Solar]:[Wind]],MATCH(AL$1,Job_Training[[`Typical Entry Level Education`]:[`Typical Entry Level Education`]],0),MATCH(LEFT($D581,5),Job_Training[[#Headers],[Solar]:[Wind]],0)),0)</f>
        <v>2.3599999999999999E-2</v>
      </c>
      <c r="AM581" s="63">
        <f>IFERROR(INDEX(Job_Training[[Solar]:[Wind]],MATCH(AM$1,Job_Training[[`Typical Entry Level Education`]:[`Typical Entry Level Education`]],0),MATCH(LEFT($D581,5),Job_Training[[#Headers],[Solar]:[Wind]],0)),0)</f>
        <v>4.0899999999999999E-2</v>
      </c>
      <c r="AN581" s="63">
        <f>IFERROR(INDEX(Job_Training[[Solar]:[Wind]],MATCH(AN$1,Job_Training[[`Typical Entry Level Education`]:[`Typical Entry Level Education`]],0),MATCH(LEFT($D581,5),Job_Training[[#Headers],[Solar]:[Wind]],0)),0)</f>
        <v>0.02</v>
      </c>
      <c r="AO581" s="63">
        <f>IFERROR(INDEX(Job_Training[[Solar]:[Wind]],MATCH(AO$1,Job_Training[[`Typical Entry Level Education`]:[`Typical Entry Level Education`]],0),MATCH(LEFT($D581,5),Job_Training[[#Headers],[Solar]:[Wind]],0)),0)</f>
        <v>1.1299999999999999E-3</v>
      </c>
      <c r="AP581">
        <f t="shared" si="181"/>
        <v>113</v>
      </c>
      <c r="AQ581" s="63">
        <f>IF(AP581&gt;0,IFERROR(INDEX(Assumptions!$C$165:$D$165,MATCH(LEFT($D581,5),Job_Training[[#Headers],[Solar]:[Wind]],0)),0),0)</f>
        <v>8.5630000000000012E-2</v>
      </c>
      <c r="AR581">
        <f>IF(AP581&gt;0,IFERROR(INDEX(Assumptions!$C$166:$D$166,MATCH(LEFT($D581,5),Job_Training[[#Headers],[Solar]:[Wind]],0)),0),0)</f>
        <v>0.68504000000000009</v>
      </c>
    </row>
    <row r="582" spans="1:44" hidden="1" x14ac:dyDescent="0.35">
      <c r="A582" t="str">
        <f>UserInput!$B$56</f>
        <v>Max Buildout</v>
      </c>
      <c r="B582">
        <v>2038</v>
      </c>
      <c r="C582" t="s">
        <v>41</v>
      </c>
      <c r="D582" t="s">
        <v>83</v>
      </c>
      <c r="E582" s="66">
        <f>INDEX(UserInput!$C$56:$M$76,MATCH(UserMade_Scenario!B582,UserInput!$A$56:$A$76,0),MATCH(LEFT(IF(RIGHT(C582,2)="H2",UserMade_Scenario!C582,D582),3),UserInput!$C$25:$M$25,0))</f>
        <v>1568</v>
      </c>
      <c r="F582" t="s">
        <v>81</v>
      </c>
      <c r="G582" s="14">
        <f t="shared" si="166"/>
        <v>1.2656532549422367E-2</v>
      </c>
      <c r="H582" s="63">
        <f t="shared" si="172"/>
        <v>0.31333271376003269</v>
      </c>
      <c r="I582" s="63">
        <f t="shared" si="173"/>
        <v>0.22852902997518157</v>
      </c>
      <c r="J582" s="63">
        <f t="shared" si="174"/>
        <v>0.39813639402900797</v>
      </c>
      <c r="K582" s="30">
        <f>IF(OR(LEFT($D582,5)="Solar",$D582="Wind"),INDEX(Land_Use[AVG],MATCH(LEFT($D582,5),Land_Use[Tech],0)),0)*$E582</f>
        <v>3920</v>
      </c>
      <c r="L582" s="30">
        <f>IF(OR(LEFT($D582,5)="Solar",$D582="Wind"),INDEX(Land_Use[MIN],MATCH(LEFT($D582,5),Land_Use[Tech],0)),0)*$E582</f>
        <v>1254.4000000000001</v>
      </c>
      <c r="M582" s="30">
        <f>IF(OR(LEFT($D582,5)="Solar",$D582="Wind"),INDEX(Land_Use[MAX],MATCH(LEFT($D582,5),Land_Use[Tech],0)),0)*$E582</f>
        <v>6585.6</v>
      </c>
      <c r="N582" s="15">
        <f t="shared" si="167"/>
        <v>0</v>
      </c>
      <c r="O582" s="11">
        <f t="shared" si="168"/>
        <v>54880</v>
      </c>
      <c r="P582" s="11">
        <f t="shared" si="169"/>
        <v>5488</v>
      </c>
      <c r="Q582" s="11">
        <f t="shared" si="170"/>
        <v>980000</v>
      </c>
      <c r="R582" s="11">
        <f t="shared" si="171"/>
        <v>1215.2</v>
      </c>
      <c r="S582" s="30">
        <f t="shared" si="175"/>
        <v>2.6667999999999998</v>
      </c>
      <c r="T582" s="30">
        <f t="shared" si="176"/>
        <v>4.6216999999999997</v>
      </c>
      <c r="U582" s="30">
        <f t="shared" si="177"/>
        <v>2.2600000000000002</v>
      </c>
      <c r="V582" s="30">
        <f t="shared" si="178"/>
        <v>0.12769</v>
      </c>
      <c r="W582" s="30">
        <f t="shared" si="179"/>
        <v>9.6761900000000018</v>
      </c>
      <c r="X582" s="30">
        <f t="shared" si="180"/>
        <v>77.409520000000015</v>
      </c>
      <c r="Z582" s="23" t="s">
        <v>76</v>
      </c>
      <c r="AA582" s="40">
        <f>IF(C582="Electricity",E582*SUMIFS(Electricity!S:S,Electricity!P:P,UserMade_Scenario!B582,Electricity!M:M,UserMade_Scenario!Z582,Electricity!O:O,UserMade_Scenario!D582),"")</f>
        <v>3515876.7718096809</v>
      </c>
      <c r="AB582" s="76">
        <f>1/Assumptions!$B$23/1000000000000</f>
        <v>3.5998225679871703E-9</v>
      </c>
      <c r="AC582" s="67" t="s">
        <v>82</v>
      </c>
      <c r="AD582" s="69">
        <f>INDEX(Table11[AVG
CO2e MT per MWh],MATCH(UserMade_Scenario!$B582,Table11[[Year]:[Year]],0))</f>
        <v>-8.9119367399999927E-2</v>
      </c>
      <c r="AE582" s="69">
        <f>INDEX(Table11[MIN
CO2e MT per MWh],MATCH(UserMade_Scenario!$B582,Table11[[Year]:[Year]],0))</f>
        <v>-6.4999158050000089E-2</v>
      </c>
      <c r="AF582" s="69">
        <f>INDEX(Table11[MAX CO2e MT per MWh],MATCH(UserMade_Scenario!$B582,Table11[[Year]:[Year]],0))</f>
        <v>-0.11323957575000004</v>
      </c>
      <c r="AG582" s="68">
        <f>IFERROR(INDEX(WaterUseH2[Average Direct Water Consumption (Gal/ kg h2)],MATCH(LEFT(D582,3),WaterUseH2[Key],0)),0)</f>
        <v>0</v>
      </c>
      <c r="AH582">
        <v>14</v>
      </c>
      <c r="AI582">
        <v>1.4</v>
      </c>
      <c r="AJ582">
        <v>250</v>
      </c>
      <c r="AK582">
        <v>0.31</v>
      </c>
      <c r="AL582" s="63">
        <f>IFERROR(INDEX(Job_Training[[Solar]:[Wind]],MATCH(AL$1,Job_Training[[`Typical Entry Level Education`]:[`Typical Entry Level Education`]],0),MATCH(LEFT($D582,5),Job_Training[[#Headers],[Solar]:[Wind]],0)),0)</f>
        <v>2.3599999999999999E-2</v>
      </c>
      <c r="AM582" s="63">
        <f>IFERROR(INDEX(Job_Training[[Solar]:[Wind]],MATCH(AM$1,Job_Training[[`Typical Entry Level Education`]:[`Typical Entry Level Education`]],0),MATCH(LEFT($D582,5),Job_Training[[#Headers],[Solar]:[Wind]],0)),0)</f>
        <v>4.0899999999999999E-2</v>
      </c>
      <c r="AN582" s="63">
        <f>IFERROR(INDEX(Job_Training[[Solar]:[Wind]],MATCH(AN$1,Job_Training[[`Typical Entry Level Education`]:[`Typical Entry Level Education`]],0),MATCH(LEFT($D582,5),Job_Training[[#Headers],[Solar]:[Wind]],0)),0)</f>
        <v>0.02</v>
      </c>
      <c r="AO582" s="63">
        <f>IFERROR(INDEX(Job_Training[[Solar]:[Wind]],MATCH(AO$1,Job_Training[[`Typical Entry Level Education`]:[`Typical Entry Level Education`]],0),MATCH(LEFT($D582,5),Job_Training[[#Headers],[Solar]:[Wind]],0)),0)</f>
        <v>1.1299999999999999E-3</v>
      </c>
      <c r="AP582">
        <f t="shared" si="181"/>
        <v>113</v>
      </c>
      <c r="AQ582" s="63">
        <f>IF(AP582&gt;0,IFERROR(INDEX(Assumptions!$C$165:$D$165,MATCH(LEFT($D582,5),Job_Training[[#Headers],[Solar]:[Wind]],0)),0),0)</f>
        <v>8.5630000000000012E-2</v>
      </c>
      <c r="AR582">
        <f>IF(AP582&gt;0,IFERROR(INDEX(Assumptions!$C$166:$D$166,MATCH(LEFT($D582,5),Job_Training[[#Headers],[Solar]:[Wind]],0)),0),0)</f>
        <v>0.68504000000000009</v>
      </c>
    </row>
    <row r="583" spans="1:44" hidden="1" x14ac:dyDescent="0.35">
      <c r="A583" t="str">
        <f>UserInput!$B$56</f>
        <v>Max Buildout</v>
      </c>
      <c r="B583">
        <v>2039</v>
      </c>
      <c r="C583" t="s">
        <v>41</v>
      </c>
      <c r="D583" t="s">
        <v>83</v>
      </c>
      <c r="E583" s="66">
        <f>INDEX(UserInput!$C$56:$M$76,MATCH(UserMade_Scenario!B583,UserInput!$A$56:$A$76,0),MATCH(LEFT(IF(RIGHT(C583,2)="H2",UserMade_Scenario!C583,D583),3),UserInput!$C$25:$M$25,0))</f>
        <v>1681</v>
      </c>
      <c r="F583" t="s">
        <v>81</v>
      </c>
      <c r="G583" s="14">
        <f t="shared" si="166"/>
        <v>1.3447364801768181E-2</v>
      </c>
      <c r="H583" s="63">
        <f t="shared" si="172"/>
        <v>0.31713229559436934</v>
      </c>
      <c r="I583" s="63">
        <f t="shared" si="173"/>
        <v>0.22354129918338242</v>
      </c>
      <c r="J583" s="63">
        <f t="shared" si="174"/>
        <v>0.41072328826979404</v>
      </c>
      <c r="K583" s="30">
        <f>IF(OR(LEFT($D583,5)="Solar",$D583="Wind"),INDEX(Land_Use[AVG],MATCH(LEFT($D583,5),Land_Use[Tech],0)),0)*$E583</f>
        <v>4202.5</v>
      </c>
      <c r="L583" s="30">
        <f>IF(OR(LEFT($D583,5)="Solar",$D583="Wind"),INDEX(Land_Use[MIN],MATCH(LEFT($D583,5),Land_Use[Tech],0)),0)*$E583</f>
        <v>1344.8000000000002</v>
      </c>
      <c r="M583" s="30">
        <f>IF(OR(LEFT($D583,5)="Solar",$D583="Wind"),INDEX(Land_Use[MAX],MATCH(LEFT($D583,5),Land_Use[Tech],0)),0)*$E583</f>
        <v>7060.2000000000007</v>
      </c>
      <c r="N583" s="15">
        <f t="shared" si="167"/>
        <v>0</v>
      </c>
      <c r="O583" s="11">
        <f t="shared" si="168"/>
        <v>58835</v>
      </c>
      <c r="P583" s="11">
        <f t="shared" si="169"/>
        <v>5883.5</v>
      </c>
      <c r="Q583" s="11">
        <f t="shared" si="170"/>
        <v>1050625</v>
      </c>
      <c r="R583" s="11">
        <f t="shared" si="171"/>
        <v>1302.7750000000001</v>
      </c>
      <c r="S583" s="30">
        <f t="shared" si="175"/>
        <v>2.6667999999999998</v>
      </c>
      <c r="T583" s="30">
        <f t="shared" si="176"/>
        <v>4.6216999999999997</v>
      </c>
      <c r="U583" s="30">
        <f t="shared" si="177"/>
        <v>2.2600000000000002</v>
      </c>
      <c r="V583" s="30">
        <f t="shared" si="178"/>
        <v>0.12769</v>
      </c>
      <c r="W583" s="30">
        <f t="shared" si="179"/>
        <v>9.6761900000000018</v>
      </c>
      <c r="X583" s="30">
        <f t="shared" si="180"/>
        <v>77.409520000000015</v>
      </c>
      <c r="Z583" s="23" t="s">
        <v>76</v>
      </c>
      <c r="AA583" s="40">
        <f>IF(C583="Electricity",E583*SUMIFS(Electricity!S:S,Electricity!P:P,UserMade_Scenario!B583,Electricity!M:M,UserMade_Scenario!Z583,Electricity!O:O,UserMade_Scenario!D583),"")</f>
        <v>3735563.2250750721</v>
      </c>
      <c r="AB583" s="76">
        <f>1/Assumptions!$B$23/1000000000000</f>
        <v>3.5998225679871703E-9</v>
      </c>
      <c r="AC583" s="67" t="s">
        <v>82</v>
      </c>
      <c r="AD583" s="69">
        <f>INDEX(Table11[AVG
CO2e MT per MWh],MATCH(UserMade_Scenario!$B583,Table11[[Year]:[Year]],0))</f>
        <v>-8.489544319999992E-2</v>
      </c>
      <c r="AE583" s="69">
        <f>INDEX(Table11[MIN
CO2e MT per MWh],MATCH(UserMade_Scenario!$B583,Table11[[Year]:[Year]],0))</f>
        <v>-5.984139090000009E-2</v>
      </c>
      <c r="AF583" s="69">
        <f>INDEX(Table11[MAX CO2e MT per MWh],MATCH(UserMade_Scenario!$B583,Table11[[Year]:[Year]],0))</f>
        <v>-0.10994949450000004</v>
      </c>
      <c r="AG583" s="68">
        <f>IFERROR(INDEX(WaterUseH2[Average Direct Water Consumption (Gal/ kg h2)],MATCH(LEFT(D583,3),WaterUseH2[Key],0)),0)</f>
        <v>0</v>
      </c>
      <c r="AH583">
        <v>14</v>
      </c>
      <c r="AI583">
        <v>1.4</v>
      </c>
      <c r="AJ583">
        <v>250</v>
      </c>
      <c r="AK583">
        <v>0.31</v>
      </c>
      <c r="AL583" s="63">
        <f>IFERROR(INDEX(Job_Training[[Solar]:[Wind]],MATCH(AL$1,Job_Training[[`Typical Entry Level Education`]:[`Typical Entry Level Education`]],0),MATCH(LEFT($D583,5),Job_Training[[#Headers],[Solar]:[Wind]],0)),0)</f>
        <v>2.3599999999999999E-2</v>
      </c>
      <c r="AM583" s="63">
        <f>IFERROR(INDEX(Job_Training[[Solar]:[Wind]],MATCH(AM$1,Job_Training[[`Typical Entry Level Education`]:[`Typical Entry Level Education`]],0),MATCH(LEFT($D583,5),Job_Training[[#Headers],[Solar]:[Wind]],0)),0)</f>
        <v>4.0899999999999999E-2</v>
      </c>
      <c r="AN583" s="63">
        <f>IFERROR(INDEX(Job_Training[[Solar]:[Wind]],MATCH(AN$1,Job_Training[[`Typical Entry Level Education`]:[`Typical Entry Level Education`]],0),MATCH(LEFT($D583,5),Job_Training[[#Headers],[Solar]:[Wind]],0)),0)</f>
        <v>0.02</v>
      </c>
      <c r="AO583" s="63">
        <f>IFERROR(INDEX(Job_Training[[Solar]:[Wind]],MATCH(AO$1,Job_Training[[`Typical Entry Level Education`]:[`Typical Entry Level Education`]],0),MATCH(LEFT($D583,5),Job_Training[[#Headers],[Solar]:[Wind]],0)),0)</f>
        <v>1.1299999999999999E-3</v>
      </c>
      <c r="AP583">
        <f t="shared" si="181"/>
        <v>113</v>
      </c>
      <c r="AQ583" s="63">
        <f>IF(AP583&gt;0,IFERROR(INDEX(Assumptions!$C$165:$D$165,MATCH(LEFT($D583,5),Job_Training[[#Headers],[Solar]:[Wind]],0)),0),0)</f>
        <v>8.5630000000000012E-2</v>
      </c>
      <c r="AR583">
        <f>IF(AP583&gt;0,IFERROR(INDEX(Assumptions!$C$166:$D$166,MATCH(LEFT($D583,5),Job_Training[[#Headers],[Solar]:[Wind]],0)),0),0)</f>
        <v>0.68504000000000009</v>
      </c>
    </row>
    <row r="584" spans="1:44" hidden="1" x14ac:dyDescent="0.35">
      <c r="A584" t="str">
        <f>UserInput!$B$56</f>
        <v>Max Buildout</v>
      </c>
      <c r="B584">
        <v>2040</v>
      </c>
      <c r="C584" t="s">
        <v>41</v>
      </c>
      <c r="D584" t="s">
        <v>83</v>
      </c>
      <c r="E584" s="66">
        <f>INDEX(UserInput!$C$56:$M$76,MATCH(UserMade_Scenario!B584,UserInput!$A$56:$A$76,0),MATCH(LEFT(IF(RIGHT(C584,2)="H2",UserMade_Scenario!C584,D584),3),UserInput!$C$25:$M$25,0))</f>
        <v>1794</v>
      </c>
      <c r="F584" t="s">
        <v>81</v>
      </c>
      <c r="G584" s="14">
        <f t="shared" si="166"/>
        <v>1.4221892040756471E-2</v>
      </c>
      <c r="H584" s="63">
        <f t="shared" si="172"/>
        <v>0.31871060651284916</v>
      </c>
      <c r="I584" s="63">
        <f t="shared" si="173"/>
        <v>0.21603970159137564</v>
      </c>
      <c r="J584" s="63">
        <f t="shared" si="174"/>
        <v>0.42138150748360353</v>
      </c>
      <c r="K584" s="30">
        <f>IF(OR(LEFT($D584,5)="Solar",$D584="Wind"),INDEX(Land_Use[AVG],MATCH(LEFT($D584,5),Land_Use[Tech],0)),0)*$E584</f>
        <v>4485</v>
      </c>
      <c r="L584" s="30">
        <f>IF(OR(LEFT($D584,5)="Solar",$D584="Wind"),INDEX(Land_Use[MIN],MATCH(LEFT($D584,5),Land_Use[Tech],0)),0)*$E584</f>
        <v>1435.2</v>
      </c>
      <c r="M584" s="30">
        <f>IF(OR(LEFT($D584,5)="Solar",$D584="Wind"),INDEX(Land_Use[MAX],MATCH(LEFT($D584,5),Land_Use[Tech],0)),0)*$E584</f>
        <v>7534.8</v>
      </c>
      <c r="N584" s="15">
        <f t="shared" si="167"/>
        <v>0</v>
      </c>
      <c r="O584" s="11">
        <f t="shared" si="168"/>
        <v>62790</v>
      </c>
      <c r="P584" s="11">
        <f t="shared" si="169"/>
        <v>6279</v>
      </c>
      <c r="Q584" s="11">
        <f t="shared" si="170"/>
        <v>1121250</v>
      </c>
      <c r="R584" s="11">
        <f t="shared" si="171"/>
        <v>1390.35</v>
      </c>
      <c r="S584" s="30">
        <f t="shared" si="175"/>
        <v>2.6667999999999998</v>
      </c>
      <c r="T584" s="30">
        <f t="shared" si="176"/>
        <v>4.6216999999999997</v>
      </c>
      <c r="U584" s="30">
        <f t="shared" si="177"/>
        <v>2.2600000000000002</v>
      </c>
      <c r="V584" s="30">
        <f t="shared" si="178"/>
        <v>0.12769</v>
      </c>
      <c r="W584" s="30">
        <f t="shared" si="179"/>
        <v>9.6761900000000018</v>
      </c>
      <c r="X584" s="30">
        <f t="shared" si="180"/>
        <v>77.409520000000015</v>
      </c>
      <c r="Z584" s="23" t="s">
        <v>76</v>
      </c>
      <c r="AA584" s="40">
        <f>IF(C584="Electricity",E584*SUMIFS(Electricity!S:S,Electricity!P:P,UserMade_Scenario!B584,Electricity!M:M,UserMade_Scenario!Z584,Electricity!O:O,UserMade_Scenario!D584),"")</f>
        <v>3950720.2847246435</v>
      </c>
      <c r="AB584" s="76">
        <f>1/Assumptions!$B$23/1000000000000</f>
        <v>3.5998225679871703E-9</v>
      </c>
      <c r="AC584" s="67" t="s">
        <v>82</v>
      </c>
      <c r="AD584" s="69">
        <f>INDEX(Table11[AVG
CO2e MT per MWh],MATCH(UserMade_Scenario!$B584,Table11[[Year]:[Year]],0))</f>
        <v>-8.0671518999999914E-2</v>
      </c>
      <c r="AE584" s="69">
        <f>INDEX(Table11[MIN
CO2e MT per MWh],MATCH(UserMade_Scenario!$B584,Table11[[Year]:[Year]],0))</f>
        <v>-5.468362375000009E-2</v>
      </c>
      <c r="AF584" s="69">
        <f>INDEX(Table11[MAX CO2e MT per MWh],MATCH(UserMade_Scenario!$B584,Table11[[Year]:[Year]],0))</f>
        <v>-0.10665941325000003</v>
      </c>
      <c r="AG584" s="68">
        <f>IFERROR(INDEX(WaterUseH2[Average Direct Water Consumption (Gal/ kg h2)],MATCH(LEFT(D584,3),WaterUseH2[Key],0)),0)</f>
        <v>0</v>
      </c>
      <c r="AH584">
        <v>14</v>
      </c>
      <c r="AI584">
        <v>1.4</v>
      </c>
      <c r="AJ584">
        <v>250</v>
      </c>
      <c r="AK584">
        <v>0.31</v>
      </c>
      <c r="AL584" s="63">
        <f>IFERROR(INDEX(Job_Training[[Solar]:[Wind]],MATCH(AL$1,Job_Training[[`Typical Entry Level Education`]:[`Typical Entry Level Education`]],0),MATCH(LEFT($D584,5),Job_Training[[#Headers],[Solar]:[Wind]],0)),0)</f>
        <v>2.3599999999999999E-2</v>
      </c>
      <c r="AM584" s="63">
        <f>IFERROR(INDEX(Job_Training[[Solar]:[Wind]],MATCH(AM$1,Job_Training[[`Typical Entry Level Education`]:[`Typical Entry Level Education`]],0),MATCH(LEFT($D584,5),Job_Training[[#Headers],[Solar]:[Wind]],0)),0)</f>
        <v>4.0899999999999999E-2</v>
      </c>
      <c r="AN584" s="63">
        <f>IFERROR(INDEX(Job_Training[[Solar]:[Wind]],MATCH(AN$1,Job_Training[[`Typical Entry Level Education`]:[`Typical Entry Level Education`]],0),MATCH(LEFT($D584,5),Job_Training[[#Headers],[Solar]:[Wind]],0)),0)</f>
        <v>0.02</v>
      </c>
      <c r="AO584" s="63">
        <f>IFERROR(INDEX(Job_Training[[Solar]:[Wind]],MATCH(AO$1,Job_Training[[`Typical Entry Level Education`]:[`Typical Entry Level Education`]],0),MATCH(LEFT($D584,5),Job_Training[[#Headers],[Solar]:[Wind]],0)),0)</f>
        <v>1.1299999999999999E-3</v>
      </c>
      <c r="AP584">
        <f t="shared" si="181"/>
        <v>113</v>
      </c>
      <c r="AQ584" s="63">
        <f>IF(AP584&gt;0,IFERROR(INDEX(Assumptions!$C$165:$D$165,MATCH(LEFT($D584,5),Job_Training[[#Headers],[Solar]:[Wind]],0)),0),0)</f>
        <v>8.5630000000000012E-2</v>
      </c>
      <c r="AR584">
        <f>IF(AP584&gt;0,IFERROR(INDEX(Assumptions!$C$166:$D$166,MATCH(LEFT($D584,5),Job_Training[[#Headers],[Solar]:[Wind]],0)),0),0)</f>
        <v>0.68504000000000009</v>
      </c>
    </row>
    <row r="585" spans="1:44" hidden="1" x14ac:dyDescent="0.35">
      <c r="A585" t="str">
        <f>UserInput!$B$56</f>
        <v>Max Buildout</v>
      </c>
      <c r="B585">
        <v>2041</v>
      </c>
      <c r="C585" t="s">
        <v>41</v>
      </c>
      <c r="D585" t="s">
        <v>83</v>
      </c>
      <c r="E585" s="66">
        <f>INDEX(UserInput!$C$56:$M$76,MATCH(UserMade_Scenario!B585,UserInput!$A$56:$A$76,0),MATCH(LEFT(IF(RIGHT(C585,2)="H2",UserMade_Scenario!C585,D585),3),UserInput!$C$25:$M$25,0))</f>
        <v>1907</v>
      </c>
      <c r="F585" t="s">
        <v>81</v>
      </c>
      <c r="G585" s="14">
        <f t="shared" si="166"/>
        <v>1.4980114266387238E-2</v>
      </c>
      <c r="H585" s="63">
        <f t="shared" si="172"/>
        <v>0.31812504196138786</v>
      </c>
      <c r="I585" s="63">
        <f t="shared" si="173"/>
        <v>0.20609432187196458</v>
      </c>
      <c r="J585" s="63">
        <f t="shared" si="174"/>
        <v>0.43015575788946442</v>
      </c>
      <c r="K585" s="30">
        <f>IF(OR(LEFT($D585,5)="Solar",$D585="Wind"),INDEX(Land_Use[AVG],MATCH(LEFT($D585,5),Land_Use[Tech],0)),0)*$E585</f>
        <v>4767.5</v>
      </c>
      <c r="L585" s="30">
        <f>IF(OR(LEFT($D585,5)="Solar",$D585="Wind"),INDEX(Land_Use[MIN],MATCH(LEFT($D585,5),Land_Use[Tech],0)),0)*$E585</f>
        <v>1525.6000000000001</v>
      </c>
      <c r="M585" s="30">
        <f>IF(OR(LEFT($D585,5)="Solar",$D585="Wind"),INDEX(Land_Use[MAX],MATCH(LEFT($D585,5),Land_Use[Tech],0)),0)*$E585</f>
        <v>8009.4000000000005</v>
      </c>
      <c r="N585" s="15">
        <f t="shared" si="167"/>
        <v>0</v>
      </c>
      <c r="O585" s="11">
        <f t="shared" si="168"/>
        <v>66745</v>
      </c>
      <c r="P585" s="11">
        <f t="shared" si="169"/>
        <v>6674.5</v>
      </c>
      <c r="Q585" s="11">
        <f t="shared" si="170"/>
        <v>1191875</v>
      </c>
      <c r="R585" s="11">
        <f t="shared" si="171"/>
        <v>1477.925</v>
      </c>
      <c r="S585" s="30">
        <f t="shared" si="175"/>
        <v>2.6667999999999998</v>
      </c>
      <c r="T585" s="30">
        <f t="shared" si="176"/>
        <v>4.6216999999999997</v>
      </c>
      <c r="U585" s="30">
        <f t="shared" si="177"/>
        <v>2.2600000000000002</v>
      </c>
      <c r="V585" s="30">
        <f t="shared" si="178"/>
        <v>0.12769</v>
      </c>
      <c r="W585" s="30">
        <f t="shared" si="179"/>
        <v>9.6761900000000018</v>
      </c>
      <c r="X585" s="30">
        <f t="shared" si="180"/>
        <v>77.409520000000015</v>
      </c>
      <c r="Z585" s="23" t="s">
        <v>76</v>
      </c>
      <c r="AA585" s="40">
        <f>IF(C585="Electricity",E585*SUMIFS(Electricity!S:S,Electricity!P:P,UserMade_Scenario!B585,Electricity!M:M,UserMade_Scenario!Z585,Electricity!O:O,UserMade_Scenario!D585),"")</f>
        <v>4161347.9507583962</v>
      </c>
      <c r="AB585" s="76">
        <f>1/Assumptions!$B$23/1000000000000</f>
        <v>3.5998225679871703E-9</v>
      </c>
      <c r="AC585" s="67" t="s">
        <v>82</v>
      </c>
      <c r="AD585" s="69">
        <f>INDEX(Table11[AVG
CO2e MT per MWh],MATCH(UserMade_Scenario!$B585,Table11[[Year]:[Year]],0))</f>
        <v>-7.6447594799999907E-2</v>
      </c>
      <c r="AE585" s="69">
        <f>INDEX(Table11[MIN
CO2e MT per MWh],MATCH(UserMade_Scenario!$B585,Table11[[Year]:[Year]],0))</f>
        <v>-4.9525856600000091E-2</v>
      </c>
      <c r="AF585" s="69">
        <f>INDEX(Table11[MAX CO2e MT per MWh],MATCH(UserMade_Scenario!$B585,Table11[[Year]:[Year]],0))</f>
        <v>-0.10336933200000002</v>
      </c>
      <c r="AG585" s="68">
        <f>IFERROR(INDEX(WaterUseH2[Average Direct Water Consumption (Gal/ kg h2)],MATCH(LEFT(D585,3),WaterUseH2[Key],0)),0)</f>
        <v>0</v>
      </c>
      <c r="AH585">
        <v>14</v>
      </c>
      <c r="AI585">
        <v>1.4</v>
      </c>
      <c r="AJ585">
        <v>250</v>
      </c>
      <c r="AK585">
        <v>0.31</v>
      </c>
      <c r="AL585" s="63">
        <f>IFERROR(INDEX(Job_Training[[Solar]:[Wind]],MATCH(AL$1,Job_Training[[`Typical Entry Level Education`]:[`Typical Entry Level Education`]],0),MATCH(LEFT($D585,5),Job_Training[[#Headers],[Solar]:[Wind]],0)),0)</f>
        <v>2.3599999999999999E-2</v>
      </c>
      <c r="AM585" s="63">
        <f>IFERROR(INDEX(Job_Training[[Solar]:[Wind]],MATCH(AM$1,Job_Training[[`Typical Entry Level Education`]:[`Typical Entry Level Education`]],0),MATCH(LEFT($D585,5),Job_Training[[#Headers],[Solar]:[Wind]],0)),0)</f>
        <v>4.0899999999999999E-2</v>
      </c>
      <c r="AN585" s="63">
        <f>IFERROR(INDEX(Job_Training[[Solar]:[Wind]],MATCH(AN$1,Job_Training[[`Typical Entry Level Education`]:[`Typical Entry Level Education`]],0),MATCH(LEFT($D585,5),Job_Training[[#Headers],[Solar]:[Wind]],0)),0)</f>
        <v>0.02</v>
      </c>
      <c r="AO585" s="63">
        <f>IFERROR(INDEX(Job_Training[[Solar]:[Wind]],MATCH(AO$1,Job_Training[[`Typical Entry Level Education`]:[`Typical Entry Level Education`]],0),MATCH(LEFT($D585,5),Job_Training[[#Headers],[Solar]:[Wind]],0)),0)</f>
        <v>1.1299999999999999E-3</v>
      </c>
      <c r="AP585">
        <f t="shared" si="181"/>
        <v>113</v>
      </c>
      <c r="AQ585" s="63">
        <f>IF(AP585&gt;0,IFERROR(INDEX(Assumptions!$C$165:$D$165,MATCH(LEFT($D585,5),Job_Training[[#Headers],[Solar]:[Wind]],0)),0),0)</f>
        <v>8.5630000000000012E-2</v>
      </c>
      <c r="AR585">
        <f>IF(AP585&gt;0,IFERROR(INDEX(Assumptions!$C$166:$D$166,MATCH(LEFT($D585,5),Job_Training[[#Headers],[Solar]:[Wind]],0)),0),0)</f>
        <v>0.68504000000000009</v>
      </c>
    </row>
    <row r="586" spans="1:44" hidden="1" x14ac:dyDescent="0.35">
      <c r="A586" t="str">
        <f>UserInput!$B$56</f>
        <v>Max Buildout</v>
      </c>
      <c r="B586">
        <v>2042</v>
      </c>
      <c r="C586" t="s">
        <v>41</v>
      </c>
      <c r="D586" t="s">
        <v>83</v>
      </c>
      <c r="E586" s="66">
        <f>INDEX(UserInput!$C$56:$M$76,MATCH(UserMade_Scenario!B586,UserInput!$A$56:$A$76,0),MATCH(LEFT(IF(RIGHT(C586,2)="H2",UserMade_Scenario!C586,D586),3),UserInput!$C$25:$M$25,0))</f>
        <v>2020</v>
      </c>
      <c r="F586" t="s">
        <v>81</v>
      </c>
      <c r="G586" s="14">
        <f t="shared" si="166"/>
        <v>1.5722031478660484E-2</v>
      </c>
      <c r="H586" s="63">
        <f t="shared" si="172"/>
        <v>0.31543299738590086</v>
      </c>
      <c r="I586" s="63">
        <f t="shared" si="173"/>
        <v>0.19377524469795243</v>
      </c>
      <c r="J586" s="63">
        <f t="shared" si="174"/>
        <v>0.43709074570640438</v>
      </c>
      <c r="K586" s="30">
        <f>IF(OR(LEFT($D586,5)="Solar",$D586="Wind"),INDEX(Land_Use[AVG],MATCH(LEFT($D586,5),Land_Use[Tech],0)),0)*$E586</f>
        <v>5050</v>
      </c>
      <c r="L586" s="30">
        <f>IF(OR(LEFT($D586,5)="Solar",$D586="Wind"),INDEX(Land_Use[MIN],MATCH(LEFT($D586,5),Land_Use[Tech],0)),0)*$E586</f>
        <v>1616</v>
      </c>
      <c r="M586" s="30">
        <f>IF(OR(LEFT($D586,5)="Solar",$D586="Wind"),INDEX(Land_Use[MAX],MATCH(LEFT($D586,5),Land_Use[Tech],0)),0)*$E586</f>
        <v>8484</v>
      </c>
      <c r="N586" s="15">
        <f t="shared" si="167"/>
        <v>0</v>
      </c>
      <c r="O586" s="11">
        <f t="shared" si="168"/>
        <v>70700</v>
      </c>
      <c r="P586" s="11">
        <f t="shared" si="169"/>
        <v>7070</v>
      </c>
      <c r="Q586" s="11">
        <f t="shared" si="170"/>
        <v>1262500</v>
      </c>
      <c r="R586" s="11">
        <f t="shared" si="171"/>
        <v>1565.5</v>
      </c>
      <c r="S586" s="30">
        <f t="shared" si="175"/>
        <v>2.6667999999999998</v>
      </c>
      <c r="T586" s="30">
        <f t="shared" si="176"/>
        <v>4.6216999999999997</v>
      </c>
      <c r="U586" s="30">
        <f t="shared" si="177"/>
        <v>2.2600000000000002</v>
      </c>
      <c r="V586" s="30">
        <f t="shared" si="178"/>
        <v>0.12769</v>
      </c>
      <c r="W586" s="30">
        <f t="shared" si="179"/>
        <v>9.6761900000000018</v>
      </c>
      <c r="X586" s="30">
        <f t="shared" si="180"/>
        <v>77.409520000000015</v>
      </c>
      <c r="Z586" s="23" t="s">
        <v>76</v>
      </c>
      <c r="AA586" s="40">
        <f>IF(C586="Electricity",E586*SUMIFS(Electricity!S:S,Electricity!P:P,UserMade_Scenario!B586,Electricity!M:M,UserMade_Scenario!Z586,Electricity!O:O,UserMade_Scenario!D586),"")</f>
        <v>4367446.2231763294</v>
      </c>
      <c r="AB586" s="76">
        <f>1/Assumptions!$B$23/1000000000000</f>
        <v>3.5998225679871703E-9</v>
      </c>
      <c r="AC586" s="67" t="s">
        <v>82</v>
      </c>
      <c r="AD586" s="69">
        <f>INDEX(Table11[AVG
CO2e MT per MWh],MATCH(UserMade_Scenario!$B586,Table11[[Year]:[Year]],0))</f>
        <v>-7.2223670599999901E-2</v>
      </c>
      <c r="AE586" s="69">
        <f>INDEX(Table11[MIN
CO2e MT per MWh],MATCH(UserMade_Scenario!$B586,Table11[[Year]:[Year]],0))</f>
        <v>-4.4368089450000092E-2</v>
      </c>
      <c r="AF586" s="69">
        <f>INDEX(Table11[MAX CO2e MT per MWh],MATCH(UserMade_Scenario!$B586,Table11[[Year]:[Year]],0))</f>
        <v>-0.10007925075000002</v>
      </c>
      <c r="AG586" s="68">
        <f>IFERROR(INDEX(WaterUseH2[Average Direct Water Consumption (Gal/ kg h2)],MATCH(LEFT(D586,3),WaterUseH2[Key],0)),0)</f>
        <v>0</v>
      </c>
      <c r="AH586">
        <v>14</v>
      </c>
      <c r="AI586">
        <v>1.4</v>
      </c>
      <c r="AJ586">
        <v>250</v>
      </c>
      <c r="AK586">
        <v>0.31</v>
      </c>
      <c r="AL586" s="63">
        <f>IFERROR(INDEX(Job_Training[[Solar]:[Wind]],MATCH(AL$1,Job_Training[[`Typical Entry Level Education`]:[`Typical Entry Level Education`]],0),MATCH(LEFT($D586,5),Job_Training[[#Headers],[Solar]:[Wind]],0)),0)</f>
        <v>2.3599999999999999E-2</v>
      </c>
      <c r="AM586" s="63">
        <f>IFERROR(INDEX(Job_Training[[Solar]:[Wind]],MATCH(AM$1,Job_Training[[`Typical Entry Level Education`]:[`Typical Entry Level Education`]],0),MATCH(LEFT($D586,5),Job_Training[[#Headers],[Solar]:[Wind]],0)),0)</f>
        <v>4.0899999999999999E-2</v>
      </c>
      <c r="AN586" s="63">
        <f>IFERROR(INDEX(Job_Training[[Solar]:[Wind]],MATCH(AN$1,Job_Training[[`Typical Entry Level Education`]:[`Typical Entry Level Education`]],0),MATCH(LEFT($D586,5),Job_Training[[#Headers],[Solar]:[Wind]],0)),0)</f>
        <v>0.02</v>
      </c>
      <c r="AO586" s="63">
        <f>IFERROR(INDEX(Job_Training[[Solar]:[Wind]],MATCH(AO$1,Job_Training[[`Typical Entry Level Education`]:[`Typical Entry Level Education`]],0),MATCH(LEFT($D586,5),Job_Training[[#Headers],[Solar]:[Wind]],0)),0)</f>
        <v>1.1299999999999999E-3</v>
      </c>
      <c r="AP586">
        <f t="shared" si="181"/>
        <v>113</v>
      </c>
      <c r="AQ586" s="63">
        <f>IF(AP586&gt;0,IFERROR(INDEX(Assumptions!$C$165:$D$165,MATCH(LEFT($D586,5),Job_Training[[#Headers],[Solar]:[Wind]],0)),0),0)</f>
        <v>8.5630000000000012E-2</v>
      </c>
      <c r="AR586">
        <f>IF(AP586&gt;0,IFERROR(INDEX(Assumptions!$C$166:$D$166,MATCH(LEFT($D586,5),Job_Training[[#Headers],[Solar]:[Wind]],0)),0),0)</f>
        <v>0.68504000000000009</v>
      </c>
    </row>
    <row r="587" spans="1:44" hidden="1" x14ac:dyDescent="0.35">
      <c r="A587" t="str">
        <f>UserInput!$B$56</f>
        <v>Max Buildout</v>
      </c>
      <c r="B587">
        <v>2043</v>
      </c>
      <c r="C587" t="s">
        <v>41</v>
      </c>
      <c r="D587" t="s">
        <v>83</v>
      </c>
      <c r="E587" s="66">
        <f>INDEX(UserInput!$C$56:$M$76,MATCH(UserMade_Scenario!B587,UserInput!$A$56:$A$76,0),MATCH(LEFT(IF(RIGHT(C587,2)="H2",UserMade_Scenario!C587,D587),3),UserInput!$C$25:$M$25,0))</f>
        <v>2132</v>
      </c>
      <c r="F587" t="s">
        <v>81</v>
      </c>
      <c r="G587" s="14">
        <f t="shared" si="166"/>
        <v>1.6439932639752675E-2</v>
      </c>
      <c r="H587" s="63">
        <f t="shared" si="172"/>
        <v>0.31054620865976162</v>
      </c>
      <c r="I587" s="63">
        <f t="shared" si="173"/>
        <v>0.17906856385853157</v>
      </c>
      <c r="J587" s="63">
        <f t="shared" si="174"/>
        <v>0.44202384889412005</v>
      </c>
      <c r="K587" s="30">
        <f>IF(OR(LEFT($D587,5)="Solar",$D587="Wind"),INDEX(Land_Use[AVG],MATCH(LEFT($D587,5),Land_Use[Tech],0)),0)*$E587</f>
        <v>5330</v>
      </c>
      <c r="L587" s="30">
        <f>IF(OR(LEFT($D587,5)="Solar",$D587="Wind"),INDEX(Land_Use[MIN],MATCH(LEFT($D587,5),Land_Use[Tech],0)),0)*$E587</f>
        <v>1705.6000000000001</v>
      </c>
      <c r="M587" s="30">
        <f>IF(OR(LEFT($D587,5)="Solar",$D587="Wind"),INDEX(Land_Use[MAX],MATCH(LEFT($D587,5),Land_Use[Tech],0)),0)*$E587</f>
        <v>8954.4</v>
      </c>
      <c r="N587" s="15">
        <f t="shared" si="167"/>
        <v>0</v>
      </c>
      <c r="O587" s="11">
        <f t="shared" si="168"/>
        <v>74620</v>
      </c>
      <c r="P587" s="11">
        <f t="shared" si="169"/>
        <v>7461.9999999999991</v>
      </c>
      <c r="Q587" s="11">
        <f t="shared" si="170"/>
        <v>1332500</v>
      </c>
      <c r="R587" s="11">
        <f t="shared" si="171"/>
        <v>1652.3</v>
      </c>
      <c r="S587" s="30">
        <f t="shared" si="175"/>
        <v>2.6431999999999998</v>
      </c>
      <c r="T587" s="30">
        <f t="shared" si="176"/>
        <v>4.5808</v>
      </c>
      <c r="U587" s="30">
        <f t="shared" si="177"/>
        <v>2.2400000000000002</v>
      </c>
      <c r="V587" s="30">
        <f t="shared" si="178"/>
        <v>0.12656000000000001</v>
      </c>
      <c r="W587" s="30">
        <f t="shared" si="179"/>
        <v>9.5905600000000018</v>
      </c>
      <c r="X587" s="30">
        <f t="shared" si="180"/>
        <v>76.724480000000014</v>
      </c>
      <c r="Z587" s="23" t="s">
        <v>76</v>
      </c>
      <c r="AA587" s="40">
        <f>IF(C587="Electricity",E587*SUMIFS(Electricity!S:S,Electricity!P:P,UserMade_Scenario!B587,Electricity!M:M,UserMade_Scenario!Z587,Electricity!O:O,UserMade_Scenario!D587),"")</f>
        <v>4566873.041452433</v>
      </c>
      <c r="AB587" s="76">
        <f>1/Assumptions!$B$23/1000000000000</f>
        <v>3.5998225679871703E-9</v>
      </c>
      <c r="AC587" s="67" t="s">
        <v>82</v>
      </c>
      <c r="AD587" s="69">
        <f>INDEX(Table11[AVG
CO2e MT per MWh],MATCH(UserMade_Scenario!$B587,Table11[[Year]:[Year]],0))</f>
        <v>-6.7999746399999894E-2</v>
      </c>
      <c r="AE587" s="69">
        <f>INDEX(Table11[MIN
CO2e MT per MWh],MATCH(UserMade_Scenario!$B587,Table11[[Year]:[Year]],0))</f>
        <v>-3.9210322300000093E-2</v>
      </c>
      <c r="AF587" s="69">
        <f>INDEX(Table11[MAX CO2e MT per MWh],MATCH(UserMade_Scenario!$B587,Table11[[Year]:[Year]],0))</f>
        <v>-9.6789169500000008E-2</v>
      </c>
      <c r="AG587" s="68">
        <f>IFERROR(INDEX(WaterUseH2[Average Direct Water Consumption (Gal/ kg h2)],MATCH(LEFT(D587,3),WaterUseH2[Key],0)),0)</f>
        <v>0</v>
      </c>
      <c r="AH587">
        <v>14</v>
      </c>
      <c r="AI587">
        <v>1.4</v>
      </c>
      <c r="AJ587">
        <v>250</v>
      </c>
      <c r="AK587">
        <v>0.31</v>
      </c>
      <c r="AL587" s="63">
        <f>IFERROR(INDEX(Job_Training[[Solar]:[Wind]],MATCH(AL$1,Job_Training[[`Typical Entry Level Education`]:[`Typical Entry Level Education`]],0),MATCH(LEFT($D587,5),Job_Training[[#Headers],[Solar]:[Wind]],0)),0)</f>
        <v>2.3599999999999999E-2</v>
      </c>
      <c r="AM587" s="63">
        <f>IFERROR(INDEX(Job_Training[[Solar]:[Wind]],MATCH(AM$1,Job_Training[[`Typical Entry Level Education`]:[`Typical Entry Level Education`]],0),MATCH(LEFT($D587,5),Job_Training[[#Headers],[Solar]:[Wind]],0)),0)</f>
        <v>4.0899999999999999E-2</v>
      </c>
      <c r="AN587" s="63">
        <f>IFERROR(INDEX(Job_Training[[Solar]:[Wind]],MATCH(AN$1,Job_Training[[`Typical Entry Level Education`]:[`Typical Entry Level Education`]],0),MATCH(LEFT($D587,5),Job_Training[[#Headers],[Solar]:[Wind]],0)),0)</f>
        <v>0.02</v>
      </c>
      <c r="AO587" s="63">
        <f>IFERROR(INDEX(Job_Training[[Solar]:[Wind]],MATCH(AO$1,Job_Training[[`Typical Entry Level Education`]:[`Typical Entry Level Education`]],0),MATCH(LEFT($D587,5),Job_Training[[#Headers],[Solar]:[Wind]],0)),0)</f>
        <v>1.1299999999999999E-3</v>
      </c>
      <c r="AP587">
        <f t="shared" si="181"/>
        <v>112</v>
      </c>
      <c r="AQ587" s="63">
        <f>IF(AP587&gt;0,IFERROR(INDEX(Assumptions!$C$165:$D$165,MATCH(LEFT($D587,5),Job_Training[[#Headers],[Solar]:[Wind]],0)),0),0)</f>
        <v>8.5630000000000012E-2</v>
      </c>
      <c r="AR587">
        <f>IF(AP587&gt;0,IFERROR(INDEX(Assumptions!$C$166:$D$166,MATCH(LEFT($D587,5),Job_Training[[#Headers],[Solar]:[Wind]],0)),0),0)</f>
        <v>0.68504000000000009</v>
      </c>
    </row>
    <row r="588" spans="1:44" hidden="1" x14ac:dyDescent="0.35">
      <c r="A588" t="str">
        <f>UserInput!$B$56</f>
        <v>Max Buildout</v>
      </c>
      <c r="B588">
        <v>2044</v>
      </c>
      <c r="C588" t="s">
        <v>41</v>
      </c>
      <c r="D588" t="s">
        <v>83</v>
      </c>
      <c r="E588" s="66">
        <f>INDEX(UserInput!$C$56:$M$76,MATCH(UserMade_Scenario!B588,UserInput!$A$56:$A$76,0),MATCH(LEFT(IF(RIGHT(C588,2)="H2",UserMade_Scenario!C588,D588),3),UserInput!$C$25:$M$25,0))</f>
        <v>2245</v>
      </c>
      <c r="F588" t="s">
        <v>81</v>
      </c>
      <c r="G588" s="14">
        <f t="shared" si="166"/>
        <v>1.7149311971387676E-2</v>
      </c>
      <c r="H588" s="63">
        <f t="shared" si="172"/>
        <v>0.30382371644252881</v>
      </c>
      <c r="I588" s="63">
        <f t="shared" si="173"/>
        <v>0.16222407650962781</v>
      </c>
      <c r="J588" s="63">
        <f t="shared" si="174"/>
        <v>0.44542335161149871</v>
      </c>
      <c r="K588" s="30">
        <f>IF(OR(LEFT($D588,5)="Solar",$D588="Wind"),INDEX(Land_Use[AVG],MATCH(LEFT($D588,5),Land_Use[Tech],0)),0)*$E588</f>
        <v>5612.5</v>
      </c>
      <c r="L588" s="30">
        <f>IF(OR(LEFT($D588,5)="Solar",$D588="Wind"),INDEX(Land_Use[MIN],MATCH(LEFT($D588,5),Land_Use[Tech],0)),0)*$E588</f>
        <v>1796</v>
      </c>
      <c r="M588" s="30">
        <f>IF(OR(LEFT($D588,5)="Solar",$D588="Wind"),INDEX(Land_Use[MAX],MATCH(LEFT($D588,5),Land_Use[Tech],0)),0)*$E588</f>
        <v>9429</v>
      </c>
      <c r="N588" s="15">
        <f t="shared" si="167"/>
        <v>0</v>
      </c>
      <c r="O588" s="11">
        <f t="shared" si="168"/>
        <v>78575</v>
      </c>
      <c r="P588" s="11">
        <f t="shared" si="169"/>
        <v>7857.4999999999991</v>
      </c>
      <c r="Q588" s="11">
        <f t="shared" si="170"/>
        <v>1403125</v>
      </c>
      <c r="R588" s="11">
        <f t="shared" si="171"/>
        <v>1739.875</v>
      </c>
      <c r="S588" s="30">
        <f t="shared" si="175"/>
        <v>2.6667999999999998</v>
      </c>
      <c r="T588" s="30">
        <f t="shared" si="176"/>
        <v>4.6216999999999997</v>
      </c>
      <c r="U588" s="30">
        <f t="shared" si="177"/>
        <v>2.2600000000000002</v>
      </c>
      <c r="V588" s="30">
        <f t="shared" si="178"/>
        <v>0.12769</v>
      </c>
      <c r="W588" s="30">
        <f t="shared" si="179"/>
        <v>9.6761900000000018</v>
      </c>
      <c r="X588" s="30">
        <f t="shared" si="180"/>
        <v>77.409520000000015</v>
      </c>
      <c r="Z588" s="23" t="s">
        <v>76</v>
      </c>
      <c r="AA588" s="40">
        <f>IF(C588="Electricity",E588*SUMIFS(Electricity!S:S,Electricity!P:P,UserMade_Scenario!B588,Electricity!M:M,UserMade_Scenario!Z588,Electricity!O:O,UserMade_Scenario!D588),"")</f>
        <v>4763932.568203399</v>
      </c>
      <c r="AB588" s="76">
        <f>1/Assumptions!$B$23/1000000000000</f>
        <v>3.5998225679871703E-9</v>
      </c>
      <c r="AC588" s="67" t="s">
        <v>82</v>
      </c>
      <c r="AD588" s="69">
        <f>INDEX(Table11[AVG
CO2e MT per MWh],MATCH(UserMade_Scenario!$B588,Table11[[Year]:[Year]],0))</f>
        <v>-6.3775822199999888E-2</v>
      </c>
      <c r="AE588" s="69">
        <f>INDEX(Table11[MIN
CO2e MT per MWh],MATCH(UserMade_Scenario!$B588,Table11[[Year]:[Year]],0))</f>
        <v>-3.4052555150000094E-2</v>
      </c>
      <c r="AF588" s="69">
        <f>INDEX(Table11[MAX CO2e MT per MWh],MATCH(UserMade_Scenario!$B588,Table11[[Year]:[Year]],0))</f>
        <v>-9.3499088250000001E-2</v>
      </c>
      <c r="AG588" s="68">
        <f>IFERROR(INDEX(WaterUseH2[Average Direct Water Consumption (Gal/ kg h2)],MATCH(LEFT(D588,3),WaterUseH2[Key],0)),0)</f>
        <v>0</v>
      </c>
      <c r="AH588">
        <v>14</v>
      </c>
      <c r="AI588">
        <v>1.4</v>
      </c>
      <c r="AJ588">
        <v>250</v>
      </c>
      <c r="AK588">
        <v>0.31</v>
      </c>
      <c r="AL588" s="63">
        <f>IFERROR(INDEX(Job_Training[[Solar]:[Wind]],MATCH(AL$1,Job_Training[[`Typical Entry Level Education`]:[`Typical Entry Level Education`]],0),MATCH(LEFT($D588,5),Job_Training[[#Headers],[Solar]:[Wind]],0)),0)</f>
        <v>2.3599999999999999E-2</v>
      </c>
      <c r="AM588" s="63">
        <f>IFERROR(INDEX(Job_Training[[Solar]:[Wind]],MATCH(AM$1,Job_Training[[`Typical Entry Level Education`]:[`Typical Entry Level Education`]],0),MATCH(LEFT($D588,5),Job_Training[[#Headers],[Solar]:[Wind]],0)),0)</f>
        <v>4.0899999999999999E-2</v>
      </c>
      <c r="AN588" s="63">
        <f>IFERROR(INDEX(Job_Training[[Solar]:[Wind]],MATCH(AN$1,Job_Training[[`Typical Entry Level Education`]:[`Typical Entry Level Education`]],0),MATCH(LEFT($D588,5),Job_Training[[#Headers],[Solar]:[Wind]],0)),0)</f>
        <v>0.02</v>
      </c>
      <c r="AO588" s="63">
        <f>IFERROR(INDEX(Job_Training[[Solar]:[Wind]],MATCH(AO$1,Job_Training[[`Typical Entry Level Education`]:[`Typical Entry Level Education`]],0),MATCH(LEFT($D588,5),Job_Training[[#Headers],[Solar]:[Wind]],0)),0)</f>
        <v>1.1299999999999999E-3</v>
      </c>
      <c r="AP588">
        <f t="shared" si="181"/>
        <v>113</v>
      </c>
      <c r="AQ588" s="63">
        <f>IF(AP588&gt;0,IFERROR(INDEX(Assumptions!$C$165:$D$165,MATCH(LEFT($D588,5),Job_Training[[#Headers],[Solar]:[Wind]],0)),0),0)</f>
        <v>8.5630000000000012E-2</v>
      </c>
      <c r="AR588">
        <f>IF(AP588&gt;0,IFERROR(INDEX(Assumptions!$C$166:$D$166,MATCH(LEFT($D588,5),Job_Training[[#Headers],[Solar]:[Wind]],0)),0),0)</f>
        <v>0.68504000000000009</v>
      </c>
    </row>
    <row r="589" spans="1:44" hidden="1" x14ac:dyDescent="0.35">
      <c r="A589" t="str">
        <f>UserInput!$B$56</f>
        <v>Max Buildout</v>
      </c>
      <c r="B589">
        <v>2045</v>
      </c>
      <c r="C589" t="s">
        <v>41</v>
      </c>
      <c r="D589" t="s">
        <v>83</v>
      </c>
      <c r="E589" s="66">
        <f>INDEX(UserInput!$C$56:$M$76,MATCH(UserMade_Scenario!B589,UserInput!$A$56:$A$76,0),MATCH(LEFT(IF(RIGHT(C589,2)="H2",UserMade_Scenario!C589,D589),3),UserInput!$C$25:$M$25,0))</f>
        <v>2358</v>
      </c>
      <c r="F589" t="s">
        <v>81</v>
      </c>
      <c r="G589" s="14">
        <f t="shared" si="166"/>
        <v>1.7842386289665155E-2</v>
      </c>
      <c r="H589" s="63">
        <f t="shared" si="172"/>
        <v>0.29516676123091701</v>
      </c>
      <c r="I589" s="63">
        <f t="shared" si="173"/>
        <v>0.14321593898508508</v>
      </c>
      <c r="J589" s="63">
        <f t="shared" si="174"/>
        <v>0.44711757852028783</v>
      </c>
      <c r="K589" s="30">
        <f>IF(OR(LEFT($D589,5)="Solar",$D589="Wind"),INDEX(Land_Use[AVG],MATCH(LEFT($D589,5),Land_Use[Tech],0)),0)*$E589</f>
        <v>5895</v>
      </c>
      <c r="L589" s="30">
        <f>IF(OR(LEFT($D589,5)="Solar",$D589="Wind"),INDEX(Land_Use[MIN],MATCH(LEFT($D589,5),Land_Use[Tech],0)),0)*$E589</f>
        <v>1886.4</v>
      </c>
      <c r="M589" s="30">
        <f>IF(OR(LEFT($D589,5)="Solar",$D589="Wind"),INDEX(Land_Use[MAX],MATCH(LEFT($D589,5),Land_Use[Tech],0)),0)*$E589</f>
        <v>9903.6</v>
      </c>
      <c r="N589" s="15">
        <f t="shared" si="167"/>
        <v>0</v>
      </c>
      <c r="O589" s="11">
        <f t="shared" si="168"/>
        <v>82530</v>
      </c>
      <c r="P589" s="11">
        <f t="shared" si="169"/>
        <v>8253</v>
      </c>
      <c r="Q589" s="11">
        <f t="shared" si="170"/>
        <v>1473750</v>
      </c>
      <c r="R589" s="11">
        <f t="shared" si="171"/>
        <v>1827.45</v>
      </c>
      <c r="S589" s="30">
        <f t="shared" si="175"/>
        <v>2.6667999999999998</v>
      </c>
      <c r="T589" s="30">
        <f t="shared" si="176"/>
        <v>4.6216999999999997</v>
      </c>
      <c r="U589" s="30">
        <f t="shared" si="177"/>
        <v>2.2600000000000002</v>
      </c>
      <c r="V589" s="30">
        <f t="shared" si="178"/>
        <v>0.12769</v>
      </c>
      <c r="W589" s="30">
        <f t="shared" si="179"/>
        <v>9.6761900000000018</v>
      </c>
      <c r="X589" s="30">
        <f t="shared" si="180"/>
        <v>77.409520000000015</v>
      </c>
      <c r="Z589" s="23" t="s">
        <v>76</v>
      </c>
      <c r="AA589" s="40">
        <f>IF(C589="Electricity",E589*SUMIFS(Electricity!S:S,Electricity!P:P,UserMade_Scenario!B589,Electricity!M:M,UserMade_Scenario!Z589,Electricity!O:O,UserMade_Scenario!D589),"")</f>
        <v>4956462.7013385464</v>
      </c>
      <c r="AB589" s="76">
        <f>1/Assumptions!$B$23/1000000000000</f>
        <v>3.5998225679871703E-9</v>
      </c>
      <c r="AC589" s="67" t="s">
        <v>82</v>
      </c>
      <c r="AD589" s="69">
        <f>INDEX(Table11[AVG
CO2e MT per MWh],MATCH(UserMade_Scenario!$B589,Table11[[Year]:[Year]],0))</f>
        <v>-5.9551897999999888E-2</v>
      </c>
      <c r="AE589" s="69">
        <f>INDEX(Table11[MIN
CO2e MT per MWh],MATCH(UserMade_Scenario!$B589,Table11[[Year]:[Year]],0))</f>
        <v>-2.8894788000000095E-2</v>
      </c>
      <c r="AF589" s="69">
        <f>INDEX(Table11[MAX CO2e MT per MWh],MATCH(UserMade_Scenario!$B589,Table11[[Year]:[Year]],0))</f>
        <v>-9.0209006999999994E-2</v>
      </c>
      <c r="AG589" s="68">
        <f>IFERROR(INDEX(WaterUseH2[Average Direct Water Consumption (Gal/ kg h2)],MATCH(LEFT(D589,3),WaterUseH2[Key],0)),0)</f>
        <v>0</v>
      </c>
      <c r="AH589">
        <v>14</v>
      </c>
      <c r="AI589">
        <v>1.4</v>
      </c>
      <c r="AJ589">
        <v>250</v>
      </c>
      <c r="AK589">
        <v>0.31</v>
      </c>
      <c r="AL589" s="63">
        <f>IFERROR(INDEX(Job_Training[[Solar]:[Wind]],MATCH(AL$1,Job_Training[[`Typical Entry Level Education`]:[`Typical Entry Level Education`]],0),MATCH(LEFT($D589,5),Job_Training[[#Headers],[Solar]:[Wind]],0)),0)</f>
        <v>2.3599999999999999E-2</v>
      </c>
      <c r="AM589" s="63">
        <f>IFERROR(INDEX(Job_Training[[Solar]:[Wind]],MATCH(AM$1,Job_Training[[`Typical Entry Level Education`]:[`Typical Entry Level Education`]],0),MATCH(LEFT($D589,5),Job_Training[[#Headers],[Solar]:[Wind]],0)),0)</f>
        <v>4.0899999999999999E-2</v>
      </c>
      <c r="AN589" s="63">
        <f>IFERROR(INDEX(Job_Training[[Solar]:[Wind]],MATCH(AN$1,Job_Training[[`Typical Entry Level Education`]:[`Typical Entry Level Education`]],0),MATCH(LEFT($D589,5),Job_Training[[#Headers],[Solar]:[Wind]],0)),0)</f>
        <v>0.02</v>
      </c>
      <c r="AO589" s="63">
        <f>IFERROR(INDEX(Job_Training[[Solar]:[Wind]],MATCH(AO$1,Job_Training[[`Typical Entry Level Education`]:[`Typical Entry Level Education`]],0),MATCH(LEFT($D589,5),Job_Training[[#Headers],[Solar]:[Wind]],0)),0)</f>
        <v>1.1299999999999999E-3</v>
      </c>
      <c r="AP589">
        <f t="shared" si="181"/>
        <v>113</v>
      </c>
      <c r="AQ589" s="63">
        <f>IF(AP589&gt;0,IFERROR(INDEX(Assumptions!$C$165:$D$165,MATCH(LEFT($D589,5),Job_Training[[#Headers],[Solar]:[Wind]],0)),0),0)</f>
        <v>8.5630000000000012E-2</v>
      </c>
      <c r="AR589">
        <f>IF(AP589&gt;0,IFERROR(INDEX(Assumptions!$C$166:$D$166,MATCH(LEFT($D589,5),Job_Training[[#Headers],[Solar]:[Wind]],0)),0),0)</f>
        <v>0.68504000000000009</v>
      </c>
    </row>
    <row r="590" spans="1:44" hidden="1" x14ac:dyDescent="0.35">
      <c r="A590" t="str">
        <f>UserInput!$B$56</f>
        <v>Max Buildout</v>
      </c>
      <c r="B590">
        <v>2025</v>
      </c>
      <c r="C590" t="s">
        <v>41</v>
      </c>
      <c r="D590" t="s">
        <v>84</v>
      </c>
      <c r="E590" s="66">
        <f>INDEX(UserInput!$C$56:$M$76,MATCH(UserMade_Scenario!B590,UserInput!$A$56:$A$76,0),MATCH(LEFT(IF(RIGHT(C590,2)="H2",UserMade_Scenario!C590,D590),3),UserInput!$C$25:$M$25,0))</f>
        <v>0</v>
      </c>
      <c r="F590" t="s">
        <v>81</v>
      </c>
      <c r="G590" s="14">
        <f t="shared" si="166"/>
        <v>0</v>
      </c>
      <c r="H590" s="63">
        <f t="shared" si="172"/>
        <v>0</v>
      </c>
      <c r="I590" s="63">
        <f t="shared" si="173"/>
        <v>0</v>
      </c>
      <c r="J590" s="63">
        <f t="shared" si="174"/>
        <v>0</v>
      </c>
      <c r="K590" s="30">
        <f>IF(OR(LEFT($D590,5)="Solar",$D590="Wind"),INDEX(Land_Use[AVG],MATCH(LEFT($D590,5),Land_Use[Tech],0)),0)*$E590</f>
        <v>0</v>
      </c>
      <c r="L590" s="30">
        <f>IF(OR(LEFT($D590,5)="Solar",$D590="Wind"),INDEX(Land_Use[MIN],MATCH(LEFT($D590,5),Land_Use[Tech],0)),0)*$E590</f>
        <v>0</v>
      </c>
      <c r="M590" s="30">
        <f>IF(OR(LEFT($D590,5)="Solar",$D590="Wind"),INDEX(Land_Use[MAX],MATCH(LEFT($D590,5),Land_Use[Tech],0)),0)*$E590</f>
        <v>0</v>
      </c>
      <c r="N590" s="15">
        <f t="shared" si="167"/>
        <v>0</v>
      </c>
      <c r="O590" s="11">
        <f t="shared" si="168"/>
        <v>0</v>
      </c>
      <c r="P590" s="11">
        <f t="shared" si="169"/>
        <v>0</v>
      </c>
      <c r="Q590" s="11">
        <f t="shared" si="170"/>
        <v>0</v>
      </c>
      <c r="R590" s="11">
        <f t="shared" si="171"/>
        <v>0</v>
      </c>
      <c r="S590" s="30">
        <f t="shared" si="175"/>
        <v>0</v>
      </c>
      <c r="T590" s="30">
        <f t="shared" si="176"/>
        <v>0</v>
      </c>
      <c r="U590" s="30">
        <f t="shared" si="177"/>
        <v>0</v>
      </c>
      <c r="V590" s="30">
        <f t="shared" si="178"/>
        <v>0</v>
      </c>
      <c r="W590" s="30">
        <f t="shared" si="179"/>
        <v>0</v>
      </c>
      <c r="X590" s="30">
        <f t="shared" si="180"/>
        <v>0</v>
      </c>
      <c r="Z590" s="23" t="s">
        <v>76</v>
      </c>
      <c r="AA590" s="40">
        <f>IF(C590="Electricity",E590*SUMIFS(Electricity!S:S,Electricity!P:P,UserMade_Scenario!B590,Electricity!M:M,UserMade_Scenario!Z590,Electricity!O:O,UserMade_Scenario!D590),"")</f>
        <v>0</v>
      </c>
      <c r="AB590" s="76">
        <f>1/Assumptions!$B$23/1000000000000</f>
        <v>3.5998225679871703E-9</v>
      </c>
      <c r="AC590" s="67" t="s">
        <v>82</v>
      </c>
      <c r="AD590" s="69">
        <f>INDEX(Table11[AVG
CO2e MT per MWh],MATCH(UserMade_Scenario!$B590,Table11[[Year]:[Year]],0))</f>
        <v>-0.14403038200000001</v>
      </c>
      <c r="AE590" s="69">
        <f>INDEX(Table11[MIN
CO2e MT per MWh],MATCH(UserMade_Scenario!$B590,Table11[[Year]:[Year]],0))</f>
        <v>-0.13205013099999999</v>
      </c>
      <c r="AF590" s="69">
        <f>INDEX(Table11[MAX CO2e MT per MWh],MATCH(UserMade_Scenario!$B590,Table11[[Year]:[Year]],0))</f>
        <v>-0.15601063200000001</v>
      </c>
      <c r="AG590" s="68">
        <f>IFERROR(INDEX(WaterUseH2[Average Direct Water Consumption (Gal/ kg h2)],MATCH(LEFT(D590,3),WaterUseH2[Key],0)),0)</f>
        <v>4.0999999999999996</v>
      </c>
      <c r="AH590">
        <v>14</v>
      </c>
      <c r="AI590">
        <v>1.4</v>
      </c>
      <c r="AJ590">
        <v>250</v>
      </c>
      <c r="AK590">
        <v>0.31</v>
      </c>
      <c r="AL590" s="63">
        <f>IFERROR(INDEX(Job_Training[[Solar]:[Wind]],MATCH(AL$1,Job_Training[[`Typical Entry Level Education`]:[`Typical Entry Level Education`]],0),MATCH(LEFT($D590,5),Job_Training[[#Headers],[Solar]:[Wind]],0)),0)</f>
        <v>0</v>
      </c>
      <c r="AM590" s="63">
        <f>IFERROR(INDEX(Job_Training[[Solar]:[Wind]],MATCH(AM$1,Job_Training[[`Typical Entry Level Education`]:[`Typical Entry Level Education`]],0),MATCH(LEFT($D590,5),Job_Training[[#Headers],[Solar]:[Wind]],0)),0)</f>
        <v>0</v>
      </c>
      <c r="AN590" s="63">
        <f>IFERROR(INDEX(Job_Training[[Solar]:[Wind]],MATCH(AN$1,Job_Training[[`Typical Entry Level Education`]:[`Typical Entry Level Education`]],0),MATCH(LEFT($D590,5),Job_Training[[#Headers],[Solar]:[Wind]],0)),0)</f>
        <v>0</v>
      </c>
      <c r="AO590" s="63">
        <f>IFERROR(INDEX(Job_Training[[Solar]:[Wind]],MATCH(AO$1,Job_Training[[`Typical Entry Level Education`]:[`Typical Entry Level Education`]],0),MATCH(LEFT($D590,5),Job_Training[[#Headers],[Solar]:[Wind]],0)),0)</f>
        <v>0</v>
      </c>
      <c r="AP590">
        <f t="shared" si="181"/>
        <v>0</v>
      </c>
      <c r="AQ590" s="63">
        <f>IF(AP590&gt;0,IFERROR(INDEX(Assumptions!$C$165:$D$165,MATCH(LEFT($D590,5),Job_Training[[#Headers],[Solar]:[Wind]],0)),0),0)</f>
        <v>0</v>
      </c>
      <c r="AR590">
        <f>IF(AP590&gt;0,IFERROR(INDEX(Assumptions!$C$166:$D$166,MATCH(LEFT($D590,5),Job_Training[[#Headers],[Solar]:[Wind]],0)),0),0)</f>
        <v>0</v>
      </c>
    </row>
    <row r="591" spans="1:44" hidden="1" x14ac:dyDescent="0.35">
      <c r="A591" t="str">
        <f>UserInput!$B$56</f>
        <v>Max Buildout</v>
      </c>
      <c r="B591">
        <v>2026</v>
      </c>
      <c r="C591" t="s">
        <v>41</v>
      </c>
      <c r="D591" t="s">
        <v>84</v>
      </c>
      <c r="E591" s="66">
        <f>INDEX(UserInput!$C$56:$M$76,MATCH(UserMade_Scenario!B591,UserInput!$A$56:$A$76,0),MATCH(LEFT(IF(RIGHT(C591,2)="H2",UserMade_Scenario!C591,D591),3),UserInput!$C$25:$M$25,0))</f>
        <v>5</v>
      </c>
      <c r="F591" t="s">
        <v>81</v>
      </c>
      <c r="G591" s="14">
        <f t="shared" si="166"/>
        <v>1.0784054976135365E-4</v>
      </c>
      <c r="H591" s="63">
        <f t="shared" si="172"/>
        <v>4.1882078865263742E-3</v>
      </c>
      <c r="I591" s="63">
        <f t="shared" si="173"/>
        <v>3.8013379880978866E-3</v>
      </c>
      <c r="J591" s="63">
        <f t="shared" si="174"/>
        <v>4.5750777549976767E-3</v>
      </c>
      <c r="K591" s="30">
        <f>IF(OR(LEFT($D591,5)="Solar",$D591="Wind"),INDEX(Land_Use[AVG],MATCH(LEFT($D591,5),Land_Use[Tech],0)),0)*$E591</f>
        <v>0</v>
      </c>
      <c r="L591" s="30">
        <f>IF(OR(LEFT($D591,5)="Solar",$D591="Wind"),INDEX(Land_Use[MIN],MATCH(LEFT($D591,5),Land_Use[Tech],0)),0)*$E591</f>
        <v>0</v>
      </c>
      <c r="M591" s="30">
        <f>IF(OR(LEFT($D591,5)="Solar",$D591="Wind"),INDEX(Land_Use[MAX],MATCH(LEFT($D591,5),Land_Use[Tech],0)),0)*$E591</f>
        <v>0</v>
      </c>
      <c r="N591" s="15">
        <f t="shared" si="167"/>
        <v>2.0500000000000001E-2</v>
      </c>
      <c r="O591" s="11">
        <f t="shared" si="168"/>
        <v>0</v>
      </c>
      <c r="P591" s="11">
        <f t="shared" si="169"/>
        <v>0</v>
      </c>
      <c r="Q591" s="11">
        <f t="shared" si="170"/>
        <v>0</v>
      </c>
      <c r="R591" s="11">
        <f t="shared" si="171"/>
        <v>0</v>
      </c>
      <c r="S591" s="30">
        <f t="shared" si="175"/>
        <v>0</v>
      </c>
      <c r="T591" s="30">
        <f t="shared" si="176"/>
        <v>0</v>
      </c>
      <c r="U591" s="30">
        <f t="shared" si="177"/>
        <v>0</v>
      </c>
      <c r="V591" s="30">
        <f t="shared" si="178"/>
        <v>0</v>
      </c>
      <c r="W591" s="30">
        <f t="shared" si="179"/>
        <v>0</v>
      </c>
      <c r="X591" s="30">
        <f t="shared" si="180"/>
        <v>0</v>
      </c>
      <c r="Z591" s="23" t="s">
        <v>76</v>
      </c>
      <c r="AA591" s="40">
        <f>IF(C591="Electricity",E591*SUMIFS(Electricity!S:S,Electricity!P:P,UserMade_Scenario!B591,Electricity!M:M,UserMade_Scenario!Z591,Electricity!O:O,UserMade_Scenario!D591),"")</f>
        <v>29957.184756928829</v>
      </c>
      <c r="AB591" s="76">
        <f>1/Assumptions!$B$23/1000000000000</f>
        <v>3.5998225679871703E-9</v>
      </c>
      <c r="AC591" s="67" t="s">
        <v>82</v>
      </c>
      <c r="AD591" s="69">
        <f>INDEX(Table11[AVG
CO2e MT per MWh],MATCH(UserMade_Scenario!$B591,Table11[[Year]:[Year]],0))</f>
        <v>-0.13980645780000001</v>
      </c>
      <c r="AE591" s="69">
        <f>INDEX(Table11[MIN
CO2e MT per MWh],MATCH(UserMade_Scenario!$B591,Table11[[Year]:[Year]],0))</f>
        <v>-0.12689236385</v>
      </c>
      <c r="AF591" s="69">
        <f>INDEX(Table11[MAX CO2e MT per MWh],MATCH(UserMade_Scenario!$B591,Table11[[Year]:[Year]],0))</f>
        <v>-0.15272055075000002</v>
      </c>
      <c r="AG591" s="68">
        <f>IFERROR(INDEX(WaterUseH2[Average Direct Water Consumption (Gal/ kg h2)],MATCH(LEFT(D591,3),WaterUseH2[Key],0)),0)</f>
        <v>4.0999999999999996</v>
      </c>
      <c r="AH591">
        <v>14</v>
      </c>
      <c r="AI591">
        <v>1.4</v>
      </c>
      <c r="AJ591">
        <v>250</v>
      </c>
      <c r="AK591">
        <v>0.31</v>
      </c>
      <c r="AL591" s="63">
        <f>IFERROR(INDEX(Job_Training[[Solar]:[Wind]],MATCH(AL$1,Job_Training[[`Typical Entry Level Education`]:[`Typical Entry Level Education`]],0),MATCH(LEFT($D591,5),Job_Training[[#Headers],[Solar]:[Wind]],0)),0)</f>
        <v>0</v>
      </c>
      <c r="AM591" s="63">
        <f>IFERROR(INDEX(Job_Training[[Solar]:[Wind]],MATCH(AM$1,Job_Training[[`Typical Entry Level Education`]:[`Typical Entry Level Education`]],0),MATCH(LEFT($D591,5),Job_Training[[#Headers],[Solar]:[Wind]],0)),0)</f>
        <v>0</v>
      </c>
      <c r="AN591" s="63">
        <f>IFERROR(INDEX(Job_Training[[Solar]:[Wind]],MATCH(AN$1,Job_Training[[`Typical Entry Level Education`]:[`Typical Entry Level Education`]],0),MATCH(LEFT($D591,5),Job_Training[[#Headers],[Solar]:[Wind]],0)),0)</f>
        <v>0</v>
      </c>
      <c r="AO591" s="63">
        <f>IFERROR(INDEX(Job_Training[[Solar]:[Wind]],MATCH(AO$1,Job_Training[[`Typical Entry Level Education`]:[`Typical Entry Level Education`]],0),MATCH(LEFT($D591,5),Job_Training[[#Headers],[Solar]:[Wind]],0)),0)</f>
        <v>0</v>
      </c>
      <c r="AP591">
        <f t="shared" si="181"/>
        <v>5</v>
      </c>
      <c r="AQ591" s="63">
        <f>IF(AP591&gt;0,IFERROR(INDEX(Assumptions!$C$165:$D$165,MATCH(LEFT($D591,5),Job_Training[[#Headers],[Solar]:[Wind]],0)),0),0)</f>
        <v>0</v>
      </c>
      <c r="AR591">
        <f>IF(AP591&gt;0,IFERROR(INDEX(Assumptions!$C$166:$D$166,MATCH(LEFT($D591,5),Job_Training[[#Headers],[Solar]:[Wind]],0)),0),0)</f>
        <v>0</v>
      </c>
    </row>
    <row r="592" spans="1:44" hidden="1" x14ac:dyDescent="0.35">
      <c r="A592" t="str">
        <f>UserInput!$B$56</f>
        <v>Max Buildout</v>
      </c>
      <c r="B592">
        <v>2027</v>
      </c>
      <c r="C592" t="s">
        <v>41</v>
      </c>
      <c r="D592" t="s">
        <v>84</v>
      </c>
      <c r="E592" s="66">
        <f>INDEX(UserInput!$C$56:$M$76,MATCH(UserMade_Scenario!B592,UserInput!$A$56:$A$76,0),MATCH(LEFT(IF(RIGHT(C592,2)="H2",UserMade_Scenario!C592,D592),3),UserInput!$C$25:$M$25,0))</f>
        <v>5</v>
      </c>
      <c r="F592" t="s">
        <v>81</v>
      </c>
      <c r="G592" s="14">
        <f t="shared" si="166"/>
        <v>1.0705490865668688E-4</v>
      </c>
      <c r="H592" s="63">
        <f t="shared" si="172"/>
        <v>4.0320808806157552E-3</v>
      </c>
      <c r="I592" s="63">
        <f t="shared" si="173"/>
        <v>3.6202579110347871E-3</v>
      </c>
      <c r="J592" s="63">
        <f t="shared" si="174"/>
        <v>4.4439038204577841E-3</v>
      </c>
      <c r="K592" s="30">
        <f>IF(OR(LEFT($D592,5)="Solar",$D592="Wind"),INDEX(Land_Use[AVG],MATCH(LEFT($D592,5),Land_Use[Tech],0)),0)*$E592</f>
        <v>0</v>
      </c>
      <c r="L592" s="30">
        <f>IF(OR(LEFT($D592,5)="Solar",$D592="Wind"),INDEX(Land_Use[MIN],MATCH(LEFT($D592,5),Land_Use[Tech],0)),0)*$E592</f>
        <v>0</v>
      </c>
      <c r="M592" s="30">
        <f>IF(OR(LEFT($D592,5)="Solar",$D592="Wind"),INDEX(Land_Use[MAX],MATCH(LEFT($D592,5),Land_Use[Tech],0)),0)*$E592</f>
        <v>0</v>
      </c>
      <c r="N592" s="15">
        <f t="shared" si="167"/>
        <v>2.0500000000000001E-2</v>
      </c>
      <c r="O592" s="11">
        <f t="shared" si="168"/>
        <v>0</v>
      </c>
      <c r="P592" s="11">
        <f t="shared" si="169"/>
        <v>0</v>
      </c>
      <c r="Q592" s="11">
        <f t="shared" si="170"/>
        <v>0</v>
      </c>
      <c r="R592" s="11">
        <f t="shared" si="171"/>
        <v>0</v>
      </c>
      <c r="S592" s="30">
        <f t="shared" si="175"/>
        <v>0</v>
      </c>
      <c r="T592" s="30">
        <f t="shared" si="176"/>
        <v>0</v>
      </c>
      <c r="U592" s="30">
        <f t="shared" si="177"/>
        <v>0</v>
      </c>
      <c r="V592" s="30">
        <f t="shared" si="178"/>
        <v>0</v>
      </c>
      <c r="W592" s="30">
        <f t="shared" si="179"/>
        <v>0</v>
      </c>
      <c r="X592" s="30">
        <f t="shared" si="180"/>
        <v>0</v>
      </c>
      <c r="Z592" s="23" t="s">
        <v>76</v>
      </c>
      <c r="AA592" s="40">
        <f>IF(C592="Electricity",E592*SUMIFS(Electricity!S:S,Electricity!P:P,UserMade_Scenario!B592,Electricity!M:M,UserMade_Scenario!Z592,Electricity!O:O,UserMade_Scenario!D592),"")</f>
        <v>29738.940360204004</v>
      </c>
      <c r="AB592" s="76">
        <f>1/Assumptions!$B$23/1000000000000</f>
        <v>3.5998225679871703E-9</v>
      </c>
      <c r="AC592" s="67" t="s">
        <v>82</v>
      </c>
      <c r="AD592" s="69">
        <f>INDEX(Table11[AVG
CO2e MT per MWh],MATCH(UserMade_Scenario!$B592,Table11[[Year]:[Year]],0))</f>
        <v>-0.1355825336</v>
      </c>
      <c r="AE592" s="69">
        <f>INDEX(Table11[MIN
CO2e MT per MWh],MATCH(UserMade_Scenario!$B592,Table11[[Year]:[Year]],0))</f>
        <v>-0.1217345967</v>
      </c>
      <c r="AF592" s="69">
        <f>INDEX(Table11[MAX CO2e MT per MWh],MATCH(UserMade_Scenario!$B592,Table11[[Year]:[Year]],0))</f>
        <v>-0.14943046950000002</v>
      </c>
      <c r="AG592" s="68">
        <f>IFERROR(INDEX(WaterUseH2[Average Direct Water Consumption (Gal/ kg h2)],MATCH(LEFT(D592,3),WaterUseH2[Key],0)),0)</f>
        <v>4.0999999999999996</v>
      </c>
      <c r="AH592">
        <v>14</v>
      </c>
      <c r="AI592">
        <v>1.4</v>
      </c>
      <c r="AJ592">
        <v>250</v>
      </c>
      <c r="AK592">
        <v>0.31</v>
      </c>
      <c r="AL592" s="63">
        <f>IFERROR(INDEX(Job_Training[[Solar]:[Wind]],MATCH(AL$1,Job_Training[[`Typical Entry Level Education`]:[`Typical Entry Level Education`]],0),MATCH(LEFT($D592,5),Job_Training[[#Headers],[Solar]:[Wind]],0)),0)</f>
        <v>0</v>
      </c>
      <c r="AM592" s="63">
        <f>IFERROR(INDEX(Job_Training[[Solar]:[Wind]],MATCH(AM$1,Job_Training[[`Typical Entry Level Education`]:[`Typical Entry Level Education`]],0),MATCH(LEFT($D592,5),Job_Training[[#Headers],[Solar]:[Wind]],0)),0)</f>
        <v>0</v>
      </c>
      <c r="AN592" s="63">
        <f>IFERROR(INDEX(Job_Training[[Solar]:[Wind]],MATCH(AN$1,Job_Training[[`Typical Entry Level Education`]:[`Typical Entry Level Education`]],0),MATCH(LEFT($D592,5),Job_Training[[#Headers],[Solar]:[Wind]],0)),0)</f>
        <v>0</v>
      </c>
      <c r="AO592" s="63">
        <f>IFERROR(INDEX(Job_Training[[Solar]:[Wind]],MATCH(AO$1,Job_Training[[`Typical Entry Level Education`]:[`Typical Entry Level Education`]],0),MATCH(LEFT($D592,5),Job_Training[[#Headers],[Solar]:[Wind]],0)),0)</f>
        <v>0</v>
      </c>
      <c r="AP592">
        <f t="shared" si="181"/>
        <v>0</v>
      </c>
      <c r="AQ592" s="63">
        <f>IF(AP592&gt;0,IFERROR(INDEX(Assumptions!$C$165:$D$165,MATCH(LEFT($D592,5),Job_Training[[#Headers],[Solar]:[Wind]],0)),0),0)</f>
        <v>0</v>
      </c>
      <c r="AR592">
        <f>IF(AP592&gt;0,IFERROR(INDEX(Assumptions!$C$166:$D$166,MATCH(LEFT($D592,5),Job_Training[[#Headers],[Solar]:[Wind]],0)),0),0)</f>
        <v>0</v>
      </c>
    </row>
    <row r="593" spans="1:44" hidden="1" x14ac:dyDescent="0.35">
      <c r="A593" t="str">
        <f>UserInput!$B$56</f>
        <v>Max Buildout</v>
      </c>
      <c r="B593">
        <v>2028</v>
      </c>
      <c r="C593" t="s">
        <v>41</v>
      </c>
      <c r="D593" t="s">
        <v>84</v>
      </c>
      <c r="E593" s="66">
        <f>INDEX(UserInput!$C$56:$M$76,MATCH(UserMade_Scenario!B593,UserInput!$A$56:$A$76,0),MATCH(LEFT(IF(RIGHT(C593,2)="H2",UserMade_Scenario!C593,D593),3),UserInput!$C$25:$M$25,0))</f>
        <v>5</v>
      </c>
      <c r="F593" t="s">
        <v>81</v>
      </c>
      <c r="G593" s="14">
        <f t="shared" si="166"/>
        <v>1.0626926755202014E-4</v>
      </c>
      <c r="H593" s="63">
        <f t="shared" si="172"/>
        <v>3.8777975702828189E-3</v>
      </c>
      <c r="I593" s="63">
        <f t="shared" si="173"/>
        <v>3.4414291415318862E-3</v>
      </c>
      <c r="J593" s="63">
        <f t="shared" si="174"/>
        <v>4.3141659695130567E-3</v>
      </c>
      <c r="K593" s="30">
        <f>IF(OR(LEFT($D593,5)="Solar",$D593="Wind"),INDEX(Land_Use[AVG],MATCH(LEFT($D593,5),Land_Use[Tech],0)),0)*$E593</f>
        <v>0</v>
      </c>
      <c r="L593" s="30">
        <f>IF(OR(LEFT($D593,5)="Solar",$D593="Wind"),INDEX(Land_Use[MIN],MATCH(LEFT($D593,5),Land_Use[Tech],0)),0)*$E593</f>
        <v>0</v>
      </c>
      <c r="M593" s="30">
        <f>IF(OR(LEFT($D593,5)="Solar",$D593="Wind"),INDEX(Land_Use[MAX],MATCH(LEFT($D593,5),Land_Use[Tech],0)),0)*$E593</f>
        <v>0</v>
      </c>
      <c r="N593" s="15">
        <f t="shared" si="167"/>
        <v>2.0500000000000001E-2</v>
      </c>
      <c r="O593" s="11">
        <f t="shared" si="168"/>
        <v>0</v>
      </c>
      <c r="P593" s="11">
        <f t="shared" si="169"/>
        <v>0</v>
      </c>
      <c r="Q593" s="11">
        <f t="shared" si="170"/>
        <v>0</v>
      </c>
      <c r="R593" s="11">
        <f t="shared" si="171"/>
        <v>0</v>
      </c>
      <c r="S593" s="30">
        <f t="shared" si="175"/>
        <v>0</v>
      </c>
      <c r="T593" s="30">
        <f t="shared" si="176"/>
        <v>0</v>
      </c>
      <c r="U593" s="30">
        <f t="shared" si="177"/>
        <v>0</v>
      </c>
      <c r="V593" s="30">
        <f t="shared" si="178"/>
        <v>0</v>
      </c>
      <c r="W593" s="30">
        <f t="shared" si="179"/>
        <v>0</v>
      </c>
      <c r="X593" s="30">
        <f t="shared" si="180"/>
        <v>0</v>
      </c>
      <c r="Z593" s="23" t="s">
        <v>76</v>
      </c>
      <c r="AA593" s="40">
        <f>IF(C593="Electricity",E593*SUMIFS(Electricity!S:S,Electricity!P:P,UserMade_Scenario!B593,Electricity!M:M,UserMade_Scenario!Z593,Electricity!O:O,UserMade_Scenario!D593),"")</f>
        <v>29520.695963479186</v>
      </c>
      <c r="AB593" s="76">
        <f>1/Assumptions!$B$23/1000000000000</f>
        <v>3.5998225679871703E-9</v>
      </c>
      <c r="AC593" s="67" t="s">
        <v>82</v>
      </c>
      <c r="AD593" s="69">
        <f>INDEX(Table11[AVG
CO2e MT per MWh],MATCH(UserMade_Scenario!$B593,Table11[[Year]:[Year]],0))</f>
        <v>-0.13135860939999999</v>
      </c>
      <c r="AE593" s="69">
        <f>INDEX(Table11[MIN
CO2e MT per MWh],MATCH(UserMade_Scenario!$B593,Table11[[Year]:[Year]],0))</f>
        <v>-0.11657682955000001</v>
      </c>
      <c r="AF593" s="69">
        <f>INDEX(Table11[MAX CO2e MT per MWh],MATCH(UserMade_Scenario!$B593,Table11[[Year]:[Year]],0))</f>
        <v>-0.14614038825000003</v>
      </c>
      <c r="AG593" s="68">
        <f>IFERROR(INDEX(WaterUseH2[Average Direct Water Consumption (Gal/ kg h2)],MATCH(LEFT(D593,3),WaterUseH2[Key],0)),0)</f>
        <v>4.0999999999999996</v>
      </c>
      <c r="AH593">
        <v>14</v>
      </c>
      <c r="AI593">
        <v>1.4</v>
      </c>
      <c r="AJ593">
        <v>250</v>
      </c>
      <c r="AK593">
        <v>0.31</v>
      </c>
      <c r="AL593" s="63">
        <f>IFERROR(INDEX(Job_Training[[Solar]:[Wind]],MATCH(AL$1,Job_Training[[`Typical Entry Level Education`]:[`Typical Entry Level Education`]],0),MATCH(LEFT($D593,5),Job_Training[[#Headers],[Solar]:[Wind]],0)),0)</f>
        <v>0</v>
      </c>
      <c r="AM593" s="63">
        <f>IFERROR(INDEX(Job_Training[[Solar]:[Wind]],MATCH(AM$1,Job_Training[[`Typical Entry Level Education`]:[`Typical Entry Level Education`]],0),MATCH(LEFT($D593,5),Job_Training[[#Headers],[Solar]:[Wind]],0)),0)</f>
        <v>0</v>
      </c>
      <c r="AN593" s="63">
        <f>IFERROR(INDEX(Job_Training[[Solar]:[Wind]],MATCH(AN$1,Job_Training[[`Typical Entry Level Education`]:[`Typical Entry Level Education`]],0),MATCH(LEFT($D593,5),Job_Training[[#Headers],[Solar]:[Wind]],0)),0)</f>
        <v>0</v>
      </c>
      <c r="AO593" s="63">
        <f>IFERROR(INDEX(Job_Training[[Solar]:[Wind]],MATCH(AO$1,Job_Training[[`Typical Entry Level Education`]:[`Typical Entry Level Education`]],0),MATCH(LEFT($D593,5),Job_Training[[#Headers],[Solar]:[Wind]],0)),0)</f>
        <v>0</v>
      </c>
      <c r="AP593">
        <f t="shared" si="181"/>
        <v>0</v>
      </c>
      <c r="AQ593" s="63">
        <f>IF(AP593&gt;0,IFERROR(INDEX(Assumptions!$C$165:$D$165,MATCH(LEFT($D593,5),Job_Training[[#Headers],[Solar]:[Wind]],0)),0),0)</f>
        <v>0</v>
      </c>
      <c r="AR593">
        <f>IF(AP593&gt;0,IFERROR(INDEX(Assumptions!$C$166:$D$166,MATCH(LEFT($D593,5),Job_Training[[#Headers],[Solar]:[Wind]],0)),0),0)</f>
        <v>0</v>
      </c>
    </row>
    <row r="594" spans="1:44" hidden="1" x14ac:dyDescent="0.35">
      <c r="A594" t="str">
        <f>UserInput!$B$56</f>
        <v>Max Buildout</v>
      </c>
      <c r="B594">
        <v>2029</v>
      </c>
      <c r="C594" t="s">
        <v>41</v>
      </c>
      <c r="D594" t="s">
        <v>84</v>
      </c>
      <c r="E594" s="66">
        <f>INDEX(UserInput!$C$56:$M$76,MATCH(UserMade_Scenario!B594,UserInput!$A$56:$A$76,0),MATCH(LEFT(IF(RIGHT(C594,2)="H2",UserMade_Scenario!C594,D594),3),UserInput!$C$25:$M$25,0))</f>
        <v>5</v>
      </c>
      <c r="F594" t="s">
        <v>81</v>
      </c>
      <c r="G594" s="14">
        <f t="shared" si="166"/>
        <v>1.0548362644735336E-4</v>
      </c>
      <c r="H594" s="63">
        <f t="shared" si="172"/>
        <v>3.7253579555275619E-3</v>
      </c>
      <c r="I594" s="63">
        <f t="shared" si="173"/>
        <v>3.2648516795891823E-3</v>
      </c>
      <c r="J594" s="63">
        <f t="shared" si="174"/>
        <v>4.1858642021634926E-3</v>
      </c>
      <c r="K594" s="30">
        <f>IF(OR(LEFT($D594,5)="Solar",$D594="Wind"),INDEX(Land_Use[AVG],MATCH(LEFT($D594,5),Land_Use[Tech],0)),0)*$E594</f>
        <v>0</v>
      </c>
      <c r="L594" s="30">
        <f>IF(OR(LEFT($D594,5)="Solar",$D594="Wind"),INDEX(Land_Use[MIN],MATCH(LEFT($D594,5),Land_Use[Tech],0)),0)*$E594</f>
        <v>0</v>
      </c>
      <c r="M594" s="30">
        <f>IF(OR(LEFT($D594,5)="Solar",$D594="Wind"),INDEX(Land_Use[MAX],MATCH(LEFT($D594,5),Land_Use[Tech],0)),0)*$E594</f>
        <v>0</v>
      </c>
      <c r="N594" s="15">
        <f t="shared" si="167"/>
        <v>2.0500000000000001E-2</v>
      </c>
      <c r="O594" s="11">
        <f t="shared" si="168"/>
        <v>0</v>
      </c>
      <c r="P594" s="11">
        <f t="shared" si="169"/>
        <v>0</v>
      </c>
      <c r="Q594" s="11">
        <f t="shared" si="170"/>
        <v>0</v>
      </c>
      <c r="R594" s="11">
        <f t="shared" si="171"/>
        <v>0</v>
      </c>
      <c r="S594" s="30">
        <f t="shared" si="175"/>
        <v>0</v>
      </c>
      <c r="T594" s="30">
        <f t="shared" si="176"/>
        <v>0</v>
      </c>
      <c r="U594" s="30">
        <f t="shared" si="177"/>
        <v>0</v>
      </c>
      <c r="V594" s="30">
        <f t="shared" si="178"/>
        <v>0</v>
      </c>
      <c r="W594" s="30">
        <f t="shared" si="179"/>
        <v>0</v>
      </c>
      <c r="X594" s="30">
        <f t="shared" si="180"/>
        <v>0</v>
      </c>
      <c r="Z594" s="23" t="s">
        <v>76</v>
      </c>
      <c r="AA594" s="40">
        <f>IF(C594="Electricity",E594*SUMIFS(Electricity!S:S,Electricity!P:P,UserMade_Scenario!B594,Electricity!M:M,UserMade_Scenario!Z594,Electricity!O:O,UserMade_Scenario!D594),"")</f>
        <v>29302.45156675436</v>
      </c>
      <c r="AB594" s="76">
        <f>1/Assumptions!$B$23/1000000000000</f>
        <v>3.5998225679871703E-9</v>
      </c>
      <c r="AC594" s="67" t="s">
        <v>82</v>
      </c>
      <c r="AD594" s="69">
        <f>INDEX(Table11[AVG
CO2e MT per MWh],MATCH(UserMade_Scenario!$B594,Table11[[Year]:[Year]],0))</f>
        <v>-0.12713468519999999</v>
      </c>
      <c r="AE594" s="69">
        <f>INDEX(Table11[MIN
CO2e MT per MWh],MATCH(UserMade_Scenario!$B594,Table11[[Year]:[Year]],0))</f>
        <v>-0.11141906240000002</v>
      </c>
      <c r="AF594" s="69">
        <f>INDEX(Table11[MAX CO2e MT per MWh],MATCH(UserMade_Scenario!$B594,Table11[[Year]:[Year]],0))</f>
        <v>-0.14285030700000004</v>
      </c>
      <c r="AG594" s="68">
        <f>IFERROR(INDEX(WaterUseH2[Average Direct Water Consumption (Gal/ kg h2)],MATCH(LEFT(D594,3),WaterUseH2[Key],0)),0)</f>
        <v>4.0999999999999996</v>
      </c>
      <c r="AH594">
        <v>14</v>
      </c>
      <c r="AI594">
        <v>1.4</v>
      </c>
      <c r="AJ594">
        <v>250</v>
      </c>
      <c r="AK594">
        <v>0.31</v>
      </c>
      <c r="AL594" s="63">
        <f>IFERROR(INDEX(Job_Training[[Solar]:[Wind]],MATCH(AL$1,Job_Training[[`Typical Entry Level Education`]:[`Typical Entry Level Education`]],0),MATCH(LEFT($D594,5),Job_Training[[#Headers],[Solar]:[Wind]],0)),0)</f>
        <v>0</v>
      </c>
      <c r="AM594" s="63">
        <f>IFERROR(INDEX(Job_Training[[Solar]:[Wind]],MATCH(AM$1,Job_Training[[`Typical Entry Level Education`]:[`Typical Entry Level Education`]],0),MATCH(LEFT($D594,5),Job_Training[[#Headers],[Solar]:[Wind]],0)),0)</f>
        <v>0</v>
      </c>
      <c r="AN594" s="63">
        <f>IFERROR(INDEX(Job_Training[[Solar]:[Wind]],MATCH(AN$1,Job_Training[[`Typical Entry Level Education`]:[`Typical Entry Level Education`]],0),MATCH(LEFT($D594,5),Job_Training[[#Headers],[Solar]:[Wind]],0)),0)</f>
        <v>0</v>
      </c>
      <c r="AO594" s="63">
        <f>IFERROR(INDEX(Job_Training[[Solar]:[Wind]],MATCH(AO$1,Job_Training[[`Typical Entry Level Education`]:[`Typical Entry Level Education`]],0),MATCH(LEFT($D594,5),Job_Training[[#Headers],[Solar]:[Wind]],0)),0)</f>
        <v>0</v>
      </c>
      <c r="AP594">
        <f t="shared" si="181"/>
        <v>0</v>
      </c>
      <c r="AQ594" s="63">
        <f>IF(AP594&gt;0,IFERROR(INDEX(Assumptions!$C$165:$D$165,MATCH(LEFT($D594,5),Job_Training[[#Headers],[Solar]:[Wind]],0)),0),0)</f>
        <v>0</v>
      </c>
      <c r="AR594">
        <f>IF(AP594&gt;0,IFERROR(INDEX(Assumptions!$C$166:$D$166,MATCH(LEFT($D594,5),Job_Training[[#Headers],[Solar]:[Wind]],0)),0),0)</f>
        <v>0</v>
      </c>
    </row>
    <row r="595" spans="1:44" hidden="1" x14ac:dyDescent="0.35">
      <c r="A595" t="str">
        <f>UserInput!$B$56</f>
        <v>Max Buildout</v>
      </c>
      <c r="B595">
        <v>2030</v>
      </c>
      <c r="C595" t="s">
        <v>41</v>
      </c>
      <c r="D595" t="s">
        <v>84</v>
      </c>
      <c r="E595" s="66">
        <f>INDEX(UserInput!$C$56:$M$76,MATCH(UserMade_Scenario!B595,UserInput!$A$56:$A$76,0),MATCH(LEFT(IF(RIGHT(C595,2)="H2",UserMade_Scenario!C595,D595),3),UserInput!$C$25:$M$25,0))</f>
        <v>10</v>
      </c>
      <c r="F595" t="s">
        <v>81</v>
      </c>
      <c r="G595" s="14">
        <f t="shared" si="166"/>
        <v>2.0939597068537322E-4</v>
      </c>
      <c r="H595" s="63">
        <f t="shared" si="172"/>
        <v>7.1495240726999736E-3</v>
      </c>
      <c r="I595" s="63">
        <f t="shared" si="173"/>
        <v>6.181051050413354E-3</v>
      </c>
      <c r="J595" s="63">
        <f t="shared" si="174"/>
        <v>8.1179970368181857E-3</v>
      </c>
      <c r="K595" s="30">
        <f>IF(OR(LEFT($D595,5)="Solar",$D595="Wind"),INDEX(Land_Use[AVG],MATCH(LEFT($D595,5),Land_Use[Tech],0)),0)*$E595</f>
        <v>0</v>
      </c>
      <c r="L595" s="30">
        <f>IF(OR(LEFT($D595,5)="Solar",$D595="Wind"),INDEX(Land_Use[MIN],MATCH(LEFT($D595,5),Land_Use[Tech],0)),0)*$E595</f>
        <v>0</v>
      </c>
      <c r="M595" s="30">
        <f>IF(OR(LEFT($D595,5)="Solar",$D595="Wind"),INDEX(Land_Use[MAX],MATCH(LEFT($D595,5),Land_Use[Tech],0)),0)*$E595</f>
        <v>0</v>
      </c>
      <c r="N595" s="15">
        <f t="shared" si="167"/>
        <v>4.1000000000000002E-2</v>
      </c>
      <c r="O595" s="11">
        <f t="shared" si="168"/>
        <v>0</v>
      </c>
      <c r="P595" s="11">
        <f t="shared" si="169"/>
        <v>0</v>
      </c>
      <c r="Q595" s="11">
        <f t="shared" si="170"/>
        <v>0</v>
      </c>
      <c r="R595" s="11">
        <f t="shared" si="171"/>
        <v>0</v>
      </c>
      <c r="S595" s="30">
        <f t="shared" si="175"/>
        <v>0</v>
      </c>
      <c r="T595" s="30">
        <f t="shared" si="176"/>
        <v>0</v>
      </c>
      <c r="U595" s="30">
        <f t="shared" si="177"/>
        <v>0</v>
      </c>
      <c r="V595" s="30">
        <f t="shared" si="178"/>
        <v>0</v>
      </c>
      <c r="W595" s="30">
        <f t="shared" si="179"/>
        <v>0</v>
      </c>
      <c r="X595" s="30">
        <f t="shared" si="180"/>
        <v>0</v>
      </c>
      <c r="Z595" s="23" t="s">
        <v>76</v>
      </c>
      <c r="AA595" s="40">
        <f>IF(C595="Electricity",E595*SUMIFS(Electricity!S:S,Electricity!P:P,UserMade_Scenario!B595,Electricity!M:M,UserMade_Scenario!Z595,Electricity!O:O,UserMade_Scenario!D595),"")</f>
        <v>58168.414340059084</v>
      </c>
      <c r="AB595" s="76">
        <f>1/Assumptions!$B$23/1000000000000</f>
        <v>3.5998225679871703E-9</v>
      </c>
      <c r="AC595" s="67" t="s">
        <v>82</v>
      </c>
      <c r="AD595" s="69">
        <f>INDEX(Table11[AVG
CO2e MT per MWh],MATCH(UserMade_Scenario!$B595,Table11[[Year]:[Year]],0))</f>
        <v>-0.12291076099999998</v>
      </c>
      <c r="AE595" s="69">
        <f>INDEX(Table11[MIN
CO2e MT per MWh],MATCH(UserMade_Scenario!$B595,Table11[[Year]:[Year]],0))</f>
        <v>-0.10626129525000003</v>
      </c>
      <c r="AF595" s="69">
        <f>INDEX(Table11[MAX CO2e MT per MWh],MATCH(UserMade_Scenario!$B595,Table11[[Year]:[Year]],0))</f>
        <v>-0.13956022575000004</v>
      </c>
      <c r="AG595" s="68">
        <f>IFERROR(INDEX(WaterUseH2[Average Direct Water Consumption (Gal/ kg h2)],MATCH(LEFT(D595,3),WaterUseH2[Key],0)),0)</f>
        <v>4.0999999999999996</v>
      </c>
      <c r="AH595">
        <v>14</v>
      </c>
      <c r="AI595">
        <v>1.4</v>
      </c>
      <c r="AJ595">
        <v>250</v>
      </c>
      <c r="AK595">
        <v>0.31</v>
      </c>
      <c r="AL595" s="63">
        <f>IFERROR(INDEX(Job_Training[[Solar]:[Wind]],MATCH(AL$1,Job_Training[[`Typical Entry Level Education`]:[`Typical Entry Level Education`]],0),MATCH(LEFT($D595,5),Job_Training[[#Headers],[Solar]:[Wind]],0)),0)</f>
        <v>0</v>
      </c>
      <c r="AM595" s="63">
        <f>IFERROR(INDEX(Job_Training[[Solar]:[Wind]],MATCH(AM$1,Job_Training[[`Typical Entry Level Education`]:[`Typical Entry Level Education`]],0),MATCH(LEFT($D595,5),Job_Training[[#Headers],[Solar]:[Wind]],0)),0)</f>
        <v>0</v>
      </c>
      <c r="AN595" s="63">
        <f>IFERROR(INDEX(Job_Training[[Solar]:[Wind]],MATCH(AN$1,Job_Training[[`Typical Entry Level Education`]:[`Typical Entry Level Education`]],0),MATCH(LEFT($D595,5),Job_Training[[#Headers],[Solar]:[Wind]],0)),0)</f>
        <v>0</v>
      </c>
      <c r="AO595" s="63">
        <f>IFERROR(INDEX(Job_Training[[Solar]:[Wind]],MATCH(AO$1,Job_Training[[`Typical Entry Level Education`]:[`Typical Entry Level Education`]],0),MATCH(LEFT($D595,5),Job_Training[[#Headers],[Solar]:[Wind]],0)),0)</f>
        <v>0</v>
      </c>
      <c r="AP595">
        <f t="shared" si="181"/>
        <v>5</v>
      </c>
      <c r="AQ595" s="63">
        <f>IF(AP595&gt;0,IFERROR(INDEX(Assumptions!$C$165:$D$165,MATCH(LEFT($D595,5),Job_Training[[#Headers],[Solar]:[Wind]],0)),0),0)</f>
        <v>0</v>
      </c>
      <c r="AR595">
        <f>IF(AP595&gt;0,IFERROR(INDEX(Assumptions!$C$166:$D$166,MATCH(LEFT($D595,5),Job_Training[[#Headers],[Solar]:[Wind]],0)),0),0)</f>
        <v>0</v>
      </c>
    </row>
    <row r="596" spans="1:44" hidden="1" x14ac:dyDescent="0.35">
      <c r="A596" t="str">
        <f>UserInput!$B$56</f>
        <v>Max Buildout</v>
      </c>
      <c r="B596">
        <v>2031</v>
      </c>
      <c r="C596" t="s">
        <v>41</v>
      </c>
      <c r="D596" t="s">
        <v>84</v>
      </c>
      <c r="E596" s="66">
        <f>INDEX(UserInput!$C$56:$M$76,MATCH(UserMade_Scenario!B596,UserInput!$A$56:$A$76,0),MATCH(LEFT(IF(RIGHT(C596,2)="H2",UserMade_Scenario!C596,D596),3),UserInput!$C$25:$M$25,0))</f>
        <v>10</v>
      </c>
      <c r="F596" t="s">
        <v>81</v>
      </c>
      <c r="G596" s="14">
        <f t="shared" si="166"/>
        <v>2.078246884760397E-4</v>
      </c>
      <c r="H596" s="63">
        <f t="shared" si="172"/>
        <v>6.8520196255001829E-3</v>
      </c>
      <c r="I596" s="63">
        <f t="shared" si="173"/>
        <v>5.8369013567687372E-3</v>
      </c>
      <c r="J596" s="63">
        <f t="shared" si="174"/>
        <v>7.8671378364997113E-3</v>
      </c>
      <c r="K596" s="30">
        <f>IF(OR(LEFT($D596,5)="Solar",$D596="Wind"),INDEX(Land_Use[AVG],MATCH(LEFT($D596,5),Land_Use[Tech],0)),0)*$E596</f>
        <v>0</v>
      </c>
      <c r="L596" s="30">
        <f>IF(OR(LEFT($D596,5)="Solar",$D596="Wind"),INDEX(Land_Use[MIN],MATCH(LEFT($D596,5),Land_Use[Tech],0)),0)*$E596</f>
        <v>0</v>
      </c>
      <c r="M596" s="30">
        <f>IF(OR(LEFT($D596,5)="Solar",$D596="Wind"),INDEX(Land_Use[MAX],MATCH(LEFT($D596,5),Land_Use[Tech],0)),0)*$E596</f>
        <v>0</v>
      </c>
      <c r="N596" s="15">
        <f t="shared" si="167"/>
        <v>4.1000000000000002E-2</v>
      </c>
      <c r="O596" s="11">
        <f t="shared" si="168"/>
        <v>0</v>
      </c>
      <c r="P596" s="11">
        <f t="shared" si="169"/>
        <v>0</v>
      </c>
      <c r="Q596" s="11">
        <f t="shared" si="170"/>
        <v>0</v>
      </c>
      <c r="R596" s="11">
        <f t="shared" si="171"/>
        <v>0</v>
      </c>
      <c r="S596" s="30">
        <f t="shared" si="175"/>
        <v>0</v>
      </c>
      <c r="T596" s="30">
        <f t="shared" si="176"/>
        <v>0</v>
      </c>
      <c r="U596" s="30">
        <f t="shared" si="177"/>
        <v>0</v>
      </c>
      <c r="V596" s="30">
        <f t="shared" si="178"/>
        <v>0</v>
      </c>
      <c r="W596" s="30">
        <f t="shared" si="179"/>
        <v>0</v>
      </c>
      <c r="X596" s="30">
        <f t="shared" si="180"/>
        <v>0</v>
      </c>
      <c r="Z596" s="23" t="s">
        <v>76</v>
      </c>
      <c r="AA596" s="40">
        <f>IF(C596="Electricity",E596*SUMIFS(Electricity!S:S,Electricity!P:P,UserMade_Scenario!B596,Electricity!M:M,UserMade_Scenario!Z596,Electricity!O:O,UserMade_Scenario!D596),"")</f>
        <v>57731.925546609433</v>
      </c>
      <c r="AB596" s="76">
        <f>1/Assumptions!$B$23/1000000000000</f>
        <v>3.5998225679871703E-9</v>
      </c>
      <c r="AC596" s="67" t="s">
        <v>82</v>
      </c>
      <c r="AD596" s="69">
        <f>INDEX(Table11[AVG
CO2e MT per MWh],MATCH(UserMade_Scenario!$B596,Table11[[Year]:[Year]],0))</f>
        <v>-0.11868683679999997</v>
      </c>
      <c r="AE596" s="69">
        <f>INDEX(Table11[MIN
CO2e MT per MWh],MATCH(UserMade_Scenario!$B596,Table11[[Year]:[Year]],0))</f>
        <v>-0.10110352810000003</v>
      </c>
      <c r="AF596" s="69">
        <f>INDEX(Table11[MAX CO2e MT per MWh],MATCH(UserMade_Scenario!$B596,Table11[[Year]:[Year]],0))</f>
        <v>-0.13627014450000005</v>
      </c>
      <c r="AG596" s="68">
        <f>IFERROR(INDEX(WaterUseH2[Average Direct Water Consumption (Gal/ kg h2)],MATCH(LEFT(D596,3),WaterUseH2[Key],0)),0)</f>
        <v>4.0999999999999996</v>
      </c>
      <c r="AH596">
        <v>14</v>
      </c>
      <c r="AI596">
        <v>1.4</v>
      </c>
      <c r="AJ596">
        <v>250</v>
      </c>
      <c r="AK596">
        <v>0.31</v>
      </c>
      <c r="AL596" s="63">
        <f>IFERROR(INDEX(Job_Training[[Solar]:[Wind]],MATCH(AL$1,Job_Training[[`Typical Entry Level Education`]:[`Typical Entry Level Education`]],0),MATCH(LEFT($D596,5),Job_Training[[#Headers],[Solar]:[Wind]],0)),0)</f>
        <v>0</v>
      </c>
      <c r="AM596" s="63">
        <f>IFERROR(INDEX(Job_Training[[Solar]:[Wind]],MATCH(AM$1,Job_Training[[`Typical Entry Level Education`]:[`Typical Entry Level Education`]],0),MATCH(LEFT($D596,5),Job_Training[[#Headers],[Solar]:[Wind]],0)),0)</f>
        <v>0</v>
      </c>
      <c r="AN596" s="63">
        <f>IFERROR(INDEX(Job_Training[[Solar]:[Wind]],MATCH(AN$1,Job_Training[[`Typical Entry Level Education`]:[`Typical Entry Level Education`]],0),MATCH(LEFT($D596,5),Job_Training[[#Headers],[Solar]:[Wind]],0)),0)</f>
        <v>0</v>
      </c>
      <c r="AO596" s="63">
        <f>IFERROR(INDEX(Job_Training[[Solar]:[Wind]],MATCH(AO$1,Job_Training[[`Typical Entry Level Education`]:[`Typical Entry Level Education`]],0),MATCH(LEFT($D596,5),Job_Training[[#Headers],[Solar]:[Wind]],0)),0)</f>
        <v>0</v>
      </c>
      <c r="AP596">
        <f t="shared" si="181"/>
        <v>0</v>
      </c>
      <c r="AQ596" s="63">
        <f>IF(AP596&gt;0,IFERROR(INDEX(Assumptions!$C$165:$D$165,MATCH(LEFT($D596,5),Job_Training[[#Headers],[Solar]:[Wind]],0)),0),0)</f>
        <v>0</v>
      </c>
      <c r="AR596">
        <f>IF(AP596&gt;0,IFERROR(INDEX(Assumptions!$C$166:$D$166,MATCH(LEFT($D596,5),Job_Training[[#Headers],[Solar]:[Wind]],0)),0),0)</f>
        <v>0</v>
      </c>
    </row>
    <row r="597" spans="1:44" hidden="1" x14ac:dyDescent="0.35">
      <c r="A597" t="str">
        <f>UserInput!$B$56</f>
        <v>Max Buildout</v>
      </c>
      <c r="B597">
        <v>2032</v>
      </c>
      <c r="C597" t="s">
        <v>41</v>
      </c>
      <c r="D597" t="s">
        <v>84</v>
      </c>
      <c r="E597" s="66">
        <f>INDEX(UserInput!$C$56:$M$76,MATCH(UserMade_Scenario!B597,UserInput!$A$56:$A$76,0),MATCH(LEFT(IF(RIGHT(C597,2)="H2",UserMade_Scenario!C597,D597),3),UserInput!$C$25:$M$25,0))</f>
        <v>15</v>
      </c>
      <c r="F597" t="s">
        <v>81</v>
      </c>
      <c r="G597" s="14">
        <f t="shared" si="166"/>
        <v>3.0938010940005932E-4</v>
      </c>
      <c r="H597" s="63">
        <f t="shared" si="172"/>
        <v>9.8373038541836339E-3</v>
      </c>
      <c r="I597" s="63">
        <f t="shared" si="173"/>
        <v>8.2458814173667749E-3</v>
      </c>
      <c r="J597" s="63">
        <f t="shared" si="174"/>
        <v>1.1428726205057351E-2</v>
      </c>
      <c r="K597" s="30">
        <f>IF(OR(LEFT($D597,5)="Solar",$D597="Wind"),INDEX(Land_Use[AVG],MATCH(LEFT($D597,5),Land_Use[Tech],0)),0)*$E597</f>
        <v>0</v>
      </c>
      <c r="L597" s="30">
        <f>IF(OR(LEFT($D597,5)="Solar",$D597="Wind"),INDEX(Land_Use[MIN],MATCH(LEFT($D597,5),Land_Use[Tech],0)),0)*$E597</f>
        <v>0</v>
      </c>
      <c r="M597" s="30">
        <f>IF(OR(LEFT($D597,5)="Solar",$D597="Wind"),INDEX(Land_Use[MAX],MATCH(LEFT($D597,5),Land_Use[Tech],0)),0)*$E597</f>
        <v>0</v>
      </c>
      <c r="N597" s="15">
        <f t="shared" si="167"/>
        <v>6.1499999999999992E-2</v>
      </c>
      <c r="O597" s="11">
        <f t="shared" si="168"/>
        <v>0</v>
      </c>
      <c r="P597" s="11">
        <f t="shared" si="169"/>
        <v>0</v>
      </c>
      <c r="Q597" s="11">
        <f t="shared" si="170"/>
        <v>0</v>
      </c>
      <c r="R597" s="11">
        <f t="shared" si="171"/>
        <v>0</v>
      </c>
      <c r="S597" s="30">
        <f t="shared" si="175"/>
        <v>0</v>
      </c>
      <c r="T597" s="30">
        <f t="shared" si="176"/>
        <v>0</v>
      </c>
      <c r="U597" s="30">
        <f t="shared" si="177"/>
        <v>0</v>
      </c>
      <c r="V597" s="30">
        <f t="shared" si="178"/>
        <v>0</v>
      </c>
      <c r="W597" s="30">
        <f t="shared" si="179"/>
        <v>0</v>
      </c>
      <c r="X597" s="30">
        <f t="shared" si="180"/>
        <v>0</v>
      </c>
      <c r="Z597" s="23" t="s">
        <v>76</v>
      </c>
      <c r="AA597" s="40">
        <f>IF(C597="Electricity",E597*SUMIFS(Electricity!S:S,Electricity!P:P,UserMade_Scenario!B597,Electricity!M:M,UserMade_Scenario!Z597,Electricity!O:O,UserMade_Scenario!D597),"")</f>
        <v>85943.155129739695</v>
      </c>
      <c r="AB597" s="76">
        <f>1/Assumptions!$B$23/1000000000000</f>
        <v>3.5998225679871703E-9</v>
      </c>
      <c r="AC597" s="67" t="s">
        <v>82</v>
      </c>
      <c r="AD597" s="69">
        <f>INDEX(Table11[AVG
CO2e MT per MWh],MATCH(UserMade_Scenario!$B597,Table11[[Year]:[Year]],0))</f>
        <v>-0.11446291259999997</v>
      </c>
      <c r="AE597" s="69">
        <f>INDEX(Table11[MIN
CO2e MT per MWh],MATCH(UserMade_Scenario!$B597,Table11[[Year]:[Year]],0))</f>
        <v>-9.5945760950000042E-2</v>
      </c>
      <c r="AF597" s="69">
        <f>INDEX(Table11[MAX CO2e MT per MWh],MATCH(UserMade_Scenario!$B597,Table11[[Year]:[Year]],0))</f>
        <v>-0.13298006325000006</v>
      </c>
      <c r="AG597" s="68">
        <f>IFERROR(INDEX(WaterUseH2[Average Direct Water Consumption (Gal/ kg h2)],MATCH(LEFT(D597,3),WaterUseH2[Key],0)),0)</f>
        <v>4.0999999999999996</v>
      </c>
      <c r="AH597">
        <v>14</v>
      </c>
      <c r="AI597">
        <v>1.4</v>
      </c>
      <c r="AJ597">
        <v>250</v>
      </c>
      <c r="AK597">
        <v>0.31</v>
      </c>
      <c r="AL597" s="63">
        <f>IFERROR(INDEX(Job_Training[[Solar]:[Wind]],MATCH(AL$1,Job_Training[[`Typical Entry Level Education`]:[`Typical Entry Level Education`]],0),MATCH(LEFT($D597,5),Job_Training[[#Headers],[Solar]:[Wind]],0)),0)</f>
        <v>0</v>
      </c>
      <c r="AM597" s="63">
        <f>IFERROR(INDEX(Job_Training[[Solar]:[Wind]],MATCH(AM$1,Job_Training[[`Typical Entry Level Education`]:[`Typical Entry Level Education`]],0),MATCH(LEFT($D597,5),Job_Training[[#Headers],[Solar]:[Wind]],0)),0)</f>
        <v>0</v>
      </c>
      <c r="AN597" s="63">
        <f>IFERROR(INDEX(Job_Training[[Solar]:[Wind]],MATCH(AN$1,Job_Training[[`Typical Entry Level Education`]:[`Typical Entry Level Education`]],0),MATCH(LEFT($D597,5),Job_Training[[#Headers],[Solar]:[Wind]],0)),0)</f>
        <v>0</v>
      </c>
      <c r="AO597" s="63">
        <f>IFERROR(INDEX(Job_Training[[Solar]:[Wind]],MATCH(AO$1,Job_Training[[`Typical Entry Level Education`]:[`Typical Entry Level Education`]],0),MATCH(LEFT($D597,5),Job_Training[[#Headers],[Solar]:[Wind]],0)),0)</f>
        <v>0</v>
      </c>
      <c r="AP597">
        <f t="shared" si="181"/>
        <v>5</v>
      </c>
      <c r="AQ597" s="63">
        <f>IF(AP597&gt;0,IFERROR(INDEX(Assumptions!$C$165:$D$165,MATCH(LEFT($D597,5),Job_Training[[#Headers],[Solar]:[Wind]],0)),0),0)</f>
        <v>0</v>
      </c>
      <c r="AR597">
        <f>IF(AP597&gt;0,IFERROR(INDEX(Assumptions!$C$166:$D$166,MATCH(LEFT($D597,5),Job_Training[[#Headers],[Solar]:[Wind]],0)),0),0)</f>
        <v>0</v>
      </c>
    </row>
    <row r="598" spans="1:44" hidden="1" x14ac:dyDescent="0.35">
      <c r="A598" t="str">
        <f>UserInput!$B$56</f>
        <v>Max Buildout</v>
      </c>
      <c r="B598">
        <v>2033</v>
      </c>
      <c r="C598" t="s">
        <v>41</v>
      </c>
      <c r="D598" t="s">
        <v>84</v>
      </c>
      <c r="E598" s="66">
        <f>INDEX(UserInput!$C$56:$M$76,MATCH(UserMade_Scenario!B598,UserInput!$A$56:$A$76,0),MATCH(LEFT(IF(RIGHT(C598,2)="H2",UserMade_Scenario!C598,D598),3),UserInput!$C$25:$M$25,0))</f>
        <v>15</v>
      </c>
      <c r="F598" t="s">
        <v>81</v>
      </c>
      <c r="G598" s="14">
        <f t="shared" si="166"/>
        <v>3.0702318608605896E-4</v>
      </c>
      <c r="H598" s="63">
        <f t="shared" si="172"/>
        <v>9.4021093568500327E-3</v>
      </c>
      <c r="I598" s="63">
        <f t="shared" si="173"/>
        <v>7.7431647222610351E-3</v>
      </c>
      <c r="J598" s="63">
        <f t="shared" si="174"/>
        <v>1.1061053906150625E-2</v>
      </c>
      <c r="K598" s="30">
        <f>IF(OR(LEFT($D598,5)="Solar",$D598="Wind"),INDEX(Land_Use[AVG],MATCH(LEFT($D598,5),Land_Use[Tech],0)),0)*$E598</f>
        <v>0</v>
      </c>
      <c r="L598" s="30">
        <f>IF(OR(LEFT($D598,5)="Solar",$D598="Wind"),INDEX(Land_Use[MIN],MATCH(LEFT($D598,5),Land_Use[Tech],0)),0)*$E598</f>
        <v>0</v>
      </c>
      <c r="M598" s="30">
        <f>IF(OR(LEFT($D598,5)="Solar",$D598="Wind"),INDEX(Land_Use[MAX],MATCH(LEFT($D598,5),Land_Use[Tech],0)),0)*$E598</f>
        <v>0</v>
      </c>
      <c r="N598" s="15">
        <f t="shared" si="167"/>
        <v>6.1499999999999992E-2</v>
      </c>
      <c r="O598" s="11">
        <f t="shared" si="168"/>
        <v>0</v>
      </c>
      <c r="P598" s="11">
        <f t="shared" si="169"/>
        <v>0</v>
      </c>
      <c r="Q598" s="11">
        <f t="shared" si="170"/>
        <v>0</v>
      </c>
      <c r="R598" s="11">
        <f t="shared" si="171"/>
        <v>0</v>
      </c>
      <c r="S598" s="30">
        <f t="shared" si="175"/>
        <v>0</v>
      </c>
      <c r="T598" s="30">
        <f t="shared" si="176"/>
        <v>0</v>
      </c>
      <c r="U598" s="30">
        <f t="shared" si="177"/>
        <v>0</v>
      </c>
      <c r="V598" s="30">
        <f t="shared" si="178"/>
        <v>0</v>
      </c>
      <c r="W598" s="30">
        <f t="shared" si="179"/>
        <v>0</v>
      </c>
      <c r="X598" s="30">
        <f t="shared" si="180"/>
        <v>0</v>
      </c>
      <c r="Z598" s="23" t="s">
        <v>76</v>
      </c>
      <c r="AA598" s="40">
        <f>IF(C598="Electricity",E598*SUMIFS(Electricity!S:S,Electricity!P:P,UserMade_Scenario!B598,Electricity!M:M,UserMade_Scenario!Z598,Electricity!O:O,UserMade_Scenario!D598),"")</f>
        <v>85288.421939565218</v>
      </c>
      <c r="AB598" s="76">
        <f>1/Assumptions!$B$23/1000000000000</f>
        <v>3.5998225679871703E-9</v>
      </c>
      <c r="AC598" s="67" t="s">
        <v>82</v>
      </c>
      <c r="AD598" s="69">
        <f>INDEX(Table11[AVG
CO2e MT per MWh],MATCH(UserMade_Scenario!$B598,Table11[[Year]:[Year]],0))</f>
        <v>-0.11023898839999996</v>
      </c>
      <c r="AE598" s="69">
        <f>INDEX(Table11[MIN
CO2e MT per MWh],MATCH(UserMade_Scenario!$B598,Table11[[Year]:[Year]],0))</f>
        <v>-9.078799380000005E-2</v>
      </c>
      <c r="AF598" s="69">
        <f>INDEX(Table11[MAX CO2e MT per MWh],MATCH(UserMade_Scenario!$B598,Table11[[Year]:[Year]],0))</f>
        <v>-0.12968998200000006</v>
      </c>
      <c r="AG598" s="68">
        <f>IFERROR(INDEX(WaterUseH2[Average Direct Water Consumption (Gal/ kg h2)],MATCH(LEFT(D598,3),WaterUseH2[Key],0)),0)</f>
        <v>4.0999999999999996</v>
      </c>
      <c r="AH598">
        <v>14</v>
      </c>
      <c r="AI598">
        <v>1.4</v>
      </c>
      <c r="AJ598">
        <v>250</v>
      </c>
      <c r="AK598">
        <v>0.31</v>
      </c>
      <c r="AL598" s="63">
        <f>IFERROR(INDEX(Job_Training[[Solar]:[Wind]],MATCH(AL$1,Job_Training[[`Typical Entry Level Education`]:[`Typical Entry Level Education`]],0),MATCH(LEFT($D598,5),Job_Training[[#Headers],[Solar]:[Wind]],0)),0)</f>
        <v>0</v>
      </c>
      <c r="AM598" s="63">
        <f>IFERROR(INDEX(Job_Training[[Solar]:[Wind]],MATCH(AM$1,Job_Training[[`Typical Entry Level Education`]:[`Typical Entry Level Education`]],0),MATCH(LEFT($D598,5),Job_Training[[#Headers],[Solar]:[Wind]],0)),0)</f>
        <v>0</v>
      </c>
      <c r="AN598" s="63">
        <f>IFERROR(INDEX(Job_Training[[Solar]:[Wind]],MATCH(AN$1,Job_Training[[`Typical Entry Level Education`]:[`Typical Entry Level Education`]],0),MATCH(LEFT($D598,5),Job_Training[[#Headers],[Solar]:[Wind]],0)),0)</f>
        <v>0</v>
      </c>
      <c r="AO598" s="63">
        <f>IFERROR(INDEX(Job_Training[[Solar]:[Wind]],MATCH(AO$1,Job_Training[[`Typical Entry Level Education`]:[`Typical Entry Level Education`]],0),MATCH(LEFT($D598,5),Job_Training[[#Headers],[Solar]:[Wind]],0)),0)</f>
        <v>0</v>
      </c>
      <c r="AP598">
        <f t="shared" si="181"/>
        <v>0</v>
      </c>
      <c r="AQ598" s="63">
        <f>IF(AP598&gt;0,IFERROR(INDEX(Assumptions!$C$165:$D$165,MATCH(LEFT($D598,5),Job_Training[[#Headers],[Solar]:[Wind]],0)),0),0)</f>
        <v>0</v>
      </c>
      <c r="AR598">
        <f>IF(AP598&gt;0,IFERROR(INDEX(Assumptions!$C$166:$D$166,MATCH(LEFT($D598,5),Job_Training[[#Headers],[Solar]:[Wind]],0)),0),0)</f>
        <v>0</v>
      </c>
    </row>
    <row r="599" spans="1:44" hidden="1" x14ac:dyDescent="0.35">
      <c r="A599" t="str">
        <f>UserInput!$B$56</f>
        <v>Max Buildout</v>
      </c>
      <c r="B599">
        <v>2034</v>
      </c>
      <c r="C599" t="s">
        <v>41</v>
      </c>
      <c r="D599" t="s">
        <v>84</v>
      </c>
      <c r="E599" s="66">
        <f>INDEX(UserInput!$C$56:$M$76,MATCH(UserMade_Scenario!B599,UserInput!$A$56:$A$76,0),MATCH(LEFT(IF(RIGHT(C599,2)="H2",UserMade_Scenario!C599,D599),3),UserInput!$C$25:$M$25,0))</f>
        <v>15</v>
      </c>
      <c r="F599" t="s">
        <v>81</v>
      </c>
      <c r="G599" s="14">
        <f t="shared" si="166"/>
        <v>3.0466626277205871E-4</v>
      </c>
      <c r="H599" s="63">
        <f t="shared" si="172"/>
        <v>8.9724459462494754E-3</v>
      </c>
      <c r="I599" s="63">
        <f t="shared" si="173"/>
        <v>7.2472019498358905E-3</v>
      </c>
      <c r="J599" s="63">
        <f t="shared" si="174"/>
        <v>1.0697689858029389E-2</v>
      </c>
      <c r="K599" s="30">
        <f>IF(OR(LEFT($D599,5)="Solar",$D599="Wind"),INDEX(Land_Use[AVG],MATCH(LEFT($D599,5),Land_Use[Tech],0)),0)*$E599</f>
        <v>0</v>
      </c>
      <c r="L599" s="30">
        <f>IF(OR(LEFT($D599,5)="Solar",$D599="Wind"),INDEX(Land_Use[MIN],MATCH(LEFT($D599,5),Land_Use[Tech],0)),0)*$E599</f>
        <v>0</v>
      </c>
      <c r="M599" s="30">
        <f>IF(OR(LEFT($D599,5)="Solar",$D599="Wind"),INDEX(Land_Use[MAX],MATCH(LEFT($D599,5),Land_Use[Tech],0)),0)*$E599</f>
        <v>0</v>
      </c>
      <c r="N599" s="15">
        <f t="shared" si="167"/>
        <v>6.1499999999999992E-2</v>
      </c>
      <c r="O599" s="11">
        <f t="shared" si="168"/>
        <v>0</v>
      </c>
      <c r="P599" s="11">
        <f t="shared" si="169"/>
        <v>0</v>
      </c>
      <c r="Q599" s="11">
        <f t="shared" si="170"/>
        <v>0</v>
      </c>
      <c r="R599" s="11">
        <f t="shared" si="171"/>
        <v>0</v>
      </c>
      <c r="S599" s="30">
        <f t="shared" si="175"/>
        <v>0</v>
      </c>
      <c r="T599" s="30">
        <f t="shared" si="176"/>
        <v>0</v>
      </c>
      <c r="U599" s="30">
        <f t="shared" si="177"/>
        <v>0</v>
      </c>
      <c r="V599" s="30">
        <f t="shared" si="178"/>
        <v>0</v>
      </c>
      <c r="W599" s="30">
        <f t="shared" si="179"/>
        <v>0</v>
      </c>
      <c r="X599" s="30">
        <f t="shared" si="180"/>
        <v>0</v>
      </c>
      <c r="Z599" s="23" t="s">
        <v>76</v>
      </c>
      <c r="AA599" s="40">
        <f>IF(C599="Electricity",E599*SUMIFS(Electricity!S:S,Electricity!P:P,UserMade_Scenario!B599,Electricity!M:M,UserMade_Scenario!Z599,Electricity!O:O,UserMade_Scenario!D599),"")</f>
        <v>84633.688749390756</v>
      </c>
      <c r="AB599" s="76">
        <f>1/Assumptions!$B$23/1000000000000</f>
        <v>3.5998225679871703E-9</v>
      </c>
      <c r="AC599" s="67" t="s">
        <v>82</v>
      </c>
      <c r="AD599" s="69">
        <f>INDEX(Table11[AVG
CO2e MT per MWh],MATCH(UserMade_Scenario!$B599,Table11[[Year]:[Year]],0))</f>
        <v>-0.10601506419999995</v>
      </c>
      <c r="AE599" s="69">
        <f>INDEX(Table11[MIN
CO2e MT per MWh],MATCH(UserMade_Scenario!$B599,Table11[[Year]:[Year]],0))</f>
        <v>-8.5630226650000058E-2</v>
      </c>
      <c r="AF599" s="69">
        <f>INDEX(Table11[MAX CO2e MT per MWh],MATCH(UserMade_Scenario!$B599,Table11[[Year]:[Year]],0))</f>
        <v>-0.12639990075000007</v>
      </c>
      <c r="AG599" s="68">
        <f>IFERROR(INDEX(WaterUseH2[Average Direct Water Consumption (Gal/ kg h2)],MATCH(LEFT(D599,3),WaterUseH2[Key],0)),0)</f>
        <v>4.0999999999999996</v>
      </c>
      <c r="AH599">
        <v>14</v>
      </c>
      <c r="AI599">
        <v>1.4</v>
      </c>
      <c r="AJ599">
        <v>250</v>
      </c>
      <c r="AK599">
        <v>0.31</v>
      </c>
      <c r="AL599" s="63">
        <f>IFERROR(INDEX(Job_Training[[Solar]:[Wind]],MATCH(AL$1,Job_Training[[`Typical Entry Level Education`]:[`Typical Entry Level Education`]],0),MATCH(LEFT($D599,5),Job_Training[[#Headers],[Solar]:[Wind]],0)),0)</f>
        <v>0</v>
      </c>
      <c r="AM599" s="63">
        <f>IFERROR(INDEX(Job_Training[[Solar]:[Wind]],MATCH(AM$1,Job_Training[[`Typical Entry Level Education`]:[`Typical Entry Level Education`]],0),MATCH(LEFT($D599,5),Job_Training[[#Headers],[Solar]:[Wind]],0)),0)</f>
        <v>0</v>
      </c>
      <c r="AN599" s="63">
        <f>IFERROR(INDEX(Job_Training[[Solar]:[Wind]],MATCH(AN$1,Job_Training[[`Typical Entry Level Education`]:[`Typical Entry Level Education`]],0),MATCH(LEFT($D599,5),Job_Training[[#Headers],[Solar]:[Wind]],0)),0)</f>
        <v>0</v>
      </c>
      <c r="AO599" s="63">
        <f>IFERROR(INDEX(Job_Training[[Solar]:[Wind]],MATCH(AO$1,Job_Training[[`Typical Entry Level Education`]:[`Typical Entry Level Education`]],0),MATCH(LEFT($D599,5),Job_Training[[#Headers],[Solar]:[Wind]],0)),0)</f>
        <v>0</v>
      </c>
      <c r="AP599">
        <f t="shared" si="181"/>
        <v>0</v>
      </c>
      <c r="AQ599" s="63">
        <f>IF(AP599&gt;0,IFERROR(INDEX(Assumptions!$C$165:$D$165,MATCH(LEFT($D599,5),Job_Training[[#Headers],[Solar]:[Wind]],0)),0),0)</f>
        <v>0</v>
      </c>
      <c r="AR599">
        <f>IF(AP599&gt;0,IFERROR(INDEX(Assumptions!$C$166:$D$166,MATCH(LEFT($D599,5),Job_Training[[#Headers],[Solar]:[Wind]],0)),0),0)</f>
        <v>0</v>
      </c>
    </row>
    <row r="600" spans="1:44" hidden="1" x14ac:dyDescent="0.35">
      <c r="A600" t="str">
        <f>UserInput!$B$56</f>
        <v>Max Buildout</v>
      </c>
      <c r="B600">
        <v>2035</v>
      </c>
      <c r="C600" t="s">
        <v>41</v>
      </c>
      <c r="D600" t="s">
        <v>84</v>
      </c>
      <c r="E600" s="66">
        <f>INDEX(UserInput!$C$56:$M$76,MATCH(UserMade_Scenario!B600,UserInput!$A$56:$A$76,0),MATCH(LEFT(IF(RIGHT(C600,2)="H2",UserMade_Scenario!C600,D600),3),UserInput!$C$25:$M$25,0))</f>
        <v>15</v>
      </c>
      <c r="F600" t="s">
        <v>81</v>
      </c>
      <c r="G600" s="14">
        <f t="shared" si="166"/>
        <v>3.0230933945805846E-4</v>
      </c>
      <c r="H600" s="63">
        <f t="shared" si="172"/>
        <v>8.5483136223819586E-3</v>
      </c>
      <c r="I600" s="63">
        <f t="shared" si="173"/>
        <v>6.7579931000913383E-3</v>
      </c>
      <c r="J600" s="63">
        <f t="shared" si="174"/>
        <v>1.0338634060693644E-2</v>
      </c>
      <c r="K600" s="30">
        <f>IF(OR(LEFT($D600,5)="Solar",$D600="Wind"),INDEX(Land_Use[AVG],MATCH(LEFT($D600,5),Land_Use[Tech],0)),0)*$E600</f>
        <v>0</v>
      </c>
      <c r="L600" s="30">
        <f>IF(OR(LEFT($D600,5)="Solar",$D600="Wind"),INDEX(Land_Use[MIN],MATCH(LEFT($D600,5),Land_Use[Tech],0)),0)*$E600</f>
        <v>0</v>
      </c>
      <c r="M600" s="30">
        <f>IF(OR(LEFT($D600,5)="Solar",$D600="Wind"),INDEX(Land_Use[MAX],MATCH(LEFT($D600,5),Land_Use[Tech],0)),0)*$E600</f>
        <v>0</v>
      </c>
      <c r="N600" s="15">
        <f t="shared" si="167"/>
        <v>6.1499999999999992E-2</v>
      </c>
      <c r="O600" s="11">
        <f t="shared" si="168"/>
        <v>0</v>
      </c>
      <c r="P600" s="11">
        <f t="shared" si="169"/>
        <v>0</v>
      </c>
      <c r="Q600" s="11">
        <f t="shared" si="170"/>
        <v>0</v>
      </c>
      <c r="R600" s="11">
        <f t="shared" si="171"/>
        <v>0</v>
      </c>
      <c r="S600" s="30">
        <f t="shared" si="175"/>
        <v>0</v>
      </c>
      <c r="T600" s="30">
        <f t="shared" si="176"/>
        <v>0</v>
      </c>
      <c r="U600" s="30">
        <f t="shared" si="177"/>
        <v>0</v>
      </c>
      <c r="V600" s="30">
        <f t="shared" si="178"/>
        <v>0</v>
      </c>
      <c r="W600" s="30">
        <f t="shared" si="179"/>
        <v>0</v>
      </c>
      <c r="X600" s="30">
        <f t="shared" si="180"/>
        <v>0</v>
      </c>
      <c r="Z600" s="23" t="s">
        <v>76</v>
      </c>
      <c r="AA600" s="40">
        <f>IF(C600="Electricity",E600*SUMIFS(Electricity!S:S,Electricity!P:P,UserMade_Scenario!B600,Electricity!M:M,UserMade_Scenario!Z600,Electricity!O:O,UserMade_Scenario!D600),"")</f>
        <v>83978.955559216294</v>
      </c>
      <c r="AB600" s="76">
        <f>1/Assumptions!$B$23/1000000000000</f>
        <v>3.5998225679871703E-9</v>
      </c>
      <c r="AC600" s="67" t="s">
        <v>82</v>
      </c>
      <c r="AD600" s="69">
        <f>INDEX(Table11[AVG
CO2e MT per MWh],MATCH(UserMade_Scenario!$B600,Table11[[Year]:[Year]],0))</f>
        <v>-0.10179113999999995</v>
      </c>
      <c r="AE600" s="69">
        <f>INDEX(Table11[MIN
CO2e MT per MWh],MATCH(UserMade_Scenario!$B600,Table11[[Year]:[Year]],0))</f>
        <v>-8.0472459500000065E-2</v>
      </c>
      <c r="AF600" s="69">
        <f>INDEX(Table11[MAX CO2e MT per MWh],MATCH(UserMade_Scenario!$B600,Table11[[Year]:[Year]],0))</f>
        <v>-0.12310981950000006</v>
      </c>
      <c r="AG600" s="68">
        <f>IFERROR(INDEX(WaterUseH2[Average Direct Water Consumption (Gal/ kg h2)],MATCH(LEFT(D600,3),WaterUseH2[Key],0)),0)</f>
        <v>4.0999999999999996</v>
      </c>
      <c r="AH600">
        <v>14</v>
      </c>
      <c r="AI600">
        <v>1.4</v>
      </c>
      <c r="AJ600">
        <v>250</v>
      </c>
      <c r="AK600">
        <v>0.31</v>
      </c>
      <c r="AL600" s="63">
        <f>IFERROR(INDEX(Job_Training[[Solar]:[Wind]],MATCH(AL$1,Job_Training[[`Typical Entry Level Education`]:[`Typical Entry Level Education`]],0),MATCH(LEFT($D600,5),Job_Training[[#Headers],[Solar]:[Wind]],0)),0)</f>
        <v>0</v>
      </c>
      <c r="AM600" s="63">
        <f>IFERROR(INDEX(Job_Training[[Solar]:[Wind]],MATCH(AM$1,Job_Training[[`Typical Entry Level Education`]:[`Typical Entry Level Education`]],0),MATCH(LEFT($D600,5),Job_Training[[#Headers],[Solar]:[Wind]],0)),0)</f>
        <v>0</v>
      </c>
      <c r="AN600" s="63">
        <f>IFERROR(INDEX(Job_Training[[Solar]:[Wind]],MATCH(AN$1,Job_Training[[`Typical Entry Level Education`]:[`Typical Entry Level Education`]],0),MATCH(LEFT($D600,5),Job_Training[[#Headers],[Solar]:[Wind]],0)),0)</f>
        <v>0</v>
      </c>
      <c r="AO600" s="63">
        <f>IFERROR(INDEX(Job_Training[[Solar]:[Wind]],MATCH(AO$1,Job_Training[[`Typical Entry Level Education`]:[`Typical Entry Level Education`]],0),MATCH(LEFT($D600,5),Job_Training[[#Headers],[Solar]:[Wind]],0)),0)</f>
        <v>0</v>
      </c>
      <c r="AP600">
        <f t="shared" si="181"/>
        <v>0</v>
      </c>
      <c r="AQ600" s="63">
        <f>IF(AP600&gt;0,IFERROR(INDEX(Assumptions!$C$165:$D$165,MATCH(LEFT($D600,5),Job_Training[[#Headers],[Solar]:[Wind]],0)),0),0)</f>
        <v>0</v>
      </c>
      <c r="AR600">
        <f>IF(AP600&gt;0,IFERROR(INDEX(Assumptions!$C$166:$D$166,MATCH(LEFT($D600,5),Job_Training[[#Headers],[Solar]:[Wind]],0)),0),0)</f>
        <v>0</v>
      </c>
    </row>
    <row r="601" spans="1:44" hidden="1" x14ac:dyDescent="0.35">
      <c r="A601" t="str">
        <f>UserInput!$B$56</f>
        <v>Max Buildout</v>
      </c>
      <c r="B601">
        <v>2036</v>
      </c>
      <c r="C601" t="s">
        <v>41</v>
      </c>
      <c r="D601" t="s">
        <v>84</v>
      </c>
      <c r="E601" s="66">
        <f>INDEX(UserInput!$C$56:$M$76,MATCH(UserMade_Scenario!B601,UserInput!$A$56:$A$76,0),MATCH(LEFT(IF(RIGHT(C601,2)="H2",UserMade_Scenario!C601,D601),3),UserInput!$C$25:$M$25,0))</f>
        <v>15</v>
      </c>
      <c r="F601" t="s">
        <v>81</v>
      </c>
      <c r="G601" s="14">
        <f t="shared" si="166"/>
        <v>2.9995241614405821E-4</v>
      </c>
      <c r="H601" s="63">
        <f t="shared" si="172"/>
        <v>8.1297123852474857E-3</v>
      </c>
      <c r="I601" s="63">
        <f t="shared" si="173"/>
        <v>6.2755381730273795E-3</v>
      </c>
      <c r="J601" s="63">
        <f t="shared" si="174"/>
        <v>9.9838865141433919E-3</v>
      </c>
      <c r="K601" s="30">
        <f>IF(OR(LEFT($D601,5)="Solar",$D601="Wind"),INDEX(Land_Use[AVG],MATCH(LEFT($D601,5),Land_Use[Tech],0)),0)*$E601</f>
        <v>0</v>
      </c>
      <c r="L601" s="30">
        <f>IF(OR(LEFT($D601,5)="Solar",$D601="Wind"),INDEX(Land_Use[MIN],MATCH(LEFT($D601,5),Land_Use[Tech],0)),0)*$E601</f>
        <v>0</v>
      </c>
      <c r="M601" s="30">
        <f>IF(OR(LEFT($D601,5)="Solar",$D601="Wind"),INDEX(Land_Use[MAX],MATCH(LEFT($D601,5),Land_Use[Tech],0)),0)*$E601</f>
        <v>0</v>
      </c>
      <c r="N601" s="15">
        <f t="shared" si="167"/>
        <v>6.1499999999999992E-2</v>
      </c>
      <c r="O601" s="11">
        <f t="shared" si="168"/>
        <v>0</v>
      </c>
      <c r="P601" s="11">
        <f t="shared" si="169"/>
        <v>0</v>
      </c>
      <c r="Q601" s="11">
        <f t="shared" si="170"/>
        <v>0</v>
      </c>
      <c r="R601" s="11">
        <f t="shared" si="171"/>
        <v>0</v>
      </c>
      <c r="S601" s="30">
        <f t="shared" si="175"/>
        <v>0</v>
      </c>
      <c r="T601" s="30">
        <f t="shared" si="176"/>
        <v>0</v>
      </c>
      <c r="U601" s="30">
        <f t="shared" si="177"/>
        <v>0</v>
      </c>
      <c r="V601" s="30">
        <f t="shared" si="178"/>
        <v>0</v>
      </c>
      <c r="W601" s="30">
        <f t="shared" si="179"/>
        <v>0</v>
      </c>
      <c r="X601" s="30">
        <f t="shared" si="180"/>
        <v>0</v>
      </c>
      <c r="Z601" s="23" t="s">
        <v>76</v>
      </c>
      <c r="AA601" s="40">
        <f>IF(C601="Electricity",E601*SUMIFS(Electricity!S:S,Electricity!P:P,UserMade_Scenario!B601,Electricity!M:M,UserMade_Scenario!Z601,Electricity!O:O,UserMade_Scenario!D601),"")</f>
        <v>83324.222369041832</v>
      </c>
      <c r="AB601" s="76">
        <f>1/Assumptions!$B$23/1000000000000</f>
        <v>3.5998225679871703E-9</v>
      </c>
      <c r="AC601" s="67" t="s">
        <v>82</v>
      </c>
      <c r="AD601" s="69">
        <f>INDEX(Table11[AVG
CO2e MT per MWh],MATCH(UserMade_Scenario!$B601,Table11[[Year]:[Year]],0))</f>
        <v>-9.756721579999994E-2</v>
      </c>
      <c r="AE601" s="69">
        <f>INDEX(Table11[MIN
CO2e MT per MWh],MATCH(UserMade_Scenario!$B601,Table11[[Year]:[Year]],0))</f>
        <v>-7.5314692350000073E-2</v>
      </c>
      <c r="AF601" s="69">
        <f>INDEX(Table11[MAX CO2e MT per MWh],MATCH(UserMade_Scenario!$B601,Table11[[Year]:[Year]],0))</f>
        <v>-0.11981973825000006</v>
      </c>
      <c r="AG601" s="68">
        <f>IFERROR(INDEX(WaterUseH2[Average Direct Water Consumption (Gal/ kg h2)],MATCH(LEFT(D601,3),WaterUseH2[Key],0)),0)</f>
        <v>4.0999999999999996</v>
      </c>
      <c r="AH601">
        <v>14</v>
      </c>
      <c r="AI601">
        <v>1.4</v>
      </c>
      <c r="AJ601">
        <v>250</v>
      </c>
      <c r="AK601">
        <v>0.31</v>
      </c>
      <c r="AL601" s="63">
        <f>IFERROR(INDEX(Job_Training[[Solar]:[Wind]],MATCH(AL$1,Job_Training[[`Typical Entry Level Education`]:[`Typical Entry Level Education`]],0),MATCH(LEFT($D601,5),Job_Training[[#Headers],[Solar]:[Wind]],0)),0)</f>
        <v>0</v>
      </c>
      <c r="AM601" s="63">
        <f>IFERROR(INDEX(Job_Training[[Solar]:[Wind]],MATCH(AM$1,Job_Training[[`Typical Entry Level Education`]:[`Typical Entry Level Education`]],0),MATCH(LEFT($D601,5),Job_Training[[#Headers],[Solar]:[Wind]],0)),0)</f>
        <v>0</v>
      </c>
      <c r="AN601" s="63">
        <f>IFERROR(INDEX(Job_Training[[Solar]:[Wind]],MATCH(AN$1,Job_Training[[`Typical Entry Level Education`]:[`Typical Entry Level Education`]],0),MATCH(LEFT($D601,5),Job_Training[[#Headers],[Solar]:[Wind]],0)),0)</f>
        <v>0</v>
      </c>
      <c r="AO601" s="63">
        <f>IFERROR(INDEX(Job_Training[[Solar]:[Wind]],MATCH(AO$1,Job_Training[[`Typical Entry Level Education`]:[`Typical Entry Level Education`]],0),MATCH(LEFT($D601,5),Job_Training[[#Headers],[Solar]:[Wind]],0)),0)</f>
        <v>0</v>
      </c>
      <c r="AP601">
        <f t="shared" si="181"/>
        <v>0</v>
      </c>
      <c r="AQ601" s="63">
        <f>IF(AP601&gt;0,IFERROR(INDEX(Assumptions!$C$165:$D$165,MATCH(LEFT($D601,5),Job_Training[[#Headers],[Solar]:[Wind]],0)),0),0)</f>
        <v>0</v>
      </c>
      <c r="AR601">
        <f>IF(AP601&gt;0,IFERROR(INDEX(Assumptions!$C$166:$D$166,MATCH(LEFT($D601,5),Job_Training[[#Headers],[Solar]:[Wind]],0)),0),0)</f>
        <v>0</v>
      </c>
    </row>
    <row r="602" spans="1:44" hidden="1" x14ac:dyDescent="0.35">
      <c r="A602" t="str">
        <f>UserInput!$B$56</f>
        <v>Max Buildout</v>
      </c>
      <c r="B602">
        <v>2037</v>
      </c>
      <c r="C602" t="s">
        <v>41</v>
      </c>
      <c r="D602" t="s">
        <v>84</v>
      </c>
      <c r="E602" s="66">
        <f>INDEX(UserInput!$C$56:$M$76,MATCH(UserMade_Scenario!B602,UserInput!$A$56:$A$76,0),MATCH(LEFT(IF(RIGHT(C602,2)="H2",UserMade_Scenario!C602,D602),3),UserInput!$C$25:$M$25,0))</f>
        <v>15</v>
      </c>
      <c r="F602" t="s">
        <v>81</v>
      </c>
      <c r="G602" s="14">
        <f t="shared" si="166"/>
        <v>2.9759549283005785E-4</v>
      </c>
      <c r="H602" s="63">
        <f t="shared" si="172"/>
        <v>7.7166422348460542E-3</v>
      </c>
      <c r="I602" s="63">
        <f t="shared" si="173"/>
        <v>5.7998371686440132E-3</v>
      </c>
      <c r="J602" s="63">
        <f t="shared" si="174"/>
        <v>9.6334472183786275E-3</v>
      </c>
      <c r="K602" s="30">
        <f>IF(OR(LEFT($D602,5)="Solar",$D602="Wind"),INDEX(Land_Use[AVG],MATCH(LEFT($D602,5),Land_Use[Tech],0)),0)*$E602</f>
        <v>0</v>
      </c>
      <c r="L602" s="30">
        <f>IF(OR(LEFT($D602,5)="Solar",$D602="Wind"),INDEX(Land_Use[MIN],MATCH(LEFT($D602,5),Land_Use[Tech],0)),0)*$E602</f>
        <v>0</v>
      </c>
      <c r="M602" s="30">
        <f>IF(OR(LEFT($D602,5)="Solar",$D602="Wind"),INDEX(Land_Use[MAX],MATCH(LEFT($D602,5),Land_Use[Tech],0)),0)*$E602</f>
        <v>0</v>
      </c>
      <c r="N602" s="15">
        <f t="shared" si="167"/>
        <v>6.1499999999999992E-2</v>
      </c>
      <c r="O602" s="11">
        <f t="shared" si="168"/>
        <v>0</v>
      </c>
      <c r="P602" s="11">
        <f t="shared" si="169"/>
        <v>0</v>
      </c>
      <c r="Q602" s="11">
        <f t="shared" si="170"/>
        <v>0</v>
      </c>
      <c r="R602" s="11">
        <f t="shared" si="171"/>
        <v>0</v>
      </c>
      <c r="S602" s="30">
        <f t="shared" si="175"/>
        <v>0</v>
      </c>
      <c r="T602" s="30">
        <f t="shared" si="176"/>
        <v>0</v>
      </c>
      <c r="U602" s="30">
        <f t="shared" si="177"/>
        <v>0</v>
      </c>
      <c r="V602" s="30">
        <f t="shared" si="178"/>
        <v>0</v>
      </c>
      <c r="W602" s="30">
        <f t="shared" si="179"/>
        <v>0</v>
      </c>
      <c r="X602" s="30">
        <f t="shared" si="180"/>
        <v>0</v>
      </c>
      <c r="Z602" s="23" t="s">
        <v>76</v>
      </c>
      <c r="AA602" s="40">
        <f>IF(C602="Electricity",E602*SUMIFS(Electricity!S:S,Electricity!P:P,UserMade_Scenario!B602,Electricity!M:M,UserMade_Scenario!Z602,Electricity!O:O,UserMade_Scenario!D602),"")</f>
        <v>82669.489178867356</v>
      </c>
      <c r="AB602" s="76">
        <f>1/Assumptions!$B$23/1000000000000</f>
        <v>3.5998225679871703E-9</v>
      </c>
      <c r="AC602" s="67" t="s">
        <v>82</v>
      </c>
      <c r="AD602" s="69">
        <f>INDEX(Table11[AVG
CO2e MT per MWh],MATCH(UserMade_Scenario!$B602,Table11[[Year]:[Year]],0))</f>
        <v>-9.3343291599999934E-2</v>
      </c>
      <c r="AE602" s="69">
        <f>INDEX(Table11[MIN
CO2e MT per MWh],MATCH(UserMade_Scenario!$B602,Table11[[Year]:[Year]],0))</f>
        <v>-7.0156925200000081E-2</v>
      </c>
      <c r="AF602" s="69">
        <f>INDEX(Table11[MAX CO2e MT per MWh],MATCH(UserMade_Scenario!$B602,Table11[[Year]:[Year]],0))</f>
        <v>-0.11652965700000005</v>
      </c>
      <c r="AG602" s="68">
        <f>IFERROR(INDEX(WaterUseH2[Average Direct Water Consumption (Gal/ kg h2)],MATCH(LEFT(D602,3),WaterUseH2[Key],0)),0)</f>
        <v>4.0999999999999996</v>
      </c>
      <c r="AH602">
        <v>14</v>
      </c>
      <c r="AI602">
        <v>1.4</v>
      </c>
      <c r="AJ602">
        <v>250</v>
      </c>
      <c r="AK602">
        <v>0.31</v>
      </c>
      <c r="AL602" s="63">
        <f>IFERROR(INDEX(Job_Training[[Solar]:[Wind]],MATCH(AL$1,Job_Training[[`Typical Entry Level Education`]:[`Typical Entry Level Education`]],0),MATCH(LEFT($D602,5),Job_Training[[#Headers],[Solar]:[Wind]],0)),0)</f>
        <v>0</v>
      </c>
      <c r="AM602" s="63">
        <f>IFERROR(INDEX(Job_Training[[Solar]:[Wind]],MATCH(AM$1,Job_Training[[`Typical Entry Level Education`]:[`Typical Entry Level Education`]],0),MATCH(LEFT($D602,5),Job_Training[[#Headers],[Solar]:[Wind]],0)),0)</f>
        <v>0</v>
      </c>
      <c r="AN602" s="63">
        <f>IFERROR(INDEX(Job_Training[[Solar]:[Wind]],MATCH(AN$1,Job_Training[[`Typical Entry Level Education`]:[`Typical Entry Level Education`]],0),MATCH(LEFT($D602,5),Job_Training[[#Headers],[Solar]:[Wind]],0)),0)</f>
        <v>0</v>
      </c>
      <c r="AO602" s="63">
        <f>IFERROR(INDEX(Job_Training[[Solar]:[Wind]],MATCH(AO$1,Job_Training[[`Typical Entry Level Education`]:[`Typical Entry Level Education`]],0),MATCH(LEFT($D602,5),Job_Training[[#Headers],[Solar]:[Wind]],0)),0)</f>
        <v>0</v>
      </c>
      <c r="AP602">
        <f t="shared" si="181"/>
        <v>0</v>
      </c>
      <c r="AQ602" s="63">
        <f>IF(AP602&gt;0,IFERROR(INDEX(Assumptions!$C$165:$D$165,MATCH(LEFT($D602,5),Job_Training[[#Headers],[Solar]:[Wind]],0)),0),0)</f>
        <v>0</v>
      </c>
      <c r="AR602">
        <f>IF(AP602&gt;0,IFERROR(INDEX(Assumptions!$C$166:$D$166,MATCH(LEFT($D602,5),Job_Training[[#Headers],[Solar]:[Wind]],0)),0),0)</f>
        <v>0</v>
      </c>
    </row>
    <row r="603" spans="1:44" hidden="1" x14ac:dyDescent="0.35">
      <c r="A603" t="str">
        <f>UserInput!$B$56</f>
        <v>Max Buildout</v>
      </c>
      <c r="B603">
        <v>2038</v>
      </c>
      <c r="C603" t="s">
        <v>41</v>
      </c>
      <c r="D603" t="s">
        <v>84</v>
      </c>
      <c r="E603" s="66">
        <f>INDEX(UserInput!$C$56:$M$76,MATCH(UserMade_Scenario!B603,UserInput!$A$56:$A$76,0),MATCH(LEFT(IF(RIGHT(C603,2)="H2",UserMade_Scenario!C603,D603),3),UserInput!$C$25:$M$25,0))</f>
        <v>15</v>
      </c>
      <c r="F603" t="s">
        <v>81</v>
      </c>
      <c r="G603" s="14">
        <f t="shared" si="166"/>
        <v>2.952385695160576E-4</v>
      </c>
      <c r="H603" s="63">
        <f t="shared" si="172"/>
        <v>7.3091031711776666E-3</v>
      </c>
      <c r="I603" s="63">
        <f t="shared" si="173"/>
        <v>5.3308900869412411E-3</v>
      </c>
      <c r="J603" s="63">
        <f t="shared" si="174"/>
        <v>9.2873161733993594E-3</v>
      </c>
      <c r="K603" s="30">
        <f>IF(OR(LEFT($D603,5)="Solar",$D603="Wind"),INDEX(Land_Use[AVG],MATCH(LEFT($D603,5),Land_Use[Tech],0)),0)*$E603</f>
        <v>0</v>
      </c>
      <c r="L603" s="30">
        <f>IF(OR(LEFT($D603,5)="Solar",$D603="Wind"),INDEX(Land_Use[MIN],MATCH(LEFT($D603,5),Land_Use[Tech],0)),0)*$E603</f>
        <v>0</v>
      </c>
      <c r="M603" s="30">
        <f>IF(OR(LEFT($D603,5)="Solar",$D603="Wind"),INDEX(Land_Use[MAX],MATCH(LEFT($D603,5),Land_Use[Tech],0)),0)*$E603</f>
        <v>0</v>
      </c>
      <c r="N603" s="15">
        <f t="shared" si="167"/>
        <v>6.1499999999999992E-2</v>
      </c>
      <c r="O603" s="11">
        <f t="shared" si="168"/>
        <v>0</v>
      </c>
      <c r="P603" s="11">
        <f t="shared" si="169"/>
        <v>0</v>
      </c>
      <c r="Q603" s="11">
        <f t="shared" si="170"/>
        <v>0</v>
      </c>
      <c r="R603" s="11">
        <f t="shared" si="171"/>
        <v>0</v>
      </c>
      <c r="S603" s="30">
        <f t="shared" si="175"/>
        <v>0</v>
      </c>
      <c r="T603" s="30">
        <f t="shared" si="176"/>
        <v>0</v>
      </c>
      <c r="U603" s="30">
        <f t="shared" si="177"/>
        <v>0</v>
      </c>
      <c r="V603" s="30">
        <f t="shared" si="178"/>
        <v>0</v>
      </c>
      <c r="W603" s="30">
        <f t="shared" si="179"/>
        <v>0</v>
      </c>
      <c r="X603" s="30">
        <f t="shared" si="180"/>
        <v>0</v>
      </c>
      <c r="Z603" s="23" t="s">
        <v>76</v>
      </c>
      <c r="AA603" s="40">
        <f>IF(C603="Electricity",E603*SUMIFS(Electricity!S:S,Electricity!P:P,UserMade_Scenario!B603,Electricity!M:M,UserMade_Scenario!Z603,Electricity!O:O,UserMade_Scenario!D603),"")</f>
        <v>82014.755988692894</v>
      </c>
      <c r="AB603" s="76">
        <f>1/Assumptions!$B$23/1000000000000</f>
        <v>3.5998225679871703E-9</v>
      </c>
      <c r="AC603" s="67" t="s">
        <v>82</v>
      </c>
      <c r="AD603" s="69">
        <f>INDEX(Table11[AVG
CO2e MT per MWh],MATCH(UserMade_Scenario!$B603,Table11[[Year]:[Year]],0))</f>
        <v>-8.9119367399999927E-2</v>
      </c>
      <c r="AE603" s="69">
        <f>INDEX(Table11[MIN
CO2e MT per MWh],MATCH(UserMade_Scenario!$B603,Table11[[Year]:[Year]],0))</f>
        <v>-6.4999158050000089E-2</v>
      </c>
      <c r="AF603" s="69">
        <f>INDEX(Table11[MAX CO2e MT per MWh],MATCH(UserMade_Scenario!$B603,Table11[[Year]:[Year]],0))</f>
        <v>-0.11323957575000004</v>
      </c>
      <c r="AG603" s="68">
        <f>IFERROR(INDEX(WaterUseH2[Average Direct Water Consumption (Gal/ kg h2)],MATCH(LEFT(D603,3),WaterUseH2[Key],0)),0)</f>
        <v>4.0999999999999996</v>
      </c>
      <c r="AH603">
        <v>14</v>
      </c>
      <c r="AI603">
        <v>1.4</v>
      </c>
      <c r="AJ603">
        <v>250</v>
      </c>
      <c r="AK603">
        <v>0.31</v>
      </c>
      <c r="AL603" s="63">
        <f>IFERROR(INDEX(Job_Training[[Solar]:[Wind]],MATCH(AL$1,Job_Training[[`Typical Entry Level Education`]:[`Typical Entry Level Education`]],0),MATCH(LEFT($D603,5),Job_Training[[#Headers],[Solar]:[Wind]],0)),0)</f>
        <v>0</v>
      </c>
      <c r="AM603" s="63">
        <f>IFERROR(INDEX(Job_Training[[Solar]:[Wind]],MATCH(AM$1,Job_Training[[`Typical Entry Level Education`]:[`Typical Entry Level Education`]],0),MATCH(LEFT($D603,5),Job_Training[[#Headers],[Solar]:[Wind]],0)),0)</f>
        <v>0</v>
      </c>
      <c r="AN603" s="63">
        <f>IFERROR(INDEX(Job_Training[[Solar]:[Wind]],MATCH(AN$1,Job_Training[[`Typical Entry Level Education`]:[`Typical Entry Level Education`]],0),MATCH(LEFT($D603,5),Job_Training[[#Headers],[Solar]:[Wind]],0)),0)</f>
        <v>0</v>
      </c>
      <c r="AO603" s="63">
        <f>IFERROR(INDEX(Job_Training[[Solar]:[Wind]],MATCH(AO$1,Job_Training[[`Typical Entry Level Education`]:[`Typical Entry Level Education`]],0),MATCH(LEFT($D603,5),Job_Training[[#Headers],[Solar]:[Wind]],0)),0)</f>
        <v>0</v>
      </c>
      <c r="AP603">
        <f t="shared" si="181"/>
        <v>0</v>
      </c>
      <c r="AQ603" s="63">
        <f>IF(AP603&gt;0,IFERROR(INDEX(Assumptions!$C$165:$D$165,MATCH(LEFT($D603,5),Job_Training[[#Headers],[Solar]:[Wind]],0)),0),0)</f>
        <v>0</v>
      </c>
      <c r="AR603">
        <f>IF(AP603&gt;0,IFERROR(INDEX(Assumptions!$C$166:$D$166,MATCH(LEFT($D603,5),Job_Training[[#Headers],[Solar]:[Wind]],0)),0),0)</f>
        <v>0</v>
      </c>
    </row>
    <row r="604" spans="1:44" hidden="1" x14ac:dyDescent="0.35">
      <c r="A604" t="str">
        <f>UserInput!$B$56</f>
        <v>Max Buildout</v>
      </c>
      <c r="B604">
        <v>2039</v>
      </c>
      <c r="C604" t="s">
        <v>41</v>
      </c>
      <c r="D604" t="s">
        <v>84</v>
      </c>
      <c r="E604" s="66">
        <f>INDEX(UserInput!$C$56:$M$76,MATCH(UserMade_Scenario!B604,UserInput!$A$56:$A$76,0),MATCH(LEFT(IF(RIGHT(C604,2)="H2",UserMade_Scenario!C604,D604),3),UserInput!$C$25:$M$25,0))</f>
        <v>15</v>
      </c>
      <c r="F604" t="s">
        <v>81</v>
      </c>
      <c r="G604" s="14">
        <f t="shared" si="166"/>
        <v>2.9288164620205735E-4</v>
      </c>
      <c r="H604" s="63">
        <f t="shared" si="172"/>
        <v>6.9070951942423204E-3</v>
      </c>
      <c r="I604" s="63">
        <f t="shared" si="173"/>
        <v>4.8686969279190606E-3</v>
      </c>
      <c r="J604" s="63">
        <f t="shared" si="174"/>
        <v>8.9454933792055807E-3</v>
      </c>
      <c r="K604" s="30">
        <f>IF(OR(LEFT($D604,5)="Solar",$D604="Wind"),INDEX(Land_Use[AVG],MATCH(LEFT($D604,5),Land_Use[Tech],0)),0)*$E604</f>
        <v>0</v>
      </c>
      <c r="L604" s="30">
        <f>IF(OR(LEFT($D604,5)="Solar",$D604="Wind"),INDEX(Land_Use[MIN],MATCH(LEFT($D604,5),Land_Use[Tech],0)),0)*$E604</f>
        <v>0</v>
      </c>
      <c r="M604" s="30">
        <f>IF(OR(LEFT($D604,5)="Solar",$D604="Wind"),INDEX(Land_Use[MAX],MATCH(LEFT($D604,5),Land_Use[Tech],0)),0)*$E604</f>
        <v>0</v>
      </c>
      <c r="N604" s="15">
        <f t="shared" si="167"/>
        <v>6.1499999999999992E-2</v>
      </c>
      <c r="O604" s="11">
        <f t="shared" si="168"/>
        <v>0</v>
      </c>
      <c r="P604" s="11">
        <f t="shared" si="169"/>
        <v>0</v>
      </c>
      <c r="Q604" s="11">
        <f t="shared" si="170"/>
        <v>0</v>
      </c>
      <c r="R604" s="11">
        <f t="shared" si="171"/>
        <v>0</v>
      </c>
      <c r="S604" s="30">
        <f t="shared" si="175"/>
        <v>0</v>
      </c>
      <c r="T604" s="30">
        <f t="shared" si="176"/>
        <v>0</v>
      </c>
      <c r="U604" s="30">
        <f t="shared" si="177"/>
        <v>0</v>
      </c>
      <c r="V604" s="30">
        <f t="shared" si="178"/>
        <v>0</v>
      </c>
      <c r="W604" s="30">
        <f t="shared" si="179"/>
        <v>0</v>
      </c>
      <c r="X604" s="30">
        <f t="shared" si="180"/>
        <v>0</v>
      </c>
      <c r="Z604" s="23" t="s">
        <v>76</v>
      </c>
      <c r="AA604" s="40">
        <f>IF(C604="Electricity",E604*SUMIFS(Electricity!S:S,Electricity!P:P,UserMade_Scenario!B604,Electricity!M:M,UserMade_Scenario!Z604,Electricity!O:O,UserMade_Scenario!D604),"")</f>
        <v>81360.022798518432</v>
      </c>
      <c r="AB604" s="76">
        <f>1/Assumptions!$B$23/1000000000000</f>
        <v>3.5998225679871703E-9</v>
      </c>
      <c r="AC604" s="67" t="s">
        <v>82</v>
      </c>
      <c r="AD604" s="69">
        <f>INDEX(Table11[AVG
CO2e MT per MWh],MATCH(UserMade_Scenario!$B604,Table11[[Year]:[Year]],0))</f>
        <v>-8.489544319999992E-2</v>
      </c>
      <c r="AE604" s="69">
        <f>INDEX(Table11[MIN
CO2e MT per MWh],MATCH(UserMade_Scenario!$B604,Table11[[Year]:[Year]],0))</f>
        <v>-5.984139090000009E-2</v>
      </c>
      <c r="AF604" s="69">
        <f>INDEX(Table11[MAX CO2e MT per MWh],MATCH(UserMade_Scenario!$B604,Table11[[Year]:[Year]],0))</f>
        <v>-0.10994949450000004</v>
      </c>
      <c r="AG604" s="68">
        <f>IFERROR(INDEX(WaterUseH2[Average Direct Water Consumption (Gal/ kg h2)],MATCH(LEFT(D604,3),WaterUseH2[Key],0)),0)</f>
        <v>4.0999999999999996</v>
      </c>
      <c r="AH604">
        <v>14</v>
      </c>
      <c r="AI604">
        <v>1.4</v>
      </c>
      <c r="AJ604">
        <v>250</v>
      </c>
      <c r="AK604">
        <v>0.31</v>
      </c>
      <c r="AL604" s="63">
        <f>IFERROR(INDEX(Job_Training[[Solar]:[Wind]],MATCH(AL$1,Job_Training[[`Typical Entry Level Education`]:[`Typical Entry Level Education`]],0),MATCH(LEFT($D604,5),Job_Training[[#Headers],[Solar]:[Wind]],0)),0)</f>
        <v>0</v>
      </c>
      <c r="AM604" s="63">
        <f>IFERROR(INDEX(Job_Training[[Solar]:[Wind]],MATCH(AM$1,Job_Training[[`Typical Entry Level Education`]:[`Typical Entry Level Education`]],0),MATCH(LEFT($D604,5),Job_Training[[#Headers],[Solar]:[Wind]],0)),0)</f>
        <v>0</v>
      </c>
      <c r="AN604" s="63">
        <f>IFERROR(INDEX(Job_Training[[Solar]:[Wind]],MATCH(AN$1,Job_Training[[`Typical Entry Level Education`]:[`Typical Entry Level Education`]],0),MATCH(LEFT($D604,5),Job_Training[[#Headers],[Solar]:[Wind]],0)),0)</f>
        <v>0</v>
      </c>
      <c r="AO604" s="63">
        <f>IFERROR(INDEX(Job_Training[[Solar]:[Wind]],MATCH(AO$1,Job_Training[[`Typical Entry Level Education`]:[`Typical Entry Level Education`]],0),MATCH(LEFT($D604,5),Job_Training[[#Headers],[Solar]:[Wind]],0)),0)</f>
        <v>0</v>
      </c>
      <c r="AP604">
        <f t="shared" si="181"/>
        <v>0</v>
      </c>
      <c r="AQ604" s="63">
        <f>IF(AP604&gt;0,IFERROR(INDEX(Assumptions!$C$165:$D$165,MATCH(LEFT($D604,5),Job_Training[[#Headers],[Solar]:[Wind]],0)),0),0)</f>
        <v>0</v>
      </c>
      <c r="AR604">
        <f>IF(AP604&gt;0,IFERROR(INDEX(Assumptions!$C$166:$D$166,MATCH(LEFT($D604,5),Job_Training[[#Headers],[Solar]:[Wind]],0)),0),0)</f>
        <v>0</v>
      </c>
    </row>
    <row r="605" spans="1:44" hidden="1" x14ac:dyDescent="0.35">
      <c r="A605" t="str">
        <f>UserInput!$B$56</f>
        <v>Max Buildout</v>
      </c>
      <c r="B605">
        <v>2040</v>
      </c>
      <c r="C605" t="s">
        <v>41</v>
      </c>
      <c r="D605" t="s">
        <v>84</v>
      </c>
      <c r="E605" s="66">
        <f>INDEX(UserInput!$C$56:$M$76,MATCH(UserMade_Scenario!B605,UserInput!$A$56:$A$76,0),MATCH(LEFT(IF(RIGHT(C605,2)="H2",UserMade_Scenario!C605,D605),3),UserInput!$C$25:$M$25,0))</f>
        <v>15</v>
      </c>
      <c r="F605" t="s">
        <v>81</v>
      </c>
      <c r="G605" s="14">
        <f t="shared" si="166"/>
        <v>2.905247228880571E-4</v>
      </c>
      <c r="H605" s="63">
        <f t="shared" si="172"/>
        <v>6.5106183040400164E-3</v>
      </c>
      <c r="I605" s="63">
        <f t="shared" si="173"/>
        <v>4.4132576915774735E-3</v>
      </c>
      <c r="J605" s="63">
        <f t="shared" si="174"/>
        <v>8.607978835797293E-3</v>
      </c>
      <c r="K605" s="30">
        <f>IF(OR(LEFT($D605,5)="Solar",$D605="Wind"),INDEX(Land_Use[AVG],MATCH(LEFT($D605,5),Land_Use[Tech],0)),0)*$E605</f>
        <v>0</v>
      </c>
      <c r="L605" s="30">
        <f>IF(OR(LEFT($D605,5)="Solar",$D605="Wind"),INDEX(Land_Use[MIN],MATCH(LEFT($D605,5),Land_Use[Tech],0)),0)*$E605</f>
        <v>0</v>
      </c>
      <c r="M605" s="30">
        <f>IF(OR(LEFT($D605,5)="Solar",$D605="Wind"),INDEX(Land_Use[MAX],MATCH(LEFT($D605,5),Land_Use[Tech],0)),0)*$E605</f>
        <v>0</v>
      </c>
      <c r="N605" s="15">
        <f t="shared" si="167"/>
        <v>6.1499999999999992E-2</v>
      </c>
      <c r="O605" s="11">
        <f t="shared" si="168"/>
        <v>0</v>
      </c>
      <c r="P605" s="11">
        <f t="shared" si="169"/>
        <v>0</v>
      </c>
      <c r="Q605" s="11">
        <f t="shared" si="170"/>
        <v>0</v>
      </c>
      <c r="R605" s="11">
        <f t="shared" si="171"/>
        <v>0</v>
      </c>
      <c r="S605" s="30">
        <f t="shared" si="175"/>
        <v>0</v>
      </c>
      <c r="T605" s="30">
        <f t="shared" si="176"/>
        <v>0</v>
      </c>
      <c r="U605" s="30">
        <f t="shared" si="177"/>
        <v>0</v>
      </c>
      <c r="V605" s="30">
        <f t="shared" si="178"/>
        <v>0</v>
      </c>
      <c r="W605" s="30">
        <f t="shared" si="179"/>
        <v>0</v>
      </c>
      <c r="X605" s="30">
        <f t="shared" si="180"/>
        <v>0</v>
      </c>
      <c r="Z605" s="23" t="s">
        <v>76</v>
      </c>
      <c r="AA605" s="40">
        <f>IF(C605="Electricity",E605*SUMIFS(Electricity!S:S,Electricity!P:P,UserMade_Scenario!B605,Electricity!M:M,UserMade_Scenario!Z605,Electricity!O:O,UserMade_Scenario!D605),"")</f>
        <v>80705.28960834397</v>
      </c>
      <c r="AB605" s="76">
        <f>1/Assumptions!$B$23/1000000000000</f>
        <v>3.5998225679871703E-9</v>
      </c>
      <c r="AC605" s="67" t="s">
        <v>82</v>
      </c>
      <c r="AD605" s="69">
        <f>INDEX(Table11[AVG
CO2e MT per MWh],MATCH(UserMade_Scenario!$B605,Table11[[Year]:[Year]],0))</f>
        <v>-8.0671518999999914E-2</v>
      </c>
      <c r="AE605" s="69">
        <f>INDEX(Table11[MIN
CO2e MT per MWh],MATCH(UserMade_Scenario!$B605,Table11[[Year]:[Year]],0))</f>
        <v>-5.468362375000009E-2</v>
      </c>
      <c r="AF605" s="69">
        <f>INDEX(Table11[MAX CO2e MT per MWh],MATCH(UserMade_Scenario!$B605,Table11[[Year]:[Year]],0))</f>
        <v>-0.10665941325000003</v>
      </c>
      <c r="AG605" s="68">
        <f>IFERROR(INDEX(WaterUseH2[Average Direct Water Consumption (Gal/ kg h2)],MATCH(LEFT(D605,3),WaterUseH2[Key],0)),0)</f>
        <v>4.0999999999999996</v>
      </c>
      <c r="AH605">
        <v>14</v>
      </c>
      <c r="AI605">
        <v>1.4</v>
      </c>
      <c r="AJ605">
        <v>250</v>
      </c>
      <c r="AK605">
        <v>0.31</v>
      </c>
      <c r="AL605" s="63">
        <f>IFERROR(INDEX(Job_Training[[Solar]:[Wind]],MATCH(AL$1,Job_Training[[`Typical Entry Level Education`]:[`Typical Entry Level Education`]],0),MATCH(LEFT($D605,5),Job_Training[[#Headers],[Solar]:[Wind]],0)),0)</f>
        <v>0</v>
      </c>
      <c r="AM605" s="63">
        <f>IFERROR(INDEX(Job_Training[[Solar]:[Wind]],MATCH(AM$1,Job_Training[[`Typical Entry Level Education`]:[`Typical Entry Level Education`]],0),MATCH(LEFT($D605,5),Job_Training[[#Headers],[Solar]:[Wind]],0)),0)</f>
        <v>0</v>
      </c>
      <c r="AN605" s="63">
        <f>IFERROR(INDEX(Job_Training[[Solar]:[Wind]],MATCH(AN$1,Job_Training[[`Typical Entry Level Education`]:[`Typical Entry Level Education`]],0),MATCH(LEFT($D605,5),Job_Training[[#Headers],[Solar]:[Wind]],0)),0)</f>
        <v>0</v>
      </c>
      <c r="AO605" s="63">
        <f>IFERROR(INDEX(Job_Training[[Solar]:[Wind]],MATCH(AO$1,Job_Training[[`Typical Entry Level Education`]:[`Typical Entry Level Education`]],0),MATCH(LEFT($D605,5),Job_Training[[#Headers],[Solar]:[Wind]],0)),0)</f>
        <v>0</v>
      </c>
      <c r="AP605">
        <f t="shared" si="181"/>
        <v>0</v>
      </c>
      <c r="AQ605" s="63">
        <f>IF(AP605&gt;0,IFERROR(INDEX(Assumptions!$C$165:$D$165,MATCH(LEFT($D605,5),Job_Training[[#Headers],[Solar]:[Wind]],0)),0),0)</f>
        <v>0</v>
      </c>
      <c r="AR605">
        <f>IF(AP605&gt;0,IFERROR(INDEX(Assumptions!$C$166:$D$166,MATCH(LEFT($D605,5),Job_Training[[#Headers],[Solar]:[Wind]],0)),0),0)</f>
        <v>0</v>
      </c>
    </row>
    <row r="606" spans="1:44" hidden="1" x14ac:dyDescent="0.35">
      <c r="A606" t="str">
        <f>UserInput!$B$56</f>
        <v>Max Buildout</v>
      </c>
      <c r="B606">
        <v>2041</v>
      </c>
      <c r="C606" t="s">
        <v>41</v>
      </c>
      <c r="D606" t="s">
        <v>84</v>
      </c>
      <c r="E606" s="66">
        <f>INDEX(UserInput!$C$56:$M$76,MATCH(UserMade_Scenario!B606,UserInput!$A$56:$A$76,0),MATCH(LEFT(IF(RIGHT(C606,2)="H2",UserMade_Scenario!C606,D606),3),UserInput!$C$25:$M$25,0))</f>
        <v>15</v>
      </c>
      <c r="F606" t="s">
        <v>81</v>
      </c>
      <c r="G606" s="14">
        <f t="shared" si="166"/>
        <v>2.8816779957405674E-4</v>
      </c>
      <c r="H606" s="63">
        <f t="shared" si="172"/>
        <v>6.1196725005707537E-3</v>
      </c>
      <c r="I606" s="63">
        <f t="shared" si="173"/>
        <v>3.9645723779164789E-3</v>
      </c>
      <c r="J606" s="63">
        <f t="shared" si="174"/>
        <v>8.2747725431744946E-3</v>
      </c>
      <c r="K606" s="30">
        <f>IF(OR(LEFT($D606,5)="Solar",$D606="Wind"),INDEX(Land_Use[AVG],MATCH(LEFT($D606,5),Land_Use[Tech],0)),0)*$E606</f>
        <v>0</v>
      </c>
      <c r="L606" s="30">
        <f>IF(OR(LEFT($D606,5)="Solar",$D606="Wind"),INDEX(Land_Use[MIN],MATCH(LEFT($D606,5),Land_Use[Tech],0)),0)*$E606</f>
        <v>0</v>
      </c>
      <c r="M606" s="30">
        <f>IF(OR(LEFT($D606,5)="Solar",$D606="Wind"),INDEX(Land_Use[MAX],MATCH(LEFT($D606,5),Land_Use[Tech],0)),0)*$E606</f>
        <v>0</v>
      </c>
      <c r="N606" s="15">
        <f t="shared" si="167"/>
        <v>6.1499999999999992E-2</v>
      </c>
      <c r="O606" s="11">
        <f t="shared" si="168"/>
        <v>0</v>
      </c>
      <c r="P606" s="11">
        <f t="shared" si="169"/>
        <v>0</v>
      </c>
      <c r="Q606" s="11">
        <f t="shared" si="170"/>
        <v>0</v>
      </c>
      <c r="R606" s="11">
        <f t="shared" si="171"/>
        <v>0</v>
      </c>
      <c r="S606" s="30">
        <f t="shared" si="175"/>
        <v>0</v>
      </c>
      <c r="T606" s="30">
        <f t="shared" si="176"/>
        <v>0</v>
      </c>
      <c r="U606" s="30">
        <f t="shared" si="177"/>
        <v>0</v>
      </c>
      <c r="V606" s="30">
        <f t="shared" si="178"/>
        <v>0</v>
      </c>
      <c r="W606" s="30">
        <f t="shared" si="179"/>
        <v>0</v>
      </c>
      <c r="X606" s="30">
        <f t="shared" si="180"/>
        <v>0</v>
      </c>
      <c r="Z606" s="23" t="s">
        <v>76</v>
      </c>
      <c r="AA606" s="40">
        <f>IF(C606="Electricity",E606*SUMIFS(Electricity!S:S,Electricity!P:P,UserMade_Scenario!B606,Electricity!M:M,UserMade_Scenario!Z606,Electricity!O:O,UserMade_Scenario!D606),"")</f>
        <v>80050.556418169494</v>
      </c>
      <c r="AB606" s="76">
        <f>1/Assumptions!$B$23/1000000000000</f>
        <v>3.5998225679871703E-9</v>
      </c>
      <c r="AC606" s="67" t="s">
        <v>82</v>
      </c>
      <c r="AD606" s="69">
        <f>INDEX(Table11[AVG
CO2e MT per MWh],MATCH(UserMade_Scenario!$B606,Table11[[Year]:[Year]],0))</f>
        <v>-7.6447594799999907E-2</v>
      </c>
      <c r="AE606" s="69">
        <f>INDEX(Table11[MIN
CO2e MT per MWh],MATCH(UserMade_Scenario!$B606,Table11[[Year]:[Year]],0))</f>
        <v>-4.9525856600000091E-2</v>
      </c>
      <c r="AF606" s="69">
        <f>INDEX(Table11[MAX CO2e MT per MWh],MATCH(UserMade_Scenario!$B606,Table11[[Year]:[Year]],0))</f>
        <v>-0.10336933200000002</v>
      </c>
      <c r="AG606" s="68">
        <f>IFERROR(INDEX(WaterUseH2[Average Direct Water Consumption (Gal/ kg h2)],MATCH(LEFT(D606,3),WaterUseH2[Key],0)),0)</f>
        <v>4.0999999999999996</v>
      </c>
      <c r="AH606">
        <v>14</v>
      </c>
      <c r="AI606">
        <v>1.4</v>
      </c>
      <c r="AJ606">
        <v>250</v>
      </c>
      <c r="AK606">
        <v>0.31</v>
      </c>
      <c r="AL606" s="63">
        <f>IFERROR(INDEX(Job_Training[[Solar]:[Wind]],MATCH(AL$1,Job_Training[[`Typical Entry Level Education`]:[`Typical Entry Level Education`]],0),MATCH(LEFT($D606,5),Job_Training[[#Headers],[Solar]:[Wind]],0)),0)</f>
        <v>0</v>
      </c>
      <c r="AM606" s="63">
        <f>IFERROR(INDEX(Job_Training[[Solar]:[Wind]],MATCH(AM$1,Job_Training[[`Typical Entry Level Education`]:[`Typical Entry Level Education`]],0),MATCH(LEFT($D606,5),Job_Training[[#Headers],[Solar]:[Wind]],0)),0)</f>
        <v>0</v>
      </c>
      <c r="AN606" s="63">
        <f>IFERROR(INDEX(Job_Training[[Solar]:[Wind]],MATCH(AN$1,Job_Training[[`Typical Entry Level Education`]:[`Typical Entry Level Education`]],0),MATCH(LEFT($D606,5),Job_Training[[#Headers],[Solar]:[Wind]],0)),0)</f>
        <v>0</v>
      </c>
      <c r="AO606" s="63">
        <f>IFERROR(INDEX(Job_Training[[Solar]:[Wind]],MATCH(AO$1,Job_Training[[`Typical Entry Level Education`]:[`Typical Entry Level Education`]],0),MATCH(LEFT($D606,5),Job_Training[[#Headers],[Solar]:[Wind]],0)),0)</f>
        <v>0</v>
      </c>
      <c r="AP606">
        <f t="shared" si="181"/>
        <v>0</v>
      </c>
      <c r="AQ606" s="63">
        <f>IF(AP606&gt;0,IFERROR(INDEX(Assumptions!$C$165:$D$165,MATCH(LEFT($D606,5),Job_Training[[#Headers],[Solar]:[Wind]],0)),0),0)</f>
        <v>0</v>
      </c>
      <c r="AR606">
        <f>IF(AP606&gt;0,IFERROR(INDEX(Assumptions!$C$166:$D$166,MATCH(LEFT($D606,5),Job_Training[[#Headers],[Solar]:[Wind]],0)),0),0)</f>
        <v>0</v>
      </c>
    </row>
    <row r="607" spans="1:44" hidden="1" x14ac:dyDescent="0.35">
      <c r="A607" t="str">
        <f>UserInput!$B$56</f>
        <v>Max Buildout</v>
      </c>
      <c r="B607">
        <v>2042</v>
      </c>
      <c r="C607" t="s">
        <v>41</v>
      </c>
      <c r="D607" t="s">
        <v>84</v>
      </c>
      <c r="E607" s="66">
        <f>INDEX(UserInput!$C$56:$M$76,MATCH(UserMade_Scenario!B607,UserInput!$A$56:$A$76,0),MATCH(LEFT(IF(RIGHT(C607,2)="H2",UserMade_Scenario!C607,D607),3),UserInput!$C$25:$M$25,0))</f>
        <v>15</v>
      </c>
      <c r="F607" t="s">
        <v>81</v>
      </c>
      <c r="G607" s="14">
        <f t="shared" si="166"/>
        <v>2.8581087626005649E-4</v>
      </c>
      <c r="H607" s="63">
        <f t="shared" si="172"/>
        <v>5.7342577838345342E-3</v>
      </c>
      <c r="I607" s="63">
        <f t="shared" si="173"/>
        <v>3.5226409869360785E-3</v>
      </c>
      <c r="J607" s="63">
        <f t="shared" si="174"/>
        <v>7.9458745013371909E-3</v>
      </c>
      <c r="K607" s="30">
        <f>IF(OR(LEFT($D607,5)="Solar",$D607="Wind"),INDEX(Land_Use[AVG],MATCH(LEFT($D607,5),Land_Use[Tech],0)),0)*$E607</f>
        <v>0</v>
      </c>
      <c r="L607" s="30">
        <f>IF(OR(LEFT($D607,5)="Solar",$D607="Wind"),INDEX(Land_Use[MIN],MATCH(LEFT($D607,5),Land_Use[Tech],0)),0)*$E607</f>
        <v>0</v>
      </c>
      <c r="M607" s="30">
        <f>IF(OR(LEFT($D607,5)="Solar",$D607="Wind"),INDEX(Land_Use[MAX],MATCH(LEFT($D607,5),Land_Use[Tech],0)),0)*$E607</f>
        <v>0</v>
      </c>
      <c r="N607" s="15">
        <f t="shared" si="167"/>
        <v>6.1499999999999992E-2</v>
      </c>
      <c r="O607" s="11">
        <f t="shared" si="168"/>
        <v>0</v>
      </c>
      <c r="P607" s="11">
        <f t="shared" si="169"/>
        <v>0</v>
      </c>
      <c r="Q607" s="11">
        <f t="shared" si="170"/>
        <v>0</v>
      </c>
      <c r="R607" s="11">
        <f t="shared" si="171"/>
        <v>0</v>
      </c>
      <c r="S607" s="30">
        <f t="shared" si="175"/>
        <v>0</v>
      </c>
      <c r="T607" s="30">
        <f t="shared" si="176"/>
        <v>0</v>
      </c>
      <c r="U607" s="30">
        <f t="shared" si="177"/>
        <v>0</v>
      </c>
      <c r="V607" s="30">
        <f t="shared" si="178"/>
        <v>0</v>
      </c>
      <c r="W607" s="30">
        <f t="shared" si="179"/>
        <v>0</v>
      </c>
      <c r="X607" s="30">
        <f t="shared" si="180"/>
        <v>0</v>
      </c>
      <c r="Z607" s="23" t="s">
        <v>76</v>
      </c>
      <c r="AA607" s="40">
        <f>IF(C607="Electricity",E607*SUMIFS(Electricity!S:S,Electricity!P:P,UserMade_Scenario!B607,Electricity!M:M,UserMade_Scenario!Z607,Electricity!O:O,UserMade_Scenario!D607),"")</f>
        <v>79395.823227995032</v>
      </c>
      <c r="AB607" s="76">
        <f>1/Assumptions!$B$23/1000000000000</f>
        <v>3.5998225679871703E-9</v>
      </c>
      <c r="AC607" s="67" t="s">
        <v>82</v>
      </c>
      <c r="AD607" s="69">
        <f>INDEX(Table11[AVG
CO2e MT per MWh],MATCH(UserMade_Scenario!$B607,Table11[[Year]:[Year]],0))</f>
        <v>-7.2223670599999901E-2</v>
      </c>
      <c r="AE607" s="69">
        <f>INDEX(Table11[MIN
CO2e MT per MWh],MATCH(UserMade_Scenario!$B607,Table11[[Year]:[Year]],0))</f>
        <v>-4.4368089450000092E-2</v>
      </c>
      <c r="AF607" s="69">
        <f>INDEX(Table11[MAX CO2e MT per MWh],MATCH(UserMade_Scenario!$B607,Table11[[Year]:[Year]],0))</f>
        <v>-0.10007925075000002</v>
      </c>
      <c r="AG607" s="68">
        <f>IFERROR(INDEX(WaterUseH2[Average Direct Water Consumption (Gal/ kg h2)],MATCH(LEFT(D607,3),WaterUseH2[Key],0)),0)</f>
        <v>4.0999999999999996</v>
      </c>
      <c r="AH607">
        <v>14</v>
      </c>
      <c r="AI607">
        <v>1.4</v>
      </c>
      <c r="AJ607">
        <v>250</v>
      </c>
      <c r="AK607">
        <v>0.31</v>
      </c>
      <c r="AL607" s="63">
        <f>IFERROR(INDEX(Job_Training[[Solar]:[Wind]],MATCH(AL$1,Job_Training[[`Typical Entry Level Education`]:[`Typical Entry Level Education`]],0),MATCH(LEFT($D607,5),Job_Training[[#Headers],[Solar]:[Wind]],0)),0)</f>
        <v>0</v>
      </c>
      <c r="AM607" s="63">
        <f>IFERROR(INDEX(Job_Training[[Solar]:[Wind]],MATCH(AM$1,Job_Training[[`Typical Entry Level Education`]:[`Typical Entry Level Education`]],0),MATCH(LEFT($D607,5),Job_Training[[#Headers],[Solar]:[Wind]],0)),0)</f>
        <v>0</v>
      </c>
      <c r="AN607" s="63">
        <f>IFERROR(INDEX(Job_Training[[Solar]:[Wind]],MATCH(AN$1,Job_Training[[`Typical Entry Level Education`]:[`Typical Entry Level Education`]],0),MATCH(LEFT($D607,5),Job_Training[[#Headers],[Solar]:[Wind]],0)),0)</f>
        <v>0</v>
      </c>
      <c r="AO607" s="63">
        <f>IFERROR(INDEX(Job_Training[[Solar]:[Wind]],MATCH(AO$1,Job_Training[[`Typical Entry Level Education`]:[`Typical Entry Level Education`]],0),MATCH(LEFT($D607,5),Job_Training[[#Headers],[Solar]:[Wind]],0)),0)</f>
        <v>0</v>
      </c>
      <c r="AP607">
        <f t="shared" si="181"/>
        <v>0</v>
      </c>
      <c r="AQ607" s="63">
        <f>IF(AP607&gt;0,IFERROR(INDEX(Assumptions!$C$165:$D$165,MATCH(LEFT($D607,5),Job_Training[[#Headers],[Solar]:[Wind]],0)),0),0)</f>
        <v>0</v>
      </c>
      <c r="AR607">
        <f>IF(AP607&gt;0,IFERROR(INDEX(Assumptions!$C$166:$D$166,MATCH(LEFT($D607,5),Job_Training[[#Headers],[Solar]:[Wind]],0)),0),0)</f>
        <v>0</v>
      </c>
    </row>
    <row r="608" spans="1:44" hidden="1" x14ac:dyDescent="0.35">
      <c r="A608" t="str">
        <f>UserInput!$B$56</f>
        <v>Max Buildout</v>
      </c>
      <c r="B608">
        <v>2043</v>
      </c>
      <c r="C608" t="s">
        <v>41</v>
      </c>
      <c r="D608" t="s">
        <v>84</v>
      </c>
      <c r="E608" s="66">
        <f>INDEX(UserInput!$C$56:$M$76,MATCH(UserMade_Scenario!B608,UserInput!$A$56:$A$76,0),MATCH(LEFT(IF(RIGHT(C608,2)="H2",UserMade_Scenario!C608,D608),3),UserInput!$C$25:$M$25,0))</f>
        <v>15</v>
      </c>
      <c r="F608" t="s">
        <v>81</v>
      </c>
      <c r="G608" s="14">
        <f t="shared" si="166"/>
        <v>2.8345395294605624E-4</v>
      </c>
      <c r="H608" s="63">
        <f t="shared" si="172"/>
        <v>5.3543741538313568E-3</v>
      </c>
      <c r="I608" s="63">
        <f t="shared" si="173"/>
        <v>3.087463518636271E-3</v>
      </c>
      <c r="J608" s="63">
        <f t="shared" si="174"/>
        <v>7.6212847102853764E-3</v>
      </c>
      <c r="K608" s="30">
        <f>IF(OR(LEFT($D608,5)="Solar",$D608="Wind"),INDEX(Land_Use[AVG],MATCH(LEFT($D608,5),Land_Use[Tech],0)),0)*$E608</f>
        <v>0</v>
      </c>
      <c r="L608" s="30">
        <f>IF(OR(LEFT($D608,5)="Solar",$D608="Wind"),INDEX(Land_Use[MIN],MATCH(LEFT($D608,5),Land_Use[Tech],0)),0)*$E608</f>
        <v>0</v>
      </c>
      <c r="M608" s="30">
        <f>IF(OR(LEFT($D608,5)="Solar",$D608="Wind"),INDEX(Land_Use[MAX],MATCH(LEFT($D608,5),Land_Use[Tech],0)),0)*$E608</f>
        <v>0</v>
      </c>
      <c r="N608" s="15">
        <f t="shared" si="167"/>
        <v>6.1499999999999992E-2</v>
      </c>
      <c r="O608" s="11">
        <f t="shared" si="168"/>
        <v>0</v>
      </c>
      <c r="P608" s="11">
        <f t="shared" si="169"/>
        <v>0</v>
      </c>
      <c r="Q608" s="11">
        <f t="shared" si="170"/>
        <v>0</v>
      </c>
      <c r="R608" s="11">
        <f t="shared" si="171"/>
        <v>0</v>
      </c>
      <c r="S608" s="30">
        <f t="shared" si="175"/>
        <v>0</v>
      </c>
      <c r="T608" s="30">
        <f t="shared" si="176"/>
        <v>0</v>
      </c>
      <c r="U608" s="30">
        <f t="shared" si="177"/>
        <v>0</v>
      </c>
      <c r="V608" s="30">
        <f t="shared" si="178"/>
        <v>0</v>
      </c>
      <c r="W608" s="30">
        <f t="shared" si="179"/>
        <v>0</v>
      </c>
      <c r="X608" s="30">
        <f t="shared" si="180"/>
        <v>0</v>
      </c>
      <c r="Z608" s="23" t="s">
        <v>76</v>
      </c>
      <c r="AA608" s="40">
        <f>IF(C608="Electricity",E608*SUMIFS(Electricity!S:S,Electricity!P:P,UserMade_Scenario!B608,Electricity!M:M,UserMade_Scenario!Z608,Electricity!O:O,UserMade_Scenario!D608),"")</f>
        <v>78741.09003782057</v>
      </c>
      <c r="AB608" s="76">
        <f>1/Assumptions!$B$23/1000000000000</f>
        <v>3.5998225679871703E-9</v>
      </c>
      <c r="AC608" s="67" t="s">
        <v>82</v>
      </c>
      <c r="AD608" s="69">
        <f>INDEX(Table11[AVG
CO2e MT per MWh],MATCH(UserMade_Scenario!$B608,Table11[[Year]:[Year]],0))</f>
        <v>-6.7999746399999894E-2</v>
      </c>
      <c r="AE608" s="69">
        <f>INDEX(Table11[MIN
CO2e MT per MWh],MATCH(UserMade_Scenario!$B608,Table11[[Year]:[Year]],0))</f>
        <v>-3.9210322300000093E-2</v>
      </c>
      <c r="AF608" s="69">
        <f>INDEX(Table11[MAX CO2e MT per MWh],MATCH(UserMade_Scenario!$B608,Table11[[Year]:[Year]],0))</f>
        <v>-9.6789169500000008E-2</v>
      </c>
      <c r="AG608" s="68">
        <f>IFERROR(INDEX(WaterUseH2[Average Direct Water Consumption (Gal/ kg h2)],MATCH(LEFT(D608,3),WaterUseH2[Key],0)),0)</f>
        <v>4.0999999999999996</v>
      </c>
      <c r="AH608">
        <v>14</v>
      </c>
      <c r="AI608">
        <v>1.4</v>
      </c>
      <c r="AJ608">
        <v>250</v>
      </c>
      <c r="AK608">
        <v>0.31</v>
      </c>
      <c r="AL608" s="63">
        <f>IFERROR(INDEX(Job_Training[[Solar]:[Wind]],MATCH(AL$1,Job_Training[[`Typical Entry Level Education`]:[`Typical Entry Level Education`]],0),MATCH(LEFT($D608,5),Job_Training[[#Headers],[Solar]:[Wind]],0)),0)</f>
        <v>0</v>
      </c>
      <c r="AM608" s="63">
        <f>IFERROR(INDEX(Job_Training[[Solar]:[Wind]],MATCH(AM$1,Job_Training[[`Typical Entry Level Education`]:[`Typical Entry Level Education`]],0),MATCH(LEFT($D608,5),Job_Training[[#Headers],[Solar]:[Wind]],0)),0)</f>
        <v>0</v>
      </c>
      <c r="AN608" s="63">
        <f>IFERROR(INDEX(Job_Training[[Solar]:[Wind]],MATCH(AN$1,Job_Training[[`Typical Entry Level Education`]:[`Typical Entry Level Education`]],0),MATCH(LEFT($D608,5),Job_Training[[#Headers],[Solar]:[Wind]],0)),0)</f>
        <v>0</v>
      </c>
      <c r="AO608" s="63">
        <f>IFERROR(INDEX(Job_Training[[Solar]:[Wind]],MATCH(AO$1,Job_Training[[`Typical Entry Level Education`]:[`Typical Entry Level Education`]],0),MATCH(LEFT($D608,5),Job_Training[[#Headers],[Solar]:[Wind]],0)),0)</f>
        <v>0</v>
      </c>
      <c r="AP608">
        <f t="shared" si="181"/>
        <v>0</v>
      </c>
      <c r="AQ608" s="63">
        <f>IF(AP608&gt;0,IFERROR(INDEX(Assumptions!$C$165:$D$165,MATCH(LEFT($D608,5),Job_Training[[#Headers],[Solar]:[Wind]],0)),0),0)</f>
        <v>0</v>
      </c>
      <c r="AR608">
        <f>IF(AP608&gt;0,IFERROR(INDEX(Assumptions!$C$166:$D$166,MATCH(LEFT($D608,5),Job_Training[[#Headers],[Solar]:[Wind]],0)),0),0)</f>
        <v>0</v>
      </c>
    </row>
    <row r="609" spans="1:44" hidden="1" x14ac:dyDescent="0.35">
      <c r="A609" t="str">
        <f>UserInput!$B$56</f>
        <v>Max Buildout</v>
      </c>
      <c r="B609">
        <v>2044</v>
      </c>
      <c r="C609" t="s">
        <v>41</v>
      </c>
      <c r="D609" t="s">
        <v>84</v>
      </c>
      <c r="E609" s="66">
        <f>INDEX(UserInput!$C$56:$M$76,MATCH(UserMade_Scenario!B609,UserInput!$A$56:$A$76,0),MATCH(LEFT(IF(RIGHT(C609,2)="H2",UserMade_Scenario!C609,D609),3),UserInput!$C$25:$M$25,0))</f>
        <v>15</v>
      </c>
      <c r="F609" t="s">
        <v>81</v>
      </c>
      <c r="G609" s="14">
        <f t="shared" si="166"/>
        <v>2.8109702963205599E-4</v>
      </c>
      <c r="H609" s="63">
        <f t="shared" si="172"/>
        <v>4.9800216105612216E-3</v>
      </c>
      <c r="I609" s="63">
        <f t="shared" si="173"/>
        <v>2.6590399730170564E-3</v>
      </c>
      <c r="J609" s="63">
        <f t="shared" si="174"/>
        <v>7.3010031700190547E-3</v>
      </c>
      <c r="K609" s="30">
        <f>IF(OR(LEFT($D609,5)="Solar",$D609="Wind"),INDEX(Land_Use[AVG],MATCH(LEFT($D609,5),Land_Use[Tech],0)),0)*$E609</f>
        <v>0</v>
      </c>
      <c r="L609" s="30">
        <f>IF(OR(LEFT($D609,5)="Solar",$D609="Wind"),INDEX(Land_Use[MIN],MATCH(LEFT($D609,5),Land_Use[Tech],0)),0)*$E609</f>
        <v>0</v>
      </c>
      <c r="M609" s="30">
        <f>IF(OR(LEFT($D609,5)="Solar",$D609="Wind"),INDEX(Land_Use[MAX],MATCH(LEFT($D609,5),Land_Use[Tech],0)),0)*$E609</f>
        <v>0</v>
      </c>
      <c r="N609" s="15">
        <f t="shared" si="167"/>
        <v>6.1499999999999992E-2</v>
      </c>
      <c r="O609" s="11">
        <f t="shared" si="168"/>
        <v>0</v>
      </c>
      <c r="P609" s="11">
        <f t="shared" si="169"/>
        <v>0</v>
      </c>
      <c r="Q609" s="11">
        <f t="shared" si="170"/>
        <v>0</v>
      </c>
      <c r="R609" s="11">
        <f t="shared" si="171"/>
        <v>0</v>
      </c>
      <c r="S609" s="30">
        <f t="shared" si="175"/>
        <v>0</v>
      </c>
      <c r="T609" s="30">
        <f t="shared" si="176"/>
        <v>0</v>
      </c>
      <c r="U609" s="30">
        <f t="shared" si="177"/>
        <v>0</v>
      </c>
      <c r="V609" s="30">
        <f t="shared" si="178"/>
        <v>0</v>
      </c>
      <c r="W609" s="30">
        <f t="shared" si="179"/>
        <v>0</v>
      </c>
      <c r="X609" s="30">
        <f t="shared" si="180"/>
        <v>0</v>
      </c>
      <c r="Z609" s="23" t="s">
        <v>76</v>
      </c>
      <c r="AA609" s="40">
        <f>IF(C609="Electricity",E609*SUMIFS(Electricity!S:S,Electricity!P:P,UserMade_Scenario!B609,Electricity!M:M,UserMade_Scenario!Z609,Electricity!O:O,UserMade_Scenario!D609),"")</f>
        <v>78086.356847646108</v>
      </c>
      <c r="AB609" s="76">
        <f>1/Assumptions!$B$23/1000000000000</f>
        <v>3.5998225679871703E-9</v>
      </c>
      <c r="AC609" s="67" t="s">
        <v>82</v>
      </c>
      <c r="AD609" s="69">
        <f>INDEX(Table11[AVG
CO2e MT per MWh],MATCH(UserMade_Scenario!$B609,Table11[[Year]:[Year]],0))</f>
        <v>-6.3775822199999888E-2</v>
      </c>
      <c r="AE609" s="69">
        <f>INDEX(Table11[MIN
CO2e MT per MWh],MATCH(UserMade_Scenario!$B609,Table11[[Year]:[Year]],0))</f>
        <v>-3.4052555150000094E-2</v>
      </c>
      <c r="AF609" s="69">
        <f>INDEX(Table11[MAX CO2e MT per MWh],MATCH(UserMade_Scenario!$B609,Table11[[Year]:[Year]],0))</f>
        <v>-9.3499088250000001E-2</v>
      </c>
      <c r="AG609" s="68">
        <f>IFERROR(INDEX(WaterUseH2[Average Direct Water Consumption (Gal/ kg h2)],MATCH(LEFT(D609,3),WaterUseH2[Key],0)),0)</f>
        <v>4.0999999999999996</v>
      </c>
      <c r="AH609">
        <v>14</v>
      </c>
      <c r="AI609">
        <v>1.4</v>
      </c>
      <c r="AJ609">
        <v>250</v>
      </c>
      <c r="AK609">
        <v>0.31</v>
      </c>
      <c r="AL609" s="63">
        <f>IFERROR(INDEX(Job_Training[[Solar]:[Wind]],MATCH(AL$1,Job_Training[[`Typical Entry Level Education`]:[`Typical Entry Level Education`]],0),MATCH(LEFT($D609,5),Job_Training[[#Headers],[Solar]:[Wind]],0)),0)</f>
        <v>0</v>
      </c>
      <c r="AM609" s="63">
        <f>IFERROR(INDEX(Job_Training[[Solar]:[Wind]],MATCH(AM$1,Job_Training[[`Typical Entry Level Education`]:[`Typical Entry Level Education`]],0),MATCH(LEFT($D609,5),Job_Training[[#Headers],[Solar]:[Wind]],0)),0)</f>
        <v>0</v>
      </c>
      <c r="AN609" s="63">
        <f>IFERROR(INDEX(Job_Training[[Solar]:[Wind]],MATCH(AN$1,Job_Training[[`Typical Entry Level Education`]:[`Typical Entry Level Education`]],0),MATCH(LEFT($D609,5),Job_Training[[#Headers],[Solar]:[Wind]],0)),0)</f>
        <v>0</v>
      </c>
      <c r="AO609" s="63">
        <f>IFERROR(INDEX(Job_Training[[Solar]:[Wind]],MATCH(AO$1,Job_Training[[`Typical Entry Level Education`]:[`Typical Entry Level Education`]],0),MATCH(LEFT($D609,5),Job_Training[[#Headers],[Solar]:[Wind]],0)),0)</f>
        <v>0</v>
      </c>
      <c r="AP609">
        <f t="shared" si="181"/>
        <v>0</v>
      </c>
      <c r="AQ609" s="63">
        <f>IF(AP609&gt;0,IFERROR(INDEX(Assumptions!$C$165:$D$165,MATCH(LEFT($D609,5),Job_Training[[#Headers],[Solar]:[Wind]],0)),0),0)</f>
        <v>0</v>
      </c>
      <c r="AR609">
        <f>IF(AP609&gt;0,IFERROR(INDEX(Assumptions!$C$166:$D$166,MATCH(LEFT($D609,5),Job_Training[[#Headers],[Solar]:[Wind]],0)),0),0)</f>
        <v>0</v>
      </c>
    </row>
    <row r="610" spans="1:44" hidden="1" x14ac:dyDescent="0.35">
      <c r="A610" t="str">
        <f>UserInput!$B$56</f>
        <v>Max Buildout</v>
      </c>
      <c r="B610">
        <v>2045</v>
      </c>
      <c r="C610" t="s">
        <v>41</v>
      </c>
      <c r="D610" t="s">
        <v>84</v>
      </c>
      <c r="E610" s="66">
        <f>INDEX(UserInput!$C$56:$M$76,MATCH(UserMade_Scenario!B610,UserInput!$A$56:$A$76,0),MATCH(LEFT(IF(RIGHT(C610,2)="H2",UserMade_Scenario!C610,D610),3),UserInput!$C$25:$M$25,0))</f>
        <v>15</v>
      </c>
      <c r="F610" t="s">
        <v>81</v>
      </c>
      <c r="G610" s="14">
        <f t="shared" si="166"/>
        <v>2.7874010631805568E-4</v>
      </c>
      <c r="H610" s="63">
        <f t="shared" si="172"/>
        <v>4.6112001540241296E-3</v>
      </c>
      <c r="I610" s="63">
        <f t="shared" si="173"/>
        <v>2.2373703500784348E-3</v>
      </c>
      <c r="J610" s="63">
        <f t="shared" si="174"/>
        <v>6.9850298805382242E-3</v>
      </c>
      <c r="K610" s="30">
        <f>IF(OR(LEFT($D610,5)="Solar",$D610="Wind"),INDEX(Land_Use[AVG],MATCH(LEFT($D610,5),Land_Use[Tech],0)),0)*$E610</f>
        <v>0</v>
      </c>
      <c r="L610" s="30">
        <f>IF(OR(LEFT($D610,5)="Solar",$D610="Wind"),INDEX(Land_Use[MIN],MATCH(LEFT($D610,5),Land_Use[Tech],0)),0)*$E610</f>
        <v>0</v>
      </c>
      <c r="M610" s="30">
        <f>IF(OR(LEFT($D610,5)="Solar",$D610="Wind"),INDEX(Land_Use[MAX],MATCH(LEFT($D610,5),Land_Use[Tech],0)),0)*$E610</f>
        <v>0</v>
      </c>
      <c r="N610" s="15">
        <f t="shared" si="167"/>
        <v>6.1499999999999992E-2</v>
      </c>
      <c r="O610" s="11">
        <f t="shared" si="168"/>
        <v>0</v>
      </c>
      <c r="P610" s="11">
        <f t="shared" si="169"/>
        <v>0</v>
      </c>
      <c r="Q610" s="11">
        <f t="shared" si="170"/>
        <v>0</v>
      </c>
      <c r="R610" s="11">
        <f t="shared" si="171"/>
        <v>0</v>
      </c>
      <c r="S610" s="30">
        <f t="shared" si="175"/>
        <v>0</v>
      </c>
      <c r="T610" s="30">
        <f t="shared" si="176"/>
        <v>0</v>
      </c>
      <c r="U610" s="30">
        <f t="shared" si="177"/>
        <v>0</v>
      </c>
      <c r="V610" s="30">
        <f t="shared" si="178"/>
        <v>0</v>
      </c>
      <c r="W610" s="30">
        <f t="shared" si="179"/>
        <v>0</v>
      </c>
      <c r="X610" s="30">
        <f t="shared" si="180"/>
        <v>0</v>
      </c>
      <c r="Z610" s="23" t="s">
        <v>76</v>
      </c>
      <c r="AA610" s="40">
        <f>IF(C610="Electricity",E610*SUMIFS(Electricity!S:S,Electricity!P:P,UserMade_Scenario!B610,Electricity!M:M,UserMade_Scenario!Z610,Electricity!O:O,UserMade_Scenario!D610),"")</f>
        <v>77431.623657471631</v>
      </c>
      <c r="AB610" s="76">
        <f>1/Assumptions!$B$23/1000000000000</f>
        <v>3.5998225679871703E-9</v>
      </c>
      <c r="AC610" s="67" t="s">
        <v>82</v>
      </c>
      <c r="AD610" s="69">
        <f>INDEX(Table11[AVG
CO2e MT per MWh],MATCH(UserMade_Scenario!$B610,Table11[[Year]:[Year]],0))</f>
        <v>-5.9551897999999888E-2</v>
      </c>
      <c r="AE610" s="69">
        <f>INDEX(Table11[MIN
CO2e MT per MWh],MATCH(UserMade_Scenario!$B610,Table11[[Year]:[Year]],0))</f>
        <v>-2.8894788000000095E-2</v>
      </c>
      <c r="AF610" s="69">
        <f>INDEX(Table11[MAX CO2e MT per MWh],MATCH(UserMade_Scenario!$B610,Table11[[Year]:[Year]],0))</f>
        <v>-9.0209006999999994E-2</v>
      </c>
      <c r="AG610" s="68">
        <f>IFERROR(INDEX(WaterUseH2[Average Direct Water Consumption (Gal/ kg h2)],MATCH(LEFT(D610,3),WaterUseH2[Key],0)),0)</f>
        <v>4.0999999999999996</v>
      </c>
      <c r="AH610">
        <v>14</v>
      </c>
      <c r="AI610">
        <v>1.4</v>
      </c>
      <c r="AJ610">
        <v>250</v>
      </c>
      <c r="AK610">
        <v>0.31</v>
      </c>
      <c r="AL610" s="63">
        <f>IFERROR(INDEX(Job_Training[[Solar]:[Wind]],MATCH(AL$1,Job_Training[[`Typical Entry Level Education`]:[`Typical Entry Level Education`]],0),MATCH(LEFT($D610,5),Job_Training[[#Headers],[Solar]:[Wind]],0)),0)</f>
        <v>0</v>
      </c>
      <c r="AM610" s="63">
        <f>IFERROR(INDEX(Job_Training[[Solar]:[Wind]],MATCH(AM$1,Job_Training[[`Typical Entry Level Education`]:[`Typical Entry Level Education`]],0),MATCH(LEFT($D610,5),Job_Training[[#Headers],[Solar]:[Wind]],0)),0)</f>
        <v>0</v>
      </c>
      <c r="AN610" s="63">
        <f>IFERROR(INDEX(Job_Training[[Solar]:[Wind]],MATCH(AN$1,Job_Training[[`Typical Entry Level Education`]:[`Typical Entry Level Education`]],0),MATCH(LEFT($D610,5),Job_Training[[#Headers],[Solar]:[Wind]],0)),0)</f>
        <v>0</v>
      </c>
      <c r="AO610" s="63">
        <f>IFERROR(INDEX(Job_Training[[Solar]:[Wind]],MATCH(AO$1,Job_Training[[`Typical Entry Level Education`]:[`Typical Entry Level Education`]],0),MATCH(LEFT($D610,5),Job_Training[[#Headers],[Solar]:[Wind]],0)),0)</f>
        <v>0</v>
      </c>
      <c r="AP610">
        <f t="shared" si="181"/>
        <v>0</v>
      </c>
      <c r="AQ610" s="63">
        <f>IF(AP610&gt;0,IFERROR(INDEX(Assumptions!$C$165:$D$165,MATCH(LEFT($D610,5),Job_Training[[#Headers],[Solar]:[Wind]],0)),0),0)</f>
        <v>0</v>
      </c>
      <c r="AR610">
        <f>IF(AP610&gt;0,IFERROR(INDEX(Assumptions!$C$166:$D$166,MATCH(LEFT($D610,5),Job_Training[[#Headers],[Solar]:[Wind]],0)),0),0)</f>
        <v>0</v>
      </c>
    </row>
    <row r="611" spans="1:44" hidden="1" x14ac:dyDescent="0.35">
      <c r="A611" t="str">
        <f>UserInput!$B$56</f>
        <v>Max Buildout</v>
      </c>
      <c r="B611">
        <v>2025</v>
      </c>
      <c r="C611" t="s">
        <v>41</v>
      </c>
      <c r="D611" t="s">
        <v>85</v>
      </c>
      <c r="E611" s="66">
        <f>INDEX(UserInput!$C$56:$M$76,MATCH(UserMade_Scenario!B611,UserInput!$A$56:$A$76,0),MATCH(LEFT(IF(RIGHT(C611,2)="H2",UserMade_Scenario!C611,D611),3),UserInput!$C$25:$M$25,0))</f>
        <v>588</v>
      </c>
      <c r="F611" t="s">
        <v>81</v>
      </c>
      <c r="G611" s="14">
        <f t="shared" si="166"/>
        <v>2.4788587405349559E-3</v>
      </c>
      <c r="H611" s="63">
        <f t="shared" si="172"/>
        <v>9.9180158071768915E-2</v>
      </c>
      <c r="I611" s="63">
        <f t="shared" si="173"/>
        <v>9.0930487610438954E-2</v>
      </c>
      <c r="J611" s="63">
        <f t="shared" si="174"/>
        <v>0.10742982784449304</v>
      </c>
      <c r="K611" s="30">
        <f>IF(OR(LEFT($D611,5)="Solar",$D611="Wind"),INDEX(Land_Use[AVG],MATCH(LEFT($D611,5),Land_Use[Tech],0)),0)*$E611</f>
        <v>0</v>
      </c>
      <c r="L611" s="30">
        <f>IF(OR(LEFT($D611,5)="Solar",$D611="Wind"),INDEX(Land_Use[MIN],MATCH(LEFT($D611,5),Land_Use[Tech],0)),0)*$E611</f>
        <v>0</v>
      </c>
      <c r="M611" s="30">
        <f>IF(OR(LEFT($D611,5)="Solar",$D611="Wind"),INDEX(Land_Use[MAX],MATCH(LEFT($D611,5),Land_Use[Tech],0)),0)*$E611</f>
        <v>0</v>
      </c>
      <c r="N611" s="15">
        <f t="shared" si="167"/>
        <v>0</v>
      </c>
      <c r="O611" s="11">
        <f t="shared" si="168"/>
        <v>0</v>
      </c>
      <c r="P611" s="11">
        <f t="shared" si="169"/>
        <v>0</v>
      </c>
      <c r="Q611" s="11">
        <f t="shared" si="170"/>
        <v>0</v>
      </c>
      <c r="R611" s="11">
        <f t="shared" si="171"/>
        <v>0</v>
      </c>
      <c r="S611" s="30">
        <f t="shared" si="175"/>
        <v>0</v>
      </c>
      <c r="T611" s="30">
        <f t="shared" si="176"/>
        <v>0</v>
      </c>
      <c r="U611" s="30">
        <f t="shared" si="177"/>
        <v>0</v>
      </c>
      <c r="V611" s="30">
        <f t="shared" si="178"/>
        <v>0</v>
      </c>
      <c r="W611" s="30">
        <f t="shared" si="179"/>
        <v>0</v>
      </c>
      <c r="X611" s="30">
        <f t="shared" si="180"/>
        <v>0</v>
      </c>
      <c r="Z611" s="23" t="s">
        <v>76</v>
      </c>
      <c r="AA611" s="40">
        <f>IF(C611="Electricity",E611*SUMIFS(Electricity!S:S,Electricity!P:P,UserMade_Scenario!B611,Electricity!M:M,UserMade_Scenario!Z611,Electricity!O:O,UserMade_Scenario!D611),"")</f>
        <v>688605.81145836925</v>
      </c>
      <c r="AB611" s="76">
        <f>1/Assumptions!$B$23/1000000000000</f>
        <v>3.5998225679871703E-9</v>
      </c>
      <c r="AC611" s="67" t="s">
        <v>82</v>
      </c>
      <c r="AD611" s="69">
        <f>INDEX(Table11[AVG
CO2e MT per MWh],MATCH(UserMade_Scenario!$B611,Table11[[Year]:[Year]],0))</f>
        <v>-0.14403038200000001</v>
      </c>
      <c r="AE611" s="69">
        <f>INDEX(Table11[MIN
CO2e MT per MWh],MATCH(UserMade_Scenario!$B611,Table11[[Year]:[Year]],0))</f>
        <v>-0.13205013099999999</v>
      </c>
      <c r="AF611" s="69">
        <f>INDEX(Table11[MAX CO2e MT per MWh],MATCH(UserMade_Scenario!$B611,Table11[[Year]:[Year]],0))</f>
        <v>-0.15601063200000001</v>
      </c>
      <c r="AG611" s="68">
        <f>IFERROR(INDEX(WaterUseH2[Average Direct Water Consumption (Gal/ kg h2)],MATCH(LEFT(D611,3),WaterUseH2[Key],0)),0)</f>
        <v>0</v>
      </c>
      <c r="AH611">
        <v>14</v>
      </c>
      <c r="AI611">
        <v>1.4</v>
      </c>
      <c r="AJ611">
        <v>250</v>
      </c>
      <c r="AK611">
        <v>0.31</v>
      </c>
      <c r="AL611" s="63">
        <f>IFERROR(INDEX(Job_Training[[Solar]:[Wind]],MATCH(AL$1,Job_Training[[`Typical Entry Level Education`]:[`Typical Entry Level Education`]],0),MATCH(LEFT($D611,5),Job_Training[[#Headers],[Solar]:[Wind]],0)),0)</f>
        <v>0</v>
      </c>
      <c r="AM611" s="63">
        <f>IFERROR(INDEX(Job_Training[[Solar]:[Wind]],MATCH(AM$1,Job_Training[[`Typical Entry Level Education`]:[`Typical Entry Level Education`]],0),MATCH(LEFT($D611,5),Job_Training[[#Headers],[Solar]:[Wind]],0)),0)</f>
        <v>0</v>
      </c>
      <c r="AN611" s="63">
        <f>IFERROR(INDEX(Job_Training[[Solar]:[Wind]],MATCH(AN$1,Job_Training[[`Typical Entry Level Education`]:[`Typical Entry Level Education`]],0),MATCH(LEFT($D611,5),Job_Training[[#Headers],[Solar]:[Wind]],0)),0)</f>
        <v>0</v>
      </c>
      <c r="AO611" s="63">
        <f>IFERROR(INDEX(Job_Training[[Solar]:[Wind]],MATCH(AO$1,Job_Training[[`Typical Entry Level Education`]:[`Typical Entry Level Education`]],0),MATCH(LEFT($D611,5),Job_Training[[#Headers],[Solar]:[Wind]],0)),0)</f>
        <v>0</v>
      </c>
      <c r="AP611">
        <f t="shared" si="181"/>
        <v>588</v>
      </c>
      <c r="AQ611" s="63">
        <f>IF(AP611&gt;0,IFERROR(INDEX(Assumptions!$C$165:$D$165,MATCH(LEFT($D611,5),Job_Training[[#Headers],[Solar]:[Wind]],0)),0),0)</f>
        <v>0</v>
      </c>
      <c r="AR611">
        <f>IF(AP611&gt;0,IFERROR(INDEX(Assumptions!$C$166:$D$166,MATCH(LEFT($D611,5),Job_Training[[#Headers],[Solar]:[Wind]],0)),0),0)</f>
        <v>0</v>
      </c>
    </row>
    <row r="612" spans="1:44" hidden="1" x14ac:dyDescent="0.35">
      <c r="A612" t="str">
        <f>UserInput!$B$56</f>
        <v>Max Buildout</v>
      </c>
      <c r="B612">
        <v>2026</v>
      </c>
      <c r="C612" t="s">
        <v>41</v>
      </c>
      <c r="D612" t="s">
        <v>85</v>
      </c>
      <c r="E612" s="66">
        <f>INDEX(UserInput!$C$56:$M$76,MATCH(UserMade_Scenario!B612,UserInput!$A$56:$A$76,0),MATCH(LEFT(IF(RIGHT(C612,2)="H2",UserMade_Scenario!C612,D612),3),UserInput!$C$25:$M$25,0))</f>
        <v>1176</v>
      </c>
      <c r="F612" t="s">
        <v>81</v>
      </c>
      <c r="G612" s="14">
        <f t="shared" si="166"/>
        <v>4.9577174810699117E-3</v>
      </c>
      <c r="H612" s="63">
        <f t="shared" si="172"/>
        <v>0.19254307864097853</v>
      </c>
      <c r="I612" s="63">
        <f t="shared" si="173"/>
        <v>0.17475763835359978</v>
      </c>
      <c r="J612" s="63">
        <f t="shared" si="174"/>
        <v>0.21032851755114568</v>
      </c>
      <c r="K612" s="30">
        <f>IF(OR(LEFT($D612,5)="Solar",$D612="Wind"),INDEX(Land_Use[AVG],MATCH(LEFT($D612,5),Land_Use[Tech],0)),0)*$E612</f>
        <v>0</v>
      </c>
      <c r="L612" s="30">
        <f>IF(OR(LEFT($D612,5)="Solar",$D612="Wind"),INDEX(Land_Use[MIN],MATCH(LEFT($D612,5),Land_Use[Tech],0)),0)*$E612</f>
        <v>0</v>
      </c>
      <c r="M612" s="30">
        <f>IF(OR(LEFT($D612,5)="Solar",$D612="Wind"),INDEX(Land_Use[MAX],MATCH(LEFT($D612,5),Land_Use[Tech],0)),0)*$E612</f>
        <v>0</v>
      </c>
      <c r="N612" s="15">
        <f t="shared" si="167"/>
        <v>0</v>
      </c>
      <c r="O612" s="11">
        <f t="shared" si="168"/>
        <v>0</v>
      </c>
      <c r="P612" s="11">
        <f t="shared" si="169"/>
        <v>0</v>
      </c>
      <c r="Q612" s="11">
        <f t="shared" si="170"/>
        <v>0</v>
      </c>
      <c r="R612" s="11">
        <f t="shared" si="171"/>
        <v>0</v>
      </c>
      <c r="S612" s="30">
        <f t="shared" si="175"/>
        <v>0</v>
      </c>
      <c r="T612" s="30">
        <f t="shared" si="176"/>
        <v>0</v>
      </c>
      <c r="U612" s="30">
        <f t="shared" si="177"/>
        <v>0</v>
      </c>
      <c r="V612" s="30">
        <f t="shared" si="178"/>
        <v>0</v>
      </c>
      <c r="W612" s="30">
        <f t="shared" si="179"/>
        <v>0</v>
      </c>
      <c r="X612" s="30">
        <f t="shared" si="180"/>
        <v>0</v>
      </c>
      <c r="Z612" s="23" t="s">
        <v>76</v>
      </c>
      <c r="AA612" s="40">
        <f>IF(C612="Electricity",E612*SUMIFS(Electricity!S:S,Electricity!P:P,UserMade_Scenario!B612,Electricity!M:M,UserMade_Scenario!Z612,Electricity!O:O,UserMade_Scenario!D612),"")</f>
        <v>1377211.6229167385</v>
      </c>
      <c r="AB612" s="76">
        <f>1/Assumptions!$B$23/1000000000000</f>
        <v>3.5998225679871703E-9</v>
      </c>
      <c r="AC612" s="67" t="s">
        <v>82</v>
      </c>
      <c r="AD612" s="69">
        <f>INDEX(Table11[AVG
CO2e MT per MWh],MATCH(UserMade_Scenario!$B612,Table11[[Year]:[Year]],0))</f>
        <v>-0.13980645780000001</v>
      </c>
      <c r="AE612" s="69">
        <f>INDEX(Table11[MIN
CO2e MT per MWh],MATCH(UserMade_Scenario!$B612,Table11[[Year]:[Year]],0))</f>
        <v>-0.12689236385</v>
      </c>
      <c r="AF612" s="69">
        <f>INDEX(Table11[MAX CO2e MT per MWh],MATCH(UserMade_Scenario!$B612,Table11[[Year]:[Year]],0))</f>
        <v>-0.15272055075000002</v>
      </c>
      <c r="AG612" s="68">
        <f>IFERROR(INDEX(WaterUseH2[Average Direct Water Consumption (Gal/ kg h2)],MATCH(LEFT(D612,3),WaterUseH2[Key],0)),0)</f>
        <v>0</v>
      </c>
      <c r="AH612">
        <v>14</v>
      </c>
      <c r="AI612">
        <v>1.4</v>
      </c>
      <c r="AJ612">
        <v>250</v>
      </c>
      <c r="AK612">
        <v>0.31</v>
      </c>
      <c r="AL612" s="63">
        <f>IFERROR(INDEX(Job_Training[[Solar]:[Wind]],MATCH(AL$1,Job_Training[[`Typical Entry Level Education`]:[`Typical Entry Level Education`]],0),MATCH(LEFT($D612,5),Job_Training[[#Headers],[Solar]:[Wind]],0)),0)</f>
        <v>0</v>
      </c>
      <c r="AM612" s="63">
        <f>IFERROR(INDEX(Job_Training[[Solar]:[Wind]],MATCH(AM$1,Job_Training[[`Typical Entry Level Education`]:[`Typical Entry Level Education`]],0),MATCH(LEFT($D612,5),Job_Training[[#Headers],[Solar]:[Wind]],0)),0)</f>
        <v>0</v>
      </c>
      <c r="AN612" s="63">
        <f>IFERROR(INDEX(Job_Training[[Solar]:[Wind]],MATCH(AN$1,Job_Training[[`Typical Entry Level Education`]:[`Typical Entry Level Education`]],0),MATCH(LEFT($D612,5),Job_Training[[#Headers],[Solar]:[Wind]],0)),0)</f>
        <v>0</v>
      </c>
      <c r="AO612" s="63">
        <f>IFERROR(INDEX(Job_Training[[Solar]:[Wind]],MATCH(AO$1,Job_Training[[`Typical Entry Level Education`]:[`Typical Entry Level Education`]],0),MATCH(LEFT($D612,5),Job_Training[[#Headers],[Solar]:[Wind]],0)),0)</f>
        <v>0</v>
      </c>
      <c r="AP612">
        <f t="shared" si="181"/>
        <v>588</v>
      </c>
      <c r="AQ612" s="63">
        <f>IF(AP612&gt;0,IFERROR(INDEX(Assumptions!$C$165:$D$165,MATCH(LEFT($D612,5),Job_Training[[#Headers],[Solar]:[Wind]],0)),0),0)</f>
        <v>0</v>
      </c>
      <c r="AR612">
        <f>IF(AP612&gt;0,IFERROR(INDEX(Assumptions!$C$166:$D$166,MATCH(LEFT($D612,5),Job_Training[[#Headers],[Solar]:[Wind]],0)),0),0)</f>
        <v>0</v>
      </c>
    </row>
    <row r="613" spans="1:44" hidden="1" x14ac:dyDescent="0.35">
      <c r="A613" t="str">
        <f>UserInput!$B$56</f>
        <v>Max Buildout</v>
      </c>
      <c r="B613">
        <v>2027</v>
      </c>
      <c r="C613" t="s">
        <v>41</v>
      </c>
      <c r="D613" t="s">
        <v>85</v>
      </c>
      <c r="E613" s="66">
        <f>INDEX(UserInput!$C$56:$M$76,MATCH(UserMade_Scenario!B613,UserInput!$A$56:$A$76,0),MATCH(LEFT(IF(RIGHT(C613,2)="H2",UserMade_Scenario!C613,D613),3),UserInput!$C$25:$M$25,0))</f>
        <v>1764</v>
      </c>
      <c r="F613" t="s">
        <v>81</v>
      </c>
      <c r="G613" s="14">
        <f t="shared" ref="G613:G652" si="182">AA613*AB613</f>
        <v>7.4365762216048693E-3</v>
      </c>
      <c r="H613" s="63">
        <f t="shared" si="172"/>
        <v>0.28008876170762886</v>
      </c>
      <c r="I613" s="63">
        <f t="shared" si="173"/>
        <v>0.25148145222948248</v>
      </c>
      <c r="J613" s="63">
        <f t="shared" si="174"/>
        <v>0.30869606911995784</v>
      </c>
      <c r="K613" s="30">
        <f>IF(OR(LEFT($D613,5)="Solar",$D613="Wind"),INDEX(Land_Use[AVG],MATCH(LEFT($D613,5),Land_Use[Tech],0)),0)*$E613</f>
        <v>0</v>
      </c>
      <c r="L613" s="30">
        <f>IF(OR(LEFT($D613,5)="Solar",$D613="Wind"),INDEX(Land_Use[MIN],MATCH(LEFT($D613,5),Land_Use[Tech],0)),0)*$E613</f>
        <v>0</v>
      </c>
      <c r="M613" s="30">
        <f>IF(OR(LEFT($D613,5)="Solar",$D613="Wind"),INDEX(Land_Use[MAX],MATCH(LEFT($D613,5),Land_Use[Tech],0)),0)*$E613</f>
        <v>0</v>
      </c>
      <c r="N613" s="15">
        <f t="shared" si="167"/>
        <v>0</v>
      </c>
      <c r="O613" s="11">
        <f t="shared" si="168"/>
        <v>0</v>
      </c>
      <c r="P613" s="11">
        <f t="shared" si="169"/>
        <v>0</v>
      </c>
      <c r="Q613" s="11">
        <f t="shared" si="170"/>
        <v>0</v>
      </c>
      <c r="R613" s="11">
        <f t="shared" si="171"/>
        <v>0</v>
      </c>
      <c r="S613" s="30">
        <f t="shared" si="175"/>
        <v>0</v>
      </c>
      <c r="T613" s="30">
        <f t="shared" si="176"/>
        <v>0</v>
      </c>
      <c r="U613" s="30">
        <f t="shared" si="177"/>
        <v>0</v>
      </c>
      <c r="V613" s="30">
        <f t="shared" si="178"/>
        <v>0</v>
      </c>
      <c r="W613" s="30">
        <f t="shared" si="179"/>
        <v>0</v>
      </c>
      <c r="X613" s="30">
        <f t="shared" si="180"/>
        <v>0</v>
      </c>
      <c r="Z613" s="23" t="s">
        <v>76</v>
      </c>
      <c r="AA613" s="40">
        <f>IF(C613="Electricity",E613*SUMIFS(Electricity!S:S,Electricity!P:P,UserMade_Scenario!B613,Electricity!M:M,UserMade_Scenario!Z613,Electricity!O:O,UserMade_Scenario!D613),"")</f>
        <v>2065817.434375108</v>
      </c>
      <c r="AB613" s="76">
        <f>1/Assumptions!$B$23/1000000000000</f>
        <v>3.5998225679871703E-9</v>
      </c>
      <c r="AC613" s="67" t="s">
        <v>82</v>
      </c>
      <c r="AD613" s="69">
        <f>INDEX(Table11[AVG
CO2e MT per MWh],MATCH(UserMade_Scenario!$B613,Table11[[Year]:[Year]],0))</f>
        <v>-0.1355825336</v>
      </c>
      <c r="AE613" s="69">
        <f>INDEX(Table11[MIN
CO2e MT per MWh],MATCH(UserMade_Scenario!$B613,Table11[[Year]:[Year]],0))</f>
        <v>-0.1217345967</v>
      </c>
      <c r="AF613" s="69">
        <f>INDEX(Table11[MAX CO2e MT per MWh],MATCH(UserMade_Scenario!$B613,Table11[[Year]:[Year]],0))</f>
        <v>-0.14943046950000002</v>
      </c>
      <c r="AG613" s="68">
        <f>IFERROR(INDEX(WaterUseH2[Average Direct Water Consumption (Gal/ kg h2)],MATCH(LEFT(D613,3),WaterUseH2[Key],0)),0)</f>
        <v>0</v>
      </c>
      <c r="AH613">
        <v>14</v>
      </c>
      <c r="AI613">
        <v>1.4</v>
      </c>
      <c r="AJ613">
        <v>250</v>
      </c>
      <c r="AK613">
        <v>0.31</v>
      </c>
      <c r="AL613" s="63">
        <f>IFERROR(INDEX(Job_Training[[Solar]:[Wind]],MATCH(AL$1,Job_Training[[`Typical Entry Level Education`]:[`Typical Entry Level Education`]],0),MATCH(LEFT($D613,5),Job_Training[[#Headers],[Solar]:[Wind]],0)),0)</f>
        <v>0</v>
      </c>
      <c r="AM613" s="63">
        <f>IFERROR(INDEX(Job_Training[[Solar]:[Wind]],MATCH(AM$1,Job_Training[[`Typical Entry Level Education`]:[`Typical Entry Level Education`]],0),MATCH(LEFT($D613,5),Job_Training[[#Headers],[Solar]:[Wind]],0)),0)</f>
        <v>0</v>
      </c>
      <c r="AN613" s="63">
        <f>IFERROR(INDEX(Job_Training[[Solar]:[Wind]],MATCH(AN$1,Job_Training[[`Typical Entry Level Education`]:[`Typical Entry Level Education`]],0),MATCH(LEFT($D613,5),Job_Training[[#Headers],[Solar]:[Wind]],0)),0)</f>
        <v>0</v>
      </c>
      <c r="AO613" s="63">
        <f>IFERROR(INDEX(Job_Training[[Solar]:[Wind]],MATCH(AO$1,Job_Training[[`Typical Entry Level Education`]:[`Typical Entry Level Education`]],0),MATCH(LEFT($D613,5),Job_Training[[#Headers],[Solar]:[Wind]],0)),0)</f>
        <v>0</v>
      </c>
      <c r="AP613">
        <f t="shared" si="181"/>
        <v>588</v>
      </c>
      <c r="AQ613" s="63">
        <f>IF(AP613&gt;0,IFERROR(INDEX(Assumptions!$C$165:$D$165,MATCH(LEFT($D613,5),Job_Training[[#Headers],[Solar]:[Wind]],0)),0),0)</f>
        <v>0</v>
      </c>
      <c r="AR613">
        <f>IF(AP613&gt;0,IFERROR(INDEX(Assumptions!$C$166:$D$166,MATCH(LEFT($D613,5),Job_Training[[#Headers],[Solar]:[Wind]],0)),0),0)</f>
        <v>0</v>
      </c>
    </row>
    <row r="614" spans="1:44" hidden="1" x14ac:dyDescent="0.35">
      <c r="A614" t="str">
        <f>UserInput!$B$56</f>
        <v>Max Buildout</v>
      </c>
      <c r="B614">
        <v>2028</v>
      </c>
      <c r="C614" t="s">
        <v>41</v>
      </c>
      <c r="D614" t="s">
        <v>85</v>
      </c>
      <c r="E614" s="66">
        <f>INDEX(UserInput!$C$56:$M$76,MATCH(UserMade_Scenario!B614,UserInput!$A$56:$A$76,0),MATCH(LEFT(IF(RIGHT(C614,2)="H2",UserMade_Scenario!C614,D614),3),UserInput!$C$25:$M$25,0))</f>
        <v>2353</v>
      </c>
      <c r="F614" t="s">
        <v>81</v>
      </c>
      <c r="G614" s="14">
        <f t="shared" si="182"/>
        <v>9.9196507082971973E-3</v>
      </c>
      <c r="H614" s="63">
        <f t="shared" si="172"/>
        <v>0.36197104111834899</v>
      </c>
      <c r="I614" s="63">
        <f t="shared" si="173"/>
        <v>0.32123845216718488</v>
      </c>
      <c r="J614" s="63">
        <f t="shared" si="174"/>
        <v>0.40270362731391895</v>
      </c>
      <c r="K614" s="30">
        <f>IF(OR(LEFT($D614,5)="Solar",$D614="Wind"),INDEX(Land_Use[AVG],MATCH(LEFT($D614,5),Land_Use[Tech],0)),0)*$E614</f>
        <v>0</v>
      </c>
      <c r="L614" s="30">
        <f>IF(OR(LEFT($D614,5)="Solar",$D614="Wind"),INDEX(Land_Use[MIN],MATCH(LEFT($D614,5),Land_Use[Tech],0)),0)*$E614</f>
        <v>0</v>
      </c>
      <c r="M614" s="30">
        <f>IF(OR(LEFT($D614,5)="Solar",$D614="Wind"),INDEX(Land_Use[MAX],MATCH(LEFT($D614,5),Land_Use[Tech],0)),0)*$E614</f>
        <v>0</v>
      </c>
      <c r="N614" s="15">
        <f t="shared" si="167"/>
        <v>0</v>
      </c>
      <c r="O614" s="11">
        <f t="shared" si="168"/>
        <v>0</v>
      </c>
      <c r="P614" s="11">
        <f t="shared" si="169"/>
        <v>0</v>
      </c>
      <c r="Q614" s="11">
        <f t="shared" si="170"/>
        <v>0</v>
      </c>
      <c r="R614" s="11">
        <f t="shared" si="171"/>
        <v>0</v>
      </c>
      <c r="S614" s="30">
        <f t="shared" si="175"/>
        <v>0</v>
      </c>
      <c r="T614" s="30">
        <f t="shared" si="176"/>
        <v>0</v>
      </c>
      <c r="U614" s="30">
        <f t="shared" si="177"/>
        <v>0</v>
      </c>
      <c r="V614" s="30">
        <f t="shared" si="178"/>
        <v>0</v>
      </c>
      <c r="W614" s="30">
        <f t="shared" si="179"/>
        <v>0</v>
      </c>
      <c r="X614" s="30">
        <f t="shared" si="180"/>
        <v>0</v>
      </c>
      <c r="Z614" s="23" t="s">
        <v>76</v>
      </c>
      <c r="AA614" s="40">
        <f>IF(C614="Electricity",E614*SUMIFS(Electricity!S:S,Electricity!P:P,UserMade_Scenario!B614,Electricity!M:M,UserMade_Scenario!Z614,Electricity!O:O,UserMade_Scenario!D614),"")</f>
        <v>2755594.3441522839</v>
      </c>
      <c r="AB614" s="76">
        <f>1/Assumptions!$B$23/1000000000000</f>
        <v>3.5998225679871703E-9</v>
      </c>
      <c r="AC614" s="67" t="s">
        <v>82</v>
      </c>
      <c r="AD614" s="69">
        <f>INDEX(Table11[AVG
CO2e MT per MWh],MATCH(UserMade_Scenario!$B614,Table11[[Year]:[Year]],0))</f>
        <v>-0.13135860939999999</v>
      </c>
      <c r="AE614" s="69">
        <f>INDEX(Table11[MIN
CO2e MT per MWh],MATCH(UserMade_Scenario!$B614,Table11[[Year]:[Year]],0))</f>
        <v>-0.11657682955000001</v>
      </c>
      <c r="AF614" s="69">
        <f>INDEX(Table11[MAX CO2e MT per MWh],MATCH(UserMade_Scenario!$B614,Table11[[Year]:[Year]],0))</f>
        <v>-0.14614038825000003</v>
      </c>
      <c r="AG614" s="68">
        <f>IFERROR(INDEX(WaterUseH2[Average Direct Water Consumption (Gal/ kg h2)],MATCH(LEFT(D614,3),WaterUseH2[Key],0)),0)</f>
        <v>0</v>
      </c>
      <c r="AH614">
        <v>14</v>
      </c>
      <c r="AI614">
        <v>1.4</v>
      </c>
      <c r="AJ614">
        <v>250</v>
      </c>
      <c r="AK614">
        <v>0.31</v>
      </c>
      <c r="AL614" s="63">
        <f>IFERROR(INDEX(Job_Training[[Solar]:[Wind]],MATCH(AL$1,Job_Training[[`Typical Entry Level Education`]:[`Typical Entry Level Education`]],0),MATCH(LEFT($D614,5),Job_Training[[#Headers],[Solar]:[Wind]],0)),0)</f>
        <v>0</v>
      </c>
      <c r="AM614" s="63">
        <f>IFERROR(INDEX(Job_Training[[Solar]:[Wind]],MATCH(AM$1,Job_Training[[`Typical Entry Level Education`]:[`Typical Entry Level Education`]],0),MATCH(LEFT($D614,5),Job_Training[[#Headers],[Solar]:[Wind]],0)),0)</f>
        <v>0</v>
      </c>
      <c r="AN614" s="63">
        <f>IFERROR(INDEX(Job_Training[[Solar]:[Wind]],MATCH(AN$1,Job_Training[[`Typical Entry Level Education`]:[`Typical Entry Level Education`]],0),MATCH(LEFT($D614,5),Job_Training[[#Headers],[Solar]:[Wind]],0)),0)</f>
        <v>0</v>
      </c>
      <c r="AO614" s="63">
        <f>IFERROR(INDEX(Job_Training[[Solar]:[Wind]],MATCH(AO$1,Job_Training[[`Typical Entry Level Education`]:[`Typical Entry Level Education`]],0),MATCH(LEFT($D614,5),Job_Training[[#Headers],[Solar]:[Wind]],0)),0)</f>
        <v>0</v>
      </c>
      <c r="AP614">
        <f t="shared" si="181"/>
        <v>589</v>
      </c>
      <c r="AQ614" s="63">
        <f>IF(AP614&gt;0,IFERROR(INDEX(Assumptions!$C$165:$D$165,MATCH(LEFT($D614,5),Job_Training[[#Headers],[Solar]:[Wind]],0)),0),0)</f>
        <v>0</v>
      </c>
      <c r="AR614">
        <f>IF(AP614&gt;0,IFERROR(INDEX(Assumptions!$C$166:$D$166,MATCH(LEFT($D614,5),Job_Training[[#Headers],[Solar]:[Wind]],0)),0),0)</f>
        <v>0</v>
      </c>
    </row>
    <row r="615" spans="1:44" hidden="1" x14ac:dyDescent="0.35">
      <c r="A615" t="str">
        <f>UserInput!$B$56</f>
        <v>Max Buildout</v>
      </c>
      <c r="B615">
        <v>2029</v>
      </c>
      <c r="C615" t="s">
        <v>41</v>
      </c>
      <c r="D615" t="s">
        <v>85</v>
      </c>
      <c r="E615" s="66">
        <f>INDEX(UserInput!$C$56:$M$76,MATCH(UserMade_Scenario!B615,UserInput!$A$56:$A$76,0),MATCH(LEFT(IF(RIGHT(C615,2)="H2",UserMade_Scenario!C615,D615),3),UserInput!$C$25:$M$25,0))</f>
        <v>2941</v>
      </c>
      <c r="F615" t="s">
        <v>81</v>
      </c>
      <c r="G615" s="14">
        <f t="shared" si="182"/>
        <v>1.2398509448832152E-2</v>
      </c>
      <c r="H615" s="63">
        <f t="shared" si="172"/>
        <v>0.43787730254935137</v>
      </c>
      <c r="I615" s="63">
        <f t="shared" si="173"/>
        <v>0.38374955205607314</v>
      </c>
      <c r="J615" s="63">
        <f t="shared" si="174"/>
        <v>0.49200504959842972</v>
      </c>
      <c r="K615" s="30">
        <f>IF(OR(LEFT($D615,5)="Solar",$D615="Wind"),INDEX(Land_Use[AVG],MATCH(LEFT($D615,5),Land_Use[Tech],0)),0)*$E615</f>
        <v>0</v>
      </c>
      <c r="L615" s="30">
        <f>IF(OR(LEFT($D615,5)="Solar",$D615="Wind"),INDEX(Land_Use[MIN],MATCH(LEFT($D615,5),Land_Use[Tech],0)),0)*$E615</f>
        <v>0</v>
      </c>
      <c r="M615" s="30">
        <f>IF(OR(LEFT($D615,5)="Solar",$D615="Wind"),INDEX(Land_Use[MAX],MATCH(LEFT($D615,5),Land_Use[Tech],0)),0)*$E615</f>
        <v>0</v>
      </c>
      <c r="N615" s="15">
        <f t="shared" si="167"/>
        <v>0</v>
      </c>
      <c r="O615" s="11">
        <f t="shared" si="168"/>
        <v>0</v>
      </c>
      <c r="P615" s="11">
        <f t="shared" si="169"/>
        <v>0</v>
      </c>
      <c r="Q615" s="11">
        <f t="shared" si="170"/>
        <v>0</v>
      </c>
      <c r="R615" s="11">
        <f t="shared" si="171"/>
        <v>0</v>
      </c>
      <c r="S615" s="30">
        <f t="shared" si="175"/>
        <v>0</v>
      </c>
      <c r="T615" s="30">
        <f t="shared" si="176"/>
        <v>0</v>
      </c>
      <c r="U615" s="30">
        <f t="shared" si="177"/>
        <v>0</v>
      </c>
      <c r="V615" s="30">
        <f t="shared" si="178"/>
        <v>0</v>
      </c>
      <c r="W615" s="30">
        <f t="shared" si="179"/>
        <v>0</v>
      </c>
      <c r="X615" s="30">
        <f t="shared" si="180"/>
        <v>0</v>
      </c>
      <c r="Z615" s="23" t="s">
        <v>76</v>
      </c>
      <c r="AA615" s="40">
        <f>IF(C615="Electricity",E615*SUMIFS(Electricity!S:S,Electricity!P:P,UserMade_Scenario!B615,Electricity!M:M,UserMade_Scenario!Z615,Electricity!O:O,UserMade_Scenario!D615),"")</f>
        <v>3444200.1556106531</v>
      </c>
      <c r="AB615" s="76">
        <f>1/Assumptions!$B$23/1000000000000</f>
        <v>3.5998225679871703E-9</v>
      </c>
      <c r="AC615" s="67" t="s">
        <v>82</v>
      </c>
      <c r="AD615" s="69">
        <f>INDEX(Table11[AVG
CO2e MT per MWh],MATCH(UserMade_Scenario!$B615,Table11[[Year]:[Year]],0))</f>
        <v>-0.12713468519999999</v>
      </c>
      <c r="AE615" s="69">
        <f>INDEX(Table11[MIN
CO2e MT per MWh],MATCH(UserMade_Scenario!$B615,Table11[[Year]:[Year]],0))</f>
        <v>-0.11141906240000002</v>
      </c>
      <c r="AF615" s="69">
        <f>INDEX(Table11[MAX CO2e MT per MWh],MATCH(UserMade_Scenario!$B615,Table11[[Year]:[Year]],0))</f>
        <v>-0.14285030700000004</v>
      </c>
      <c r="AG615" s="68">
        <f>IFERROR(INDEX(WaterUseH2[Average Direct Water Consumption (Gal/ kg h2)],MATCH(LEFT(D615,3),WaterUseH2[Key],0)),0)</f>
        <v>0</v>
      </c>
      <c r="AH615">
        <v>14</v>
      </c>
      <c r="AI615">
        <v>1.4</v>
      </c>
      <c r="AJ615">
        <v>250</v>
      </c>
      <c r="AK615">
        <v>0.31</v>
      </c>
      <c r="AL615" s="63">
        <f>IFERROR(INDEX(Job_Training[[Solar]:[Wind]],MATCH(AL$1,Job_Training[[`Typical Entry Level Education`]:[`Typical Entry Level Education`]],0),MATCH(LEFT($D615,5),Job_Training[[#Headers],[Solar]:[Wind]],0)),0)</f>
        <v>0</v>
      </c>
      <c r="AM615" s="63">
        <f>IFERROR(INDEX(Job_Training[[Solar]:[Wind]],MATCH(AM$1,Job_Training[[`Typical Entry Level Education`]:[`Typical Entry Level Education`]],0),MATCH(LEFT($D615,5),Job_Training[[#Headers],[Solar]:[Wind]],0)),0)</f>
        <v>0</v>
      </c>
      <c r="AN615" s="63">
        <f>IFERROR(INDEX(Job_Training[[Solar]:[Wind]],MATCH(AN$1,Job_Training[[`Typical Entry Level Education`]:[`Typical Entry Level Education`]],0),MATCH(LEFT($D615,5),Job_Training[[#Headers],[Solar]:[Wind]],0)),0)</f>
        <v>0</v>
      </c>
      <c r="AO615" s="63">
        <f>IFERROR(INDEX(Job_Training[[Solar]:[Wind]],MATCH(AO$1,Job_Training[[`Typical Entry Level Education`]:[`Typical Entry Level Education`]],0),MATCH(LEFT($D615,5),Job_Training[[#Headers],[Solar]:[Wind]],0)),0)</f>
        <v>0</v>
      </c>
      <c r="AP615">
        <f t="shared" si="181"/>
        <v>588</v>
      </c>
      <c r="AQ615" s="63">
        <f>IF(AP615&gt;0,IFERROR(INDEX(Assumptions!$C$165:$D$165,MATCH(LEFT($D615,5),Job_Training[[#Headers],[Solar]:[Wind]],0)),0),0)</f>
        <v>0</v>
      </c>
      <c r="AR615">
        <f>IF(AP615&gt;0,IFERROR(INDEX(Assumptions!$C$166:$D$166,MATCH(LEFT($D615,5),Job_Training[[#Headers],[Solar]:[Wind]],0)),0),0)</f>
        <v>0</v>
      </c>
    </row>
    <row r="616" spans="1:44" hidden="1" x14ac:dyDescent="0.35">
      <c r="A616" t="str">
        <f>UserInput!$B$56</f>
        <v>Max Buildout</v>
      </c>
      <c r="B616">
        <v>2030</v>
      </c>
      <c r="C616" t="s">
        <v>41</v>
      </c>
      <c r="D616" t="s">
        <v>85</v>
      </c>
      <c r="E616" s="66">
        <f>INDEX(UserInput!$C$56:$M$76,MATCH(UserMade_Scenario!B616,UserInput!$A$56:$A$76,0),MATCH(LEFT(IF(RIGHT(C616,2)="H2",UserMade_Scenario!C616,D616),3),UserInput!$C$25:$M$25,0))</f>
        <v>3529</v>
      </c>
      <c r="F616" t="s">
        <v>81</v>
      </c>
      <c r="G616" s="14">
        <f t="shared" si="182"/>
        <v>1.4877368189367109E-2</v>
      </c>
      <c r="H616" s="63">
        <f t="shared" si="172"/>
        <v>0.50796632647779438</v>
      </c>
      <c r="I616" s="63">
        <f t="shared" si="173"/>
        <v>0.4391573150776833</v>
      </c>
      <c r="J616" s="63">
        <f t="shared" si="174"/>
        <v>0.57677533374510004</v>
      </c>
      <c r="K616" s="30">
        <f>IF(OR(LEFT($D616,5)="Solar",$D616="Wind"),INDEX(Land_Use[AVG],MATCH(LEFT($D616,5),Land_Use[Tech],0)),0)*$E616</f>
        <v>0</v>
      </c>
      <c r="L616" s="30">
        <f>IF(OR(LEFT($D616,5)="Solar",$D616="Wind"),INDEX(Land_Use[MIN],MATCH(LEFT($D616,5),Land_Use[Tech],0)),0)*$E616</f>
        <v>0</v>
      </c>
      <c r="M616" s="30">
        <f>IF(OR(LEFT($D616,5)="Solar",$D616="Wind"),INDEX(Land_Use[MAX],MATCH(LEFT($D616,5),Land_Use[Tech],0)),0)*$E616</f>
        <v>0</v>
      </c>
      <c r="N616" s="15">
        <f t="shared" si="167"/>
        <v>0</v>
      </c>
      <c r="O616" s="11">
        <f t="shared" si="168"/>
        <v>0</v>
      </c>
      <c r="P616" s="11">
        <f t="shared" si="169"/>
        <v>0</v>
      </c>
      <c r="Q616" s="11">
        <f t="shared" si="170"/>
        <v>0</v>
      </c>
      <c r="R616" s="11">
        <f t="shared" si="171"/>
        <v>0</v>
      </c>
      <c r="S616" s="30">
        <f t="shared" si="175"/>
        <v>0</v>
      </c>
      <c r="T616" s="30">
        <f t="shared" si="176"/>
        <v>0</v>
      </c>
      <c r="U616" s="30">
        <f t="shared" si="177"/>
        <v>0</v>
      </c>
      <c r="V616" s="30">
        <f t="shared" si="178"/>
        <v>0</v>
      </c>
      <c r="W616" s="30">
        <f t="shared" si="179"/>
        <v>0</v>
      </c>
      <c r="X616" s="30">
        <f t="shared" si="180"/>
        <v>0</v>
      </c>
      <c r="Z616" s="23" t="s">
        <v>76</v>
      </c>
      <c r="AA616" s="40">
        <f>IF(C616="Electricity",E616*SUMIFS(Electricity!S:S,Electricity!P:P,UserMade_Scenario!B616,Electricity!M:M,UserMade_Scenario!Z616,Electricity!O:O,UserMade_Scenario!D616),"")</f>
        <v>4132805.9670690224</v>
      </c>
      <c r="AB616" s="76">
        <f>1/Assumptions!$B$23/1000000000000</f>
        <v>3.5998225679871703E-9</v>
      </c>
      <c r="AC616" s="67" t="s">
        <v>82</v>
      </c>
      <c r="AD616" s="69">
        <f>INDEX(Table11[AVG
CO2e MT per MWh],MATCH(UserMade_Scenario!$B616,Table11[[Year]:[Year]],0))</f>
        <v>-0.12291076099999998</v>
      </c>
      <c r="AE616" s="69">
        <f>INDEX(Table11[MIN
CO2e MT per MWh],MATCH(UserMade_Scenario!$B616,Table11[[Year]:[Year]],0))</f>
        <v>-0.10626129525000003</v>
      </c>
      <c r="AF616" s="69">
        <f>INDEX(Table11[MAX CO2e MT per MWh],MATCH(UserMade_Scenario!$B616,Table11[[Year]:[Year]],0))</f>
        <v>-0.13956022575000004</v>
      </c>
      <c r="AG616" s="68">
        <f>IFERROR(INDEX(WaterUseH2[Average Direct Water Consumption (Gal/ kg h2)],MATCH(LEFT(D616,3),WaterUseH2[Key],0)),0)</f>
        <v>0</v>
      </c>
      <c r="AH616">
        <v>14</v>
      </c>
      <c r="AI616">
        <v>1.4</v>
      </c>
      <c r="AJ616">
        <v>250</v>
      </c>
      <c r="AK616">
        <v>0.31</v>
      </c>
      <c r="AL616" s="63">
        <f>IFERROR(INDEX(Job_Training[[Solar]:[Wind]],MATCH(AL$1,Job_Training[[`Typical Entry Level Education`]:[`Typical Entry Level Education`]],0),MATCH(LEFT($D616,5),Job_Training[[#Headers],[Solar]:[Wind]],0)),0)</f>
        <v>0</v>
      </c>
      <c r="AM616" s="63">
        <f>IFERROR(INDEX(Job_Training[[Solar]:[Wind]],MATCH(AM$1,Job_Training[[`Typical Entry Level Education`]:[`Typical Entry Level Education`]],0),MATCH(LEFT($D616,5),Job_Training[[#Headers],[Solar]:[Wind]],0)),0)</f>
        <v>0</v>
      </c>
      <c r="AN616" s="63">
        <f>IFERROR(INDEX(Job_Training[[Solar]:[Wind]],MATCH(AN$1,Job_Training[[`Typical Entry Level Education`]:[`Typical Entry Level Education`]],0),MATCH(LEFT($D616,5),Job_Training[[#Headers],[Solar]:[Wind]],0)),0)</f>
        <v>0</v>
      </c>
      <c r="AO616" s="63">
        <f>IFERROR(INDEX(Job_Training[[Solar]:[Wind]],MATCH(AO$1,Job_Training[[`Typical Entry Level Education`]:[`Typical Entry Level Education`]],0),MATCH(LEFT($D616,5),Job_Training[[#Headers],[Solar]:[Wind]],0)),0)</f>
        <v>0</v>
      </c>
      <c r="AP616">
        <f t="shared" si="181"/>
        <v>588</v>
      </c>
      <c r="AQ616" s="63">
        <f>IF(AP616&gt;0,IFERROR(INDEX(Assumptions!$C$165:$D$165,MATCH(LEFT($D616,5),Job_Training[[#Headers],[Solar]:[Wind]],0)),0),0)</f>
        <v>0</v>
      </c>
      <c r="AR616">
        <f>IF(AP616&gt;0,IFERROR(INDEX(Assumptions!$C$166:$D$166,MATCH(LEFT($D616,5),Job_Training[[#Headers],[Solar]:[Wind]],0)),0),0)</f>
        <v>0</v>
      </c>
    </row>
    <row r="617" spans="1:44" hidden="1" x14ac:dyDescent="0.35">
      <c r="A617" t="str">
        <f>UserInput!$B$56</f>
        <v>Max Buildout</v>
      </c>
      <c r="B617">
        <v>2031</v>
      </c>
      <c r="C617" t="s">
        <v>41</v>
      </c>
      <c r="D617" t="s">
        <v>85</v>
      </c>
      <c r="E617" s="66">
        <f>INDEX(UserInput!$C$56:$M$76,MATCH(UserMade_Scenario!B617,UserInput!$A$56:$A$76,0),MATCH(LEFT(IF(RIGHT(C617,2)="H2",UserMade_Scenario!C617,D617),3),UserInput!$C$25:$M$25,0))</f>
        <v>4117</v>
      </c>
      <c r="F617" t="s">
        <v>81</v>
      </c>
      <c r="G617" s="14">
        <f t="shared" si="182"/>
        <v>1.7356226929902067E-2</v>
      </c>
      <c r="H617" s="63">
        <f t="shared" si="172"/>
        <v>0.57223811290367821</v>
      </c>
      <c r="I617" s="63">
        <f t="shared" si="173"/>
        <v>0.48746174123201536</v>
      </c>
      <c r="J617" s="63">
        <f t="shared" si="174"/>
        <v>0.65701447975393001</v>
      </c>
      <c r="K617" s="30">
        <f>IF(OR(LEFT($D617,5)="Solar",$D617="Wind"),INDEX(Land_Use[AVG],MATCH(LEFT($D617,5),Land_Use[Tech],0)),0)*$E617</f>
        <v>0</v>
      </c>
      <c r="L617" s="30">
        <f>IF(OR(LEFT($D617,5)="Solar",$D617="Wind"),INDEX(Land_Use[MIN],MATCH(LEFT($D617,5),Land_Use[Tech],0)),0)*$E617</f>
        <v>0</v>
      </c>
      <c r="M617" s="30">
        <f>IF(OR(LEFT($D617,5)="Solar",$D617="Wind"),INDEX(Land_Use[MAX],MATCH(LEFT($D617,5),Land_Use[Tech],0)),0)*$E617</f>
        <v>0</v>
      </c>
      <c r="N617" s="15">
        <f t="shared" si="167"/>
        <v>0</v>
      </c>
      <c r="O617" s="11">
        <f t="shared" si="168"/>
        <v>0</v>
      </c>
      <c r="P617" s="11">
        <f t="shared" si="169"/>
        <v>0</v>
      </c>
      <c r="Q617" s="11">
        <f t="shared" si="170"/>
        <v>0</v>
      </c>
      <c r="R617" s="11">
        <f t="shared" si="171"/>
        <v>0</v>
      </c>
      <c r="S617" s="30">
        <f t="shared" si="175"/>
        <v>0</v>
      </c>
      <c r="T617" s="30">
        <f t="shared" si="176"/>
        <v>0</v>
      </c>
      <c r="U617" s="30">
        <f t="shared" si="177"/>
        <v>0</v>
      </c>
      <c r="V617" s="30">
        <f t="shared" si="178"/>
        <v>0</v>
      </c>
      <c r="W617" s="30">
        <f t="shared" si="179"/>
        <v>0</v>
      </c>
      <c r="X617" s="30">
        <f t="shared" si="180"/>
        <v>0</v>
      </c>
      <c r="Z617" s="23" t="s">
        <v>76</v>
      </c>
      <c r="AA617" s="40">
        <f>IF(C617="Electricity",E617*SUMIFS(Electricity!S:S,Electricity!P:P,UserMade_Scenario!B617,Electricity!M:M,UserMade_Scenario!Z617,Electricity!O:O,UserMade_Scenario!D617),"")</f>
        <v>4821411.7785273921</v>
      </c>
      <c r="AB617" s="76">
        <f>1/Assumptions!$B$23/1000000000000</f>
        <v>3.5998225679871703E-9</v>
      </c>
      <c r="AC617" s="67" t="s">
        <v>82</v>
      </c>
      <c r="AD617" s="69">
        <f>INDEX(Table11[AVG
CO2e MT per MWh],MATCH(UserMade_Scenario!$B617,Table11[[Year]:[Year]],0))</f>
        <v>-0.11868683679999997</v>
      </c>
      <c r="AE617" s="69">
        <f>INDEX(Table11[MIN
CO2e MT per MWh],MATCH(UserMade_Scenario!$B617,Table11[[Year]:[Year]],0))</f>
        <v>-0.10110352810000003</v>
      </c>
      <c r="AF617" s="69">
        <f>INDEX(Table11[MAX CO2e MT per MWh],MATCH(UserMade_Scenario!$B617,Table11[[Year]:[Year]],0))</f>
        <v>-0.13627014450000005</v>
      </c>
      <c r="AG617" s="68">
        <f>IFERROR(INDEX(WaterUseH2[Average Direct Water Consumption (Gal/ kg h2)],MATCH(LEFT(D617,3),WaterUseH2[Key],0)),0)</f>
        <v>0</v>
      </c>
      <c r="AH617">
        <v>14</v>
      </c>
      <c r="AI617">
        <v>1.4</v>
      </c>
      <c r="AJ617">
        <v>250</v>
      </c>
      <c r="AK617">
        <v>0.31</v>
      </c>
      <c r="AL617" s="63">
        <f>IFERROR(INDEX(Job_Training[[Solar]:[Wind]],MATCH(AL$1,Job_Training[[`Typical Entry Level Education`]:[`Typical Entry Level Education`]],0),MATCH(LEFT($D617,5),Job_Training[[#Headers],[Solar]:[Wind]],0)),0)</f>
        <v>0</v>
      </c>
      <c r="AM617" s="63">
        <f>IFERROR(INDEX(Job_Training[[Solar]:[Wind]],MATCH(AM$1,Job_Training[[`Typical Entry Level Education`]:[`Typical Entry Level Education`]],0),MATCH(LEFT($D617,5),Job_Training[[#Headers],[Solar]:[Wind]],0)),0)</f>
        <v>0</v>
      </c>
      <c r="AN617" s="63">
        <f>IFERROR(INDEX(Job_Training[[Solar]:[Wind]],MATCH(AN$1,Job_Training[[`Typical Entry Level Education`]:[`Typical Entry Level Education`]],0),MATCH(LEFT($D617,5),Job_Training[[#Headers],[Solar]:[Wind]],0)),0)</f>
        <v>0</v>
      </c>
      <c r="AO617" s="63">
        <f>IFERROR(INDEX(Job_Training[[Solar]:[Wind]],MATCH(AO$1,Job_Training[[`Typical Entry Level Education`]:[`Typical Entry Level Education`]],0),MATCH(LEFT($D617,5),Job_Training[[#Headers],[Solar]:[Wind]],0)),0)</f>
        <v>0</v>
      </c>
      <c r="AP617">
        <f t="shared" si="181"/>
        <v>588</v>
      </c>
      <c r="AQ617" s="63">
        <f>IF(AP617&gt;0,IFERROR(INDEX(Assumptions!$C$165:$D$165,MATCH(LEFT($D617,5),Job_Training[[#Headers],[Solar]:[Wind]],0)),0),0)</f>
        <v>0</v>
      </c>
      <c r="AR617">
        <f>IF(AP617&gt;0,IFERROR(INDEX(Assumptions!$C$166:$D$166,MATCH(LEFT($D617,5),Job_Training[[#Headers],[Solar]:[Wind]],0)),0),0)</f>
        <v>0</v>
      </c>
    </row>
    <row r="618" spans="1:44" hidden="1" x14ac:dyDescent="0.35">
      <c r="A618" t="str">
        <f>UserInput!$B$56</f>
        <v>Max Buildout</v>
      </c>
      <c r="B618">
        <v>2032</v>
      </c>
      <c r="C618" t="s">
        <v>41</v>
      </c>
      <c r="D618" t="s">
        <v>85</v>
      </c>
      <c r="E618" s="66">
        <f>INDEX(UserInput!$C$56:$M$76,MATCH(UserMade_Scenario!B618,UserInput!$A$56:$A$76,0),MATCH(LEFT(IF(RIGHT(C618,2)="H2",UserMade_Scenario!C618,D618),3),UserInput!$C$25:$M$25,0))</f>
        <v>4705</v>
      </c>
      <c r="F618" t="s">
        <v>81</v>
      </c>
      <c r="G618" s="14">
        <f t="shared" si="182"/>
        <v>1.9835085670437021E-2</v>
      </c>
      <c r="H618" s="63">
        <f t="shared" si="172"/>
        <v>0.63069266182700257</v>
      </c>
      <c r="I618" s="63">
        <f t="shared" si="173"/>
        <v>0.52866283051906915</v>
      </c>
      <c r="J618" s="63">
        <f t="shared" si="174"/>
        <v>0.73272248762491943</v>
      </c>
      <c r="K618" s="30">
        <f>IF(OR(LEFT($D618,5)="Solar",$D618="Wind"),INDEX(Land_Use[AVG],MATCH(LEFT($D618,5),Land_Use[Tech],0)),0)*$E618</f>
        <v>0</v>
      </c>
      <c r="L618" s="30">
        <f>IF(OR(LEFT($D618,5)="Solar",$D618="Wind"),INDEX(Land_Use[MIN],MATCH(LEFT($D618,5),Land_Use[Tech],0)),0)*$E618</f>
        <v>0</v>
      </c>
      <c r="M618" s="30">
        <f>IF(OR(LEFT($D618,5)="Solar",$D618="Wind"),INDEX(Land_Use[MAX],MATCH(LEFT($D618,5),Land_Use[Tech],0)),0)*$E618</f>
        <v>0</v>
      </c>
      <c r="N618" s="15">
        <f t="shared" si="167"/>
        <v>0</v>
      </c>
      <c r="O618" s="11">
        <f t="shared" si="168"/>
        <v>0</v>
      </c>
      <c r="P618" s="11">
        <f t="shared" si="169"/>
        <v>0</v>
      </c>
      <c r="Q618" s="11">
        <f t="shared" si="170"/>
        <v>0</v>
      </c>
      <c r="R618" s="11">
        <f t="shared" si="171"/>
        <v>0</v>
      </c>
      <c r="S618" s="30">
        <f t="shared" si="175"/>
        <v>0</v>
      </c>
      <c r="T618" s="30">
        <f t="shared" si="176"/>
        <v>0</v>
      </c>
      <c r="U618" s="30">
        <f t="shared" si="177"/>
        <v>0</v>
      </c>
      <c r="V618" s="30">
        <f t="shared" si="178"/>
        <v>0</v>
      </c>
      <c r="W618" s="30">
        <f t="shared" si="179"/>
        <v>0</v>
      </c>
      <c r="X618" s="30">
        <f t="shared" si="180"/>
        <v>0</v>
      </c>
      <c r="Z618" s="23" t="s">
        <v>76</v>
      </c>
      <c r="AA618" s="40">
        <f>IF(C618="Electricity",E618*SUMIFS(Electricity!S:S,Electricity!P:P,UserMade_Scenario!B618,Electricity!M:M,UserMade_Scenario!Z618,Electricity!O:O,UserMade_Scenario!D618),"")</f>
        <v>5510017.5899857609</v>
      </c>
      <c r="AB618" s="76">
        <f>1/Assumptions!$B$23/1000000000000</f>
        <v>3.5998225679871703E-9</v>
      </c>
      <c r="AC618" s="67" t="s">
        <v>82</v>
      </c>
      <c r="AD618" s="69">
        <f>INDEX(Table11[AVG
CO2e MT per MWh],MATCH(UserMade_Scenario!$B618,Table11[[Year]:[Year]],0))</f>
        <v>-0.11446291259999997</v>
      </c>
      <c r="AE618" s="69">
        <f>INDEX(Table11[MIN
CO2e MT per MWh],MATCH(UserMade_Scenario!$B618,Table11[[Year]:[Year]],0))</f>
        <v>-9.5945760950000042E-2</v>
      </c>
      <c r="AF618" s="69">
        <f>INDEX(Table11[MAX CO2e MT per MWh],MATCH(UserMade_Scenario!$B618,Table11[[Year]:[Year]],0))</f>
        <v>-0.13298006325000006</v>
      </c>
      <c r="AG618" s="68">
        <f>IFERROR(INDEX(WaterUseH2[Average Direct Water Consumption (Gal/ kg h2)],MATCH(LEFT(D618,3),WaterUseH2[Key],0)),0)</f>
        <v>0</v>
      </c>
      <c r="AH618">
        <v>14</v>
      </c>
      <c r="AI618">
        <v>1.4</v>
      </c>
      <c r="AJ618">
        <v>250</v>
      </c>
      <c r="AK618">
        <v>0.31</v>
      </c>
      <c r="AL618" s="63">
        <f>IFERROR(INDEX(Job_Training[[Solar]:[Wind]],MATCH(AL$1,Job_Training[[`Typical Entry Level Education`]:[`Typical Entry Level Education`]],0),MATCH(LEFT($D618,5),Job_Training[[#Headers],[Solar]:[Wind]],0)),0)</f>
        <v>0</v>
      </c>
      <c r="AM618" s="63">
        <f>IFERROR(INDEX(Job_Training[[Solar]:[Wind]],MATCH(AM$1,Job_Training[[`Typical Entry Level Education`]:[`Typical Entry Level Education`]],0),MATCH(LEFT($D618,5),Job_Training[[#Headers],[Solar]:[Wind]],0)),0)</f>
        <v>0</v>
      </c>
      <c r="AN618" s="63">
        <f>IFERROR(INDEX(Job_Training[[Solar]:[Wind]],MATCH(AN$1,Job_Training[[`Typical Entry Level Education`]:[`Typical Entry Level Education`]],0),MATCH(LEFT($D618,5),Job_Training[[#Headers],[Solar]:[Wind]],0)),0)</f>
        <v>0</v>
      </c>
      <c r="AO618" s="63">
        <f>IFERROR(INDEX(Job_Training[[Solar]:[Wind]],MATCH(AO$1,Job_Training[[`Typical Entry Level Education`]:[`Typical Entry Level Education`]],0),MATCH(LEFT($D618,5),Job_Training[[#Headers],[Solar]:[Wind]],0)),0)</f>
        <v>0</v>
      </c>
      <c r="AP618">
        <f t="shared" si="181"/>
        <v>588</v>
      </c>
      <c r="AQ618" s="63">
        <f>IF(AP618&gt;0,IFERROR(INDEX(Assumptions!$C$165:$D$165,MATCH(LEFT($D618,5),Job_Training[[#Headers],[Solar]:[Wind]],0)),0),0)</f>
        <v>0</v>
      </c>
      <c r="AR618">
        <f>IF(AP618&gt;0,IFERROR(INDEX(Assumptions!$C$166:$D$166,MATCH(LEFT($D618,5),Job_Training[[#Headers],[Solar]:[Wind]],0)),0),0)</f>
        <v>0</v>
      </c>
    </row>
    <row r="619" spans="1:44" hidden="1" x14ac:dyDescent="0.35">
      <c r="A619" t="str">
        <f>UserInput!$B$56</f>
        <v>Max Buildout</v>
      </c>
      <c r="B619">
        <v>2033</v>
      </c>
      <c r="C619" t="s">
        <v>41</v>
      </c>
      <c r="D619" t="s">
        <v>85</v>
      </c>
      <c r="E619" s="66">
        <f>INDEX(UserInput!$C$56:$M$76,MATCH(UserMade_Scenario!B619,UserInput!$A$56:$A$76,0),MATCH(LEFT(IF(RIGHT(C619,2)="H2",UserMade_Scenario!C619,D619),3),UserInput!$C$25:$M$25,0))</f>
        <v>5293</v>
      </c>
      <c r="F619" t="s">
        <v>81</v>
      </c>
      <c r="G619" s="14">
        <f t="shared" si="182"/>
        <v>2.2313944410971977E-2</v>
      </c>
      <c r="H619" s="63">
        <f t="shared" si="172"/>
        <v>0.68332997324776779</v>
      </c>
      <c r="I619" s="63">
        <f t="shared" si="173"/>
        <v>0.56276058293884501</v>
      </c>
      <c r="J619" s="63">
        <f t="shared" si="174"/>
        <v>0.8038993573580685</v>
      </c>
      <c r="K619" s="30">
        <f>IF(OR(LEFT($D619,5)="Solar",$D619="Wind"),INDEX(Land_Use[AVG],MATCH(LEFT($D619,5),Land_Use[Tech],0)),0)*$E619</f>
        <v>0</v>
      </c>
      <c r="L619" s="30">
        <f>IF(OR(LEFT($D619,5)="Solar",$D619="Wind"),INDEX(Land_Use[MIN],MATCH(LEFT($D619,5),Land_Use[Tech],0)),0)*$E619</f>
        <v>0</v>
      </c>
      <c r="M619" s="30">
        <f>IF(OR(LEFT($D619,5)="Solar",$D619="Wind"),INDEX(Land_Use[MAX],MATCH(LEFT($D619,5),Land_Use[Tech],0)),0)*$E619</f>
        <v>0</v>
      </c>
      <c r="N619" s="15">
        <f t="shared" si="167"/>
        <v>0</v>
      </c>
      <c r="O619" s="11">
        <f t="shared" si="168"/>
        <v>0</v>
      </c>
      <c r="P619" s="11">
        <f t="shared" si="169"/>
        <v>0</v>
      </c>
      <c r="Q619" s="11">
        <f t="shared" si="170"/>
        <v>0</v>
      </c>
      <c r="R619" s="11">
        <f t="shared" si="171"/>
        <v>0</v>
      </c>
      <c r="S619" s="30">
        <f t="shared" si="175"/>
        <v>0</v>
      </c>
      <c r="T619" s="30">
        <f t="shared" si="176"/>
        <v>0</v>
      </c>
      <c r="U619" s="30">
        <f t="shared" si="177"/>
        <v>0</v>
      </c>
      <c r="V619" s="30">
        <f t="shared" si="178"/>
        <v>0</v>
      </c>
      <c r="W619" s="30">
        <f t="shared" si="179"/>
        <v>0</v>
      </c>
      <c r="X619" s="30">
        <f t="shared" si="180"/>
        <v>0</v>
      </c>
      <c r="Z619" s="23" t="s">
        <v>76</v>
      </c>
      <c r="AA619" s="40">
        <f>IF(C619="Electricity",E619*SUMIFS(Electricity!S:S,Electricity!P:P,UserMade_Scenario!B619,Electricity!M:M,UserMade_Scenario!Z619,Electricity!O:O,UserMade_Scenario!D619),"")</f>
        <v>6198623.4014441306</v>
      </c>
      <c r="AB619" s="76">
        <f>1/Assumptions!$B$23/1000000000000</f>
        <v>3.5998225679871703E-9</v>
      </c>
      <c r="AC619" s="67" t="s">
        <v>82</v>
      </c>
      <c r="AD619" s="69">
        <f>INDEX(Table11[AVG
CO2e MT per MWh],MATCH(UserMade_Scenario!$B619,Table11[[Year]:[Year]],0))</f>
        <v>-0.11023898839999996</v>
      </c>
      <c r="AE619" s="69">
        <f>INDEX(Table11[MIN
CO2e MT per MWh],MATCH(UserMade_Scenario!$B619,Table11[[Year]:[Year]],0))</f>
        <v>-9.078799380000005E-2</v>
      </c>
      <c r="AF619" s="69">
        <f>INDEX(Table11[MAX CO2e MT per MWh],MATCH(UserMade_Scenario!$B619,Table11[[Year]:[Year]],0))</f>
        <v>-0.12968998200000006</v>
      </c>
      <c r="AG619" s="68">
        <f>IFERROR(INDEX(WaterUseH2[Average Direct Water Consumption (Gal/ kg h2)],MATCH(LEFT(D619,3),WaterUseH2[Key],0)),0)</f>
        <v>0</v>
      </c>
      <c r="AH619">
        <v>14</v>
      </c>
      <c r="AI619">
        <v>1.4</v>
      </c>
      <c r="AJ619">
        <v>250</v>
      </c>
      <c r="AK619">
        <v>0.31</v>
      </c>
      <c r="AL619" s="63">
        <f>IFERROR(INDEX(Job_Training[[Solar]:[Wind]],MATCH(AL$1,Job_Training[[`Typical Entry Level Education`]:[`Typical Entry Level Education`]],0),MATCH(LEFT($D619,5),Job_Training[[#Headers],[Solar]:[Wind]],0)),0)</f>
        <v>0</v>
      </c>
      <c r="AM619" s="63">
        <f>IFERROR(INDEX(Job_Training[[Solar]:[Wind]],MATCH(AM$1,Job_Training[[`Typical Entry Level Education`]:[`Typical Entry Level Education`]],0),MATCH(LEFT($D619,5),Job_Training[[#Headers],[Solar]:[Wind]],0)),0)</f>
        <v>0</v>
      </c>
      <c r="AN619" s="63">
        <f>IFERROR(INDEX(Job_Training[[Solar]:[Wind]],MATCH(AN$1,Job_Training[[`Typical Entry Level Education`]:[`Typical Entry Level Education`]],0),MATCH(LEFT($D619,5),Job_Training[[#Headers],[Solar]:[Wind]],0)),0)</f>
        <v>0</v>
      </c>
      <c r="AO619" s="63">
        <f>IFERROR(INDEX(Job_Training[[Solar]:[Wind]],MATCH(AO$1,Job_Training[[`Typical Entry Level Education`]:[`Typical Entry Level Education`]],0),MATCH(LEFT($D619,5),Job_Training[[#Headers],[Solar]:[Wind]],0)),0)</f>
        <v>0</v>
      </c>
      <c r="AP619">
        <f t="shared" si="181"/>
        <v>588</v>
      </c>
      <c r="AQ619" s="63">
        <f>IF(AP619&gt;0,IFERROR(INDEX(Assumptions!$C$165:$D$165,MATCH(LEFT($D619,5),Job_Training[[#Headers],[Solar]:[Wind]],0)),0),0)</f>
        <v>0</v>
      </c>
      <c r="AR619">
        <f>IF(AP619&gt;0,IFERROR(INDEX(Assumptions!$C$166:$D$166,MATCH(LEFT($D619,5),Job_Training[[#Headers],[Solar]:[Wind]],0)),0),0)</f>
        <v>0</v>
      </c>
    </row>
    <row r="620" spans="1:44" hidden="1" x14ac:dyDescent="0.35">
      <c r="A620" t="str">
        <f>UserInput!$B$56</f>
        <v>Max Buildout</v>
      </c>
      <c r="B620">
        <v>2034</v>
      </c>
      <c r="C620" t="s">
        <v>41</v>
      </c>
      <c r="D620" t="s">
        <v>85</v>
      </c>
      <c r="E620" s="66">
        <f>INDEX(UserInput!$C$56:$M$76,MATCH(UserMade_Scenario!B620,UserInput!$A$56:$A$76,0),MATCH(LEFT(IF(RIGHT(C620,2)="H2",UserMade_Scenario!C620,D620),3),UserInput!$C$25:$M$25,0))</f>
        <v>5881</v>
      </c>
      <c r="F620" t="s">
        <v>81</v>
      </c>
      <c r="G620" s="14">
        <f t="shared" si="182"/>
        <v>2.4792803151506934E-2</v>
      </c>
      <c r="H620" s="63">
        <f t="shared" si="172"/>
        <v>0.73015004716597365</v>
      </c>
      <c r="I620" s="63">
        <f t="shared" si="173"/>
        <v>0.5897549984913425</v>
      </c>
      <c r="J620" s="63">
        <f t="shared" si="174"/>
        <v>0.87054508895337712</v>
      </c>
      <c r="K620" s="30">
        <f>IF(OR(LEFT($D620,5)="Solar",$D620="Wind"),INDEX(Land_Use[AVG],MATCH(LEFT($D620,5),Land_Use[Tech],0)),0)*$E620</f>
        <v>0</v>
      </c>
      <c r="L620" s="30">
        <f>IF(OR(LEFT($D620,5)="Solar",$D620="Wind"),INDEX(Land_Use[MIN],MATCH(LEFT($D620,5),Land_Use[Tech],0)),0)*$E620</f>
        <v>0</v>
      </c>
      <c r="M620" s="30">
        <f>IF(OR(LEFT($D620,5)="Solar",$D620="Wind"),INDEX(Land_Use[MAX],MATCH(LEFT($D620,5),Land_Use[Tech],0)),0)*$E620</f>
        <v>0</v>
      </c>
      <c r="N620" s="15">
        <f t="shared" si="167"/>
        <v>0</v>
      </c>
      <c r="O620" s="11">
        <f t="shared" si="168"/>
        <v>0</v>
      </c>
      <c r="P620" s="11">
        <f t="shared" si="169"/>
        <v>0</v>
      </c>
      <c r="Q620" s="11">
        <f t="shared" si="170"/>
        <v>0</v>
      </c>
      <c r="R620" s="11">
        <f t="shared" si="171"/>
        <v>0</v>
      </c>
      <c r="S620" s="30">
        <f t="shared" si="175"/>
        <v>0</v>
      </c>
      <c r="T620" s="30">
        <f t="shared" si="176"/>
        <v>0</v>
      </c>
      <c r="U620" s="30">
        <f t="shared" si="177"/>
        <v>0</v>
      </c>
      <c r="V620" s="30">
        <f t="shared" si="178"/>
        <v>0</v>
      </c>
      <c r="W620" s="30">
        <f t="shared" si="179"/>
        <v>0</v>
      </c>
      <c r="X620" s="30">
        <f t="shared" si="180"/>
        <v>0</v>
      </c>
      <c r="Z620" s="23" t="s">
        <v>76</v>
      </c>
      <c r="AA620" s="40">
        <f>IF(C620="Electricity",E620*SUMIFS(Electricity!S:S,Electricity!P:P,UserMade_Scenario!B620,Electricity!M:M,UserMade_Scenario!Z620,Electricity!O:O,UserMade_Scenario!D620),"")</f>
        <v>6887229.2129024994</v>
      </c>
      <c r="AB620" s="76">
        <f>1/Assumptions!$B$23/1000000000000</f>
        <v>3.5998225679871703E-9</v>
      </c>
      <c r="AC620" s="67" t="s">
        <v>82</v>
      </c>
      <c r="AD620" s="69">
        <f>INDEX(Table11[AVG
CO2e MT per MWh],MATCH(UserMade_Scenario!$B620,Table11[[Year]:[Year]],0))</f>
        <v>-0.10601506419999995</v>
      </c>
      <c r="AE620" s="69">
        <f>INDEX(Table11[MIN
CO2e MT per MWh],MATCH(UserMade_Scenario!$B620,Table11[[Year]:[Year]],0))</f>
        <v>-8.5630226650000058E-2</v>
      </c>
      <c r="AF620" s="69">
        <f>INDEX(Table11[MAX CO2e MT per MWh],MATCH(UserMade_Scenario!$B620,Table11[[Year]:[Year]],0))</f>
        <v>-0.12639990075000007</v>
      </c>
      <c r="AG620" s="68">
        <f>IFERROR(INDEX(WaterUseH2[Average Direct Water Consumption (Gal/ kg h2)],MATCH(LEFT(D620,3),WaterUseH2[Key],0)),0)</f>
        <v>0</v>
      </c>
      <c r="AH620">
        <v>14</v>
      </c>
      <c r="AI620">
        <v>1.4</v>
      </c>
      <c r="AJ620">
        <v>250</v>
      </c>
      <c r="AK620">
        <v>0.31</v>
      </c>
      <c r="AL620" s="63">
        <f>IFERROR(INDEX(Job_Training[[Solar]:[Wind]],MATCH(AL$1,Job_Training[[`Typical Entry Level Education`]:[`Typical Entry Level Education`]],0),MATCH(LEFT($D620,5),Job_Training[[#Headers],[Solar]:[Wind]],0)),0)</f>
        <v>0</v>
      </c>
      <c r="AM620" s="63">
        <f>IFERROR(INDEX(Job_Training[[Solar]:[Wind]],MATCH(AM$1,Job_Training[[`Typical Entry Level Education`]:[`Typical Entry Level Education`]],0),MATCH(LEFT($D620,5),Job_Training[[#Headers],[Solar]:[Wind]],0)),0)</f>
        <v>0</v>
      </c>
      <c r="AN620" s="63">
        <f>IFERROR(INDEX(Job_Training[[Solar]:[Wind]],MATCH(AN$1,Job_Training[[`Typical Entry Level Education`]:[`Typical Entry Level Education`]],0),MATCH(LEFT($D620,5),Job_Training[[#Headers],[Solar]:[Wind]],0)),0)</f>
        <v>0</v>
      </c>
      <c r="AO620" s="63">
        <f>IFERROR(INDEX(Job_Training[[Solar]:[Wind]],MATCH(AO$1,Job_Training[[`Typical Entry Level Education`]:[`Typical Entry Level Education`]],0),MATCH(LEFT($D620,5),Job_Training[[#Headers],[Solar]:[Wind]],0)),0)</f>
        <v>0</v>
      </c>
      <c r="AP620">
        <f t="shared" si="181"/>
        <v>588</v>
      </c>
      <c r="AQ620" s="63">
        <f>IF(AP620&gt;0,IFERROR(INDEX(Assumptions!$C$165:$D$165,MATCH(LEFT($D620,5),Job_Training[[#Headers],[Solar]:[Wind]],0)),0),0)</f>
        <v>0</v>
      </c>
      <c r="AR620">
        <f>IF(AP620&gt;0,IFERROR(INDEX(Assumptions!$C$166:$D$166,MATCH(LEFT($D620,5),Job_Training[[#Headers],[Solar]:[Wind]],0)),0),0)</f>
        <v>0</v>
      </c>
    </row>
    <row r="621" spans="1:44" hidden="1" x14ac:dyDescent="0.35">
      <c r="A621" t="str">
        <f>UserInput!$B$56</f>
        <v>Max Buildout</v>
      </c>
      <c r="B621">
        <v>2035</v>
      </c>
      <c r="C621" t="s">
        <v>41</v>
      </c>
      <c r="D621" t="s">
        <v>85</v>
      </c>
      <c r="E621" s="66">
        <f>INDEX(UserInput!$C$56:$M$76,MATCH(UserMade_Scenario!B621,UserInput!$A$56:$A$76,0),MATCH(LEFT(IF(RIGHT(C621,2)="H2",UserMade_Scenario!C621,D621),3),UserInput!$C$25:$M$25,0))</f>
        <v>6470</v>
      </c>
      <c r="F621" t="s">
        <v>81</v>
      </c>
      <c r="G621" s="14">
        <f t="shared" si="182"/>
        <v>2.7275877638199265E-2</v>
      </c>
      <c r="H621" s="63">
        <f t="shared" si="172"/>
        <v>0.77127209101454364</v>
      </c>
      <c r="I621" s="63">
        <f t="shared" si="173"/>
        <v>0.60974031833859277</v>
      </c>
      <c r="J621" s="63">
        <f t="shared" si="174"/>
        <v>0.93280385611349026</v>
      </c>
      <c r="K621" s="30">
        <f>IF(OR(LEFT($D621,5)="Solar",$D621="Wind"),INDEX(Land_Use[AVG],MATCH(LEFT($D621,5),Land_Use[Tech],0)),0)*$E621</f>
        <v>0</v>
      </c>
      <c r="L621" s="30">
        <f>IF(OR(LEFT($D621,5)="Solar",$D621="Wind"),INDEX(Land_Use[MIN],MATCH(LEFT($D621,5),Land_Use[Tech],0)),0)*$E621</f>
        <v>0</v>
      </c>
      <c r="M621" s="30">
        <f>IF(OR(LEFT($D621,5)="Solar",$D621="Wind"),INDEX(Land_Use[MAX],MATCH(LEFT($D621,5),Land_Use[Tech],0)),0)*$E621</f>
        <v>0</v>
      </c>
      <c r="N621" s="15">
        <f t="shared" si="167"/>
        <v>0</v>
      </c>
      <c r="O621" s="11">
        <f t="shared" si="168"/>
        <v>0</v>
      </c>
      <c r="P621" s="11">
        <f t="shared" si="169"/>
        <v>0</v>
      </c>
      <c r="Q621" s="11">
        <f t="shared" si="170"/>
        <v>0</v>
      </c>
      <c r="R621" s="11">
        <f t="shared" si="171"/>
        <v>0</v>
      </c>
      <c r="S621" s="30">
        <f t="shared" si="175"/>
        <v>0</v>
      </c>
      <c r="T621" s="30">
        <f t="shared" si="176"/>
        <v>0</v>
      </c>
      <c r="U621" s="30">
        <f t="shared" si="177"/>
        <v>0</v>
      </c>
      <c r="V621" s="30">
        <f t="shared" si="178"/>
        <v>0</v>
      </c>
      <c r="W621" s="30">
        <f t="shared" si="179"/>
        <v>0</v>
      </c>
      <c r="X621" s="30">
        <f t="shared" si="180"/>
        <v>0</v>
      </c>
      <c r="Z621" s="23" t="s">
        <v>76</v>
      </c>
      <c r="AA621" s="40">
        <f>IF(C621="Electricity",E621*SUMIFS(Electricity!S:S,Electricity!P:P,UserMade_Scenario!B621,Electricity!M:M,UserMade_Scenario!Z621,Electricity!O:O,UserMade_Scenario!D621),"")</f>
        <v>7577006.1226796759</v>
      </c>
      <c r="AB621" s="76">
        <f>1/Assumptions!$B$23/1000000000000</f>
        <v>3.5998225679871703E-9</v>
      </c>
      <c r="AC621" s="67" t="s">
        <v>82</v>
      </c>
      <c r="AD621" s="69">
        <f>INDEX(Table11[AVG
CO2e MT per MWh],MATCH(UserMade_Scenario!$B621,Table11[[Year]:[Year]],0))</f>
        <v>-0.10179113999999995</v>
      </c>
      <c r="AE621" s="69">
        <f>INDEX(Table11[MIN
CO2e MT per MWh],MATCH(UserMade_Scenario!$B621,Table11[[Year]:[Year]],0))</f>
        <v>-8.0472459500000065E-2</v>
      </c>
      <c r="AF621" s="69">
        <f>INDEX(Table11[MAX CO2e MT per MWh],MATCH(UserMade_Scenario!$B621,Table11[[Year]:[Year]],0))</f>
        <v>-0.12310981950000006</v>
      </c>
      <c r="AG621" s="68">
        <f>IFERROR(INDEX(WaterUseH2[Average Direct Water Consumption (Gal/ kg h2)],MATCH(LEFT(D621,3),WaterUseH2[Key],0)),0)</f>
        <v>0</v>
      </c>
      <c r="AH621">
        <v>14</v>
      </c>
      <c r="AI621">
        <v>1.4</v>
      </c>
      <c r="AJ621">
        <v>250</v>
      </c>
      <c r="AK621">
        <v>0.31</v>
      </c>
      <c r="AL621" s="63">
        <f>IFERROR(INDEX(Job_Training[[Solar]:[Wind]],MATCH(AL$1,Job_Training[[`Typical Entry Level Education`]:[`Typical Entry Level Education`]],0),MATCH(LEFT($D621,5),Job_Training[[#Headers],[Solar]:[Wind]],0)),0)</f>
        <v>0</v>
      </c>
      <c r="AM621" s="63">
        <f>IFERROR(INDEX(Job_Training[[Solar]:[Wind]],MATCH(AM$1,Job_Training[[`Typical Entry Level Education`]:[`Typical Entry Level Education`]],0),MATCH(LEFT($D621,5),Job_Training[[#Headers],[Solar]:[Wind]],0)),0)</f>
        <v>0</v>
      </c>
      <c r="AN621" s="63">
        <f>IFERROR(INDEX(Job_Training[[Solar]:[Wind]],MATCH(AN$1,Job_Training[[`Typical Entry Level Education`]:[`Typical Entry Level Education`]],0),MATCH(LEFT($D621,5),Job_Training[[#Headers],[Solar]:[Wind]],0)),0)</f>
        <v>0</v>
      </c>
      <c r="AO621" s="63">
        <f>IFERROR(INDEX(Job_Training[[Solar]:[Wind]],MATCH(AO$1,Job_Training[[`Typical Entry Level Education`]:[`Typical Entry Level Education`]],0),MATCH(LEFT($D621,5),Job_Training[[#Headers],[Solar]:[Wind]],0)),0)</f>
        <v>0</v>
      </c>
      <c r="AP621">
        <f t="shared" si="181"/>
        <v>589</v>
      </c>
      <c r="AQ621" s="63">
        <f>IF(AP621&gt;0,IFERROR(INDEX(Assumptions!$C$165:$D$165,MATCH(LEFT($D621,5),Job_Training[[#Headers],[Solar]:[Wind]],0)),0),0)</f>
        <v>0</v>
      </c>
      <c r="AR621">
        <f>IF(AP621&gt;0,IFERROR(INDEX(Assumptions!$C$166:$D$166,MATCH(LEFT($D621,5),Job_Training[[#Headers],[Solar]:[Wind]],0)),0),0)</f>
        <v>0</v>
      </c>
    </row>
    <row r="622" spans="1:44" hidden="1" x14ac:dyDescent="0.35">
      <c r="A622" t="str">
        <f>UserInput!$B$56</f>
        <v>Max Buildout</v>
      </c>
      <c r="B622">
        <v>2036</v>
      </c>
      <c r="C622" t="s">
        <v>41</v>
      </c>
      <c r="D622" t="s">
        <v>85</v>
      </c>
      <c r="E622" s="66">
        <f>INDEX(UserInput!$C$56:$M$76,MATCH(UserMade_Scenario!B622,UserInput!$A$56:$A$76,0),MATCH(LEFT(IF(RIGHT(C622,2)="H2",UserMade_Scenario!C622,D622),3),UserInput!$C$25:$M$25,0))</f>
        <v>7058</v>
      </c>
      <c r="F622" t="s">
        <v>81</v>
      </c>
      <c r="G622" s="14">
        <f t="shared" si="182"/>
        <v>2.9754736378734218E-2</v>
      </c>
      <c r="H622" s="63">
        <f t="shared" si="172"/>
        <v>0.80645274329710148</v>
      </c>
      <c r="I622" s="63">
        <f t="shared" si="173"/>
        <v>0.62252201990409595</v>
      </c>
      <c r="J622" s="63">
        <f t="shared" si="174"/>
        <v>0.99038345842449726</v>
      </c>
      <c r="K622" s="30">
        <f>IF(OR(LEFT($D622,5)="Solar",$D622="Wind"),INDEX(Land_Use[AVG],MATCH(LEFT($D622,5),Land_Use[Tech],0)),0)*$E622</f>
        <v>0</v>
      </c>
      <c r="L622" s="30">
        <f>IF(OR(LEFT($D622,5)="Solar",$D622="Wind"),INDEX(Land_Use[MIN],MATCH(LEFT($D622,5),Land_Use[Tech],0)),0)*$E622</f>
        <v>0</v>
      </c>
      <c r="M622" s="30">
        <f>IF(OR(LEFT($D622,5)="Solar",$D622="Wind"),INDEX(Land_Use[MAX],MATCH(LEFT($D622,5),Land_Use[Tech],0)),0)*$E622</f>
        <v>0</v>
      </c>
      <c r="N622" s="15">
        <f t="shared" si="167"/>
        <v>0</v>
      </c>
      <c r="O622" s="11">
        <f t="shared" si="168"/>
        <v>0</v>
      </c>
      <c r="P622" s="11">
        <f t="shared" si="169"/>
        <v>0</v>
      </c>
      <c r="Q622" s="11">
        <f t="shared" si="170"/>
        <v>0</v>
      </c>
      <c r="R622" s="11">
        <f t="shared" si="171"/>
        <v>0</v>
      </c>
      <c r="S622" s="30">
        <f t="shared" si="175"/>
        <v>0</v>
      </c>
      <c r="T622" s="30">
        <f t="shared" si="176"/>
        <v>0</v>
      </c>
      <c r="U622" s="30">
        <f t="shared" si="177"/>
        <v>0</v>
      </c>
      <c r="V622" s="30">
        <f t="shared" si="178"/>
        <v>0</v>
      </c>
      <c r="W622" s="30">
        <f t="shared" si="179"/>
        <v>0</v>
      </c>
      <c r="X622" s="30">
        <f t="shared" si="180"/>
        <v>0</v>
      </c>
      <c r="Z622" s="23" t="s">
        <v>76</v>
      </c>
      <c r="AA622" s="40">
        <f>IF(C622="Electricity",E622*SUMIFS(Electricity!S:S,Electricity!P:P,UserMade_Scenario!B622,Electricity!M:M,UserMade_Scenario!Z622,Electricity!O:O,UserMade_Scenario!D622),"")</f>
        <v>8265611.9341380447</v>
      </c>
      <c r="AB622" s="76">
        <f>1/Assumptions!$B$23/1000000000000</f>
        <v>3.5998225679871703E-9</v>
      </c>
      <c r="AC622" s="67" t="s">
        <v>82</v>
      </c>
      <c r="AD622" s="69">
        <f>INDEX(Table11[AVG
CO2e MT per MWh],MATCH(UserMade_Scenario!$B622,Table11[[Year]:[Year]],0))</f>
        <v>-9.756721579999994E-2</v>
      </c>
      <c r="AE622" s="69">
        <f>INDEX(Table11[MIN
CO2e MT per MWh],MATCH(UserMade_Scenario!$B622,Table11[[Year]:[Year]],0))</f>
        <v>-7.5314692350000073E-2</v>
      </c>
      <c r="AF622" s="69">
        <f>INDEX(Table11[MAX CO2e MT per MWh],MATCH(UserMade_Scenario!$B622,Table11[[Year]:[Year]],0))</f>
        <v>-0.11981973825000006</v>
      </c>
      <c r="AG622" s="68">
        <f>IFERROR(INDEX(WaterUseH2[Average Direct Water Consumption (Gal/ kg h2)],MATCH(LEFT(D622,3),WaterUseH2[Key],0)),0)</f>
        <v>0</v>
      </c>
      <c r="AH622">
        <v>14</v>
      </c>
      <c r="AI622">
        <v>1.4</v>
      </c>
      <c r="AJ622">
        <v>250</v>
      </c>
      <c r="AK622">
        <v>0.31</v>
      </c>
      <c r="AL622" s="63">
        <f>IFERROR(INDEX(Job_Training[[Solar]:[Wind]],MATCH(AL$1,Job_Training[[`Typical Entry Level Education`]:[`Typical Entry Level Education`]],0),MATCH(LEFT($D622,5),Job_Training[[#Headers],[Solar]:[Wind]],0)),0)</f>
        <v>0</v>
      </c>
      <c r="AM622" s="63">
        <f>IFERROR(INDEX(Job_Training[[Solar]:[Wind]],MATCH(AM$1,Job_Training[[`Typical Entry Level Education`]:[`Typical Entry Level Education`]],0),MATCH(LEFT($D622,5),Job_Training[[#Headers],[Solar]:[Wind]],0)),0)</f>
        <v>0</v>
      </c>
      <c r="AN622" s="63">
        <f>IFERROR(INDEX(Job_Training[[Solar]:[Wind]],MATCH(AN$1,Job_Training[[`Typical Entry Level Education`]:[`Typical Entry Level Education`]],0),MATCH(LEFT($D622,5),Job_Training[[#Headers],[Solar]:[Wind]],0)),0)</f>
        <v>0</v>
      </c>
      <c r="AO622" s="63">
        <f>IFERROR(INDEX(Job_Training[[Solar]:[Wind]],MATCH(AO$1,Job_Training[[`Typical Entry Level Education`]:[`Typical Entry Level Education`]],0),MATCH(LEFT($D622,5),Job_Training[[#Headers],[Solar]:[Wind]],0)),0)</f>
        <v>0</v>
      </c>
      <c r="AP622">
        <f t="shared" si="181"/>
        <v>588</v>
      </c>
      <c r="AQ622" s="63">
        <f>IF(AP622&gt;0,IFERROR(INDEX(Assumptions!$C$165:$D$165,MATCH(LEFT($D622,5),Job_Training[[#Headers],[Solar]:[Wind]],0)),0),0)</f>
        <v>0</v>
      </c>
      <c r="AR622">
        <f>IF(AP622&gt;0,IFERROR(INDEX(Assumptions!$C$166:$D$166,MATCH(LEFT($D622,5),Job_Training[[#Headers],[Solar]:[Wind]],0)),0),0)</f>
        <v>0</v>
      </c>
    </row>
    <row r="623" spans="1:44" hidden="1" x14ac:dyDescent="0.35">
      <c r="A623" t="str">
        <f>UserInput!$B$56</f>
        <v>Max Buildout</v>
      </c>
      <c r="B623">
        <v>2037</v>
      </c>
      <c r="C623" t="s">
        <v>41</v>
      </c>
      <c r="D623" t="s">
        <v>85</v>
      </c>
      <c r="E623" s="66">
        <f>INDEX(UserInput!$C$56:$M$76,MATCH(UserMade_Scenario!B623,UserInput!$A$56:$A$76,0),MATCH(LEFT(IF(RIGHT(C623,2)="H2",UserMade_Scenario!C623,D623),3),UserInput!$C$25:$M$25,0))</f>
        <v>7646</v>
      </c>
      <c r="F623" t="s">
        <v>81</v>
      </c>
      <c r="G623" s="14">
        <f t="shared" si="182"/>
        <v>3.2233595119269175E-2</v>
      </c>
      <c r="H623" s="63">
        <f t="shared" si="172"/>
        <v>0.83581615807710019</v>
      </c>
      <c r="I623" s="63">
        <f t="shared" si="173"/>
        <v>0.62820038460232097</v>
      </c>
      <c r="J623" s="63">
        <f t="shared" si="174"/>
        <v>1.0434319225976638</v>
      </c>
      <c r="K623" s="30">
        <f>IF(OR(LEFT($D623,5)="Solar",$D623="Wind"),INDEX(Land_Use[AVG],MATCH(LEFT($D623,5),Land_Use[Tech],0)),0)*$E623</f>
        <v>0</v>
      </c>
      <c r="L623" s="30">
        <f>IF(OR(LEFT($D623,5)="Solar",$D623="Wind"),INDEX(Land_Use[MIN],MATCH(LEFT($D623,5),Land_Use[Tech],0)),0)*$E623</f>
        <v>0</v>
      </c>
      <c r="M623" s="30">
        <f>IF(OR(LEFT($D623,5)="Solar",$D623="Wind"),INDEX(Land_Use[MAX],MATCH(LEFT($D623,5),Land_Use[Tech],0)),0)*$E623</f>
        <v>0</v>
      </c>
      <c r="N623" s="15">
        <f t="shared" si="167"/>
        <v>0</v>
      </c>
      <c r="O623" s="11">
        <f t="shared" si="168"/>
        <v>0</v>
      </c>
      <c r="P623" s="11">
        <f t="shared" si="169"/>
        <v>0</v>
      </c>
      <c r="Q623" s="11">
        <f t="shared" si="170"/>
        <v>0</v>
      </c>
      <c r="R623" s="11">
        <f t="shared" si="171"/>
        <v>0</v>
      </c>
      <c r="S623" s="30">
        <f t="shared" si="175"/>
        <v>0</v>
      </c>
      <c r="T623" s="30">
        <f t="shared" si="176"/>
        <v>0</v>
      </c>
      <c r="U623" s="30">
        <f t="shared" si="177"/>
        <v>0</v>
      </c>
      <c r="V623" s="30">
        <f t="shared" si="178"/>
        <v>0</v>
      </c>
      <c r="W623" s="30">
        <f t="shared" si="179"/>
        <v>0</v>
      </c>
      <c r="X623" s="30">
        <f t="shared" si="180"/>
        <v>0</v>
      </c>
      <c r="Z623" s="23" t="s">
        <v>76</v>
      </c>
      <c r="AA623" s="40">
        <f>IF(C623="Electricity",E623*SUMIFS(Electricity!S:S,Electricity!P:P,UserMade_Scenario!B623,Electricity!M:M,UserMade_Scenario!Z623,Electricity!O:O,UserMade_Scenario!D623),"")</f>
        <v>8954217.7455964144</v>
      </c>
      <c r="AB623" s="76">
        <f>1/Assumptions!$B$23/1000000000000</f>
        <v>3.5998225679871703E-9</v>
      </c>
      <c r="AC623" s="67" t="s">
        <v>82</v>
      </c>
      <c r="AD623" s="69">
        <f>INDEX(Table11[AVG
CO2e MT per MWh],MATCH(UserMade_Scenario!$B623,Table11[[Year]:[Year]],0))</f>
        <v>-9.3343291599999934E-2</v>
      </c>
      <c r="AE623" s="69">
        <f>INDEX(Table11[MIN
CO2e MT per MWh],MATCH(UserMade_Scenario!$B623,Table11[[Year]:[Year]],0))</f>
        <v>-7.0156925200000081E-2</v>
      </c>
      <c r="AF623" s="69">
        <f>INDEX(Table11[MAX CO2e MT per MWh],MATCH(UserMade_Scenario!$B623,Table11[[Year]:[Year]],0))</f>
        <v>-0.11652965700000005</v>
      </c>
      <c r="AG623" s="68">
        <f>IFERROR(INDEX(WaterUseH2[Average Direct Water Consumption (Gal/ kg h2)],MATCH(LEFT(D623,3),WaterUseH2[Key],0)),0)</f>
        <v>0</v>
      </c>
      <c r="AH623">
        <v>14</v>
      </c>
      <c r="AI623">
        <v>1.4</v>
      </c>
      <c r="AJ623">
        <v>250</v>
      </c>
      <c r="AK623">
        <v>0.31</v>
      </c>
      <c r="AL623" s="63">
        <f>IFERROR(INDEX(Job_Training[[Solar]:[Wind]],MATCH(AL$1,Job_Training[[`Typical Entry Level Education`]:[`Typical Entry Level Education`]],0),MATCH(LEFT($D623,5),Job_Training[[#Headers],[Solar]:[Wind]],0)),0)</f>
        <v>0</v>
      </c>
      <c r="AM623" s="63">
        <f>IFERROR(INDEX(Job_Training[[Solar]:[Wind]],MATCH(AM$1,Job_Training[[`Typical Entry Level Education`]:[`Typical Entry Level Education`]],0),MATCH(LEFT($D623,5),Job_Training[[#Headers],[Solar]:[Wind]],0)),0)</f>
        <v>0</v>
      </c>
      <c r="AN623" s="63">
        <f>IFERROR(INDEX(Job_Training[[Solar]:[Wind]],MATCH(AN$1,Job_Training[[`Typical Entry Level Education`]:[`Typical Entry Level Education`]],0),MATCH(LEFT($D623,5),Job_Training[[#Headers],[Solar]:[Wind]],0)),0)</f>
        <v>0</v>
      </c>
      <c r="AO623" s="63">
        <f>IFERROR(INDEX(Job_Training[[Solar]:[Wind]],MATCH(AO$1,Job_Training[[`Typical Entry Level Education`]:[`Typical Entry Level Education`]],0),MATCH(LEFT($D623,5),Job_Training[[#Headers],[Solar]:[Wind]],0)),0)</f>
        <v>0</v>
      </c>
      <c r="AP623">
        <f t="shared" si="181"/>
        <v>588</v>
      </c>
      <c r="AQ623" s="63">
        <f>IF(AP623&gt;0,IFERROR(INDEX(Assumptions!$C$165:$D$165,MATCH(LEFT($D623,5),Job_Training[[#Headers],[Solar]:[Wind]],0)),0),0)</f>
        <v>0</v>
      </c>
      <c r="AR623">
        <f>IF(AP623&gt;0,IFERROR(INDEX(Assumptions!$C$166:$D$166,MATCH(LEFT($D623,5),Job_Training[[#Headers],[Solar]:[Wind]],0)),0),0)</f>
        <v>0</v>
      </c>
    </row>
    <row r="624" spans="1:44" hidden="1" x14ac:dyDescent="0.35">
      <c r="A624" t="str">
        <f>UserInput!$B$56</f>
        <v>Max Buildout</v>
      </c>
      <c r="B624">
        <v>2038</v>
      </c>
      <c r="C624" t="s">
        <v>41</v>
      </c>
      <c r="D624" t="s">
        <v>85</v>
      </c>
      <c r="E624" s="66">
        <f>INDEX(UserInput!$C$56:$M$76,MATCH(UserMade_Scenario!B624,UserInput!$A$56:$A$76,0),MATCH(LEFT(IF(RIGHT(C624,2)="H2",UserMade_Scenario!C624,D624),3),UserInput!$C$25:$M$25,0))</f>
        <v>8234</v>
      </c>
      <c r="F624" t="s">
        <v>81</v>
      </c>
      <c r="G624" s="14">
        <f t="shared" si="182"/>
        <v>3.4712453859804135E-2</v>
      </c>
      <c r="H624" s="63">
        <f t="shared" si="172"/>
        <v>0.85936233535453954</v>
      </c>
      <c r="I624" s="63">
        <f t="shared" si="173"/>
        <v>0.62677541243326795</v>
      </c>
      <c r="J624" s="63">
        <f t="shared" si="174"/>
        <v>1.09194924863299</v>
      </c>
      <c r="K624" s="30">
        <f>IF(OR(LEFT($D624,5)="Solar",$D624="Wind"),INDEX(Land_Use[AVG],MATCH(LEFT($D624,5),Land_Use[Tech],0)),0)*$E624</f>
        <v>0</v>
      </c>
      <c r="L624" s="30">
        <f>IF(OR(LEFT($D624,5)="Solar",$D624="Wind"),INDEX(Land_Use[MIN],MATCH(LEFT($D624,5),Land_Use[Tech],0)),0)*$E624</f>
        <v>0</v>
      </c>
      <c r="M624" s="30">
        <f>IF(OR(LEFT($D624,5)="Solar",$D624="Wind"),INDEX(Land_Use[MAX],MATCH(LEFT($D624,5),Land_Use[Tech],0)),0)*$E624</f>
        <v>0</v>
      </c>
      <c r="N624" s="15">
        <f t="shared" si="167"/>
        <v>0</v>
      </c>
      <c r="O624" s="11">
        <f t="shared" si="168"/>
        <v>0</v>
      </c>
      <c r="P624" s="11">
        <f t="shared" si="169"/>
        <v>0</v>
      </c>
      <c r="Q624" s="11">
        <f t="shared" si="170"/>
        <v>0</v>
      </c>
      <c r="R624" s="11">
        <f t="shared" si="171"/>
        <v>0</v>
      </c>
      <c r="S624" s="30">
        <f t="shared" si="175"/>
        <v>0</v>
      </c>
      <c r="T624" s="30">
        <f t="shared" si="176"/>
        <v>0</v>
      </c>
      <c r="U624" s="30">
        <f t="shared" si="177"/>
        <v>0</v>
      </c>
      <c r="V624" s="30">
        <f t="shared" si="178"/>
        <v>0</v>
      </c>
      <c r="W624" s="30">
        <f t="shared" si="179"/>
        <v>0</v>
      </c>
      <c r="X624" s="30">
        <f t="shared" si="180"/>
        <v>0</v>
      </c>
      <c r="Z624" s="23" t="s">
        <v>76</v>
      </c>
      <c r="AA624" s="40">
        <f>IF(C624="Electricity",E624*SUMIFS(Electricity!S:S,Electricity!P:P,UserMade_Scenario!B624,Electricity!M:M,UserMade_Scenario!Z624,Electricity!O:O,UserMade_Scenario!D624),"")</f>
        <v>9642823.5570547841</v>
      </c>
      <c r="AB624" s="76">
        <f>1/Assumptions!$B$23/1000000000000</f>
        <v>3.5998225679871703E-9</v>
      </c>
      <c r="AC624" s="67" t="s">
        <v>82</v>
      </c>
      <c r="AD624" s="69">
        <f>INDEX(Table11[AVG
CO2e MT per MWh],MATCH(UserMade_Scenario!$B624,Table11[[Year]:[Year]],0))</f>
        <v>-8.9119367399999927E-2</v>
      </c>
      <c r="AE624" s="69">
        <f>INDEX(Table11[MIN
CO2e MT per MWh],MATCH(UserMade_Scenario!$B624,Table11[[Year]:[Year]],0))</f>
        <v>-6.4999158050000089E-2</v>
      </c>
      <c r="AF624" s="69">
        <f>INDEX(Table11[MAX CO2e MT per MWh],MATCH(UserMade_Scenario!$B624,Table11[[Year]:[Year]],0))</f>
        <v>-0.11323957575000004</v>
      </c>
      <c r="AG624" s="68">
        <f>IFERROR(INDEX(WaterUseH2[Average Direct Water Consumption (Gal/ kg h2)],MATCH(LEFT(D624,3),WaterUseH2[Key],0)),0)</f>
        <v>0</v>
      </c>
      <c r="AH624">
        <v>14</v>
      </c>
      <c r="AI624">
        <v>1.4</v>
      </c>
      <c r="AJ624">
        <v>250</v>
      </c>
      <c r="AK624">
        <v>0.31</v>
      </c>
      <c r="AL624" s="63">
        <f>IFERROR(INDEX(Job_Training[[Solar]:[Wind]],MATCH(AL$1,Job_Training[[`Typical Entry Level Education`]:[`Typical Entry Level Education`]],0),MATCH(LEFT($D624,5),Job_Training[[#Headers],[Solar]:[Wind]],0)),0)</f>
        <v>0</v>
      </c>
      <c r="AM624" s="63">
        <f>IFERROR(INDEX(Job_Training[[Solar]:[Wind]],MATCH(AM$1,Job_Training[[`Typical Entry Level Education`]:[`Typical Entry Level Education`]],0),MATCH(LEFT($D624,5),Job_Training[[#Headers],[Solar]:[Wind]],0)),0)</f>
        <v>0</v>
      </c>
      <c r="AN624" s="63">
        <f>IFERROR(INDEX(Job_Training[[Solar]:[Wind]],MATCH(AN$1,Job_Training[[`Typical Entry Level Education`]:[`Typical Entry Level Education`]],0),MATCH(LEFT($D624,5),Job_Training[[#Headers],[Solar]:[Wind]],0)),0)</f>
        <v>0</v>
      </c>
      <c r="AO624" s="63">
        <f>IFERROR(INDEX(Job_Training[[Solar]:[Wind]],MATCH(AO$1,Job_Training[[`Typical Entry Level Education`]:[`Typical Entry Level Education`]],0),MATCH(LEFT($D624,5),Job_Training[[#Headers],[Solar]:[Wind]],0)),0)</f>
        <v>0</v>
      </c>
      <c r="AP624">
        <f t="shared" si="181"/>
        <v>588</v>
      </c>
      <c r="AQ624" s="63">
        <f>IF(AP624&gt;0,IFERROR(INDEX(Assumptions!$C$165:$D$165,MATCH(LEFT($D624,5),Job_Training[[#Headers],[Solar]:[Wind]],0)),0),0)</f>
        <v>0</v>
      </c>
      <c r="AR624">
        <f>IF(AP624&gt;0,IFERROR(INDEX(Assumptions!$C$166:$D$166,MATCH(LEFT($D624,5),Job_Training[[#Headers],[Solar]:[Wind]],0)),0),0)</f>
        <v>0</v>
      </c>
    </row>
    <row r="625" spans="1:44" hidden="1" x14ac:dyDescent="0.35">
      <c r="A625" t="str">
        <f>UserInput!$B$56</f>
        <v>Max Buildout</v>
      </c>
      <c r="B625">
        <v>2039</v>
      </c>
      <c r="C625" t="s">
        <v>41</v>
      </c>
      <c r="D625" t="s">
        <v>85</v>
      </c>
      <c r="E625" s="66">
        <f>INDEX(UserInput!$C$56:$M$76,MATCH(UserMade_Scenario!B625,UserInput!$A$56:$A$76,0),MATCH(LEFT(IF(RIGHT(C625,2)="H2",UserMade_Scenario!C625,D625),3),UserInput!$C$25:$M$25,0))</f>
        <v>8822</v>
      </c>
      <c r="F625" t="s">
        <v>81</v>
      </c>
      <c r="G625" s="14">
        <f t="shared" si="182"/>
        <v>3.7191312600339088E-2</v>
      </c>
      <c r="H625" s="63">
        <f t="shared" si="172"/>
        <v>0.87709127512941953</v>
      </c>
      <c r="I625" s="63">
        <f t="shared" si="173"/>
        <v>0.61824710339693678</v>
      </c>
      <c r="J625" s="63">
        <f t="shared" si="174"/>
        <v>1.1359354365304759</v>
      </c>
      <c r="K625" s="30">
        <f>IF(OR(LEFT($D625,5)="Solar",$D625="Wind"),INDEX(Land_Use[AVG],MATCH(LEFT($D625,5),Land_Use[Tech],0)),0)*$E625</f>
        <v>0</v>
      </c>
      <c r="L625" s="30">
        <f>IF(OR(LEFT($D625,5)="Solar",$D625="Wind"),INDEX(Land_Use[MIN],MATCH(LEFT($D625,5),Land_Use[Tech],0)),0)*$E625</f>
        <v>0</v>
      </c>
      <c r="M625" s="30">
        <f>IF(OR(LEFT($D625,5)="Solar",$D625="Wind"),INDEX(Land_Use[MAX],MATCH(LEFT($D625,5),Land_Use[Tech],0)),0)*$E625</f>
        <v>0</v>
      </c>
      <c r="N625" s="15">
        <f t="shared" si="167"/>
        <v>0</v>
      </c>
      <c r="O625" s="11">
        <f t="shared" si="168"/>
        <v>0</v>
      </c>
      <c r="P625" s="11">
        <f t="shared" si="169"/>
        <v>0</v>
      </c>
      <c r="Q625" s="11">
        <f t="shared" si="170"/>
        <v>0</v>
      </c>
      <c r="R625" s="11">
        <f t="shared" si="171"/>
        <v>0</v>
      </c>
      <c r="S625" s="30">
        <f t="shared" si="175"/>
        <v>0</v>
      </c>
      <c r="T625" s="30">
        <f t="shared" si="176"/>
        <v>0</v>
      </c>
      <c r="U625" s="30">
        <f t="shared" si="177"/>
        <v>0</v>
      </c>
      <c r="V625" s="30">
        <f t="shared" si="178"/>
        <v>0</v>
      </c>
      <c r="W625" s="30">
        <f t="shared" si="179"/>
        <v>0</v>
      </c>
      <c r="X625" s="30">
        <f t="shared" si="180"/>
        <v>0</v>
      </c>
      <c r="Z625" s="23" t="s">
        <v>76</v>
      </c>
      <c r="AA625" s="40">
        <f>IF(C625="Electricity",E625*SUMIFS(Electricity!S:S,Electricity!P:P,UserMade_Scenario!B625,Electricity!M:M,UserMade_Scenario!Z625,Electricity!O:O,UserMade_Scenario!D625),"")</f>
        <v>10331429.368513154</v>
      </c>
      <c r="AB625" s="76">
        <f>1/Assumptions!$B$23/1000000000000</f>
        <v>3.5998225679871703E-9</v>
      </c>
      <c r="AC625" s="67" t="s">
        <v>82</v>
      </c>
      <c r="AD625" s="69">
        <f>INDEX(Table11[AVG
CO2e MT per MWh],MATCH(UserMade_Scenario!$B625,Table11[[Year]:[Year]],0))</f>
        <v>-8.489544319999992E-2</v>
      </c>
      <c r="AE625" s="69">
        <f>INDEX(Table11[MIN
CO2e MT per MWh],MATCH(UserMade_Scenario!$B625,Table11[[Year]:[Year]],0))</f>
        <v>-5.984139090000009E-2</v>
      </c>
      <c r="AF625" s="69">
        <f>INDEX(Table11[MAX CO2e MT per MWh],MATCH(UserMade_Scenario!$B625,Table11[[Year]:[Year]],0))</f>
        <v>-0.10994949450000004</v>
      </c>
      <c r="AG625" s="68">
        <f>IFERROR(INDEX(WaterUseH2[Average Direct Water Consumption (Gal/ kg h2)],MATCH(LEFT(D625,3),WaterUseH2[Key],0)),0)</f>
        <v>0</v>
      </c>
      <c r="AH625">
        <v>14</v>
      </c>
      <c r="AI625">
        <v>1.4</v>
      </c>
      <c r="AJ625">
        <v>250</v>
      </c>
      <c r="AK625">
        <v>0.31</v>
      </c>
      <c r="AL625" s="63">
        <f>IFERROR(INDEX(Job_Training[[Solar]:[Wind]],MATCH(AL$1,Job_Training[[`Typical Entry Level Education`]:[`Typical Entry Level Education`]],0),MATCH(LEFT($D625,5),Job_Training[[#Headers],[Solar]:[Wind]],0)),0)</f>
        <v>0</v>
      </c>
      <c r="AM625" s="63">
        <f>IFERROR(INDEX(Job_Training[[Solar]:[Wind]],MATCH(AM$1,Job_Training[[`Typical Entry Level Education`]:[`Typical Entry Level Education`]],0),MATCH(LEFT($D625,5),Job_Training[[#Headers],[Solar]:[Wind]],0)),0)</f>
        <v>0</v>
      </c>
      <c r="AN625" s="63">
        <f>IFERROR(INDEX(Job_Training[[Solar]:[Wind]],MATCH(AN$1,Job_Training[[`Typical Entry Level Education`]:[`Typical Entry Level Education`]],0),MATCH(LEFT($D625,5),Job_Training[[#Headers],[Solar]:[Wind]],0)),0)</f>
        <v>0</v>
      </c>
      <c r="AO625" s="63">
        <f>IFERROR(INDEX(Job_Training[[Solar]:[Wind]],MATCH(AO$1,Job_Training[[`Typical Entry Level Education`]:[`Typical Entry Level Education`]],0),MATCH(LEFT($D625,5),Job_Training[[#Headers],[Solar]:[Wind]],0)),0)</f>
        <v>0</v>
      </c>
      <c r="AP625">
        <f t="shared" si="181"/>
        <v>588</v>
      </c>
      <c r="AQ625" s="63">
        <f>IF(AP625&gt;0,IFERROR(INDEX(Assumptions!$C$165:$D$165,MATCH(LEFT($D625,5),Job_Training[[#Headers],[Solar]:[Wind]],0)),0),0)</f>
        <v>0</v>
      </c>
      <c r="AR625">
        <f>IF(AP625&gt;0,IFERROR(INDEX(Assumptions!$C$166:$D$166,MATCH(LEFT($D625,5),Job_Training[[#Headers],[Solar]:[Wind]],0)),0),0)</f>
        <v>0</v>
      </c>
    </row>
    <row r="626" spans="1:44" hidden="1" x14ac:dyDescent="0.35">
      <c r="A626" t="str">
        <f>UserInput!$B$56</f>
        <v>Max Buildout</v>
      </c>
      <c r="B626">
        <v>2040</v>
      </c>
      <c r="C626" t="s">
        <v>41</v>
      </c>
      <c r="D626" t="s">
        <v>85</v>
      </c>
      <c r="E626" s="66">
        <f>INDEX(UserInput!$C$56:$M$76,MATCH(UserMade_Scenario!B626,UserInput!$A$56:$A$76,0),MATCH(LEFT(IF(RIGHT(C626,2)="H2",UserMade_Scenario!C626,D626),3),UserInput!$C$25:$M$25,0))</f>
        <v>9410</v>
      </c>
      <c r="F626" t="s">
        <v>81</v>
      </c>
      <c r="G626" s="14">
        <f t="shared" si="182"/>
        <v>3.9670171340874041E-2</v>
      </c>
      <c r="H626" s="63">
        <f t="shared" si="172"/>
        <v>0.88900297740174017</v>
      </c>
      <c r="I626" s="63">
        <f t="shared" si="173"/>
        <v>0.60261545749332723</v>
      </c>
      <c r="J626" s="63">
        <f t="shared" si="174"/>
        <v>1.175390486290121</v>
      </c>
      <c r="K626" s="30">
        <f>IF(OR(LEFT($D626,5)="Solar",$D626="Wind"),INDEX(Land_Use[AVG],MATCH(LEFT($D626,5),Land_Use[Tech],0)),0)*$E626</f>
        <v>0</v>
      </c>
      <c r="L626" s="30">
        <f>IF(OR(LEFT($D626,5)="Solar",$D626="Wind"),INDEX(Land_Use[MIN],MATCH(LEFT($D626,5),Land_Use[Tech],0)),0)*$E626</f>
        <v>0</v>
      </c>
      <c r="M626" s="30">
        <f>IF(OR(LEFT($D626,5)="Solar",$D626="Wind"),INDEX(Land_Use[MAX],MATCH(LEFT($D626,5),Land_Use[Tech],0)),0)*$E626</f>
        <v>0</v>
      </c>
      <c r="N626" s="15">
        <f t="shared" si="167"/>
        <v>0</v>
      </c>
      <c r="O626" s="11">
        <f t="shared" si="168"/>
        <v>0</v>
      </c>
      <c r="P626" s="11">
        <f t="shared" si="169"/>
        <v>0</v>
      </c>
      <c r="Q626" s="11">
        <f t="shared" si="170"/>
        <v>0</v>
      </c>
      <c r="R626" s="11">
        <f t="shared" si="171"/>
        <v>0</v>
      </c>
      <c r="S626" s="30">
        <f t="shared" si="175"/>
        <v>0</v>
      </c>
      <c r="T626" s="30">
        <f t="shared" si="176"/>
        <v>0</v>
      </c>
      <c r="U626" s="30">
        <f t="shared" si="177"/>
        <v>0</v>
      </c>
      <c r="V626" s="30">
        <f t="shared" si="178"/>
        <v>0</v>
      </c>
      <c r="W626" s="30">
        <f t="shared" si="179"/>
        <v>0</v>
      </c>
      <c r="X626" s="30">
        <f t="shared" si="180"/>
        <v>0</v>
      </c>
      <c r="Z626" s="23" t="s">
        <v>76</v>
      </c>
      <c r="AA626" s="40">
        <f>IF(C626="Electricity",E626*SUMIFS(Electricity!S:S,Electricity!P:P,UserMade_Scenario!B626,Electricity!M:M,UserMade_Scenario!Z626,Electricity!O:O,UserMade_Scenario!D626),"")</f>
        <v>11020035.179971522</v>
      </c>
      <c r="AB626" s="76">
        <f>1/Assumptions!$B$23/1000000000000</f>
        <v>3.5998225679871703E-9</v>
      </c>
      <c r="AC626" s="67" t="s">
        <v>82</v>
      </c>
      <c r="AD626" s="69">
        <f>INDEX(Table11[AVG
CO2e MT per MWh],MATCH(UserMade_Scenario!$B626,Table11[[Year]:[Year]],0))</f>
        <v>-8.0671518999999914E-2</v>
      </c>
      <c r="AE626" s="69">
        <f>INDEX(Table11[MIN
CO2e MT per MWh],MATCH(UserMade_Scenario!$B626,Table11[[Year]:[Year]],0))</f>
        <v>-5.468362375000009E-2</v>
      </c>
      <c r="AF626" s="69">
        <f>INDEX(Table11[MAX CO2e MT per MWh],MATCH(UserMade_Scenario!$B626,Table11[[Year]:[Year]],0))</f>
        <v>-0.10665941325000003</v>
      </c>
      <c r="AG626" s="68">
        <f>IFERROR(INDEX(WaterUseH2[Average Direct Water Consumption (Gal/ kg h2)],MATCH(LEFT(D626,3),WaterUseH2[Key],0)),0)</f>
        <v>0</v>
      </c>
      <c r="AH626">
        <v>14</v>
      </c>
      <c r="AI626">
        <v>1.4</v>
      </c>
      <c r="AJ626">
        <v>250</v>
      </c>
      <c r="AK626">
        <v>0.31</v>
      </c>
      <c r="AL626" s="63">
        <f>IFERROR(INDEX(Job_Training[[Solar]:[Wind]],MATCH(AL$1,Job_Training[[`Typical Entry Level Education`]:[`Typical Entry Level Education`]],0),MATCH(LEFT($D626,5),Job_Training[[#Headers],[Solar]:[Wind]],0)),0)</f>
        <v>0</v>
      </c>
      <c r="AM626" s="63">
        <f>IFERROR(INDEX(Job_Training[[Solar]:[Wind]],MATCH(AM$1,Job_Training[[`Typical Entry Level Education`]:[`Typical Entry Level Education`]],0),MATCH(LEFT($D626,5),Job_Training[[#Headers],[Solar]:[Wind]],0)),0)</f>
        <v>0</v>
      </c>
      <c r="AN626" s="63">
        <f>IFERROR(INDEX(Job_Training[[Solar]:[Wind]],MATCH(AN$1,Job_Training[[`Typical Entry Level Education`]:[`Typical Entry Level Education`]],0),MATCH(LEFT($D626,5),Job_Training[[#Headers],[Solar]:[Wind]],0)),0)</f>
        <v>0</v>
      </c>
      <c r="AO626" s="63">
        <f>IFERROR(INDEX(Job_Training[[Solar]:[Wind]],MATCH(AO$1,Job_Training[[`Typical Entry Level Education`]:[`Typical Entry Level Education`]],0),MATCH(LEFT($D626,5),Job_Training[[#Headers],[Solar]:[Wind]],0)),0)</f>
        <v>0</v>
      </c>
      <c r="AP626">
        <f t="shared" si="181"/>
        <v>588</v>
      </c>
      <c r="AQ626" s="63">
        <f>IF(AP626&gt;0,IFERROR(INDEX(Assumptions!$C$165:$D$165,MATCH(LEFT($D626,5),Job_Training[[#Headers],[Solar]:[Wind]],0)),0),0)</f>
        <v>0</v>
      </c>
      <c r="AR626">
        <f>IF(AP626&gt;0,IFERROR(INDEX(Assumptions!$C$166:$D$166,MATCH(LEFT($D626,5),Job_Training[[#Headers],[Solar]:[Wind]],0)),0),0)</f>
        <v>0</v>
      </c>
    </row>
    <row r="627" spans="1:44" hidden="1" x14ac:dyDescent="0.35">
      <c r="A627" t="str">
        <f>UserInput!$B$56</f>
        <v>Max Buildout</v>
      </c>
      <c r="B627">
        <v>2041</v>
      </c>
      <c r="C627" t="s">
        <v>41</v>
      </c>
      <c r="D627" t="s">
        <v>85</v>
      </c>
      <c r="E627" s="66">
        <f>INDEX(UserInput!$C$56:$M$76,MATCH(UserMade_Scenario!B627,UserInput!$A$56:$A$76,0),MATCH(LEFT(IF(RIGHT(C627,2)="H2",UserMade_Scenario!C627,D627),3),UserInput!$C$25:$M$25,0))</f>
        <v>9998</v>
      </c>
      <c r="F627" t="s">
        <v>81</v>
      </c>
      <c r="G627" s="14">
        <f t="shared" si="182"/>
        <v>4.2149030081409002E-2</v>
      </c>
      <c r="H627" s="63">
        <f t="shared" si="172"/>
        <v>0.89509744217150156</v>
      </c>
      <c r="I627" s="63">
        <f t="shared" si="173"/>
        <v>0.57988047472243975</v>
      </c>
      <c r="J627" s="63">
        <f t="shared" si="174"/>
        <v>1.210314397911926</v>
      </c>
      <c r="K627" s="30">
        <f>IF(OR(LEFT($D627,5)="Solar",$D627="Wind"),INDEX(Land_Use[AVG],MATCH(LEFT($D627,5),Land_Use[Tech],0)),0)*$E627</f>
        <v>0</v>
      </c>
      <c r="L627" s="30">
        <f>IF(OR(LEFT($D627,5)="Solar",$D627="Wind"),INDEX(Land_Use[MIN],MATCH(LEFT($D627,5),Land_Use[Tech],0)),0)*$E627</f>
        <v>0</v>
      </c>
      <c r="M627" s="30">
        <f>IF(OR(LEFT($D627,5)="Solar",$D627="Wind"),INDEX(Land_Use[MAX],MATCH(LEFT($D627,5),Land_Use[Tech],0)),0)*$E627</f>
        <v>0</v>
      </c>
      <c r="N627" s="15">
        <f t="shared" si="167"/>
        <v>0</v>
      </c>
      <c r="O627" s="11">
        <f t="shared" si="168"/>
        <v>0</v>
      </c>
      <c r="P627" s="11">
        <f t="shared" si="169"/>
        <v>0</v>
      </c>
      <c r="Q627" s="11">
        <f t="shared" si="170"/>
        <v>0</v>
      </c>
      <c r="R627" s="11">
        <f t="shared" si="171"/>
        <v>0</v>
      </c>
      <c r="S627" s="30">
        <f t="shared" si="175"/>
        <v>0</v>
      </c>
      <c r="T627" s="30">
        <f t="shared" si="176"/>
        <v>0</v>
      </c>
      <c r="U627" s="30">
        <f t="shared" si="177"/>
        <v>0</v>
      </c>
      <c r="V627" s="30">
        <f t="shared" si="178"/>
        <v>0</v>
      </c>
      <c r="W627" s="30">
        <f t="shared" si="179"/>
        <v>0</v>
      </c>
      <c r="X627" s="30">
        <f t="shared" si="180"/>
        <v>0</v>
      </c>
      <c r="Z627" s="23" t="s">
        <v>76</v>
      </c>
      <c r="AA627" s="40">
        <f>IF(C627="Electricity",E627*SUMIFS(Electricity!S:S,Electricity!P:P,UserMade_Scenario!B627,Electricity!M:M,UserMade_Scenario!Z627,Electricity!O:O,UserMade_Scenario!D627),"")</f>
        <v>11708640.991429891</v>
      </c>
      <c r="AB627" s="76">
        <f>1/Assumptions!$B$23/1000000000000</f>
        <v>3.5998225679871703E-9</v>
      </c>
      <c r="AC627" s="67" t="s">
        <v>82</v>
      </c>
      <c r="AD627" s="69">
        <f>INDEX(Table11[AVG
CO2e MT per MWh],MATCH(UserMade_Scenario!$B627,Table11[[Year]:[Year]],0))</f>
        <v>-7.6447594799999907E-2</v>
      </c>
      <c r="AE627" s="69">
        <f>INDEX(Table11[MIN
CO2e MT per MWh],MATCH(UserMade_Scenario!$B627,Table11[[Year]:[Year]],0))</f>
        <v>-4.9525856600000091E-2</v>
      </c>
      <c r="AF627" s="69">
        <f>INDEX(Table11[MAX CO2e MT per MWh],MATCH(UserMade_Scenario!$B627,Table11[[Year]:[Year]],0))</f>
        <v>-0.10336933200000002</v>
      </c>
      <c r="AG627" s="68">
        <f>IFERROR(INDEX(WaterUseH2[Average Direct Water Consumption (Gal/ kg h2)],MATCH(LEFT(D627,3),WaterUseH2[Key],0)),0)</f>
        <v>0</v>
      </c>
      <c r="AH627">
        <v>14</v>
      </c>
      <c r="AI627">
        <v>1.4</v>
      </c>
      <c r="AJ627">
        <v>250</v>
      </c>
      <c r="AK627">
        <v>0.31</v>
      </c>
      <c r="AL627" s="63">
        <f>IFERROR(INDEX(Job_Training[[Solar]:[Wind]],MATCH(AL$1,Job_Training[[`Typical Entry Level Education`]:[`Typical Entry Level Education`]],0),MATCH(LEFT($D627,5),Job_Training[[#Headers],[Solar]:[Wind]],0)),0)</f>
        <v>0</v>
      </c>
      <c r="AM627" s="63">
        <f>IFERROR(INDEX(Job_Training[[Solar]:[Wind]],MATCH(AM$1,Job_Training[[`Typical Entry Level Education`]:[`Typical Entry Level Education`]],0),MATCH(LEFT($D627,5),Job_Training[[#Headers],[Solar]:[Wind]],0)),0)</f>
        <v>0</v>
      </c>
      <c r="AN627" s="63">
        <f>IFERROR(INDEX(Job_Training[[Solar]:[Wind]],MATCH(AN$1,Job_Training[[`Typical Entry Level Education`]:[`Typical Entry Level Education`]],0),MATCH(LEFT($D627,5),Job_Training[[#Headers],[Solar]:[Wind]],0)),0)</f>
        <v>0</v>
      </c>
      <c r="AO627" s="63">
        <f>IFERROR(INDEX(Job_Training[[Solar]:[Wind]],MATCH(AO$1,Job_Training[[`Typical Entry Level Education`]:[`Typical Entry Level Education`]],0),MATCH(LEFT($D627,5),Job_Training[[#Headers],[Solar]:[Wind]],0)),0)</f>
        <v>0</v>
      </c>
      <c r="AP627">
        <f t="shared" si="181"/>
        <v>588</v>
      </c>
      <c r="AQ627" s="63">
        <f>IF(AP627&gt;0,IFERROR(INDEX(Assumptions!$C$165:$D$165,MATCH(LEFT($D627,5),Job_Training[[#Headers],[Solar]:[Wind]],0)),0),0)</f>
        <v>0</v>
      </c>
      <c r="AR627">
        <f>IF(AP627&gt;0,IFERROR(INDEX(Assumptions!$C$166:$D$166,MATCH(LEFT($D627,5),Job_Training[[#Headers],[Solar]:[Wind]],0)),0),0)</f>
        <v>0</v>
      </c>
    </row>
    <row r="628" spans="1:44" hidden="1" x14ac:dyDescent="0.35">
      <c r="A628" t="str">
        <f>UserInput!$B$56</f>
        <v>Max Buildout</v>
      </c>
      <c r="B628">
        <v>2042</v>
      </c>
      <c r="C628" t="s">
        <v>41</v>
      </c>
      <c r="D628" t="s">
        <v>85</v>
      </c>
      <c r="E628" s="66">
        <f>INDEX(UserInput!$C$56:$M$76,MATCH(UserMade_Scenario!B628,UserInput!$A$56:$A$76,0),MATCH(LEFT(IF(RIGHT(C628,2)="H2",UserMade_Scenario!C628,D628),3),UserInput!$C$25:$M$25,0))</f>
        <v>10586</v>
      </c>
      <c r="F628" t="s">
        <v>81</v>
      </c>
      <c r="G628" s="14">
        <f t="shared" si="182"/>
        <v>4.4627888821943955E-2</v>
      </c>
      <c r="H628" s="63">
        <f t="shared" si="172"/>
        <v>0.8953746694387037</v>
      </c>
      <c r="I628" s="63">
        <f t="shared" si="173"/>
        <v>0.55004215508427401</v>
      </c>
      <c r="J628" s="63">
        <f t="shared" si="174"/>
        <v>1.2407071713958904</v>
      </c>
      <c r="K628" s="30">
        <f>IF(OR(LEFT($D628,5)="Solar",$D628="Wind"),INDEX(Land_Use[AVG],MATCH(LEFT($D628,5),Land_Use[Tech],0)),0)*$E628</f>
        <v>0</v>
      </c>
      <c r="L628" s="30">
        <f>IF(OR(LEFT($D628,5)="Solar",$D628="Wind"),INDEX(Land_Use[MIN],MATCH(LEFT($D628,5),Land_Use[Tech],0)),0)*$E628</f>
        <v>0</v>
      </c>
      <c r="M628" s="30">
        <f>IF(OR(LEFT($D628,5)="Solar",$D628="Wind"),INDEX(Land_Use[MAX],MATCH(LEFT($D628,5),Land_Use[Tech],0)),0)*$E628</f>
        <v>0</v>
      </c>
      <c r="N628" s="15">
        <f t="shared" si="167"/>
        <v>0</v>
      </c>
      <c r="O628" s="11">
        <f t="shared" si="168"/>
        <v>0</v>
      </c>
      <c r="P628" s="11">
        <f t="shared" si="169"/>
        <v>0</v>
      </c>
      <c r="Q628" s="11">
        <f t="shared" si="170"/>
        <v>0</v>
      </c>
      <c r="R628" s="11">
        <f t="shared" si="171"/>
        <v>0</v>
      </c>
      <c r="S628" s="30">
        <f t="shared" si="175"/>
        <v>0</v>
      </c>
      <c r="T628" s="30">
        <f t="shared" si="176"/>
        <v>0</v>
      </c>
      <c r="U628" s="30">
        <f t="shared" si="177"/>
        <v>0</v>
      </c>
      <c r="V628" s="30">
        <f t="shared" si="178"/>
        <v>0</v>
      </c>
      <c r="W628" s="30">
        <f t="shared" si="179"/>
        <v>0</v>
      </c>
      <c r="X628" s="30">
        <f t="shared" si="180"/>
        <v>0</v>
      </c>
      <c r="Z628" s="23" t="s">
        <v>76</v>
      </c>
      <c r="AA628" s="40">
        <f>IF(C628="Electricity",E628*SUMIFS(Electricity!S:S,Electricity!P:P,UserMade_Scenario!B628,Electricity!M:M,UserMade_Scenario!Z628,Electricity!O:O,UserMade_Scenario!D628),"")</f>
        <v>12397246.802888261</v>
      </c>
      <c r="AB628" s="76">
        <f>1/Assumptions!$B$23/1000000000000</f>
        <v>3.5998225679871703E-9</v>
      </c>
      <c r="AC628" s="67" t="s">
        <v>82</v>
      </c>
      <c r="AD628" s="69">
        <f>INDEX(Table11[AVG
CO2e MT per MWh],MATCH(UserMade_Scenario!$B628,Table11[[Year]:[Year]],0))</f>
        <v>-7.2223670599999901E-2</v>
      </c>
      <c r="AE628" s="69">
        <f>INDEX(Table11[MIN
CO2e MT per MWh],MATCH(UserMade_Scenario!$B628,Table11[[Year]:[Year]],0))</f>
        <v>-4.4368089450000092E-2</v>
      </c>
      <c r="AF628" s="69">
        <f>INDEX(Table11[MAX CO2e MT per MWh],MATCH(UserMade_Scenario!$B628,Table11[[Year]:[Year]],0))</f>
        <v>-0.10007925075000002</v>
      </c>
      <c r="AG628" s="68">
        <f>IFERROR(INDEX(WaterUseH2[Average Direct Water Consumption (Gal/ kg h2)],MATCH(LEFT(D628,3),WaterUseH2[Key],0)),0)</f>
        <v>0</v>
      </c>
      <c r="AH628">
        <v>14</v>
      </c>
      <c r="AI628">
        <v>1.4</v>
      </c>
      <c r="AJ628">
        <v>250</v>
      </c>
      <c r="AK628">
        <v>0.31</v>
      </c>
      <c r="AL628" s="63">
        <f>IFERROR(INDEX(Job_Training[[Solar]:[Wind]],MATCH(AL$1,Job_Training[[`Typical Entry Level Education`]:[`Typical Entry Level Education`]],0),MATCH(LEFT($D628,5),Job_Training[[#Headers],[Solar]:[Wind]],0)),0)</f>
        <v>0</v>
      </c>
      <c r="AM628" s="63">
        <f>IFERROR(INDEX(Job_Training[[Solar]:[Wind]],MATCH(AM$1,Job_Training[[`Typical Entry Level Education`]:[`Typical Entry Level Education`]],0),MATCH(LEFT($D628,5),Job_Training[[#Headers],[Solar]:[Wind]],0)),0)</f>
        <v>0</v>
      </c>
      <c r="AN628" s="63">
        <f>IFERROR(INDEX(Job_Training[[Solar]:[Wind]],MATCH(AN$1,Job_Training[[`Typical Entry Level Education`]:[`Typical Entry Level Education`]],0),MATCH(LEFT($D628,5),Job_Training[[#Headers],[Solar]:[Wind]],0)),0)</f>
        <v>0</v>
      </c>
      <c r="AO628" s="63">
        <f>IFERROR(INDEX(Job_Training[[Solar]:[Wind]],MATCH(AO$1,Job_Training[[`Typical Entry Level Education`]:[`Typical Entry Level Education`]],0),MATCH(LEFT($D628,5),Job_Training[[#Headers],[Solar]:[Wind]],0)),0)</f>
        <v>0</v>
      </c>
      <c r="AP628">
        <f t="shared" si="181"/>
        <v>588</v>
      </c>
      <c r="AQ628" s="63">
        <f>IF(AP628&gt;0,IFERROR(INDEX(Assumptions!$C$165:$D$165,MATCH(LEFT($D628,5),Job_Training[[#Headers],[Solar]:[Wind]],0)),0),0)</f>
        <v>0</v>
      </c>
      <c r="AR628">
        <f>IF(AP628&gt;0,IFERROR(INDEX(Assumptions!$C$166:$D$166,MATCH(LEFT($D628,5),Job_Training[[#Headers],[Solar]:[Wind]],0)),0),0)</f>
        <v>0</v>
      </c>
    </row>
    <row r="629" spans="1:44" hidden="1" x14ac:dyDescent="0.35">
      <c r="A629" t="str">
        <f>UserInput!$B$56</f>
        <v>Max Buildout</v>
      </c>
      <c r="B629">
        <v>2043</v>
      </c>
      <c r="C629" t="s">
        <v>41</v>
      </c>
      <c r="D629" t="s">
        <v>85</v>
      </c>
      <c r="E629" s="66">
        <f>INDEX(UserInput!$C$56:$M$76,MATCH(UserMade_Scenario!B629,UserInput!$A$56:$A$76,0),MATCH(LEFT(IF(RIGHT(C629,2)="H2",UserMade_Scenario!C629,D629),3),UserInput!$C$25:$M$25,0))</f>
        <v>11175</v>
      </c>
      <c r="F629" t="s">
        <v>81</v>
      </c>
      <c r="G629" s="14">
        <f t="shared" si="182"/>
        <v>4.7110963308636282E-2</v>
      </c>
      <c r="H629" s="63">
        <f t="shared" si="172"/>
        <v>0.88991429359203478</v>
      </c>
      <c r="I629" s="63">
        <f t="shared" si="173"/>
        <v>0.51314641772135561</v>
      </c>
      <c r="J629" s="63">
        <f t="shared" si="174"/>
        <v>1.2666821563756943</v>
      </c>
      <c r="K629" s="30">
        <f>IF(OR(LEFT($D629,5)="Solar",$D629="Wind"),INDEX(Land_Use[AVG],MATCH(LEFT($D629,5),Land_Use[Tech],0)),0)*$E629</f>
        <v>0</v>
      </c>
      <c r="L629" s="30">
        <f>IF(OR(LEFT($D629,5)="Solar",$D629="Wind"),INDEX(Land_Use[MIN],MATCH(LEFT($D629,5),Land_Use[Tech],0)),0)*$E629</f>
        <v>0</v>
      </c>
      <c r="M629" s="30">
        <f>IF(OR(LEFT($D629,5)="Solar",$D629="Wind"),INDEX(Land_Use[MAX],MATCH(LEFT($D629,5),Land_Use[Tech],0)),0)*$E629</f>
        <v>0</v>
      </c>
      <c r="N629" s="15">
        <f t="shared" ref="N629:N692" si="183">E629*AG629*1000/1000000</f>
        <v>0</v>
      </c>
      <c r="O629" s="11">
        <f t="shared" ref="O629:O692" si="184">$K629*AH$2</f>
        <v>0</v>
      </c>
      <c r="P629" s="11">
        <f t="shared" ref="P629:P692" si="185">$K629*AI$2</f>
        <v>0</v>
      </c>
      <c r="Q629" s="11">
        <f t="shared" ref="Q629:Q692" si="186">$K629*AJ$2</f>
        <v>0</v>
      </c>
      <c r="R629" s="11">
        <f t="shared" ref="R629:R692" si="187">$K629*AK$2</f>
        <v>0</v>
      </c>
      <c r="S629" s="30">
        <f t="shared" si="175"/>
        <v>0</v>
      </c>
      <c r="T629" s="30">
        <f t="shared" si="176"/>
        <v>0</v>
      </c>
      <c r="U629" s="30">
        <f t="shared" si="177"/>
        <v>0</v>
      </c>
      <c r="V629" s="30">
        <f t="shared" si="178"/>
        <v>0</v>
      </c>
      <c r="W629" s="30">
        <f t="shared" si="179"/>
        <v>0</v>
      </c>
      <c r="X629" s="30">
        <f t="shared" si="180"/>
        <v>0</v>
      </c>
      <c r="Z629" s="23" t="s">
        <v>76</v>
      </c>
      <c r="AA629" s="40">
        <f>IF(C629="Electricity",E629*SUMIFS(Electricity!S:S,Electricity!P:P,UserMade_Scenario!B629,Electricity!M:M,UserMade_Scenario!Z629,Electricity!O:O,UserMade_Scenario!D629),"")</f>
        <v>13087023.712665437</v>
      </c>
      <c r="AB629" s="76">
        <f>1/Assumptions!$B$23/1000000000000</f>
        <v>3.5998225679871703E-9</v>
      </c>
      <c r="AC629" s="67" t="s">
        <v>82</v>
      </c>
      <c r="AD629" s="69">
        <f>INDEX(Table11[AVG
CO2e MT per MWh],MATCH(UserMade_Scenario!$B629,Table11[[Year]:[Year]],0))</f>
        <v>-6.7999746399999894E-2</v>
      </c>
      <c r="AE629" s="69">
        <f>INDEX(Table11[MIN
CO2e MT per MWh],MATCH(UserMade_Scenario!$B629,Table11[[Year]:[Year]],0))</f>
        <v>-3.9210322300000093E-2</v>
      </c>
      <c r="AF629" s="69">
        <f>INDEX(Table11[MAX CO2e MT per MWh],MATCH(UserMade_Scenario!$B629,Table11[[Year]:[Year]],0))</f>
        <v>-9.6789169500000008E-2</v>
      </c>
      <c r="AG629" s="68">
        <f>IFERROR(INDEX(WaterUseH2[Average Direct Water Consumption (Gal/ kg h2)],MATCH(LEFT(D629,3),WaterUseH2[Key],0)),0)</f>
        <v>0</v>
      </c>
      <c r="AH629">
        <v>14</v>
      </c>
      <c r="AI629">
        <v>1.4</v>
      </c>
      <c r="AJ629">
        <v>250</v>
      </c>
      <c r="AK629">
        <v>0.31</v>
      </c>
      <c r="AL629" s="63">
        <f>IFERROR(INDEX(Job_Training[[Solar]:[Wind]],MATCH(AL$1,Job_Training[[`Typical Entry Level Education`]:[`Typical Entry Level Education`]],0),MATCH(LEFT($D629,5),Job_Training[[#Headers],[Solar]:[Wind]],0)),0)</f>
        <v>0</v>
      </c>
      <c r="AM629" s="63">
        <f>IFERROR(INDEX(Job_Training[[Solar]:[Wind]],MATCH(AM$1,Job_Training[[`Typical Entry Level Education`]:[`Typical Entry Level Education`]],0),MATCH(LEFT($D629,5),Job_Training[[#Headers],[Solar]:[Wind]],0)),0)</f>
        <v>0</v>
      </c>
      <c r="AN629" s="63">
        <f>IFERROR(INDEX(Job_Training[[Solar]:[Wind]],MATCH(AN$1,Job_Training[[`Typical Entry Level Education`]:[`Typical Entry Level Education`]],0),MATCH(LEFT($D629,5),Job_Training[[#Headers],[Solar]:[Wind]],0)),0)</f>
        <v>0</v>
      </c>
      <c r="AO629" s="63">
        <f>IFERROR(INDEX(Job_Training[[Solar]:[Wind]],MATCH(AO$1,Job_Training[[`Typical Entry Level Education`]:[`Typical Entry Level Education`]],0),MATCH(LEFT($D629,5),Job_Training[[#Headers],[Solar]:[Wind]],0)),0)</f>
        <v>0</v>
      </c>
      <c r="AP629">
        <f t="shared" si="181"/>
        <v>589</v>
      </c>
      <c r="AQ629" s="63">
        <f>IF(AP629&gt;0,IFERROR(INDEX(Assumptions!$C$165:$D$165,MATCH(LEFT($D629,5),Job_Training[[#Headers],[Solar]:[Wind]],0)),0),0)</f>
        <v>0</v>
      </c>
      <c r="AR629">
        <f>IF(AP629&gt;0,IFERROR(INDEX(Assumptions!$C$166:$D$166,MATCH(LEFT($D629,5),Job_Training[[#Headers],[Solar]:[Wind]],0)),0),0)</f>
        <v>0</v>
      </c>
    </row>
    <row r="630" spans="1:44" hidden="1" x14ac:dyDescent="0.35">
      <c r="A630" t="str">
        <f>UserInput!$B$56</f>
        <v>Max Buildout</v>
      </c>
      <c r="B630">
        <v>2044</v>
      </c>
      <c r="C630" t="s">
        <v>41</v>
      </c>
      <c r="D630" t="s">
        <v>85</v>
      </c>
      <c r="E630" s="66">
        <f>INDEX(UserInput!$C$56:$M$76,MATCH(UserMade_Scenario!B630,UserInput!$A$56:$A$76,0),MATCH(LEFT(IF(RIGHT(C630,2)="H2",UserMade_Scenario!C630,D630),3),UserInput!$C$25:$M$25,0))</f>
        <v>11763</v>
      </c>
      <c r="F630" t="s">
        <v>81</v>
      </c>
      <c r="G630" s="14">
        <f t="shared" si="182"/>
        <v>4.9589822049171242E-2</v>
      </c>
      <c r="H630" s="63">
        <f t="shared" si="172"/>
        <v>0.8785520992235889</v>
      </c>
      <c r="I630" s="63">
        <f t="shared" si="173"/>
        <v>0.46909538409619544</v>
      </c>
      <c r="J630" s="63">
        <f t="shared" si="174"/>
        <v>1.2880088005753572</v>
      </c>
      <c r="K630" s="30">
        <f>IF(OR(LEFT($D630,5)="Solar",$D630="Wind"),INDEX(Land_Use[AVG],MATCH(LEFT($D630,5),Land_Use[Tech],0)),0)*$E630</f>
        <v>0</v>
      </c>
      <c r="L630" s="30">
        <f>IF(OR(LEFT($D630,5)="Solar",$D630="Wind"),INDEX(Land_Use[MIN],MATCH(LEFT($D630,5),Land_Use[Tech],0)),0)*$E630</f>
        <v>0</v>
      </c>
      <c r="M630" s="30">
        <f>IF(OR(LEFT($D630,5)="Solar",$D630="Wind"),INDEX(Land_Use[MAX],MATCH(LEFT($D630,5),Land_Use[Tech],0)),0)*$E630</f>
        <v>0</v>
      </c>
      <c r="N630" s="15">
        <f t="shared" si="183"/>
        <v>0</v>
      </c>
      <c r="O630" s="11">
        <f t="shared" si="184"/>
        <v>0</v>
      </c>
      <c r="P630" s="11">
        <f t="shared" si="185"/>
        <v>0</v>
      </c>
      <c r="Q630" s="11">
        <f t="shared" si="186"/>
        <v>0</v>
      </c>
      <c r="R630" s="11">
        <f t="shared" si="187"/>
        <v>0</v>
      </c>
      <c r="S630" s="30">
        <f t="shared" si="175"/>
        <v>0</v>
      </c>
      <c r="T630" s="30">
        <f t="shared" si="176"/>
        <v>0</v>
      </c>
      <c r="U630" s="30">
        <f t="shared" si="177"/>
        <v>0</v>
      </c>
      <c r="V630" s="30">
        <f t="shared" si="178"/>
        <v>0</v>
      </c>
      <c r="W630" s="30">
        <f t="shared" si="179"/>
        <v>0</v>
      </c>
      <c r="X630" s="30">
        <f t="shared" si="180"/>
        <v>0</v>
      </c>
      <c r="Z630" s="23" t="s">
        <v>76</v>
      </c>
      <c r="AA630" s="40">
        <f>IF(C630="Electricity",E630*SUMIFS(Electricity!S:S,Electricity!P:P,UserMade_Scenario!B630,Electricity!M:M,UserMade_Scenario!Z630,Electricity!O:O,UserMade_Scenario!D630),"")</f>
        <v>13775629.524123807</v>
      </c>
      <c r="AB630" s="76">
        <f>1/Assumptions!$B$23/1000000000000</f>
        <v>3.5998225679871703E-9</v>
      </c>
      <c r="AC630" s="67" t="s">
        <v>82</v>
      </c>
      <c r="AD630" s="69">
        <f>INDEX(Table11[AVG
CO2e MT per MWh],MATCH(UserMade_Scenario!$B630,Table11[[Year]:[Year]],0))</f>
        <v>-6.3775822199999888E-2</v>
      </c>
      <c r="AE630" s="69">
        <f>INDEX(Table11[MIN
CO2e MT per MWh],MATCH(UserMade_Scenario!$B630,Table11[[Year]:[Year]],0))</f>
        <v>-3.4052555150000094E-2</v>
      </c>
      <c r="AF630" s="69">
        <f>INDEX(Table11[MAX CO2e MT per MWh],MATCH(UserMade_Scenario!$B630,Table11[[Year]:[Year]],0))</f>
        <v>-9.3499088250000001E-2</v>
      </c>
      <c r="AG630" s="68">
        <f>IFERROR(INDEX(WaterUseH2[Average Direct Water Consumption (Gal/ kg h2)],MATCH(LEFT(D630,3),WaterUseH2[Key],0)),0)</f>
        <v>0</v>
      </c>
      <c r="AH630">
        <v>14</v>
      </c>
      <c r="AI630">
        <v>1.4</v>
      </c>
      <c r="AJ630">
        <v>250</v>
      </c>
      <c r="AK630">
        <v>0.31</v>
      </c>
      <c r="AL630" s="63">
        <f>IFERROR(INDEX(Job_Training[[Solar]:[Wind]],MATCH(AL$1,Job_Training[[`Typical Entry Level Education`]:[`Typical Entry Level Education`]],0),MATCH(LEFT($D630,5),Job_Training[[#Headers],[Solar]:[Wind]],0)),0)</f>
        <v>0</v>
      </c>
      <c r="AM630" s="63">
        <f>IFERROR(INDEX(Job_Training[[Solar]:[Wind]],MATCH(AM$1,Job_Training[[`Typical Entry Level Education`]:[`Typical Entry Level Education`]],0),MATCH(LEFT($D630,5),Job_Training[[#Headers],[Solar]:[Wind]],0)),0)</f>
        <v>0</v>
      </c>
      <c r="AN630" s="63">
        <f>IFERROR(INDEX(Job_Training[[Solar]:[Wind]],MATCH(AN$1,Job_Training[[`Typical Entry Level Education`]:[`Typical Entry Level Education`]],0),MATCH(LEFT($D630,5),Job_Training[[#Headers],[Solar]:[Wind]],0)),0)</f>
        <v>0</v>
      </c>
      <c r="AO630" s="63">
        <f>IFERROR(INDEX(Job_Training[[Solar]:[Wind]],MATCH(AO$1,Job_Training[[`Typical Entry Level Education`]:[`Typical Entry Level Education`]],0),MATCH(LEFT($D630,5),Job_Training[[#Headers],[Solar]:[Wind]],0)),0)</f>
        <v>0</v>
      </c>
      <c r="AP630">
        <f t="shared" si="181"/>
        <v>588</v>
      </c>
      <c r="AQ630" s="63">
        <f>IF(AP630&gt;0,IFERROR(INDEX(Assumptions!$C$165:$D$165,MATCH(LEFT($D630,5),Job_Training[[#Headers],[Solar]:[Wind]],0)),0),0)</f>
        <v>0</v>
      </c>
      <c r="AR630">
        <f>IF(AP630&gt;0,IFERROR(INDEX(Assumptions!$C$166:$D$166,MATCH(LEFT($D630,5),Job_Training[[#Headers],[Solar]:[Wind]],0)),0),0)</f>
        <v>0</v>
      </c>
    </row>
    <row r="631" spans="1:44" hidden="1" x14ac:dyDescent="0.35">
      <c r="A631" t="str">
        <f>UserInput!$B$56</f>
        <v>Max Buildout</v>
      </c>
      <c r="B631">
        <v>2045</v>
      </c>
      <c r="C631" t="s">
        <v>41</v>
      </c>
      <c r="D631" t="s">
        <v>85</v>
      </c>
      <c r="E631" s="66">
        <f>INDEX(UserInput!$C$56:$M$76,MATCH(UserMade_Scenario!B631,UserInput!$A$56:$A$76,0),MATCH(LEFT(IF(RIGHT(C631,2)="H2",UserMade_Scenario!C631,D631),3),UserInput!$C$25:$M$25,0))</f>
        <v>12351</v>
      </c>
      <c r="F631" t="s">
        <v>81</v>
      </c>
      <c r="G631" s="14">
        <f t="shared" si="182"/>
        <v>5.2068680789706202E-2</v>
      </c>
      <c r="H631" s="63">
        <f t="shared" si="172"/>
        <v>0.86137266735258389</v>
      </c>
      <c r="I631" s="63">
        <f t="shared" si="173"/>
        <v>0.41794101360375718</v>
      </c>
      <c r="J631" s="63">
        <f t="shared" si="174"/>
        <v>1.3048043066371797</v>
      </c>
      <c r="K631" s="30">
        <f>IF(OR(LEFT($D631,5)="Solar",$D631="Wind"),INDEX(Land_Use[AVG],MATCH(LEFT($D631,5),Land_Use[Tech],0)),0)*$E631</f>
        <v>0</v>
      </c>
      <c r="L631" s="30">
        <f>IF(OR(LEFT($D631,5)="Solar",$D631="Wind"),INDEX(Land_Use[MIN],MATCH(LEFT($D631,5),Land_Use[Tech],0)),0)*$E631</f>
        <v>0</v>
      </c>
      <c r="M631" s="30">
        <f>IF(OR(LEFT($D631,5)="Solar",$D631="Wind"),INDEX(Land_Use[MAX],MATCH(LEFT($D631,5),Land_Use[Tech],0)),0)*$E631</f>
        <v>0</v>
      </c>
      <c r="N631" s="15">
        <f t="shared" si="183"/>
        <v>0</v>
      </c>
      <c r="O631" s="11">
        <f t="shared" si="184"/>
        <v>0</v>
      </c>
      <c r="P631" s="11">
        <f t="shared" si="185"/>
        <v>0</v>
      </c>
      <c r="Q631" s="11">
        <f t="shared" si="186"/>
        <v>0</v>
      </c>
      <c r="R631" s="11">
        <f t="shared" si="187"/>
        <v>0</v>
      </c>
      <c r="S631" s="30">
        <f t="shared" si="175"/>
        <v>0</v>
      </c>
      <c r="T631" s="30">
        <f t="shared" si="176"/>
        <v>0</v>
      </c>
      <c r="U631" s="30">
        <f t="shared" si="177"/>
        <v>0</v>
      </c>
      <c r="V631" s="30">
        <f t="shared" si="178"/>
        <v>0</v>
      </c>
      <c r="W631" s="30">
        <f t="shared" si="179"/>
        <v>0</v>
      </c>
      <c r="X631" s="30">
        <f t="shared" si="180"/>
        <v>0</v>
      </c>
      <c r="Z631" s="23" t="s">
        <v>76</v>
      </c>
      <c r="AA631" s="40">
        <f>IF(C631="Electricity",E631*SUMIFS(Electricity!S:S,Electricity!P:P,UserMade_Scenario!B631,Electricity!M:M,UserMade_Scenario!Z631,Electricity!O:O,UserMade_Scenario!D631),"")</f>
        <v>14464235.335582176</v>
      </c>
      <c r="AB631" s="76">
        <f>1/Assumptions!$B$23/1000000000000</f>
        <v>3.5998225679871703E-9</v>
      </c>
      <c r="AC631" s="67" t="s">
        <v>82</v>
      </c>
      <c r="AD631" s="69">
        <f>INDEX(Table11[AVG
CO2e MT per MWh],MATCH(UserMade_Scenario!$B631,Table11[[Year]:[Year]],0))</f>
        <v>-5.9551897999999888E-2</v>
      </c>
      <c r="AE631" s="69">
        <f>INDEX(Table11[MIN
CO2e MT per MWh],MATCH(UserMade_Scenario!$B631,Table11[[Year]:[Year]],0))</f>
        <v>-2.8894788000000095E-2</v>
      </c>
      <c r="AF631" s="69">
        <f>INDEX(Table11[MAX CO2e MT per MWh],MATCH(UserMade_Scenario!$B631,Table11[[Year]:[Year]],0))</f>
        <v>-9.0209006999999994E-2</v>
      </c>
      <c r="AG631" s="68">
        <f>IFERROR(INDEX(WaterUseH2[Average Direct Water Consumption (Gal/ kg h2)],MATCH(LEFT(D631,3),WaterUseH2[Key],0)),0)</f>
        <v>0</v>
      </c>
      <c r="AH631">
        <v>14</v>
      </c>
      <c r="AI631">
        <v>1.4</v>
      </c>
      <c r="AJ631">
        <v>250</v>
      </c>
      <c r="AK631">
        <v>0.31</v>
      </c>
      <c r="AL631" s="63">
        <f>IFERROR(INDEX(Job_Training[[Solar]:[Wind]],MATCH(AL$1,Job_Training[[`Typical Entry Level Education`]:[`Typical Entry Level Education`]],0),MATCH(LEFT($D631,5),Job_Training[[#Headers],[Solar]:[Wind]],0)),0)</f>
        <v>0</v>
      </c>
      <c r="AM631" s="63">
        <f>IFERROR(INDEX(Job_Training[[Solar]:[Wind]],MATCH(AM$1,Job_Training[[`Typical Entry Level Education`]:[`Typical Entry Level Education`]],0),MATCH(LEFT($D631,5),Job_Training[[#Headers],[Solar]:[Wind]],0)),0)</f>
        <v>0</v>
      </c>
      <c r="AN631" s="63">
        <f>IFERROR(INDEX(Job_Training[[Solar]:[Wind]],MATCH(AN$1,Job_Training[[`Typical Entry Level Education`]:[`Typical Entry Level Education`]],0),MATCH(LEFT($D631,5),Job_Training[[#Headers],[Solar]:[Wind]],0)),0)</f>
        <v>0</v>
      </c>
      <c r="AO631" s="63">
        <f>IFERROR(INDEX(Job_Training[[Solar]:[Wind]],MATCH(AO$1,Job_Training[[`Typical Entry Level Education`]:[`Typical Entry Level Education`]],0),MATCH(LEFT($D631,5),Job_Training[[#Headers],[Solar]:[Wind]],0)),0)</f>
        <v>0</v>
      </c>
      <c r="AP631">
        <f t="shared" si="181"/>
        <v>588</v>
      </c>
      <c r="AQ631" s="63">
        <f>IF(AP631&gt;0,IFERROR(INDEX(Assumptions!$C$165:$D$165,MATCH(LEFT($D631,5),Job_Training[[#Headers],[Solar]:[Wind]],0)),0),0)</f>
        <v>0</v>
      </c>
      <c r="AR631">
        <f>IF(AP631&gt;0,IFERROR(INDEX(Assumptions!$C$166:$D$166,MATCH(LEFT($D631,5),Job_Training[[#Headers],[Solar]:[Wind]],0)),0),0)</f>
        <v>0</v>
      </c>
    </row>
    <row r="632" spans="1:44" hidden="1" x14ac:dyDescent="0.35">
      <c r="A632" t="str">
        <f>UserInput!$B$56</f>
        <v>Max Buildout</v>
      </c>
      <c r="B632">
        <v>2025</v>
      </c>
      <c r="C632" t="s">
        <v>41</v>
      </c>
      <c r="D632" t="s">
        <v>86</v>
      </c>
      <c r="E632" s="66">
        <f>INDEX(UserInput!$C$56:$M$76,MATCH(UserMade_Scenario!B632,UserInput!$A$56:$A$76,0),MATCH(LEFT(IF(RIGHT(C632,2)="H2",UserMade_Scenario!C632,D632),3),UserInput!$C$25:$M$25,0))</f>
        <v>0</v>
      </c>
      <c r="F632" t="s">
        <v>81</v>
      </c>
      <c r="G632" s="14">
        <f t="shared" si="182"/>
        <v>0</v>
      </c>
      <c r="H632" s="63">
        <f t="shared" si="172"/>
        <v>0</v>
      </c>
      <c r="I632" s="63">
        <f t="shared" si="173"/>
        <v>0</v>
      </c>
      <c r="J632" s="63">
        <f t="shared" si="174"/>
        <v>0</v>
      </c>
      <c r="K632" s="30">
        <f>IF(OR(LEFT($D632,5)="Solar",$D632="Wind"),INDEX(Land_Use[AVG],MATCH(LEFT($D632,5),Land_Use[Tech],0)),0)*$E632</f>
        <v>0</v>
      </c>
      <c r="L632" s="30">
        <f>IF(OR(LEFT($D632,5)="Solar",$D632="Wind"),INDEX(Land_Use[MIN],MATCH(LEFT($D632,5),Land_Use[Tech],0)),0)*$E632</f>
        <v>0</v>
      </c>
      <c r="M632" s="30">
        <f>IF(OR(LEFT($D632,5)="Solar",$D632="Wind"),INDEX(Land_Use[MAX],MATCH(LEFT($D632,5),Land_Use[Tech],0)),0)*$E632</f>
        <v>0</v>
      </c>
      <c r="N632" s="15">
        <f t="shared" si="183"/>
        <v>0</v>
      </c>
      <c r="O632" s="11">
        <f t="shared" si="184"/>
        <v>0</v>
      </c>
      <c r="P632" s="11">
        <f t="shared" si="185"/>
        <v>0</v>
      </c>
      <c r="Q632" s="11">
        <f t="shared" si="186"/>
        <v>0</v>
      </c>
      <c r="R632" s="11">
        <f t="shared" si="187"/>
        <v>0</v>
      </c>
      <c r="S632" s="30">
        <f t="shared" si="175"/>
        <v>0</v>
      </c>
      <c r="T632" s="30">
        <f t="shared" si="176"/>
        <v>0</v>
      </c>
      <c r="U632" s="30">
        <f t="shared" si="177"/>
        <v>0</v>
      </c>
      <c r="V632" s="30">
        <f t="shared" si="178"/>
        <v>0</v>
      </c>
      <c r="W632" s="30">
        <f t="shared" si="179"/>
        <v>0</v>
      </c>
      <c r="X632" s="30">
        <f t="shared" si="180"/>
        <v>0</v>
      </c>
      <c r="Z632" s="23" t="s">
        <v>76</v>
      </c>
      <c r="AA632" s="40">
        <f>IF(C632="Electricity",E632*SUMIFS(Electricity!S:S,Electricity!P:P,UserMade_Scenario!B632,Electricity!M:M,UserMade_Scenario!Z632,Electricity!O:O,UserMade_Scenario!D632),"")</f>
        <v>0</v>
      </c>
      <c r="AB632" s="76">
        <f>1/Assumptions!$B$23/1000000000000</f>
        <v>3.5998225679871703E-9</v>
      </c>
      <c r="AC632" s="67" t="s">
        <v>82</v>
      </c>
      <c r="AD632" s="69">
        <f>INDEX(Table11[AVG
CO2e MT per MWh],MATCH(UserMade_Scenario!$B632,Table11[[Year]:[Year]],0))</f>
        <v>-0.14403038200000001</v>
      </c>
      <c r="AE632" s="69">
        <f>INDEX(Table11[MIN
CO2e MT per MWh],MATCH(UserMade_Scenario!$B632,Table11[[Year]:[Year]],0))</f>
        <v>-0.13205013099999999</v>
      </c>
      <c r="AF632" s="69">
        <f>INDEX(Table11[MAX CO2e MT per MWh],MATCH(UserMade_Scenario!$B632,Table11[[Year]:[Year]],0))</f>
        <v>-0.15601063200000001</v>
      </c>
      <c r="AG632" s="68">
        <f>IFERROR(INDEX(WaterUseH2[Average Direct Water Consumption (Gal/ kg h2)],MATCH(LEFT(D632,3),WaterUseH2[Key],0)),0)</f>
        <v>0</v>
      </c>
      <c r="AH632">
        <v>14</v>
      </c>
      <c r="AI632">
        <v>1.4</v>
      </c>
      <c r="AJ632">
        <v>250</v>
      </c>
      <c r="AK632">
        <v>0.31</v>
      </c>
      <c r="AL632" s="63">
        <f>IFERROR(INDEX(Job_Training[[Solar]:[Wind]],MATCH(AL$1,Job_Training[[`Typical Entry Level Education`]:[`Typical Entry Level Education`]],0),MATCH(LEFT($D632,5),Job_Training[[#Headers],[Solar]:[Wind]],0)),0)</f>
        <v>0</v>
      </c>
      <c r="AM632" s="63">
        <f>IFERROR(INDEX(Job_Training[[Solar]:[Wind]],MATCH(AM$1,Job_Training[[`Typical Entry Level Education`]:[`Typical Entry Level Education`]],0),MATCH(LEFT($D632,5),Job_Training[[#Headers],[Solar]:[Wind]],0)),0)</f>
        <v>0</v>
      </c>
      <c r="AN632" s="63">
        <f>IFERROR(INDEX(Job_Training[[Solar]:[Wind]],MATCH(AN$1,Job_Training[[`Typical Entry Level Education`]:[`Typical Entry Level Education`]],0),MATCH(LEFT($D632,5),Job_Training[[#Headers],[Solar]:[Wind]],0)),0)</f>
        <v>0</v>
      </c>
      <c r="AO632" s="63">
        <f>IFERROR(INDEX(Job_Training[[Solar]:[Wind]],MATCH(AO$1,Job_Training[[`Typical Entry Level Education`]:[`Typical Entry Level Education`]],0),MATCH(LEFT($D632,5),Job_Training[[#Headers],[Solar]:[Wind]],0)),0)</f>
        <v>0</v>
      </c>
      <c r="AP632">
        <f t="shared" si="181"/>
        <v>0</v>
      </c>
      <c r="AQ632" s="63">
        <f>IF(AP632&gt;0,IFERROR(INDEX(Assumptions!$C$165:$D$165,MATCH(LEFT($D632,5),Job_Training[[#Headers],[Solar]:[Wind]],0)),0),0)</f>
        <v>0</v>
      </c>
      <c r="AR632">
        <f>IF(AP632&gt;0,IFERROR(INDEX(Assumptions!$C$166:$D$166,MATCH(LEFT($D632,5),Job_Training[[#Headers],[Solar]:[Wind]],0)),0),0)</f>
        <v>0</v>
      </c>
    </row>
    <row r="633" spans="1:44" hidden="1" x14ac:dyDescent="0.35">
      <c r="A633" t="str">
        <f>UserInput!$B$56</f>
        <v>Max Buildout</v>
      </c>
      <c r="B633">
        <v>2026</v>
      </c>
      <c r="C633" t="s">
        <v>41</v>
      </c>
      <c r="D633" t="s">
        <v>86</v>
      </c>
      <c r="E633" s="66">
        <f>INDEX(UserInput!$C$56:$M$76,MATCH(UserMade_Scenario!B633,UserInput!$A$56:$A$76,0),MATCH(LEFT(IF(RIGHT(C633,2)="H2",UserMade_Scenario!C633,D633),3),UserInput!$C$25:$M$25,0))</f>
        <v>0</v>
      </c>
      <c r="F633" t="s">
        <v>81</v>
      </c>
      <c r="G633" s="14">
        <f t="shared" si="182"/>
        <v>0</v>
      </c>
      <c r="H633" s="63">
        <f t="shared" si="172"/>
        <v>0</v>
      </c>
      <c r="I633" s="63">
        <f t="shared" si="173"/>
        <v>0</v>
      </c>
      <c r="J633" s="63">
        <f t="shared" si="174"/>
        <v>0</v>
      </c>
      <c r="K633" s="30">
        <f>IF(OR(LEFT($D633,5)="Solar",$D633="Wind"),INDEX(Land_Use[AVG],MATCH(LEFT($D633,5),Land_Use[Tech],0)),0)*$E633</f>
        <v>0</v>
      </c>
      <c r="L633" s="30">
        <f>IF(OR(LEFT($D633,5)="Solar",$D633="Wind"),INDEX(Land_Use[MIN],MATCH(LEFT($D633,5),Land_Use[Tech],0)),0)*$E633</f>
        <v>0</v>
      </c>
      <c r="M633" s="30">
        <f>IF(OR(LEFT($D633,5)="Solar",$D633="Wind"),INDEX(Land_Use[MAX],MATCH(LEFT($D633,5),Land_Use[Tech],0)),0)*$E633</f>
        <v>0</v>
      </c>
      <c r="N633" s="15">
        <f t="shared" si="183"/>
        <v>0</v>
      </c>
      <c r="O633" s="11">
        <f t="shared" si="184"/>
        <v>0</v>
      </c>
      <c r="P633" s="11">
        <f t="shared" si="185"/>
        <v>0</v>
      </c>
      <c r="Q633" s="11">
        <f t="shared" si="186"/>
        <v>0</v>
      </c>
      <c r="R633" s="11">
        <f t="shared" si="187"/>
        <v>0</v>
      </c>
      <c r="S633" s="30">
        <f t="shared" si="175"/>
        <v>0</v>
      </c>
      <c r="T633" s="30">
        <f t="shared" si="176"/>
        <v>0</v>
      </c>
      <c r="U633" s="30">
        <f t="shared" si="177"/>
        <v>0</v>
      </c>
      <c r="V633" s="30">
        <f t="shared" si="178"/>
        <v>0</v>
      </c>
      <c r="W633" s="30">
        <f t="shared" si="179"/>
        <v>0</v>
      </c>
      <c r="X633" s="30">
        <f t="shared" si="180"/>
        <v>0</v>
      </c>
      <c r="Z633" s="23" t="s">
        <v>76</v>
      </c>
      <c r="AA633" s="40">
        <f>IF(C633="Electricity",E633*SUMIFS(Electricity!S:S,Electricity!P:P,UserMade_Scenario!B633,Electricity!M:M,UserMade_Scenario!Z633,Electricity!O:O,UserMade_Scenario!D633),"")</f>
        <v>0</v>
      </c>
      <c r="AB633" s="76">
        <f>1/Assumptions!$B$23/1000000000000</f>
        <v>3.5998225679871703E-9</v>
      </c>
      <c r="AC633" s="67" t="s">
        <v>82</v>
      </c>
      <c r="AD633" s="69">
        <f>INDEX(Table11[AVG
CO2e MT per MWh],MATCH(UserMade_Scenario!$B633,Table11[[Year]:[Year]],0))</f>
        <v>-0.13980645780000001</v>
      </c>
      <c r="AE633" s="69">
        <f>INDEX(Table11[MIN
CO2e MT per MWh],MATCH(UserMade_Scenario!$B633,Table11[[Year]:[Year]],0))</f>
        <v>-0.12689236385</v>
      </c>
      <c r="AF633" s="69">
        <f>INDEX(Table11[MAX CO2e MT per MWh],MATCH(UserMade_Scenario!$B633,Table11[[Year]:[Year]],0))</f>
        <v>-0.15272055075000002</v>
      </c>
      <c r="AG633" s="68">
        <f>IFERROR(INDEX(WaterUseH2[Average Direct Water Consumption (Gal/ kg h2)],MATCH(LEFT(D633,3),WaterUseH2[Key],0)),0)</f>
        <v>0</v>
      </c>
      <c r="AH633">
        <v>14</v>
      </c>
      <c r="AI633">
        <v>1.4</v>
      </c>
      <c r="AJ633">
        <v>250</v>
      </c>
      <c r="AK633">
        <v>0.31</v>
      </c>
      <c r="AL633" s="63">
        <f>IFERROR(INDEX(Job_Training[[Solar]:[Wind]],MATCH(AL$1,Job_Training[[`Typical Entry Level Education`]:[`Typical Entry Level Education`]],0),MATCH(LEFT($D633,5),Job_Training[[#Headers],[Solar]:[Wind]],0)),0)</f>
        <v>0</v>
      </c>
      <c r="AM633" s="63">
        <f>IFERROR(INDEX(Job_Training[[Solar]:[Wind]],MATCH(AM$1,Job_Training[[`Typical Entry Level Education`]:[`Typical Entry Level Education`]],0),MATCH(LEFT($D633,5),Job_Training[[#Headers],[Solar]:[Wind]],0)),0)</f>
        <v>0</v>
      </c>
      <c r="AN633" s="63">
        <f>IFERROR(INDEX(Job_Training[[Solar]:[Wind]],MATCH(AN$1,Job_Training[[`Typical Entry Level Education`]:[`Typical Entry Level Education`]],0),MATCH(LEFT($D633,5),Job_Training[[#Headers],[Solar]:[Wind]],0)),0)</f>
        <v>0</v>
      </c>
      <c r="AO633" s="63">
        <f>IFERROR(INDEX(Job_Training[[Solar]:[Wind]],MATCH(AO$1,Job_Training[[`Typical Entry Level Education`]:[`Typical Entry Level Education`]],0),MATCH(LEFT($D633,5),Job_Training[[#Headers],[Solar]:[Wind]],0)),0)</f>
        <v>0</v>
      </c>
      <c r="AP633">
        <f t="shared" si="181"/>
        <v>0</v>
      </c>
      <c r="AQ633" s="63">
        <f>IF(AP633&gt;0,IFERROR(INDEX(Assumptions!$C$165:$D$165,MATCH(LEFT($D633,5),Job_Training[[#Headers],[Solar]:[Wind]],0)),0),0)</f>
        <v>0</v>
      </c>
      <c r="AR633">
        <f>IF(AP633&gt;0,IFERROR(INDEX(Assumptions!$C$166:$D$166,MATCH(LEFT($D633,5),Job_Training[[#Headers],[Solar]:[Wind]],0)),0),0)</f>
        <v>0</v>
      </c>
    </row>
    <row r="634" spans="1:44" hidden="1" x14ac:dyDescent="0.35">
      <c r="A634" t="str">
        <f>UserInput!$B$56</f>
        <v>Max Buildout</v>
      </c>
      <c r="B634">
        <v>2027</v>
      </c>
      <c r="C634" t="s">
        <v>41</v>
      </c>
      <c r="D634" t="s">
        <v>86</v>
      </c>
      <c r="E634" s="66">
        <f>INDEX(UserInput!$C$56:$M$76,MATCH(UserMade_Scenario!B634,UserInput!$A$56:$A$76,0),MATCH(LEFT(IF(RIGHT(C634,2)="H2",UserMade_Scenario!C634,D634),3),UserInput!$C$25:$M$25,0))</f>
        <v>0</v>
      </c>
      <c r="F634" t="s">
        <v>81</v>
      </c>
      <c r="G634" s="14">
        <f t="shared" si="182"/>
        <v>0</v>
      </c>
      <c r="H634" s="63">
        <f t="shared" si="172"/>
        <v>0</v>
      </c>
      <c r="I634" s="63">
        <f t="shared" si="173"/>
        <v>0</v>
      </c>
      <c r="J634" s="63">
        <f t="shared" si="174"/>
        <v>0</v>
      </c>
      <c r="K634" s="30">
        <f>IF(OR(LEFT($D634,5)="Solar",$D634="Wind"),INDEX(Land_Use[AVG],MATCH(LEFT($D634,5),Land_Use[Tech],0)),0)*$E634</f>
        <v>0</v>
      </c>
      <c r="L634" s="30">
        <f>IF(OR(LEFT($D634,5)="Solar",$D634="Wind"),INDEX(Land_Use[MIN],MATCH(LEFT($D634,5),Land_Use[Tech],0)),0)*$E634</f>
        <v>0</v>
      </c>
      <c r="M634" s="30">
        <f>IF(OR(LEFT($D634,5)="Solar",$D634="Wind"),INDEX(Land_Use[MAX],MATCH(LEFT($D634,5),Land_Use[Tech],0)),0)*$E634</f>
        <v>0</v>
      </c>
      <c r="N634" s="15">
        <f t="shared" si="183"/>
        <v>0</v>
      </c>
      <c r="O634" s="11">
        <f t="shared" si="184"/>
        <v>0</v>
      </c>
      <c r="P634" s="11">
        <f t="shared" si="185"/>
        <v>0</v>
      </c>
      <c r="Q634" s="11">
        <f t="shared" si="186"/>
        <v>0</v>
      </c>
      <c r="R634" s="11">
        <f t="shared" si="187"/>
        <v>0</v>
      </c>
      <c r="S634" s="30">
        <f t="shared" si="175"/>
        <v>0</v>
      </c>
      <c r="T634" s="30">
        <f t="shared" si="176"/>
        <v>0</v>
      </c>
      <c r="U634" s="30">
        <f t="shared" si="177"/>
        <v>0</v>
      </c>
      <c r="V634" s="30">
        <f t="shared" si="178"/>
        <v>0</v>
      </c>
      <c r="W634" s="30">
        <f t="shared" si="179"/>
        <v>0</v>
      </c>
      <c r="X634" s="30">
        <f t="shared" si="180"/>
        <v>0</v>
      </c>
      <c r="Z634" s="23" t="s">
        <v>76</v>
      </c>
      <c r="AA634" s="40">
        <f>IF(C634="Electricity",E634*SUMIFS(Electricity!S:S,Electricity!P:P,UserMade_Scenario!B634,Electricity!M:M,UserMade_Scenario!Z634,Electricity!O:O,UserMade_Scenario!D634),"")</f>
        <v>0</v>
      </c>
      <c r="AB634" s="76">
        <f>1/Assumptions!$B$23/1000000000000</f>
        <v>3.5998225679871703E-9</v>
      </c>
      <c r="AC634" s="67" t="s">
        <v>82</v>
      </c>
      <c r="AD634" s="69">
        <f>INDEX(Table11[AVG
CO2e MT per MWh],MATCH(UserMade_Scenario!$B634,Table11[[Year]:[Year]],0))</f>
        <v>-0.1355825336</v>
      </c>
      <c r="AE634" s="69">
        <f>INDEX(Table11[MIN
CO2e MT per MWh],MATCH(UserMade_Scenario!$B634,Table11[[Year]:[Year]],0))</f>
        <v>-0.1217345967</v>
      </c>
      <c r="AF634" s="69">
        <f>INDEX(Table11[MAX CO2e MT per MWh],MATCH(UserMade_Scenario!$B634,Table11[[Year]:[Year]],0))</f>
        <v>-0.14943046950000002</v>
      </c>
      <c r="AG634" s="68">
        <f>IFERROR(INDEX(WaterUseH2[Average Direct Water Consumption (Gal/ kg h2)],MATCH(LEFT(D634,3),WaterUseH2[Key],0)),0)</f>
        <v>0</v>
      </c>
      <c r="AH634">
        <v>14</v>
      </c>
      <c r="AI634">
        <v>1.4</v>
      </c>
      <c r="AJ634">
        <v>250</v>
      </c>
      <c r="AK634">
        <v>0.31</v>
      </c>
      <c r="AL634" s="63">
        <f>IFERROR(INDEX(Job_Training[[Solar]:[Wind]],MATCH(AL$1,Job_Training[[`Typical Entry Level Education`]:[`Typical Entry Level Education`]],0),MATCH(LEFT($D634,5),Job_Training[[#Headers],[Solar]:[Wind]],0)),0)</f>
        <v>0</v>
      </c>
      <c r="AM634" s="63">
        <f>IFERROR(INDEX(Job_Training[[Solar]:[Wind]],MATCH(AM$1,Job_Training[[`Typical Entry Level Education`]:[`Typical Entry Level Education`]],0),MATCH(LEFT($D634,5),Job_Training[[#Headers],[Solar]:[Wind]],0)),0)</f>
        <v>0</v>
      </c>
      <c r="AN634" s="63">
        <f>IFERROR(INDEX(Job_Training[[Solar]:[Wind]],MATCH(AN$1,Job_Training[[`Typical Entry Level Education`]:[`Typical Entry Level Education`]],0),MATCH(LEFT($D634,5),Job_Training[[#Headers],[Solar]:[Wind]],0)),0)</f>
        <v>0</v>
      </c>
      <c r="AO634" s="63">
        <f>IFERROR(INDEX(Job_Training[[Solar]:[Wind]],MATCH(AO$1,Job_Training[[`Typical Entry Level Education`]:[`Typical Entry Level Education`]],0),MATCH(LEFT($D634,5),Job_Training[[#Headers],[Solar]:[Wind]],0)),0)</f>
        <v>0</v>
      </c>
      <c r="AP634">
        <f t="shared" si="181"/>
        <v>0</v>
      </c>
      <c r="AQ634" s="63">
        <f>IF(AP634&gt;0,IFERROR(INDEX(Assumptions!$C$165:$D$165,MATCH(LEFT($D634,5),Job_Training[[#Headers],[Solar]:[Wind]],0)),0),0)</f>
        <v>0</v>
      </c>
      <c r="AR634">
        <f>IF(AP634&gt;0,IFERROR(INDEX(Assumptions!$C$166:$D$166,MATCH(LEFT($D634,5),Job_Training[[#Headers],[Solar]:[Wind]],0)),0),0)</f>
        <v>0</v>
      </c>
    </row>
    <row r="635" spans="1:44" hidden="1" x14ac:dyDescent="0.35">
      <c r="A635" t="str">
        <f>UserInput!$B$56</f>
        <v>Max Buildout</v>
      </c>
      <c r="B635">
        <v>2028</v>
      </c>
      <c r="C635" t="s">
        <v>41</v>
      </c>
      <c r="D635" t="s">
        <v>86</v>
      </c>
      <c r="E635" s="66">
        <f>INDEX(UserInput!$C$56:$M$76,MATCH(UserMade_Scenario!B635,UserInput!$A$56:$A$76,0),MATCH(LEFT(IF(RIGHT(C635,2)="H2",UserMade_Scenario!C635,D635),3),UserInput!$C$25:$M$25,0))</f>
        <v>0</v>
      </c>
      <c r="F635" t="s">
        <v>81</v>
      </c>
      <c r="G635" s="14">
        <f t="shared" si="182"/>
        <v>0</v>
      </c>
      <c r="H635" s="63">
        <f t="shared" ref="H635:H698" si="188">IF($C635="Electricity",$AA635/1000000,$G635)*AD635*-1</f>
        <v>0</v>
      </c>
      <c r="I635" s="63">
        <f t="shared" ref="I635:I698" si="189">IF($C635="Electricity",$AA635/1000000,$G635)*AE635*-1</f>
        <v>0</v>
      </c>
      <c r="J635" s="63">
        <f t="shared" ref="J635:J698" si="190">IF($C635="Electricity",$AA635/1000000,$G635)*AF635*-1</f>
        <v>0</v>
      </c>
      <c r="K635" s="30">
        <f>IF(OR(LEFT($D635,5)="Solar",$D635="Wind"),INDEX(Land_Use[AVG],MATCH(LEFT($D635,5),Land_Use[Tech],0)),0)*$E635</f>
        <v>0</v>
      </c>
      <c r="L635" s="30">
        <f>IF(OR(LEFT($D635,5)="Solar",$D635="Wind"),INDEX(Land_Use[MIN],MATCH(LEFT($D635,5),Land_Use[Tech],0)),0)*$E635</f>
        <v>0</v>
      </c>
      <c r="M635" s="30">
        <f>IF(OR(LEFT($D635,5)="Solar",$D635="Wind"),INDEX(Land_Use[MAX],MATCH(LEFT($D635,5),Land_Use[Tech],0)),0)*$E635</f>
        <v>0</v>
      </c>
      <c r="N635" s="15">
        <f t="shared" si="183"/>
        <v>0</v>
      </c>
      <c r="O635" s="11">
        <f t="shared" si="184"/>
        <v>0</v>
      </c>
      <c r="P635" s="11">
        <f t="shared" si="185"/>
        <v>0</v>
      </c>
      <c r="Q635" s="11">
        <f t="shared" si="186"/>
        <v>0</v>
      </c>
      <c r="R635" s="11">
        <f t="shared" si="187"/>
        <v>0</v>
      </c>
      <c r="S635" s="30">
        <f t="shared" si="175"/>
        <v>0</v>
      </c>
      <c r="T635" s="30">
        <f t="shared" si="176"/>
        <v>0</v>
      </c>
      <c r="U635" s="30">
        <f t="shared" si="177"/>
        <v>0</v>
      </c>
      <c r="V635" s="30">
        <f t="shared" si="178"/>
        <v>0</v>
      </c>
      <c r="W635" s="30">
        <f t="shared" si="179"/>
        <v>0</v>
      </c>
      <c r="X635" s="30">
        <f t="shared" si="180"/>
        <v>0</v>
      </c>
      <c r="Z635" s="23" t="s">
        <v>76</v>
      </c>
      <c r="AA635" s="40">
        <f>IF(C635="Electricity",E635*SUMIFS(Electricity!S:S,Electricity!P:P,UserMade_Scenario!B635,Electricity!M:M,UserMade_Scenario!Z635,Electricity!O:O,UserMade_Scenario!D635),"")</f>
        <v>0</v>
      </c>
      <c r="AB635" s="76">
        <f>1/Assumptions!$B$23/1000000000000</f>
        <v>3.5998225679871703E-9</v>
      </c>
      <c r="AC635" s="67" t="s">
        <v>82</v>
      </c>
      <c r="AD635" s="69">
        <f>INDEX(Table11[AVG
CO2e MT per MWh],MATCH(UserMade_Scenario!$B635,Table11[[Year]:[Year]],0))</f>
        <v>-0.13135860939999999</v>
      </c>
      <c r="AE635" s="69">
        <f>INDEX(Table11[MIN
CO2e MT per MWh],MATCH(UserMade_Scenario!$B635,Table11[[Year]:[Year]],0))</f>
        <v>-0.11657682955000001</v>
      </c>
      <c r="AF635" s="69">
        <f>INDEX(Table11[MAX CO2e MT per MWh],MATCH(UserMade_Scenario!$B635,Table11[[Year]:[Year]],0))</f>
        <v>-0.14614038825000003</v>
      </c>
      <c r="AG635" s="68">
        <f>IFERROR(INDEX(WaterUseH2[Average Direct Water Consumption (Gal/ kg h2)],MATCH(LEFT(D635,3),WaterUseH2[Key],0)),0)</f>
        <v>0</v>
      </c>
      <c r="AH635">
        <v>14</v>
      </c>
      <c r="AI635">
        <v>1.4</v>
      </c>
      <c r="AJ635">
        <v>250</v>
      </c>
      <c r="AK635">
        <v>0.31</v>
      </c>
      <c r="AL635" s="63">
        <f>IFERROR(INDEX(Job_Training[[Solar]:[Wind]],MATCH(AL$1,Job_Training[[`Typical Entry Level Education`]:[`Typical Entry Level Education`]],0),MATCH(LEFT($D635,5),Job_Training[[#Headers],[Solar]:[Wind]],0)),0)</f>
        <v>0</v>
      </c>
      <c r="AM635" s="63">
        <f>IFERROR(INDEX(Job_Training[[Solar]:[Wind]],MATCH(AM$1,Job_Training[[`Typical Entry Level Education`]:[`Typical Entry Level Education`]],0),MATCH(LEFT($D635,5),Job_Training[[#Headers],[Solar]:[Wind]],0)),0)</f>
        <v>0</v>
      </c>
      <c r="AN635" s="63">
        <f>IFERROR(INDEX(Job_Training[[Solar]:[Wind]],MATCH(AN$1,Job_Training[[`Typical Entry Level Education`]:[`Typical Entry Level Education`]],0),MATCH(LEFT($D635,5),Job_Training[[#Headers],[Solar]:[Wind]],0)),0)</f>
        <v>0</v>
      </c>
      <c r="AO635" s="63">
        <f>IFERROR(INDEX(Job_Training[[Solar]:[Wind]],MATCH(AO$1,Job_Training[[`Typical Entry Level Education`]:[`Typical Entry Level Education`]],0),MATCH(LEFT($D635,5),Job_Training[[#Headers],[Solar]:[Wind]],0)),0)</f>
        <v>0</v>
      </c>
      <c r="AP635">
        <f t="shared" si="181"/>
        <v>0</v>
      </c>
      <c r="AQ635" s="63">
        <f>IF(AP635&gt;0,IFERROR(INDEX(Assumptions!$C$165:$D$165,MATCH(LEFT($D635,5),Job_Training[[#Headers],[Solar]:[Wind]],0)),0),0)</f>
        <v>0</v>
      </c>
      <c r="AR635">
        <f>IF(AP635&gt;0,IFERROR(INDEX(Assumptions!$C$166:$D$166,MATCH(LEFT($D635,5),Job_Training[[#Headers],[Solar]:[Wind]],0)),0),0)</f>
        <v>0</v>
      </c>
    </row>
    <row r="636" spans="1:44" hidden="1" x14ac:dyDescent="0.35">
      <c r="A636" t="str">
        <f>UserInput!$B$56</f>
        <v>Max Buildout</v>
      </c>
      <c r="B636">
        <v>2029</v>
      </c>
      <c r="C636" t="s">
        <v>41</v>
      </c>
      <c r="D636" t="s">
        <v>86</v>
      </c>
      <c r="E636" s="66">
        <f>INDEX(UserInput!$C$56:$M$76,MATCH(UserMade_Scenario!B636,UserInput!$A$56:$A$76,0),MATCH(LEFT(IF(RIGHT(C636,2)="H2",UserMade_Scenario!C636,D636),3),UserInput!$C$25:$M$25,0))</f>
        <v>0</v>
      </c>
      <c r="F636" t="s">
        <v>81</v>
      </c>
      <c r="G636" s="14">
        <f t="shared" si="182"/>
        <v>0</v>
      </c>
      <c r="H636" s="63">
        <f t="shared" si="188"/>
        <v>0</v>
      </c>
      <c r="I636" s="63">
        <f t="shared" si="189"/>
        <v>0</v>
      </c>
      <c r="J636" s="63">
        <f t="shared" si="190"/>
        <v>0</v>
      </c>
      <c r="K636" s="30">
        <f>IF(OR(LEFT($D636,5)="Solar",$D636="Wind"),INDEX(Land_Use[AVG],MATCH(LEFT($D636,5),Land_Use[Tech],0)),0)*$E636</f>
        <v>0</v>
      </c>
      <c r="L636" s="30">
        <f>IF(OR(LEFT($D636,5)="Solar",$D636="Wind"),INDEX(Land_Use[MIN],MATCH(LEFT($D636,5),Land_Use[Tech],0)),0)*$E636</f>
        <v>0</v>
      </c>
      <c r="M636" s="30">
        <f>IF(OR(LEFT($D636,5)="Solar",$D636="Wind"),INDEX(Land_Use[MAX],MATCH(LEFT($D636,5),Land_Use[Tech],0)),0)*$E636</f>
        <v>0</v>
      </c>
      <c r="N636" s="15">
        <f t="shared" si="183"/>
        <v>0</v>
      </c>
      <c r="O636" s="11">
        <f t="shared" si="184"/>
        <v>0</v>
      </c>
      <c r="P636" s="11">
        <f t="shared" si="185"/>
        <v>0</v>
      </c>
      <c r="Q636" s="11">
        <f t="shared" si="186"/>
        <v>0</v>
      </c>
      <c r="R636" s="11">
        <f t="shared" si="187"/>
        <v>0</v>
      </c>
      <c r="S636" s="30">
        <f t="shared" si="175"/>
        <v>0</v>
      </c>
      <c r="T636" s="30">
        <f t="shared" si="176"/>
        <v>0</v>
      </c>
      <c r="U636" s="30">
        <f t="shared" si="177"/>
        <v>0</v>
      </c>
      <c r="V636" s="30">
        <f t="shared" si="178"/>
        <v>0</v>
      </c>
      <c r="W636" s="30">
        <f t="shared" si="179"/>
        <v>0</v>
      </c>
      <c r="X636" s="30">
        <f t="shared" si="180"/>
        <v>0</v>
      </c>
      <c r="Z636" s="23" t="s">
        <v>76</v>
      </c>
      <c r="AA636" s="40">
        <f>IF(C636="Electricity",E636*SUMIFS(Electricity!S:S,Electricity!P:P,UserMade_Scenario!B636,Electricity!M:M,UserMade_Scenario!Z636,Electricity!O:O,UserMade_Scenario!D636),"")</f>
        <v>0</v>
      </c>
      <c r="AB636" s="76">
        <f>1/Assumptions!$B$23/1000000000000</f>
        <v>3.5998225679871703E-9</v>
      </c>
      <c r="AC636" s="67" t="s">
        <v>82</v>
      </c>
      <c r="AD636" s="69">
        <f>INDEX(Table11[AVG
CO2e MT per MWh],MATCH(UserMade_Scenario!$B636,Table11[[Year]:[Year]],0))</f>
        <v>-0.12713468519999999</v>
      </c>
      <c r="AE636" s="69">
        <f>INDEX(Table11[MIN
CO2e MT per MWh],MATCH(UserMade_Scenario!$B636,Table11[[Year]:[Year]],0))</f>
        <v>-0.11141906240000002</v>
      </c>
      <c r="AF636" s="69">
        <f>INDEX(Table11[MAX CO2e MT per MWh],MATCH(UserMade_Scenario!$B636,Table11[[Year]:[Year]],0))</f>
        <v>-0.14285030700000004</v>
      </c>
      <c r="AG636" s="68">
        <f>IFERROR(INDEX(WaterUseH2[Average Direct Water Consumption (Gal/ kg h2)],MATCH(LEFT(D636,3),WaterUseH2[Key],0)),0)</f>
        <v>0</v>
      </c>
      <c r="AH636">
        <v>14</v>
      </c>
      <c r="AI636">
        <v>1.4</v>
      </c>
      <c r="AJ636">
        <v>250</v>
      </c>
      <c r="AK636">
        <v>0.31</v>
      </c>
      <c r="AL636" s="63">
        <f>IFERROR(INDEX(Job_Training[[Solar]:[Wind]],MATCH(AL$1,Job_Training[[`Typical Entry Level Education`]:[`Typical Entry Level Education`]],0),MATCH(LEFT($D636,5),Job_Training[[#Headers],[Solar]:[Wind]],0)),0)</f>
        <v>0</v>
      </c>
      <c r="AM636" s="63">
        <f>IFERROR(INDEX(Job_Training[[Solar]:[Wind]],MATCH(AM$1,Job_Training[[`Typical Entry Level Education`]:[`Typical Entry Level Education`]],0),MATCH(LEFT($D636,5),Job_Training[[#Headers],[Solar]:[Wind]],0)),0)</f>
        <v>0</v>
      </c>
      <c r="AN636" s="63">
        <f>IFERROR(INDEX(Job_Training[[Solar]:[Wind]],MATCH(AN$1,Job_Training[[`Typical Entry Level Education`]:[`Typical Entry Level Education`]],0),MATCH(LEFT($D636,5),Job_Training[[#Headers],[Solar]:[Wind]],0)),0)</f>
        <v>0</v>
      </c>
      <c r="AO636" s="63">
        <f>IFERROR(INDEX(Job_Training[[Solar]:[Wind]],MATCH(AO$1,Job_Training[[`Typical Entry Level Education`]:[`Typical Entry Level Education`]],0),MATCH(LEFT($D636,5),Job_Training[[#Headers],[Solar]:[Wind]],0)),0)</f>
        <v>0</v>
      </c>
      <c r="AP636">
        <f t="shared" si="181"/>
        <v>0</v>
      </c>
      <c r="AQ636" s="63">
        <f>IF(AP636&gt;0,IFERROR(INDEX(Assumptions!$C$165:$D$165,MATCH(LEFT($D636,5),Job_Training[[#Headers],[Solar]:[Wind]],0)),0),0)</f>
        <v>0</v>
      </c>
      <c r="AR636">
        <f>IF(AP636&gt;0,IFERROR(INDEX(Assumptions!$C$166:$D$166,MATCH(LEFT($D636,5),Job_Training[[#Headers],[Solar]:[Wind]],0)),0),0)</f>
        <v>0</v>
      </c>
    </row>
    <row r="637" spans="1:44" hidden="1" x14ac:dyDescent="0.35">
      <c r="A637" t="str">
        <f>UserInput!$B$56</f>
        <v>Max Buildout</v>
      </c>
      <c r="B637">
        <v>2030</v>
      </c>
      <c r="C637" t="s">
        <v>41</v>
      </c>
      <c r="D637" t="s">
        <v>86</v>
      </c>
      <c r="E637" s="66">
        <f>INDEX(UserInput!$C$56:$M$76,MATCH(UserMade_Scenario!B637,UserInput!$A$56:$A$76,0),MATCH(LEFT(IF(RIGHT(C637,2)="H2",UserMade_Scenario!C637,D637),3),UserInput!$C$25:$M$25,0))</f>
        <v>0</v>
      </c>
      <c r="F637" t="s">
        <v>81</v>
      </c>
      <c r="G637" s="14">
        <f t="shared" si="182"/>
        <v>0</v>
      </c>
      <c r="H637" s="63">
        <f t="shared" si="188"/>
        <v>0</v>
      </c>
      <c r="I637" s="63">
        <f t="shared" si="189"/>
        <v>0</v>
      </c>
      <c r="J637" s="63">
        <f t="shared" si="190"/>
        <v>0</v>
      </c>
      <c r="K637" s="30">
        <f>IF(OR(LEFT($D637,5)="Solar",$D637="Wind"),INDEX(Land_Use[AVG],MATCH(LEFT($D637,5),Land_Use[Tech],0)),0)*$E637</f>
        <v>0</v>
      </c>
      <c r="L637" s="30">
        <f>IF(OR(LEFT($D637,5)="Solar",$D637="Wind"),INDEX(Land_Use[MIN],MATCH(LEFT($D637,5),Land_Use[Tech],0)),0)*$E637</f>
        <v>0</v>
      </c>
      <c r="M637" s="30">
        <f>IF(OR(LEFT($D637,5)="Solar",$D637="Wind"),INDEX(Land_Use[MAX],MATCH(LEFT($D637,5),Land_Use[Tech],0)),0)*$E637</f>
        <v>0</v>
      </c>
      <c r="N637" s="15">
        <f t="shared" si="183"/>
        <v>0</v>
      </c>
      <c r="O637" s="11">
        <f t="shared" si="184"/>
        <v>0</v>
      </c>
      <c r="P637" s="11">
        <f t="shared" si="185"/>
        <v>0</v>
      </c>
      <c r="Q637" s="11">
        <f t="shared" si="186"/>
        <v>0</v>
      </c>
      <c r="R637" s="11">
        <f t="shared" si="187"/>
        <v>0</v>
      </c>
      <c r="S637" s="30">
        <f t="shared" si="175"/>
        <v>0</v>
      </c>
      <c r="T637" s="30">
        <f t="shared" si="176"/>
        <v>0</v>
      </c>
      <c r="U637" s="30">
        <f t="shared" si="177"/>
        <v>0</v>
      </c>
      <c r="V637" s="30">
        <f t="shared" si="178"/>
        <v>0</v>
      </c>
      <c r="W637" s="30">
        <f t="shared" si="179"/>
        <v>0</v>
      </c>
      <c r="X637" s="30">
        <f t="shared" si="180"/>
        <v>0</v>
      </c>
      <c r="Z637" s="23" t="s">
        <v>76</v>
      </c>
      <c r="AA637" s="40">
        <f>IF(C637="Electricity",E637*SUMIFS(Electricity!S:S,Electricity!P:P,UserMade_Scenario!B637,Electricity!M:M,UserMade_Scenario!Z637,Electricity!O:O,UserMade_Scenario!D637),"")</f>
        <v>0</v>
      </c>
      <c r="AB637" s="76">
        <f>1/Assumptions!$B$23/1000000000000</f>
        <v>3.5998225679871703E-9</v>
      </c>
      <c r="AC637" s="67" t="s">
        <v>82</v>
      </c>
      <c r="AD637" s="69">
        <f>INDEX(Table11[AVG
CO2e MT per MWh],MATCH(UserMade_Scenario!$B637,Table11[[Year]:[Year]],0))</f>
        <v>-0.12291076099999998</v>
      </c>
      <c r="AE637" s="69">
        <f>INDEX(Table11[MIN
CO2e MT per MWh],MATCH(UserMade_Scenario!$B637,Table11[[Year]:[Year]],0))</f>
        <v>-0.10626129525000003</v>
      </c>
      <c r="AF637" s="69">
        <f>INDEX(Table11[MAX CO2e MT per MWh],MATCH(UserMade_Scenario!$B637,Table11[[Year]:[Year]],0))</f>
        <v>-0.13956022575000004</v>
      </c>
      <c r="AG637" s="68">
        <f>IFERROR(INDEX(WaterUseH2[Average Direct Water Consumption (Gal/ kg h2)],MATCH(LEFT(D637,3),WaterUseH2[Key],0)),0)</f>
        <v>0</v>
      </c>
      <c r="AH637">
        <v>14</v>
      </c>
      <c r="AI637">
        <v>1.4</v>
      </c>
      <c r="AJ637">
        <v>250</v>
      </c>
      <c r="AK637">
        <v>0.31</v>
      </c>
      <c r="AL637" s="63">
        <f>IFERROR(INDEX(Job_Training[[Solar]:[Wind]],MATCH(AL$1,Job_Training[[`Typical Entry Level Education`]:[`Typical Entry Level Education`]],0),MATCH(LEFT($D637,5),Job_Training[[#Headers],[Solar]:[Wind]],0)),0)</f>
        <v>0</v>
      </c>
      <c r="AM637" s="63">
        <f>IFERROR(INDEX(Job_Training[[Solar]:[Wind]],MATCH(AM$1,Job_Training[[`Typical Entry Level Education`]:[`Typical Entry Level Education`]],0),MATCH(LEFT($D637,5),Job_Training[[#Headers],[Solar]:[Wind]],0)),0)</f>
        <v>0</v>
      </c>
      <c r="AN637" s="63">
        <f>IFERROR(INDEX(Job_Training[[Solar]:[Wind]],MATCH(AN$1,Job_Training[[`Typical Entry Level Education`]:[`Typical Entry Level Education`]],0),MATCH(LEFT($D637,5),Job_Training[[#Headers],[Solar]:[Wind]],0)),0)</f>
        <v>0</v>
      </c>
      <c r="AO637" s="63">
        <f>IFERROR(INDEX(Job_Training[[Solar]:[Wind]],MATCH(AO$1,Job_Training[[`Typical Entry Level Education`]:[`Typical Entry Level Education`]],0),MATCH(LEFT($D637,5),Job_Training[[#Headers],[Solar]:[Wind]],0)),0)</f>
        <v>0</v>
      </c>
      <c r="AP637">
        <f t="shared" si="181"/>
        <v>0</v>
      </c>
      <c r="AQ637" s="63">
        <f>IF(AP637&gt;0,IFERROR(INDEX(Assumptions!$C$165:$D$165,MATCH(LEFT($D637,5),Job_Training[[#Headers],[Solar]:[Wind]],0)),0),0)</f>
        <v>0</v>
      </c>
      <c r="AR637">
        <f>IF(AP637&gt;0,IFERROR(INDEX(Assumptions!$C$166:$D$166,MATCH(LEFT($D637,5),Job_Training[[#Headers],[Solar]:[Wind]],0)),0),0)</f>
        <v>0</v>
      </c>
    </row>
    <row r="638" spans="1:44" hidden="1" x14ac:dyDescent="0.35">
      <c r="A638" t="str">
        <f>UserInput!$B$56</f>
        <v>Max Buildout</v>
      </c>
      <c r="B638">
        <v>2031</v>
      </c>
      <c r="C638" t="s">
        <v>41</v>
      </c>
      <c r="D638" t="s">
        <v>86</v>
      </c>
      <c r="E638" s="66">
        <f>INDEX(UserInput!$C$56:$M$76,MATCH(UserMade_Scenario!B638,UserInput!$A$56:$A$76,0),MATCH(LEFT(IF(RIGHT(C638,2)="H2",UserMade_Scenario!C638,D638),3),UserInput!$C$25:$M$25,0))</f>
        <v>0</v>
      </c>
      <c r="F638" t="s">
        <v>81</v>
      </c>
      <c r="G638" s="14">
        <f t="shared" si="182"/>
        <v>0</v>
      </c>
      <c r="H638" s="63">
        <f t="shared" si="188"/>
        <v>0</v>
      </c>
      <c r="I638" s="63">
        <f t="shared" si="189"/>
        <v>0</v>
      </c>
      <c r="J638" s="63">
        <f t="shared" si="190"/>
        <v>0</v>
      </c>
      <c r="K638" s="30">
        <f>IF(OR(LEFT($D638,5)="Solar",$D638="Wind"),INDEX(Land_Use[AVG],MATCH(LEFT($D638,5),Land_Use[Tech],0)),0)*$E638</f>
        <v>0</v>
      </c>
      <c r="L638" s="30">
        <f>IF(OR(LEFT($D638,5)="Solar",$D638="Wind"),INDEX(Land_Use[MIN],MATCH(LEFT($D638,5),Land_Use[Tech],0)),0)*$E638</f>
        <v>0</v>
      </c>
      <c r="M638" s="30">
        <f>IF(OR(LEFT($D638,5)="Solar",$D638="Wind"),INDEX(Land_Use[MAX],MATCH(LEFT($D638,5),Land_Use[Tech],0)),0)*$E638</f>
        <v>0</v>
      </c>
      <c r="N638" s="15">
        <f t="shared" si="183"/>
        <v>0</v>
      </c>
      <c r="O638" s="11">
        <f t="shared" si="184"/>
        <v>0</v>
      </c>
      <c r="P638" s="11">
        <f t="shared" si="185"/>
        <v>0</v>
      </c>
      <c r="Q638" s="11">
        <f t="shared" si="186"/>
        <v>0</v>
      </c>
      <c r="R638" s="11">
        <f t="shared" si="187"/>
        <v>0</v>
      </c>
      <c r="S638" s="30">
        <f t="shared" si="175"/>
        <v>0</v>
      </c>
      <c r="T638" s="30">
        <f t="shared" si="176"/>
        <v>0</v>
      </c>
      <c r="U638" s="30">
        <f t="shared" si="177"/>
        <v>0</v>
      </c>
      <c r="V638" s="30">
        <f t="shared" si="178"/>
        <v>0</v>
      </c>
      <c r="W638" s="30">
        <f t="shared" si="179"/>
        <v>0</v>
      </c>
      <c r="X638" s="30">
        <f t="shared" si="180"/>
        <v>0</v>
      </c>
      <c r="Z638" s="23" t="s">
        <v>76</v>
      </c>
      <c r="AA638" s="40">
        <f>IF(C638="Electricity",E638*SUMIFS(Electricity!S:S,Electricity!P:P,UserMade_Scenario!B638,Electricity!M:M,UserMade_Scenario!Z638,Electricity!O:O,UserMade_Scenario!D638),"")</f>
        <v>0</v>
      </c>
      <c r="AB638" s="76">
        <f>1/Assumptions!$B$23/1000000000000</f>
        <v>3.5998225679871703E-9</v>
      </c>
      <c r="AC638" s="67" t="s">
        <v>82</v>
      </c>
      <c r="AD638" s="69">
        <f>INDEX(Table11[AVG
CO2e MT per MWh],MATCH(UserMade_Scenario!$B638,Table11[[Year]:[Year]],0))</f>
        <v>-0.11868683679999997</v>
      </c>
      <c r="AE638" s="69">
        <f>INDEX(Table11[MIN
CO2e MT per MWh],MATCH(UserMade_Scenario!$B638,Table11[[Year]:[Year]],0))</f>
        <v>-0.10110352810000003</v>
      </c>
      <c r="AF638" s="69">
        <f>INDEX(Table11[MAX CO2e MT per MWh],MATCH(UserMade_Scenario!$B638,Table11[[Year]:[Year]],0))</f>
        <v>-0.13627014450000005</v>
      </c>
      <c r="AG638" s="68">
        <f>IFERROR(INDEX(WaterUseH2[Average Direct Water Consumption (Gal/ kg h2)],MATCH(LEFT(D638,3),WaterUseH2[Key],0)),0)</f>
        <v>0</v>
      </c>
      <c r="AH638">
        <v>14</v>
      </c>
      <c r="AI638">
        <v>1.4</v>
      </c>
      <c r="AJ638">
        <v>250</v>
      </c>
      <c r="AK638">
        <v>0.31</v>
      </c>
      <c r="AL638" s="63">
        <f>IFERROR(INDEX(Job_Training[[Solar]:[Wind]],MATCH(AL$1,Job_Training[[`Typical Entry Level Education`]:[`Typical Entry Level Education`]],0),MATCH(LEFT($D638,5),Job_Training[[#Headers],[Solar]:[Wind]],0)),0)</f>
        <v>0</v>
      </c>
      <c r="AM638" s="63">
        <f>IFERROR(INDEX(Job_Training[[Solar]:[Wind]],MATCH(AM$1,Job_Training[[`Typical Entry Level Education`]:[`Typical Entry Level Education`]],0),MATCH(LEFT($D638,5),Job_Training[[#Headers],[Solar]:[Wind]],0)),0)</f>
        <v>0</v>
      </c>
      <c r="AN638" s="63">
        <f>IFERROR(INDEX(Job_Training[[Solar]:[Wind]],MATCH(AN$1,Job_Training[[`Typical Entry Level Education`]:[`Typical Entry Level Education`]],0),MATCH(LEFT($D638,5),Job_Training[[#Headers],[Solar]:[Wind]],0)),0)</f>
        <v>0</v>
      </c>
      <c r="AO638" s="63">
        <f>IFERROR(INDEX(Job_Training[[Solar]:[Wind]],MATCH(AO$1,Job_Training[[`Typical Entry Level Education`]:[`Typical Entry Level Education`]],0),MATCH(LEFT($D638,5),Job_Training[[#Headers],[Solar]:[Wind]],0)),0)</f>
        <v>0</v>
      </c>
      <c r="AP638">
        <f t="shared" si="181"/>
        <v>0</v>
      </c>
      <c r="AQ638" s="63">
        <f>IF(AP638&gt;0,IFERROR(INDEX(Assumptions!$C$165:$D$165,MATCH(LEFT($D638,5),Job_Training[[#Headers],[Solar]:[Wind]],0)),0),0)</f>
        <v>0</v>
      </c>
      <c r="AR638">
        <f>IF(AP638&gt;0,IFERROR(INDEX(Assumptions!$C$166:$D$166,MATCH(LEFT($D638,5),Job_Training[[#Headers],[Solar]:[Wind]],0)),0),0)</f>
        <v>0</v>
      </c>
    </row>
    <row r="639" spans="1:44" hidden="1" x14ac:dyDescent="0.35">
      <c r="A639" t="str">
        <f>UserInput!$B$56</f>
        <v>Max Buildout</v>
      </c>
      <c r="B639">
        <v>2032</v>
      </c>
      <c r="C639" t="s">
        <v>41</v>
      </c>
      <c r="D639" t="s">
        <v>86</v>
      </c>
      <c r="E639" s="66">
        <f>INDEX(UserInput!$C$56:$M$76,MATCH(UserMade_Scenario!B639,UserInput!$A$56:$A$76,0),MATCH(LEFT(IF(RIGHT(C639,2)="H2",UserMade_Scenario!C639,D639),3),UserInput!$C$25:$M$25,0))</f>
        <v>0</v>
      </c>
      <c r="F639" t="s">
        <v>81</v>
      </c>
      <c r="G639" s="14">
        <f t="shared" si="182"/>
        <v>0</v>
      </c>
      <c r="H639" s="63">
        <f t="shared" si="188"/>
        <v>0</v>
      </c>
      <c r="I639" s="63">
        <f t="shared" si="189"/>
        <v>0</v>
      </c>
      <c r="J639" s="63">
        <f t="shared" si="190"/>
        <v>0</v>
      </c>
      <c r="K639" s="30">
        <f>IF(OR(LEFT($D639,5)="Solar",$D639="Wind"),INDEX(Land_Use[AVG],MATCH(LEFT($D639,5),Land_Use[Tech],0)),0)*$E639</f>
        <v>0</v>
      </c>
      <c r="L639" s="30">
        <f>IF(OR(LEFT($D639,5)="Solar",$D639="Wind"),INDEX(Land_Use[MIN],MATCH(LEFT($D639,5),Land_Use[Tech],0)),0)*$E639</f>
        <v>0</v>
      </c>
      <c r="M639" s="30">
        <f>IF(OR(LEFT($D639,5)="Solar",$D639="Wind"),INDEX(Land_Use[MAX],MATCH(LEFT($D639,5),Land_Use[Tech],0)),0)*$E639</f>
        <v>0</v>
      </c>
      <c r="N639" s="15">
        <f t="shared" si="183"/>
        <v>0</v>
      </c>
      <c r="O639" s="11">
        <f t="shared" si="184"/>
        <v>0</v>
      </c>
      <c r="P639" s="11">
        <f t="shared" si="185"/>
        <v>0</v>
      </c>
      <c r="Q639" s="11">
        <f t="shared" si="186"/>
        <v>0</v>
      </c>
      <c r="R639" s="11">
        <f t="shared" si="187"/>
        <v>0</v>
      </c>
      <c r="S639" s="30">
        <f t="shared" si="175"/>
        <v>0</v>
      </c>
      <c r="T639" s="30">
        <f t="shared" si="176"/>
        <v>0</v>
      </c>
      <c r="U639" s="30">
        <f t="shared" si="177"/>
        <v>0</v>
      </c>
      <c r="V639" s="30">
        <f t="shared" si="178"/>
        <v>0</v>
      </c>
      <c r="W639" s="30">
        <f t="shared" si="179"/>
        <v>0</v>
      </c>
      <c r="X639" s="30">
        <f t="shared" si="180"/>
        <v>0</v>
      </c>
      <c r="Z639" s="23" t="s">
        <v>76</v>
      </c>
      <c r="AA639" s="40">
        <f>IF(C639="Electricity",E639*SUMIFS(Electricity!S:S,Electricity!P:P,UserMade_Scenario!B639,Electricity!M:M,UserMade_Scenario!Z639,Electricity!O:O,UserMade_Scenario!D639),"")</f>
        <v>0</v>
      </c>
      <c r="AB639" s="76">
        <f>1/Assumptions!$B$23/1000000000000</f>
        <v>3.5998225679871703E-9</v>
      </c>
      <c r="AC639" s="67" t="s">
        <v>82</v>
      </c>
      <c r="AD639" s="69">
        <f>INDEX(Table11[AVG
CO2e MT per MWh],MATCH(UserMade_Scenario!$B639,Table11[[Year]:[Year]],0))</f>
        <v>-0.11446291259999997</v>
      </c>
      <c r="AE639" s="69">
        <f>INDEX(Table11[MIN
CO2e MT per MWh],MATCH(UserMade_Scenario!$B639,Table11[[Year]:[Year]],0))</f>
        <v>-9.5945760950000042E-2</v>
      </c>
      <c r="AF639" s="69">
        <f>INDEX(Table11[MAX CO2e MT per MWh],MATCH(UserMade_Scenario!$B639,Table11[[Year]:[Year]],0))</f>
        <v>-0.13298006325000006</v>
      </c>
      <c r="AG639" s="68">
        <f>IFERROR(INDEX(WaterUseH2[Average Direct Water Consumption (Gal/ kg h2)],MATCH(LEFT(D639,3),WaterUseH2[Key],0)),0)</f>
        <v>0</v>
      </c>
      <c r="AH639">
        <v>14</v>
      </c>
      <c r="AI639">
        <v>1.4</v>
      </c>
      <c r="AJ639">
        <v>250</v>
      </c>
      <c r="AK639">
        <v>0.31</v>
      </c>
      <c r="AL639" s="63">
        <f>IFERROR(INDEX(Job_Training[[Solar]:[Wind]],MATCH(AL$1,Job_Training[[`Typical Entry Level Education`]:[`Typical Entry Level Education`]],0),MATCH(LEFT($D639,5),Job_Training[[#Headers],[Solar]:[Wind]],0)),0)</f>
        <v>0</v>
      </c>
      <c r="AM639" s="63">
        <f>IFERROR(INDEX(Job_Training[[Solar]:[Wind]],MATCH(AM$1,Job_Training[[`Typical Entry Level Education`]:[`Typical Entry Level Education`]],0),MATCH(LEFT($D639,5),Job_Training[[#Headers],[Solar]:[Wind]],0)),0)</f>
        <v>0</v>
      </c>
      <c r="AN639" s="63">
        <f>IFERROR(INDEX(Job_Training[[Solar]:[Wind]],MATCH(AN$1,Job_Training[[`Typical Entry Level Education`]:[`Typical Entry Level Education`]],0),MATCH(LEFT($D639,5),Job_Training[[#Headers],[Solar]:[Wind]],0)),0)</f>
        <v>0</v>
      </c>
      <c r="AO639" s="63">
        <f>IFERROR(INDEX(Job_Training[[Solar]:[Wind]],MATCH(AO$1,Job_Training[[`Typical Entry Level Education`]:[`Typical Entry Level Education`]],0),MATCH(LEFT($D639,5),Job_Training[[#Headers],[Solar]:[Wind]],0)),0)</f>
        <v>0</v>
      </c>
      <c r="AP639">
        <f t="shared" si="181"/>
        <v>0</v>
      </c>
      <c r="AQ639" s="63">
        <f>IF(AP639&gt;0,IFERROR(INDEX(Assumptions!$C$165:$D$165,MATCH(LEFT($D639,5),Job_Training[[#Headers],[Solar]:[Wind]],0)),0),0)</f>
        <v>0</v>
      </c>
      <c r="AR639">
        <f>IF(AP639&gt;0,IFERROR(INDEX(Assumptions!$C$166:$D$166,MATCH(LEFT($D639,5),Job_Training[[#Headers],[Solar]:[Wind]],0)),0),0)</f>
        <v>0</v>
      </c>
    </row>
    <row r="640" spans="1:44" hidden="1" x14ac:dyDescent="0.35">
      <c r="A640" t="str">
        <f>UserInput!$B$56</f>
        <v>Max Buildout</v>
      </c>
      <c r="B640">
        <v>2033</v>
      </c>
      <c r="C640" t="s">
        <v>41</v>
      </c>
      <c r="D640" t="s">
        <v>86</v>
      </c>
      <c r="E640" s="66">
        <f>INDEX(UserInput!$C$56:$M$76,MATCH(UserMade_Scenario!B640,UserInput!$A$56:$A$76,0),MATCH(LEFT(IF(RIGHT(C640,2)="H2",UserMade_Scenario!C640,D640),3),UserInput!$C$25:$M$25,0))</f>
        <v>0</v>
      </c>
      <c r="F640" t="s">
        <v>81</v>
      </c>
      <c r="G640" s="14">
        <f t="shared" si="182"/>
        <v>0</v>
      </c>
      <c r="H640" s="63">
        <f t="shared" si="188"/>
        <v>0</v>
      </c>
      <c r="I640" s="63">
        <f t="shared" si="189"/>
        <v>0</v>
      </c>
      <c r="J640" s="63">
        <f t="shared" si="190"/>
        <v>0</v>
      </c>
      <c r="K640" s="30">
        <f>IF(OR(LEFT($D640,5)="Solar",$D640="Wind"),INDEX(Land_Use[AVG],MATCH(LEFT($D640,5),Land_Use[Tech],0)),0)*$E640</f>
        <v>0</v>
      </c>
      <c r="L640" s="30">
        <f>IF(OR(LEFT($D640,5)="Solar",$D640="Wind"),INDEX(Land_Use[MIN],MATCH(LEFT($D640,5),Land_Use[Tech],0)),0)*$E640</f>
        <v>0</v>
      </c>
      <c r="M640" s="30">
        <f>IF(OR(LEFT($D640,5)="Solar",$D640="Wind"),INDEX(Land_Use[MAX],MATCH(LEFT($D640,5),Land_Use[Tech],0)),0)*$E640</f>
        <v>0</v>
      </c>
      <c r="N640" s="15">
        <f t="shared" si="183"/>
        <v>0</v>
      </c>
      <c r="O640" s="11">
        <f t="shared" si="184"/>
        <v>0</v>
      </c>
      <c r="P640" s="11">
        <f t="shared" si="185"/>
        <v>0</v>
      </c>
      <c r="Q640" s="11">
        <f t="shared" si="186"/>
        <v>0</v>
      </c>
      <c r="R640" s="11">
        <f t="shared" si="187"/>
        <v>0</v>
      </c>
      <c r="S640" s="30">
        <f t="shared" si="175"/>
        <v>0</v>
      </c>
      <c r="T640" s="30">
        <f t="shared" si="176"/>
        <v>0</v>
      </c>
      <c r="U640" s="30">
        <f t="shared" si="177"/>
        <v>0</v>
      </c>
      <c r="V640" s="30">
        <f t="shared" si="178"/>
        <v>0</v>
      </c>
      <c r="W640" s="30">
        <f t="shared" si="179"/>
        <v>0</v>
      </c>
      <c r="X640" s="30">
        <f t="shared" si="180"/>
        <v>0</v>
      </c>
      <c r="Z640" s="23" t="s">
        <v>76</v>
      </c>
      <c r="AA640" s="40">
        <f>IF(C640="Electricity",E640*SUMIFS(Electricity!S:S,Electricity!P:P,UserMade_Scenario!B640,Electricity!M:M,UserMade_Scenario!Z640,Electricity!O:O,UserMade_Scenario!D640),"")</f>
        <v>0</v>
      </c>
      <c r="AB640" s="76">
        <f>1/Assumptions!$B$23/1000000000000</f>
        <v>3.5998225679871703E-9</v>
      </c>
      <c r="AC640" s="67" t="s">
        <v>82</v>
      </c>
      <c r="AD640" s="69">
        <f>INDEX(Table11[AVG
CO2e MT per MWh],MATCH(UserMade_Scenario!$B640,Table11[[Year]:[Year]],0))</f>
        <v>-0.11023898839999996</v>
      </c>
      <c r="AE640" s="69">
        <f>INDEX(Table11[MIN
CO2e MT per MWh],MATCH(UserMade_Scenario!$B640,Table11[[Year]:[Year]],0))</f>
        <v>-9.078799380000005E-2</v>
      </c>
      <c r="AF640" s="69">
        <f>INDEX(Table11[MAX CO2e MT per MWh],MATCH(UserMade_Scenario!$B640,Table11[[Year]:[Year]],0))</f>
        <v>-0.12968998200000006</v>
      </c>
      <c r="AG640" s="68">
        <f>IFERROR(INDEX(WaterUseH2[Average Direct Water Consumption (Gal/ kg h2)],MATCH(LEFT(D640,3),WaterUseH2[Key],0)),0)</f>
        <v>0</v>
      </c>
      <c r="AH640">
        <v>14</v>
      </c>
      <c r="AI640">
        <v>1.4</v>
      </c>
      <c r="AJ640">
        <v>250</v>
      </c>
      <c r="AK640">
        <v>0.31</v>
      </c>
      <c r="AL640" s="63">
        <f>IFERROR(INDEX(Job_Training[[Solar]:[Wind]],MATCH(AL$1,Job_Training[[`Typical Entry Level Education`]:[`Typical Entry Level Education`]],0),MATCH(LEFT($D640,5),Job_Training[[#Headers],[Solar]:[Wind]],0)),0)</f>
        <v>0</v>
      </c>
      <c r="AM640" s="63">
        <f>IFERROR(INDEX(Job_Training[[Solar]:[Wind]],MATCH(AM$1,Job_Training[[`Typical Entry Level Education`]:[`Typical Entry Level Education`]],0),MATCH(LEFT($D640,5),Job_Training[[#Headers],[Solar]:[Wind]],0)),0)</f>
        <v>0</v>
      </c>
      <c r="AN640" s="63">
        <f>IFERROR(INDEX(Job_Training[[Solar]:[Wind]],MATCH(AN$1,Job_Training[[`Typical Entry Level Education`]:[`Typical Entry Level Education`]],0),MATCH(LEFT($D640,5),Job_Training[[#Headers],[Solar]:[Wind]],0)),0)</f>
        <v>0</v>
      </c>
      <c r="AO640" s="63">
        <f>IFERROR(INDEX(Job_Training[[Solar]:[Wind]],MATCH(AO$1,Job_Training[[`Typical Entry Level Education`]:[`Typical Entry Level Education`]],0),MATCH(LEFT($D640,5),Job_Training[[#Headers],[Solar]:[Wind]],0)),0)</f>
        <v>0</v>
      </c>
      <c r="AP640">
        <f t="shared" si="181"/>
        <v>0</v>
      </c>
      <c r="AQ640" s="63">
        <f>IF(AP640&gt;0,IFERROR(INDEX(Assumptions!$C$165:$D$165,MATCH(LEFT($D640,5),Job_Training[[#Headers],[Solar]:[Wind]],0)),0),0)</f>
        <v>0</v>
      </c>
      <c r="AR640">
        <f>IF(AP640&gt;0,IFERROR(INDEX(Assumptions!$C$166:$D$166,MATCH(LEFT($D640,5),Job_Training[[#Headers],[Solar]:[Wind]],0)),0),0)</f>
        <v>0</v>
      </c>
    </row>
    <row r="641" spans="1:44" hidden="1" x14ac:dyDescent="0.35">
      <c r="A641" t="str">
        <f>UserInput!$B$56</f>
        <v>Max Buildout</v>
      </c>
      <c r="B641">
        <v>2034</v>
      </c>
      <c r="C641" t="s">
        <v>41</v>
      </c>
      <c r="D641" t="s">
        <v>86</v>
      </c>
      <c r="E641" s="66">
        <f>INDEX(UserInput!$C$56:$M$76,MATCH(UserMade_Scenario!B641,UserInput!$A$56:$A$76,0),MATCH(LEFT(IF(RIGHT(C641,2)="H2",UserMade_Scenario!C641,D641),3),UserInput!$C$25:$M$25,0))</f>
        <v>1000</v>
      </c>
      <c r="F641" t="s">
        <v>81</v>
      </c>
      <c r="G641" s="14">
        <f t="shared" si="182"/>
        <v>6.8954153824011474E-3</v>
      </c>
      <c r="H641" s="63">
        <f t="shared" si="188"/>
        <v>0.20307053768477021</v>
      </c>
      <c r="I641" s="63">
        <f t="shared" si="189"/>
        <v>0.16402363474571435</v>
      </c>
      <c r="J641" s="63">
        <f t="shared" si="190"/>
        <v>0.24211743870833891</v>
      </c>
      <c r="K641" s="30">
        <f>IF(OR(LEFT($D641,5)="Solar",$D641="Wind"),INDEX(Land_Use[AVG],MATCH(LEFT($D641,5),Land_Use[Tech],0)),0)*$E641</f>
        <v>0</v>
      </c>
      <c r="L641" s="30">
        <f>IF(OR(LEFT($D641,5)="Solar",$D641="Wind"),INDEX(Land_Use[MIN],MATCH(LEFT($D641,5),Land_Use[Tech],0)),0)*$E641</f>
        <v>0</v>
      </c>
      <c r="M641" s="30">
        <f>IF(OR(LEFT($D641,5)="Solar",$D641="Wind"),INDEX(Land_Use[MAX],MATCH(LEFT($D641,5),Land_Use[Tech],0)),0)*$E641</f>
        <v>0</v>
      </c>
      <c r="N641" s="15">
        <f t="shared" si="183"/>
        <v>0</v>
      </c>
      <c r="O641" s="11">
        <f t="shared" si="184"/>
        <v>0</v>
      </c>
      <c r="P641" s="11">
        <f t="shared" si="185"/>
        <v>0</v>
      </c>
      <c r="Q641" s="11">
        <f t="shared" si="186"/>
        <v>0</v>
      </c>
      <c r="R641" s="11">
        <f t="shared" si="187"/>
        <v>0</v>
      </c>
      <c r="S641" s="30">
        <f t="shared" si="175"/>
        <v>0</v>
      </c>
      <c r="T641" s="30">
        <f t="shared" si="176"/>
        <v>0</v>
      </c>
      <c r="U641" s="30">
        <f t="shared" si="177"/>
        <v>0</v>
      </c>
      <c r="V641" s="30">
        <f t="shared" si="178"/>
        <v>0</v>
      </c>
      <c r="W641" s="30">
        <f t="shared" si="179"/>
        <v>0</v>
      </c>
      <c r="X641" s="30">
        <f t="shared" si="180"/>
        <v>0</v>
      </c>
      <c r="Z641" s="23" t="s">
        <v>76</v>
      </c>
      <c r="AA641" s="40">
        <f>IF(C641="Electricity",E641*SUMIFS(Electricity!S:S,Electricity!P:P,UserMade_Scenario!B641,Electricity!M:M,UserMade_Scenario!Z641,Electricity!O:O,UserMade_Scenario!D641),"")</f>
        <v>1915487.569782279</v>
      </c>
      <c r="AB641" s="76">
        <f>1/Assumptions!$B$23/1000000000000</f>
        <v>3.5998225679871703E-9</v>
      </c>
      <c r="AC641" s="67" t="s">
        <v>82</v>
      </c>
      <c r="AD641" s="69">
        <f>INDEX(Table11[AVG
CO2e MT per MWh],MATCH(UserMade_Scenario!$B641,Table11[[Year]:[Year]],0))</f>
        <v>-0.10601506419999995</v>
      </c>
      <c r="AE641" s="69">
        <f>INDEX(Table11[MIN
CO2e MT per MWh],MATCH(UserMade_Scenario!$B641,Table11[[Year]:[Year]],0))</f>
        <v>-8.5630226650000058E-2</v>
      </c>
      <c r="AF641" s="69">
        <f>INDEX(Table11[MAX CO2e MT per MWh],MATCH(UserMade_Scenario!$B641,Table11[[Year]:[Year]],0))</f>
        <v>-0.12639990075000007</v>
      </c>
      <c r="AG641" s="68">
        <f>IFERROR(INDEX(WaterUseH2[Average Direct Water Consumption (Gal/ kg h2)],MATCH(LEFT(D641,3),WaterUseH2[Key],0)),0)</f>
        <v>0</v>
      </c>
      <c r="AH641">
        <v>14</v>
      </c>
      <c r="AI641">
        <v>1.4</v>
      </c>
      <c r="AJ641">
        <v>250</v>
      </c>
      <c r="AK641">
        <v>0.31</v>
      </c>
      <c r="AL641" s="63">
        <f>IFERROR(INDEX(Job_Training[[Solar]:[Wind]],MATCH(AL$1,Job_Training[[`Typical Entry Level Education`]:[`Typical Entry Level Education`]],0),MATCH(LEFT($D641,5),Job_Training[[#Headers],[Solar]:[Wind]],0)),0)</f>
        <v>0</v>
      </c>
      <c r="AM641" s="63">
        <f>IFERROR(INDEX(Job_Training[[Solar]:[Wind]],MATCH(AM$1,Job_Training[[`Typical Entry Level Education`]:[`Typical Entry Level Education`]],0),MATCH(LEFT($D641,5),Job_Training[[#Headers],[Solar]:[Wind]],0)),0)</f>
        <v>0</v>
      </c>
      <c r="AN641" s="63">
        <f>IFERROR(INDEX(Job_Training[[Solar]:[Wind]],MATCH(AN$1,Job_Training[[`Typical Entry Level Education`]:[`Typical Entry Level Education`]],0),MATCH(LEFT($D641,5),Job_Training[[#Headers],[Solar]:[Wind]],0)),0)</f>
        <v>0</v>
      </c>
      <c r="AO641" s="63">
        <f>IFERROR(INDEX(Job_Training[[Solar]:[Wind]],MATCH(AO$1,Job_Training[[`Typical Entry Level Education`]:[`Typical Entry Level Education`]],0),MATCH(LEFT($D641,5),Job_Training[[#Headers],[Solar]:[Wind]],0)),0)</f>
        <v>0</v>
      </c>
      <c r="AP641">
        <f t="shared" si="181"/>
        <v>1000</v>
      </c>
      <c r="AQ641" s="63">
        <f>IF(AP641&gt;0,IFERROR(INDEX(Assumptions!$C$165:$D$165,MATCH(LEFT($D641,5),Job_Training[[#Headers],[Solar]:[Wind]],0)),0),0)</f>
        <v>0</v>
      </c>
      <c r="AR641">
        <f>IF(AP641&gt;0,IFERROR(INDEX(Assumptions!$C$166:$D$166,MATCH(LEFT($D641,5),Job_Training[[#Headers],[Solar]:[Wind]],0)),0),0)</f>
        <v>0</v>
      </c>
    </row>
    <row r="642" spans="1:44" hidden="1" x14ac:dyDescent="0.35">
      <c r="A642" t="str">
        <f>UserInput!$B$56</f>
        <v>Max Buildout</v>
      </c>
      <c r="B642">
        <v>2035</v>
      </c>
      <c r="C642" t="s">
        <v>41</v>
      </c>
      <c r="D642" t="s">
        <v>86</v>
      </c>
      <c r="E642" s="66">
        <f>INDEX(UserInput!$C$56:$M$76,MATCH(UserMade_Scenario!B642,UserInput!$A$56:$A$76,0),MATCH(LEFT(IF(RIGHT(C642,2)="H2",UserMade_Scenario!C642,D642),3),UserInput!$C$25:$M$25,0))</f>
        <v>1000</v>
      </c>
      <c r="F642" t="s">
        <v>81</v>
      </c>
      <c r="G642" s="14">
        <f t="shared" si="182"/>
        <v>6.9932771284677451E-3</v>
      </c>
      <c r="H642" s="63">
        <f t="shared" si="188"/>
        <v>0.19774687163003388</v>
      </c>
      <c r="I642" s="63">
        <f t="shared" si="189"/>
        <v>0.15633165242573785</v>
      </c>
      <c r="J642" s="63">
        <f t="shared" si="190"/>
        <v>0.23916208889165763</v>
      </c>
      <c r="K642" s="30">
        <f>IF(OR(LEFT($D642,5)="Solar",$D642="Wind"),INDEX(Land_Use[AVG],MATCH(LEFT($D642,5),Land_Use[Tech],0)),0)*$E642</f>
        <v>0</v>
      </c>
      <c r="L642" s="30">
        <f>IF(OR(LEFT($D642,5)="Solar",$D642="Wind"),INDEX(Land_Use[MIN],MATCH(LEFT($D642,5),Land_Use[Tech],0)),0)*$E642</f>
        <v>0</v>
      </c>
      <c r="M642" s="30">
        <f>IF(OR(LEFT($D642,5)="Solar",$D642="Wind"),INDEX(Land_Use[MAX],MATCH(LEFT($D642,5),Land_Use[Tech],0)),0)*$E642</f>
        <v>0</v>
      </c>
      <c r="N642" s="15">
        <f t="shared" si="183"/>
        <v>0</v>
      </c>
      <c r="O642" s="11">
        <f t="shared" si="184"/>
        <v>0</v>
      </c>
      <c r="P642" s="11">
        <f t="shared" si="185"/>
        <v>0</v>
      </c>
      <c r="Q642" s="11">
        <f t="shared" si="186"/>
        <v>0</v>
      </c>
      <c r="R642" s="11">
        <f t="shared" si="187"/>
        <v>0</v>
      </c>
      <c r="S642" s="30">
        <f t="shared" si="175"/>
        <v>0</v>
      </c>
      <c r="T642" s="30">
        <f t="shared" si="176"/>
        <v>0</v>
      </c>
      <c r="U642" s="30">
        <f t="shared" si="177"/>
        <v>0</v>
      </c>
      <c r="V642" s="30">
        <f t="shared" si="178"/>
        <v>0</v>
      </c>
      <c r="W642" s="30">
        <f t="shared" si="179"/>
        <v>0</v>
      </c>
      <c r="X642" s="30">
        <f t="shared" si="180"/>
        <v>0</v>
      </c>
      <c r="Z642" s="23" t="s">
        <v>76</v>
      </c>
      <c r="AA642" s="40">
        <f>IF(C642="Electricity",E642*SUMIFS(Electricity!S:S,Electricity!P:P,UserMade_Scenario!B642,Electricity!M:M,UserMade_Scenario!Z642,Electricity!O:O,UserMade_Scenario!D642),"")</f>
        <v>1942672.7280000399</v>
      </c>
      <c r="AB642" s="76">
        <f>1/Assumptions!$B$23/1000000000000</f>
        <v>3.5998225679871703E-9</v>
      </c>
      <c r="AC642" s="67" t="s">
        <v>82</v>
      </c>
      <c r="AD642" s="69">
        <f>INDEX(Table11[AVG
CO2e MT per MWh],MATCH(UserMade_Scenario!$B642,Table11[[Year]:[Year]],0))</f>
        <v>-0.10179113999999995</v>
      </c>
      <c r="AE642" s="69">
        <f>INDEX(Table11[MIN
CO2e MT per MWh],MATCH(UserMade_Scenario!$B642,Table11[[Year]:[Year]],0))</f>
        <v>-8.0472459500000065E-2</v>
      </c>
      <c r="AF642" s="69">
        <f>INDEX(Table11[MAX CO2e MT per MWh],MATCH(UserMade_Scenario!$B642,Table11[[Year]:[Year]],0))</f>
        <v>-0.12310981950000006</v>
      </c>
      <c r="AG642" s="68">
        <f>IFERROR(INDEX(WaterUseH2[Average Direct Water Consumption (Gal/ kg h2)],MATCH(LEFT(D642,3),WaterUseH2[Key],0)),0)</f>
        <v>0</v>
      </c>
      <c r="AH642">
        <v>14</v>
      </c>
      <c r="AI642">
        <v>1.4</v>
      </c>
      <c r="AJ642">
        <v>250</v>
      </c>
      <c r="AK642">
        <v>0.31</v>
      </c>
      <c r="AL642" s="63">
        <f>IFERROR(INDEX(Job_Training[[Solar]:[Wind]],MATCH(AL$1,Job_Training[[`Typical Entry Level Education`]:[`Typical Entry Level Education`]],0),MATCH(LEFT($D642,5),Job_Training[[#Headers],[Solar]:[Wind]],0)),0)</f>
        <v>0</v>
      </c>
      <c r="AM642" s="63">
        <f>IFERROR(INDEX(Job_Training[[Solar]:[Wind]],MATCH(AM$1,Job_Training[[`Typical Entry Level Education`]:[`Typical Entry Level Education`]],0),MATCH(LEFT($D642,5),Job_Training[[#Headers],[Solar]:[Wind]],0)),0)</f>
        <v>0</v>
      </c>
      <c r="AN642" s="63">
        <f>IFERROR(INDEX(Job_Training[[Solar]:[Wind]],MATCH(AN$1,Job_Training[[`Typical Entry Level Education`]:[`Typical Entry Level Education`]],0),MATCH(LEFT($D642,5),Job_Training[[#Headers],[Solar]:[Wind]],0)),0)</f>
        <v>0</v>
      </c>
      <c r="AO642" s="63">
        <f>IFERROR(INDEX(Job_Training[[Solar]:[Wind]],MATCH(AO$1,Job_Training[[`Typical Entry Level Education`]:[`Typical Entry Level Education`]],0),MATCH(LEFT($D642,5),Job_Training[[#Headers],[Solar]:[Wind]],0)),0)</f>
        <v>0</v>
      </c>
      <c r="AP642">
        <f t="shared" si="181"/>
        <v>0</v>
      </c>
      <c r="AQ642" s="63">
        <f>IF(AP642&gt;0,IFERROR(INDEX(Assumptions!$C$165:$D$165,MATCH(LEFT($D642,5),Job_Training[[#Headers],[Solar]:[Wind]],0)),0),0)</f>
        <v>0</v>
      </c>
      <c r="AR642">
        <f>IF(AP642&gt;0,IFERROR(INDEX(Assumptions!$C$166:$D$166,MATCH(LEFT($D642,5),Job_Training[[#Headers],[Solar]:[Wind]],0)),0),0)</f>
        <v>0</v>
      </c>
    </row>
    <row r="643" spans="1:44" hidden="1" x14ac:dyDescent="0.35">
      <c r="A643" t="str">
        <f>UserInput!$B$56</f>
        <v>Max Buildout</v>
      </c>
      <c r="B643">
        <v>2036</v>
      </c>
      <c r="C643" t="s">
        <v>41</v>
      </c>
      <c r="D643" t="s">
        <v>86</v>
      </c>
      <c r="E643" s="66">
        <f>INDEX(UserInput!$C$56:$M$76,MATCH(UserMade_Scenario!B643,UserInput!$A$56:$A$76,0),MATCH(LEFT(IF(RIGHT(C643,2)="H2",UserMade_Scenario!C643,D643),3),UserInput!$C$25:$M$25,0))</f>
        <v>1000</v>
      </c>
      <c r="F643" t="s">
        <v>81</v>
      </c>
      <c r="G643" s="14">
        <f t="shared" si="182"/>
        <v>7.0911388745343437E-3</v>
      </c>
      <c r="H643" s="63">
        <f t="shared" si="188"/>
        <v>0.19219354947994394</v>
      </c>
      <c r="I643" s="63">
        <f t="shared" si="189"/>
        <v>0.14835924067371514</v>
      </c>
      <c r="J643" s="63">
        <f t="shared" si="190"/>
        <v>0.23602785631631532</v>
      </c>
      <c r="K643" s="30">
        <f>IF(OR(LEFT($D643,5)="Solar",$D643="Wind"),INDEX(Land_Use[AVG],MATCH(LEFT($D643,5),Land_Use[Tech],0)),0)*$E643</f>
        <v>0</v>
      </c>
      <c r="L643" s="30">
        <f>IF(OR(LEFT($D643,5)="Solar",$D643="Wind"),INDEX(Land_Use[MIN],MATCH(LEFT($D643,5),Land_Use[Tech],0)),0)*$E643</f>
        <v>0</v>
      </c>
      <c r="M643" s="30">
        <f>IF(OR(LEFT($D643,5)="Solar",$D643="Wind"),INDEX(Land_Use[MAX],MATCH(LEFT($D643,5),Land_Use[Tech],0)),0)*$E643</f>
        <v>0</v>
      </c>
      <c r="N643" s="15">
        <f t="shared" si="183"/>
        <v>0</v>
      </c>
      <c r="O643" s="11">
        <f t="shared" si="184"/>
        <v>0</v>
      </c>
      <c r="P643" s="11">
        <f t="shared" si="185"/>
        <v>0</v>
      </c>
      <c r="Q643" s="11">
        <f t="shared" si="186"/>
        <v>0</v>
      </c>
      <c r="R643" s="11">
        <f t="shared" si="187"/>
        <v>0</v>
      </c>
      <c r="S643" s="30">
        <f t="shared" ref="S643:S706" si="191">MAX($AP643*AL643,0)</f>
        <v>0</v>
      </c>
      <c r="T643" s="30">
        <f t="shared" ref="T643:T706" si="192">MAX($AP643*AM643,0)</f>
        <v>0</v>
      </c>
      <c r="U643" s="30">
        <f t="shared" ref="U643:U706" si="193">MAX($AP643*AN643,0)</f>
        <v>0</v>
      </c>
      <c r="V643" s="30">
        <f t="shared" ref="V643:V706" si="194">MAX($AP643*AO643,0)</f>
        <v>0</v>
      </c>
      <c r="W643" s="30">
        <f t="shared" ref="W643:W706" si="195">$AP643*AQ643</f>
        <v>0</v>
      </c>
      <c r="X643" s="30">
        <f t="shared" ref="X643:X706" si="196">$AP643*AR643</f>
        <v>0</v>
      </c>
      <c r="Z643" s="23" t="s">
        <v>76</v>
      </c>
      <c r="AA643" s="40">
        <f>IF(C643="Electricity",E643*SUMIFS(Electricity!S:S,Electricity!P:P,UserMade_Scenario!B643,Electricity!M:M,UserMade_Scenario!Z643,Electricity!O:O,UserMade_Scenario!D643),"")</f>
        <v>1969857.8862178011</v>
      </c>
      <c r="AB643" s="76">
        <f>1/Assumptions!$B$23/1000000000000</f>
        <v>3.5998225679871703E-9</v>
      </c>
      <c r="AC643" s="67" t="s">
        <v>82</v>
      </c>
      <c r="AD643" s="69">
        <f>INDEX(Table11[AVG
CO2e MT per MWh],MATCH(UserMade_Scenario!$B643,Table11[[Year]:[Year]],0))</f>
        <v>-9.756721579999994E-2</v>
      </c>
      <c r="AE643" s="69">
        <f>INDEX(Table11[MIN
CO2e MT per MWh],MATCH(UserMade_Scenario!$B643,Table11[[Year]:[Year]],0))</f>
        <v>-7.5314692350000073E-2</v>
      </c>
      <c r="AF643" s="69">
        <f>INDEX(Table11[MAX CO2e MT per MWh],MATCH(UserMade_Scenario!$B643,Table11[[Year]:[Year]],0))</f>
        <v>-0.11981973825000006</v>
      </c>
      <c r="AG643" s="68">
        <f>IFERROR(INDEX(WaterUseH2[Average Direct Water Consumption (Gal/ kg h2)],MATCH(LEFT(D643,3),WaterUseH2[Key],0)),0)</f>
        <v>0</v>
      </c>
      <c r="AH643">
        <v>14</v>
      </c>
      <c r="AI643">
        <v>1.4</v>
      </c>
      <c r="AJ643">
        <v>250</v>
      </c>
      <c r="AK643">
        <v>0.31</v>
      </c>
      <c r="AL643" s="63">
        <f>IFERROR(INDEX(Job_Training[[Solar]:[Wind]],MATCH(AL$1,Job_Training[[`Typical Entry Level Education`]:[`Typical Entry Level Education`]],0),MATCH(LEFT($D643,5),Job_Training[[#Headers],[Solar]:[Wind]],0)),0)</f>
        <v>0</v>
      </c>
      <c r="AM643" s="63">
        <f>IFERROR(INDEX(Job_Training[[Solar]:[Wind]],MATCH(AM$1,Job_Training[[`Typical Entry Level Education`]:[`Typical Entry Level Education`]],0),MATCH(LEFT($D643,5),Job_Training[[#Headers],[Solar]:[Wind]],0)),0)</f>
        <v>0</v>
      </c>
      <c r="AN643" s="63">
        <f>IFERROR(INDEX(Job_Training[[Solar]:[Wind]],MATCH(AN$1,Job_Training[[`Typical Entry Level Education`]:[`Typical Entry Level Education`]],0),MATCH(LEFT($D643,5),Job_Training[[#Headers],[Solar]:[Wind]],0)),0)</f>
        <v>0</v>
      </c>
      <c r="AO643" s="63">
        <f>IFERROR(INDEX(Job_Training[[Solar]:[Wind]],MATCH(AO$1,Job_Training[[`Typical Entry Level Education`]:[`Typical Entry Level Education`]],0),MATCH(LEFT($D643,5),Job_Training[[#Headers],[Solar]:[Wind]],0)),0)</f>
        <v>0</v>
      </c>
      <c r="AP643">
        <f t="shared" ref="AP643:AP706" si="197">IF(OR($C643="Electricity",$D643="Solar (Off-Grid)"),IF($B643=2025,$E643,$E643-$E642),0)</f>
        <v>0</v>
      </c>
      <c r="AQ643" s="63">
        <f>IF(AP643&gt;0,IFERROR(INDEX(Assumptions!$C$165:$D$165,MATCH(LEFT($D643,5),Job_Training[[#Headers],[Solar]:[Wind]],0)),0),0)</f>
        <v>0</v>
      </c>
      <c r="AR643">
        <f>IF(AP643&gt;0,IFERROR(INDEX(Assumptions!$C$166:$D$166,MATCH(LEFT($D643,5),Job_Training[[#Headers],[Solar]:[Wind]],0)),0),0)</f>
        <v>0</v>
      </c>
    </row>
    <row r="644" spans="1:44" hidden="1" x14ac:dyDescent="0.35">
      <c r="A644" t="str">
        <f>UserInput!$B$56</f>
        <v>Max Buildout</v>
      </c>
      <c r="B644">
        <v>2037</v>
      </c>
      <c r="C644" t="s">
        <v>41</v>
      </c>
      <c r="D644" t="s">
        <v>86</v>
      </c>
      <c r="E644" s="66">
        <f>INDEX(UserInput!$C$56:$M$76,MATCH(UserMade_Scenario!B644,UserInput!$A$56:$A$76,0),MATCH(LEFT(IF(RIGHT(C644,2)="H2",UserMade_Scenario!C644,D644),3),UserInput!$C$25:$M$25,0))</f>
        <v>1000</v>
      </c>
      <c r="F644" t="s">
        <v>81</v>
      </c>
      <c r="G644" s="14">
        <f t="shared" si="182"/>
        <v>7.1890006206009414E-3</v>
      </c>
      <c r="H644" s="63">
        <f t="shared" si="188"/>
        <v>0.18641057123450028</v>
      </c>
      <c r="I644" s="63">
        <f t="shared" si="189"/>
        <v>0.14010639948964615</v>
      </c>
      <c r="J644" s="63">
        <f t="shared" si="190"/>
        <v>0.2327147409823119</v>
      </c>
      <c r="K644" s="30">
        <f>IF(OR(LEFT($D644,5)="Solar",$D644="Wind"),INDEX(Land_Use[AVG],MATCH(LEFT($D644,5),Land_Use[Tech],0)),0)*$E644</f>
        <v>0</v>
      </c>
      <c r="L644" s="30">
        <f>IF(OR(LEFT($D644,5)="Solar",$D644="Wind"),INDEX(Land_Use[MIN],MATCH(LEFT($D644,5),Land_Use[Tech],0)),0)*$E644</f>
        <v>0</v>
      </c>
      <c r="M644" s="30">
        <f>IF(OR(LEFT($D644,5)="Solar",$D644="Wind"),INDEX(Land_Use[MAX],MATCH(LEFT($D644,5),Land_Use[Tech],0)),0)*$E644</f>
        <v>0</v>
      </c>
      <c r="N644" s="15">
        <f t="shared" si="183"/>
        <v>0</v>
      </c>
      <c r="O644" s="11">
        <f t="shared" si="184"/>
        <v>0</v>
      </c>
      <c r="P644" s="11">
        <f t="shared" si="185"/>
        <v>0</v>
      </c>
      <c r="Q644" s="11">
        <f t="shared" si="186"/>
        <v>0</v>
      </c>
      <c r="R644" s="11">
        <f t="shared" si="187"/>
        <v>0</v>
      </c>
      <c r="S644" s="30">
        <f t="shared" si="191"/>
        <v>0</v>
      </c>
      <c r="T644" s="30">
        <f t="shared" si="192"/>
        <v>0</v>
      </c>
      <c r="U644" s="30">
        <f t="shared" si="193"/>
        <v>0</v>
      </c>
      <c r="V644" s="30">
        <f t="shared" si="194"/>
        <v>0</v>
      </c>
      <c r="W644" s="30">
        <f t="shared" si="195"/>
        <v>0</v>
      </c>
      <c r="X644" s="30">
        <f t="shared" si="196"/>
        <v>0</v>
      </c>
      <c r="Z644" s="23" t="s">
        <v>76</v>
      </c>
      <c r="AA644" s="40">
        <f>IF(C644="Electricity",E644*SUMIFS(Electricity!S:S,Electricity!P:P,UserMade_Scenario!B644,Electricity!M:M,UserMade_Scenario!Z644,Electricity!O:O,UserMade_Scenario!D644),"")</f>
        <v>1997043.0444355621</v>
      </c>
      <c r="AB644" s="76">
        <f>1/Assumptions!$B$23/1000000000000</f>
        <v>3.5998225679871703E-9</v>
      </c>
      <c r="AC644" s="67" t="s">
        <v>82</v>
      </c>
      <c r="AD644" s="69">
        <f>INDEX(Table11[AVG
CO2e MT per MWh],MATCH(UserMade_Scenario!$B644,Table11[[Year]:[Year]],0))</f>
        <v>-9.3343291599999934E-2</v>
      </c>
      <c r="AE644" s="69">
        <f>INDEX(Table11[MIN
CO2e MT per MWh],MATCH(UserMade_Scenario!$B644,Table11[[Year]:[Year]],0))</f>
        <v>-7.0156925200000081E-2</v>
      </c>
      <c r="AF644" s="69">
        <f>INDEX(Table11[MAX CO2e MT per MWh],MATCH(UserMade_Scenario!$B644,Table11[[Year]:[Year]],0))</f>
        <v>-0.11652965700000005</v>
      </c>
      <c r="AG644" s="68">
        <f>IFERROR(INDEX(WaterUseH2[Average Direct Water Consumption (Gal/ kg h2)],MATCH(LEFT(D644,3),WaterUseH2[Key],0)),0)</f>
        <v>0</v>
      </c>
      <c r="AH644">
        <v>14</v>
      </c>
      <c r="AI644">
        <v>1.4</v>
      </c>
      <c r="AJ644">
        <v>250</v>
      </c>
      <c r="AK644">
        <v>0.31</v>
      </c>
      <c r="AL644" s="63">
        <f>IFERROR(INDEX(Job_Training[[Solar]:[Wind]],MATCH(AL$1,Job_Training[[`Typical Entry Level Education`]:[`Typical Entry Level Education`]],0),MATCH(LEFT($D644,5),Job_Training[[#Headers],[Solar]:[Wind]],0)),0)</f>
        <v>0</v>
      </c>
      <c r="AM644" s="63">
        <f>IFERROR(INDEX(Job_Training[[Solar]:[Wind]],MATCH(AM$1,Job_Training[[`Typical Entry Level Education`]:[`Typical Entry Level Education`]],0),MATCH(LEFT($D644,5),Job_Training[[#Headers],[Solar]:[Wind]],0)),0)</f>
        <v>0</v>
      </c>
      <c r="AN644" s="63">
        <f>IFERROR(INDEX(Job_Training[[Solar]:[Wind]],MATCH(AN$1,Job_Training[[`Typical Entry Level Education`]:[`Typical Entry Level Education`]],0),MATCH(LEFT($D644,5),Job_Training[[#Headers],[Solar]:[Wind]],0)),0)</f>
        <v>0</v>
      </c>
      <c r="AO644" s="63">
        <f>IFERROR(INDEX(Job_Training[[Solar]:[Wind]],MATCH(AO$1,Job_Training[[`Typical Entry Level Education`]:[`Typical Entry Level Education`]],0),MATCH(LEFT($D644,5),Job_Training[[#Headers],[Solar]:[Wind]],0)),0)</f>
        <v>0</v>
      </c>
      <c r="AP644">
        <f t="shared" si="197"/>
        <v>0</v>
      </c>
      <c r="AQ644" s="63">
        <f>IF(AP644&gt;0,IFERROR(INDEX(Assumptions!$C$165:$D$165,MATCH(LEFT($D644,5),Job_Training[[#Headers],[Solar]:[Wind]],0)),0),0)</f>
        <v>0</v>
      </c>
      <c r="AR644">
        <f>IF(AP644&gt;0,IFERROR(INDEX(Assumptions!$C$166:$D$166,MATCH(LEFT($D644,5),Job_Training[[#Headers],[Solar]:[Wind]],0)),0),0)</f>
        <v>0</v>
      </c>
    </row>
    <row r="645" spans="1:44" hidden="1" x14ac:dyDescent="0.35">
      <c r="A645" t="str">
        <f>UserInput!$B$56</f>
        <v>Max Buildout</v>
      </c>
      <c r="B645">
        <v>2038</v>
      </c>
      <c r="C645" t="s">
        <v>41</v>
      </c>
      <c r="D645" t="s">
        <v>86</v>
      </c>
      <c r="E645" s="66">
        <f>INDEX(UserInput!$C$56:$M$76,MATCH(UserMade_Scenario!B645,UserInput!$A$56:$A$76,0),MATCH(LEFT(IF(RIGHT(C645,2)="H2",UserMade_Scenario!C645,D645),3),UserInput!$C$25:$M$25,0))</f>
        <v>1000</v>
      </c>
      <c r="F645" t="s">
        <v>81</v>
      </c>
      <c r="G645" s="14">
        <f t="shared" si="182"/>
        <v>7.2868623666675399E-3</v>
      </c>
      <c r="H645" s="63">
        <f t="shared" si="188"/>
        <v>0.18039793689370298</v>
      </c>
      <c r="I645" s="63">
        <f t="shared" si="189"/>
        <v>0.13157312887353095</v>
      </c>
      <c r="J645" s="63">
        <f t="shared" si="190"/>
        <v>0.22922274288964739</v>
      </c>
      <c r="K645" s="30">
        <f>IF(OR(LEFT($D645,5)="Solar",$D645="Wind"),INDEX(Land_Use[AVG],MATCH(LEFT($D645,5),Land_Use[Tech],0)),0)*$E645</f>
        <v>0</v>
      </c>
      <c r="L645" s="30">
        <f>IF(OR(LEFT($D645,5)="Solar",$D645="Wind"),INDEX(Land_Use[MIN],MATCH(LEFT($D645,5),Land_Use[Tech],0)),0)*$E645</f>
        <v>0</v>
      </c>
      <c r="M645" s="30">
        <f>IF(OR(LEFT($D645,5)="Solar",$D645="Wind"),INDEX(Land_Use[MAX],MATCH(LEFT($D645,5),Land_Use[Tech],0)),0)*$E645</f>
        <v>0</v>
      </c>
      <c r="N645" s="15">
        <f t="shared" si="183"/>
        <v>0</v>
      </c>
      <c r="O645" s="11">
        <f t="shared" si="184"/>
        <v>0</v>
      </c>
      <c r="P645" s="11">
        <f t="shared" si="185"/>
        <v>0</v>
      </c>
      <c r="Q645" s="11">
        <f t="shared" si="186"/>
        <v>0</v>
      </c>
      <c r="R645" s="11">
        <f t="shared" si="187"/>
        <v>0</v>
      </c>
      <c r="S645" s="30">
        <f t="shared" si="191"/>
        <v>0</v>
      </c>
      <c r="T645" s="30">
        <f t="shared" si="192"/>
        <v>0</v>
      </c>
      <c r="U645" s="30">
        <f t="shared" si="193"/>
        <v>0</v>
      </c>
      <c r="V645" s="30">
        <f t="shared" si="194"/>
        <v>0</v>
      </c>
      <c r="W645" s="30">
        <f t="shared" si="195"/>
        <v>0</v>
      </c>
      <c r="X645" s="30">
        <f t="shared" si="196"/>
        <v>0</v>
      </c>
      <c r="Z645" s="23" t="s">
        <v>76</v>
      </c>
      <c r="AA645" s="40">
        <f>IF(C645="Electricity",E645*SUMIFS(Electricity!S:S,Electricity!P:P,UserMade_Scenario!B645,Electricity!M:M,UserMade_Scenario!Z645,Electricity!O:O,UserMade_Scenario!D645),"")</f>
        <v>2024228.2026533231</v>
      </c>
      <c r="AB645" s="76">
        <f>1/Assumptions!$B$23/1000000000000</f>
        <v>3.5998225679871703E-9</v>
      </c>
      <c r="AC645" s="67" t="s">
        <v>82</v>
      </c>
      <c r="AD645" s="69">
        <f>INDEX(Table11[AVG
CO2e MT per MWh],MATCH(UserMade_Scenario!$B645,Table11[[Year]:[Year]],0))</f>
        <v>-8.9119367399999927E-2</v>
      </c>
      <c r="AE645" s="69">
        <f>INDEX(Table11[MIN
CO2e MT per MWh],MATCH(UserMade_Scenario!$B645,Table11[[Year]:[Year]],0))</f>
        <v>-6.4999158050000089E-2</v>
      </c>
      <c r="AF645" s="69">
        <f>INDEX(Table11[MAX CO2e MT per MWh],MATCH(UserMade_Scenario!$B645,Table11[[Year]:[Year]],0))</f>
        <v>-0.11323957575000004</v>
      </c>
      <c r="AG645" s="68">
        <f>IFERROR(INDEX(WaterUseH2[Average Direct Water Consumption (Gal/ kg h2)],MATCH(LEFT(D645,3),WaterUseH2[Key],0)),0)</f>
        <v>0</v>
      </c>
      <c r="AH645">
        <v>14</v>
      </c>
      <c r="AI645">
        <v>1.4</v>
      </c>
      <c r="AJ645">
        <v>250</v>
      </c>
      <c r="AK645">
        <v>0.31</v>
      </c>
      <c r="AL645" s="63">
        <f>IFERROR(INDEX(Job_Training[[Solar]:[Wind]],MATCH(AL$1,Job_Training[[`Typical Entry Level Education`]:[`Typical Entry Level Education`]],0),MATCH(LEFT($D645,5),Job_Training[[#Headers],[Solar]:[Wind]],0)),0)</f>
        <v>0</v>
      </c>
      <c r="AM645" s="63">
        <f>IFERROR(INDEX(Job_Training[[Solar]:[Wind]],MATCH(AM$1,Job_Training[[`Typical Entry Level Education`]:[`Typical Entry Level Education`]],0),MATCH(LEFT($D645,5),Job_Training[[#Headers],[Solar]:[Wind]],0)),0)</f>
        <v>0</v>
      </c>
      <c r="AN645" s="63">
        <f>IFERROR(INDEX(Job_Training[[Solar]:[Wind]],MATCH(AN$1,Job_Training[[`Typical Entry Level Education`]:[`Typical Entry Level Education`]],0),MATCH(LEFT($D645,5),Job_Training[[#Headers],[Solar]:[Wind]],0)),0)</f>
        <v>0</v>
      </c>
      <c r="AO645" s="63">
        <f>IFERROR(INDEX(Job_Training[[Solar]:[Wind]],MATCH(AO$1,Job_Training[[`Typical Entry Level Education`]:[`Typical Entry Level Education`]],0),MATCH(LEFT($D645,5),Job_Training[[#Headers],[Solar]:[Wind]],0)),0)</f>
        <v>0</v>
      </c>
      <c r="AP645">
        <f t="shared" si="197"/>
        <v>0</v>
      </c>
      <c r="AQ645" s="63">
        <f>IF(AP645&gt;0,IFERROR(INDEX(Assumptions!$C$165:$D$165,MATCH(LEFT($D645,5),Job_Training[[#Headers],[Solar]:[Wind]],0)),0),0)</f>
        <v>0</v>
      </c>
      <c r="AR645">
        <f>IF(AP645&gt;0,IFERROR(INDEX(Assumptions!$C$166:$D$166,MATCH(LEFT($D645,5),Job_Training[[#Headers],[Solar]:[Wind]],0)),0),0)</f>
        <v>0</v>
      </c>
    </row>
    <row r="646" spans="1:44" hidden="1" x14ac:dyDescent="0.35">
      <c r="A646" t="str">
        <f>UserInput!$B$56</f>
        <v>Max Buildout</v>
      </c>
      <c r="B646">
        <v>2039</v>
      </c>
      <c r="C646" t="s">
        <v>41</v>
      </c>
      <c r="D646" t="s">
        <v>86</v>
      </c>
      <c r="E646" s="66">
        <f>INDEX(UserInput!$C$56:$M$76,MATCH(UserMade_Scenario!B646,UserInput!$A$56:$A$76,0),MATCH(LEFT(IF(RIGHT(C646,2)="H2",UserMade_Scenario!C646,D646),3),UserInput!$C$25:$M$25,0))</f>
        <v>1000</v>
      </c>
      <c r="F646" t="s">
        <v>81</v>
      </c>
      <c r="G646" s="14">
        <f t="shared" si="182"/>
        <v>7.3847241127341376E-3</v>
      </c>
      <c r="H646" s="63">
        <f t="shared" si="188"/>
        <v>0.17415564645755205</v>
      </c>
      <c r="I646" s="63">
        <f t="shared" si="189"/>
        <v>0.12275942882536947</v>
      </c>
      <c r="J646" s="63">
        <f t="shared" si="190"/>
        <v>0.22555186203832181</v>
      </c>
      <c r="K646" s="30">
        <f>IF(OR(LEFT($D646,5)="Solar",$D646="Wind"),INDEX(Land_Use[AVG],MATCH(LEFT($D646,5),Land_Use[Tech],0)),0)*$E646</f>
        <v>0</v>
      </c>
      <c r="L646" s="30">
        <f>IF(OR(LEFT($D646,5)="Solar",$D646="Wind"),INDEX(Land_Use[MIN],MATCH(LEFT($D646,5),Land_Use[Tech],0)),0)*$E646</f>
        <v>0</v>
      </c>
      <c r="M646" s="30">
        <f>IF(OR(LEFT($D646,5)="Solar",$D646="Wind"),INDEX(Land_Use[MAX],MATCH(LEFT($D646,5),Land_Use[Tech],0)),0)*$E646</f>
        <v>0</v>
      </c>
      <c r="N646" s="15">
        <f t="shared" si="183"/>
        <v>0</v>
      </c>
      <c r="O646" s="11">
        <f t="shared" si="184"/>
        <v>0</v>
      </c>
      <c r="P646" s="11">
        <f t="shared" si="185"/>
        <v>0</v>
      </c>
      <c r="Q646" s="11">
        <f t="shared" si="186"/>
        <v>0</v>
      </c>
      <c r="R646" s="11">
        <f t="shared" si="187"/>
        <v>0</v>
      </c>
      <c r="S646" s="30">
        <f t="shared" si="191"/>
        <v>0</v>
      </c>
      <c r="T646" s="30">
        <f t="shared" si="192"/>
        <v>0</v>
      </c>
      <c r="U646" s="30">
        <f t="shared" si="193"/>
        <v>0</v>
      </c>
      <c r="V646" s="30">
        <f t="shared" si="194"/>
        <v>0</v>
      </c>
      <c r="W646" s="30">
        <f t="shared" si="195"/>
        <v>0</v>
      </c>
      <c r="X646" s="30">
        <f t="shared" si="196"/>
        <v>0</v>
      </c>
      <c r="Z646" s="23" t="s">
        <v>76</v>
      </c>
      <c r="AA646" s="40">
        <f>IF(C646="Electricity",E646*SUMIFS(Electricity!S:S,Electricity!P:P,UserMade_Scenario!B646,Electricity!M:M,UserMade_Scenario!Z646,Electricity!O:O,UserMade_Scenario!D646),"")</f>
        <v>2051413.360871084</v>
      </c>
      <c r="AB646" s="76">
        <f>1/Assumptions!$B$23/1000000000000</f>
        <v>3.5998225679871703E-9</v>
      </c>
      <c r="AC646" s="67" t="s">
        <v>82</v>
      </c>
      <c r="AD646" s="69">
        <f>INDEX(Table11[AVG
CO2e MT per MWh],MATCH(UserMade_Scenario!$B646,Table11[[Year]:[Year]],0))</f>
        <v>-8.489544319999992E-2</v>
      </c>
      <c r="AE646" s="69">
        <f>INDEX(Table11[MIN
CO2e MT per MWh],MATCH(UserMade_Scenario!$B646,Table11[[Year]:[Year]],0))</f>
        <v>-5.984139090000009E-2</v>
      </c>
      <c r="AF646" s="69">
        <f>INDEX(Table11[MAX CO2e MT per MWh],MATCH(UserMade_Scenario!$B646,Table11[[Year]:[Year]],0))</f>
        <v>-0.10994949450000004</v>
      </c>
      <c r="AG646" s="68">
        <f>IFERROR(INDEX(WaterUseH2[Average Direct Water Consumption (Gal/ kg h2)],MATCH(LEFT(D646,3),WaterUseH2[Key],0)),0)</f>
        <v>0</v>
      </c>
      <c r="AH646">
        <v>14</v>
      </c>
      <c r="AI646">
        <v>1.4</v>
      </c>
      <c r="AJ646">
        <v>250</v>
      </c>
      <c r="AK646">
        <v>0.31</v>
      </c>
      <c r="AL646" s="63">
        <f>IFERROR(INDEX(Job_Training[[Solar]:[Wind]],MATCH(AL$1,Job_Training[[`Typical Entry Level Education`]:[`Typical Entry Level Education`]],0),MATCH(LEFT($D646,5),Job_Training[[#Headers],[Solar]:[Wind]],0)),0)</f>
        <v>0</v>
      </c>
      <c r="AM646" s="63">
        <f>IFERROR(INDEX(Job_Training[[Solar]:[Wind]],MATCH(AM$1,Job_Training[[`Typical Entry Level Education`]:[`Typical Entry Level Education`]],0),MATCH(LEFT($D646,5),Job_Training[[#Headers],[Solar]:[Wind]],0)),0)</f>
        <v>0</v>
      </c>
      <c r="AN646" s="63">
        <f>IFERROR(INDEX(Job_Training[[Solar]:[Wind]],MATCH(AN$1,Job_Training[[`Typical Entry Level Education`]:[`Typical Entry Level Education`]],0),MATCH(LEFT($D646,5),Job_Training[[#Headers],[Solar]:[Wind]],0)),0)</f>
        <v>0</v>
      </c>
      <c r="AO646" s="63">
        <f>IFERROR(INDEX(Job_Training[[Solar]:[Wind]],MATCH(AO$1,Job_Training[[`Typical Entry Level Education`]:[`Typical Entry Level Education`]],0),MATCH(LEFT($D646,5),Job_Training[[#Headers],[Solar]:[Wind]],0)),0)</f>
        <v>0</v>
      </c>
      <c r="AP646">
        <f t="shared" si="197"/>
        <v>0</v>
      </c>
      <c r="AQ646" s="63">
        <f>IF(AP646&gt;0,IFERROR(INDEX(Assumptions!$C$165:$D$165,MATCH(LEFT($D646,5),Job_Training[[#Headers],[Solar]:[Wind]],0)),0),0)</f>
        <v>0</v>
      </c>
      <c r="AR646">
        <f>IF(AP646&gt;0,IFERROR(INDEX(Assumptions!$C$166:$D$166,MATCH(LEFT($D646,5),Job_Training[[#Headers],[Solar]:[Wind]],0)),0),0)</f>
        <v>0</v>
      </c>
    </row>
    <row r="647" spans="1:44" hidden="1" x14ac:dyDescent="0.35">
      <c r="A647" t="str">
        <f>UserInput!$B$56</f>
        <v>Max Buildout</v>
      </c>
      <c r="B647">
        <v>2040</v>
      </c>
      <c r="C647" t="s">
        <v>41</v>
      </c>
      <c r="D647" t="s">
        <v>86</v>
      </c>
      <c r="E647" s="66">
        <f>INDEX(UserInput!$C$56:$M$76,MATCH(UserMade_Scenario!B647,UserInput!$A$56:$A$76,0),MATCH(LEFT(IF(RIGHT(C647,2)="H2",UserMade_Scenario!C647,D647),3),UserInput!$C$25:$M$25,0))</f>
        <v>1000</v>
      </c>
      <c r="F647" t="s">
        <v>81</v>
      </c>
      <c r="G647" s="14">
        <f t="shared" si="182"/>
        <v>7.4825858588007353E-3</v>
      </c>
      <c r="H647" s="63">
        <f t="shared" si="188"/>
        <v>0.16768369992604745</v>
      </c>
      <c r="I647" s="63">
        <f t="shared" si="189"/>
        <v>0.11366529934516179</v>
      </c>
      <c r="J647" s="63">
        <f t="shared" si="190"/>
        <v>0.22170209842833521</v>
      </c>
      <c r="K647" s="30">
        <f>IF(OR(LEFT($D647,5)="Solar",$D647="Wind"),INDEX(Land_Use[AVG],MATCH(LEFT($D647,5),Land_Use[Tech],0)),0)*$E647</f>
        <v>0</v>
      </c>
      <c r="L647" s="30">
        <f>IF(OR(LEFT($D647,5)="Solar",$D647="Wind"),INDEX(Land_Use[MIN],MATCH(LEFT($D647,5),Land_Use[Tech],0)),0)*$E647</f>
        <v>0</v>
      </c>
      <c r="M647" s="30">
        <f>IF(OR(LEFT($D647,5)="Solar",$D647="Wind"),INDEX(Land_Use[MAX],MATCH(LEFT($D647,5),Land_Use[Tech],0)),0)*$E647</f>
        <v>0</v>
      </c>
      <c r="N647" s="15">
        <f t="shared" si="183"/>
        <v>0</v>
      </c>
      <c r="O647" s="11">
        <f t="shared" si="184"/>
        <v>0</v>
      </c>
      <c r="P647" s="11">
        <f t="shared" si="185"/>
        <v>0</v>
      </c>
      <c r="Q647" s="11">
        <f t="shared" si="186"/>
        <v>0</v>
      </c>
      <c r="R647" s="11">
        <f t="shared" si="187"/>
        <v>0</v>
      </c>
      <c r="S647" s="30">
        <f t="shared" si="191"/>
        <v>0</v>
      </c>
      <c r="T647" s="30">
        <f t="shared" si="192"/>
        <v>0</v>
      </c>
      <c r="U647" s="30">
        <f t="shared" si="193"/>
        <v>0</v>
      </c>
      <c r="V647" s="30">
        <f t="shared" si="194"/>
        <v>0</v>
      </c>
      <c r="W647" s="30">
        <f t="shared" si="195"/>
        <v>0</v>
      </c>
      <c r="X647" s="30">
        <f t="shared" si="196"/>
        <v>0</v>
      </c>
      <c r="Z647" s="23" t="s">
        <v>76</v>
      </c>
      <c r="AA647" s="40">
        <f>IF(C647="Electricity",E647*SUMIFS(Electricity!S:S,Electricity!P:P,UserMade_Scenario!B647,Electricity!M:M,UserMade_Scenario!Z647,Electricity!O:O,UserMade_Scenario!D647),"")</f>
        <v>2078598.519088845</v>
      </c>
      <c r="AB647" s="76">
        <f>1/Assumptions!$B$23/1000000000000</f>
        <v>3.5998225679871703E-9</v>
      </c>
      <c r="AC647" s="67" t="s">
        <v>82</v>
      </c>
      <c r="AD647" s="69">
        <f>INDEX(Table11[AVG
CO2e MT per MWh],MATCH(UserMade_Scenario!$B647,Table11[[Year]:[Year]],0))</f>
        <v>-8.0671518999999914E-2</v>
      </c>
      <c r="AE647" s="69">
        <f>INDEX(Table11[MIN
CO2e MT per MWh],MATCH(UserMade_Scenario!$B647,Table11[[Year]:[Year]],0))</f>
        <v>-5.468362375000009E-2</v>
      </c>
      <c r="AF647" s="69">
        <f>INDEX(Table11[MAX CO2e MT per MWh],MATCH(UserMade_Scenario!$B647,Table11[[Year]:[Year]],0))</f>
        <v>-0.10665941325000003</v>
      </c>
      <c r="AG647" s="68">
        <f>IFERROR(INDEX(WaterUseH2[Average Direct Water Consumption (Gal/ kg h2)],MATCH(LEFT(D647,3),WaterUseH2[Key],0)),0)</f>
        <v>0</v>
      </c>
      <c r="AH647">
        <v>14</v>
      </c>
      <c r="AI647">
        <v>1.4</v>
      </c>
      <c r="AJ647">
        <v>250</v>
      </c>
      <c r="AK647">
        <v>0.31</v>
      </c>
      <c r="AL647" s="63">
        <f>IFERROR(INDEX(Job_Training[[Solar]:[Wind]],MATCH(AL$1,Job_Training[[`Typical Entry Level Education`]:[`Typical Entry Level Education`]],0),MATCH(LEFT($D647,5),Job_Training[[#Headers],[Solar]:[Wind]],0)),0)</f>
        <v>0</v>
      </c>
      <c r="AM647" s="63">
        <f>IFERROR(INDEX(Job_Training[[Solar]:[Wind]],MATCH(AM$1,Job_Training[[`Typical Entry Level Education`]:[`Typical Entry Level Education`]],0),MATCH(LEFT($D647,5),Job_Training[[#Headers],[Solar]:[Wind]],0)),0)</f>
        <v>0</v>
      </c>
      <c r="AN647" s="63">
        <f>IFERROR(INDEX(Job_Training[[Solar]:[Wind]],MATCH(AN$1,Job_Training[[`Typical Entry Level Education`]:[`Typical Entry Level Education`]],0),MATCH(LEFT($D647,5),Job_Training[[#Headers],[Solar]:[Wind]],0)),0)</f>
        <v>0</v>
      </c>
      <c r="AO647" s="63">
        <f>IFERROR(INDEX(Job_Training[[Solar]:[Wind]],MATCH(AO$1,Job_Training[[`Typical Entry Level Education`]:[`Typical Entry Level Education`]],0),MATCH(LEFT($D647,5),Job_Training[[#Headers],[Solar]:[Wind]],0)),0)</f>
        <v>0</v>
      </c>
      <c r="AP647">
        <f t="shared" si="197"/>
        <v>0</v>
      </c>
      <c r="AQ647" s="63">
        <f>IF(AP647&gt;0,IFERROR(INDEX(Assumptions!$C$165:$D$165,MATCH(LEFT($D647,5),Job_Training[[#Headers],[Solar]:[Wind]],0)),0),0)</f>
        <v>0</v>
      </c>
      <c r="AR647">
        <f>IF(AP647&gt;0,IFERROR(INDEX(Assumptions!$C$166:$D$166,MATCH(LEFT($D647,5),Job_Training[[#Headers],[Solar]:[Wind]],0)),0),0)</f>
        <v>0</v>
      </c>
    </row>
    <row r="648" spans="1:44" hidden="1" x14ac:dyDescent="0.35">
      <c r="A648" t="str">
        <f>UserInput!$B$56</f>
        <v>Max Buildout</v>
      </c>
      <c r="B648">
        <v>2041</v>
      </c>
      <c r="C648" t="s">
        <v>41</v>
      </c>
      <c r="D648" t="s">
        <v>86</v>
      </c>
      <c r="E648" s="66">
        <f>INDEX(UserInput!$C$56:$M$76,MATCH(UserMade_Scenario!B648,UserInput!$A$56:$A$76,0),MATCH(LEFT(IF(RIGHT(C648,2)="H2",UserMade_Scenario!C648,D648),3),UserInput!$C$25:$M$25,0))</f>
        <v>1000</v>
      </c>
      <c r="F648" t="s">
        <v>81</v>
      </c>
      <c r="G648" s="14">
        <f t="shared" si="182"/>
        <v>7.580447604867333E-3</v>
      </c>
      <c r="H648" s="63">
        <f t="shared" si="188"/>
        <v>0.16098209729918919</v>
      </c>
      <c r="I648" s="63">
        <f t="shared" si="189"/>
        <v>0.10429074043290784</v>
      </c>
      <c r="J648" s="63">
        <f t="shared" si="190"/>
        <v>0.21767345205968747</v>
      </c>
      <c r="K648" s="30">
        <f>IF(OR(LEFT($D648,5)="Solar",$D648="Wind"),INDEX(Land_Use[AVG],MATCH(LEFT($D648,5),Land_Use[Tech],0)),0)*$E648</f>
        <v>0</v>
      </c>
      <c r="L648" s="30">
        <f>IF(OR(LEFT($D648,5)="Solar",$D648="Wind"),INDEX(Land_Use[MIN],MATCH(LEFT($D648,5),Land_Use[Tech],0)),0)*$E648</f>
        <v>0</v>
      </c>
      <c r="M648" s="30">
        <f>IF(OR(LEFT($D648,5)="Solar",$D648="Wind"),INDEX(Land_Use[MAX],MATCH(LEFT($D648,5),Land_Use[Tech],0)),0)*$E648</f>
        <v>0</v>
      </c>
      <c r="N648" s="15">
        <f t="shared" si="183"/>
        <v>0</v>
      </c>
      <c r="O648" s="11">
        <f t="shared" si="184"/>
        <v>0</v>
      </c>
      <c r="P648" s="11">
        <f t="shared" si="185"/>
        <v>0</v>
      </c>
      <c r="Q648" s="11">
        <f t="shared" si="186"/>
        <v>0</v>
      </c>
      <c r="R648" s="11">
        <f t="shared" si="187"/>
        <v>0</v>
      </c>
      <c r="S648" s="30">
        <f t="shared" si="191"/>
        <v>0</v>
      </c>
      <c r="T648" s="30">
        <f t="shared" si="192"/>
        <v>0</v>
      </c>
      <c r="U648" s="30">
        <f t="shared" si="193"/>
        <v>0</v>
      </c>
      <c r="V648" s="30">
        <f t="shared" si="194"/>
        <v>0</v>
      </c>
      <c r="W648" s="30">
        <f t="shared" si="195"/>
        <v>0</v>
      </c>
      <c r="X648" s="30">
        <f t="shared" si="196"/>
        <v>0</v>
      </c>
      <c r="Z648" s="23" t="s">
        <v>76</v>
      </c>
      <c r="AA648" s="40">
        <f>IF(C648="Electricity",E648*SUMIFS(Electricity!S:S,Electricity!P:P,UserMade_Scenario!B648,Electricity!M:M,UserMade_Scenario!Z648,Electricity!O:O,UserMade_Scenario!D648),"")</f>
        <v>2105783.677306606</v>
      </c>
      <c r="AB648" s="76">
        <f>1/Assumptions!$B$23/1000000000000</f>
        <v>3.5998225679871703E-9</v>
      </c>
      <c r="AC648" s="67" t="s">
        <v>82</v>
      </c>
      <c r="AD648" s="69">
        <f>INDEX(Table11[AVG
CO2e MT per MWh],MATCH(UserMade_Scenario!$B648,Table11[[Year]:[Year]],0))</f>
        <v>-7.6447594799999907E-2</v>
      </c>
      <c r="AE648" s="69">
        <f>INDEX(Table11[MIN
CO2e MT per MWh],MATCH(UserMade_Scenario!$B648,Table11[[Year]:[Year]],0))</f>
        <v>-4.9525856600000091E-2</v>
      </c>
      <c r="AF648" s="69">
        <f>INDEX(Table11[MAX CO2e MT per MWh],MATCH(UserMade_Scenario!$B648,Table11[[Year]:[Year]],0))</f>
        <v>-0.10336933200000002</v>
      </c>
      <c r="AG648" s="68">
        <f>IFERROR(INDEX(WaterUseH2[Average Direct Water Consumption (Gal/ kg h2)],MATCH(LEFT(D648,3),WaterUseH2[Key],0)),0)</f>
        <v>0</v>
      </c>
      <c r="AH648">
        <v>14</v>
      </c>
      <c r="AI648">
        <v>1.4</v>
      </c>
      <c r="AJ648">
        <v>250</v>
      </c>
      <c r="AK648">
        <v>0.31</v>
      </c>
      <c r="AL648" s="63">
        <f>IFERROR(INDEX(Job_Training[[Solar]:[Wind]],MATCH(AL$1,Job_Training[[`Typical Entry Level Education`]:[`Typical Entry Level Education`]],0),MATCH(LEFT($D648,5),Job_Training[[#Headers],[Solar]:[Wind]],0)),0)</f>
        <v>0</v>
      </c>
      <c r="AM648" s="63">
        <f>IFERROR(INDEX(Job_Training[[Solar]:[Wind]],MATCH(AM$1,Job_Training[[`Typical Entry Level Education`]:[`Typical Entry Level Education`]],0),MATCH(LEFT($D648,5),Job_Training[[#Headers],[Solar]:[Wind]],0)),0)</f>
        <v>0</v>
      </c>
      <c r="AN648" s="63">
        <f>IFERROR(INDEX(Job_Training[[Solar]:[Wind]],MATCH(AN$1,Job_Training[[`Typical Entry Level Education`]:[`Typical Entry Level Education`]],0),MATCH(LEFT($D648,5),Job_Training[[#Headers],[Solar]:[Wind]],0)),0)</f>
        <v>0</v>
      </c>
      <c r="AO648" s="63">
        <f>IFERROR(INDEX(Job_Training[[Solar]:[Wind]],MATCH(AO$1,Job_Training[[`Typical Entry Level Education`]:[`Typical Entry Level Education`]],0),MATCH(LEFT($D648,5),Job_Training[[#Headers],[Solar]:[Wind]],0)),0)</f>
        <v>0</v>
      </c>
      <c r="AP648">
        <f t="shared" si="197"/>
        <v>0</v>
      </c>
      <c r="AQ648" s="63">
        <f>IF(AP648&gt;0,IFERROR(INDEX(Assumptions!$C$165:$D$165,MATCH(LEFT($D648,5),Job_Training[[#Headers],[Solar]:[Wind]],0)),0),0)</f>
        <v>0</v>
      </c>
      <c r="AR648">
        <f>IF(AP648&gt;0,IFERROR(INDEX(Assumptions!$C$166:$D$166,MATCH(LEFT($D648,5),Job_Training[[#Headers],[Solar]:[Wind]],0)),0),0)</f>
        <v>0</v>
      </c>
    </row>
    <row r="649" spans="1:44" hidden="1" x14ac:dyDescent="0.35">
      <c r="A649" t="str">
        <f>UserInput!$B$56</f>
        <v>Max Buildout</v>
      </c>
      <c r="B649">
        <v>2042</v>
      </c>
      <c r="C649" t="s">
        <v>41</v>
      </c>
      <c r="D649" t="s">
        <v>86</v>
      </c>
      <c r="E649" s="66">
        <f>INDEX(UserInput!$C$56:$M$76,MATCH(UserMade_Scenario!B649,UserInput!$A$56:$A$76,0),MATCH(LEFT(IF(RIGHT(C649,2)="H2",UserMade_Scenario!C649,D649),3),UserInput!$C$25:$M$25,0))</f>
        <v>1000</v>
      </c>
      <c r="F649" t="s">
        <v>81</v>
      </c>
      <c r="G649" s="14">
        <f t="shared" si="182"/>
        <v>7.6783093509339316E-3</v>
      </c>
      <c r="H649" s="63">
        <f t="shared" si="188"/>
        <v>0.15405083857697724</v>
      </c>
      <c r="I649" s="63">
        <f t="shared" si="189"/>
        <v>9.4635752088607653E-2</v>
      </c>
      <c r="J649" s="63">
        <f t="shared" si="190"/>
        <v>0.21346592293237868</v>
      </c>
      <c r="K649" s="30">
        <f>IF(OR(LEFT($D649,5)="Solar",$D649="Wind"),INDEX(Land_Use[AVG],MATCH(LEFT($D649,5),Land_Use[Tech],0)),0)*$E649</f>
        <v>0</v>
      </c>
      <c r="L649" s="30">
        <f>IF(OR(LEFT($D649,5)="Solar",$D649="Wind"),INDEX(Land_Use[MIN],MATCH(LEFT($D649,5),Land_Use[Tech],0)),0)*$E649</f>
        <v>0</v>
      </c>
      <c r="M649" s="30">
        <f>IF(OR(LEFT($D649,5)="Solar",$D649="Wind"),INDEX(Land_Use[MAX],MATCH(LEFT($D649,5),Land_Use[Tech],0)),0)*$E649</f>
        <v>0</v>
      </c>
      <c r="N649" s="15">
        <f t="shared" si="183"/>
        <v>0</v>
      </c>
      <c r="O649" s="11">
        <f t="shared" si="184"/>
        <v>0</v>
      </c>
      <c r="P649" s="11">
        <f t="shared" si="185"/>
        <v>0</v>
      </c>
      <c r="Q649" s="11">
        <f t="shared" si="186"/>
        <v>0</v>
      </c>
      <c r="R649" s="11">
        <f t="shared" si="187"/>
        <v>0</v>
      </c>
      <c r="S649" s="30">
        <f t="shared" si="191"/>
        <v>0</v>
      </c>
      <c r="T649" s="30">
        <f t="shared" si="192"/>
        <v>0</v>
      </c>
      <c r="U649" s="30">
        <f t="shared" si="193"/>
        <v>0</v>
      </c>
      <c r="V649" s="30">
        <f t="shared" si="194"/>
        <v>0</v>
      </c>
      <c r="W649" s="30">
        <f t="shared" si="195"/>
        <v>0</v>
      </c>
      <c r="X649" s="30">
        <f t="shared" si="196"/>
        <v>0</v>
      </c>
      <c r="Z649" s="23" t="s">
        <v>76</v>
      </c>
      <c r="AA649" s="40">
        <f>IF(C649="Electricity",E649*SUMIFS(Electricity!S:S,Electricity!P:P,UserMade_Scenario!B649,Electricity!M:M,UserMade_Scenario!Z649,Electricity!O:O,UserMade_Scenario!D649),"")</f>
        <v>2132968.8355243672</v>
      </c>
      <c r="AB649" s="76">
        <f>1/Assumptions!$B$23/1000000000000</f>
        <v>3.5998225679871703E-9</v>
      </c>
      <c r="AC649" s="67" t="s">
        <v>82</v>
      </c>
      <c r="AD649" s="69">
        <f>INDEX(Table11[AVG
CO2e MT per MWh],MATCH(UserMade_Scenario!$B649,Table11[[Year]:[Year]],0))</f>
        <v>-7.2223670599999901E-2</v>
      </c>
      <c r="AE649" s="69">
        <f>INDEX(Table11[MIN
CO2e MT per MWh],MATCH(UserMade_Scenario!$B649,Table11[[Year]:[Year]],0))</f>
        <v>-4.4368089450000092E-2</v>
      </c>
      <c r="AF649" s="69">
        <f>INDEX(Table11[MAX CO2e MT per MWh],MATCH(UserMade_Scenario!$B649,Table11[[Year]:[Year]],0))</f>
        <v>-0.10007925075000002</v>
      </c>
      <c r="AG649" s="68">
        <f>IFERROR(INDEX(WaterUseH2[Average Direct Water Consumption (Gal/ kg h2)],MATCH(LEFT(D649,3),WaterUseH2[Key],0)),0)</f>
        <v>0</v>
      </c>
      <c r="AH649">
        <v>14</v>
      </c>
      <c r="AI649">
        <v>1.4</v>
      </c>
      <c r="AJ649">
        <v>250</v>
      </c>
      <c r="AK649">
        <v>0.31</v>
      </c>
      <c r="AL649" s="63">
        <f>IFERROR(INDEX(Job_Training[[Solar]:[Wind]],MATCH(AL$1,Job_Training[[`Typical Entry Level Education`]:[`Typical Entry Level Education`]],0),MATCH(LEFT($D649,5),Job_Training[[#Headers],[Solar]:[Wind]],0)),0)</f>
        <v>0</v>
      </c>
      <c r="AM649" s="63">
        <f>IFERROR(INDEX(Job_Training[[Solar]:[Wind]],MATCH(AM$1,Job_Training[[`Typical Entry Level Education`]:[`Typical Entry Level Education`]],0),MATCH(LEFT($D649,5),Job_Training[[#Headers],[Solar]:[Wind]],0)),0)</f>
        <v>0</v>
      </c>
      <c r="AN649" s="63">
        <f>IFERROR(INDEX(Job_Training[[Solar]:[Wind]],MATCH(AN$1,Job_Training[[`Typical Entry Level Education`]:[`Typical Entry Level Education`]],0),MATCH(LEFT($D649,5),Job_Training[[#Headers],[Solar]:[Wind]],0)),0)</f>
        <v>0</v>
      </c>
      <c r="AO649" s="63">
        <f>IFERROR(INDEX(Job_Training[[Solar]:[Wind]],MATCH(AO$1,Job_Training[[`Typical Entry Level Education`]:[`Typical Entry Level Education`]],0),MATCH(LEFT($D649,5),Job_Training[[#Headers],[Solar]:[Wind]],0)),0)</f>
        <v>0</v>
      </c>
      <c r="AP649">
        <f t="shared" si="197"/>
        <v>0</v>
      </c>
      <c r="AQ649" s="63">
        <f>IF(AP649&gt;0,IFERROR(INDEX(Assumptions!$C$165:$D$165,MATCH(LEFT($D649,5),Job_Training[[#Headers],[Solar]:[Wind]],0)),0),0)</f>
        <v>0</v>
      </c>
      <c r="AR649">
        <f>IF(AP649&gt;0,IFERROR(INDEX(Assumptions!$C$166:$D$166,MATCH(LEFT($D649,5),Job_Training[[#Headers],[Solar]:[Wind]],0)),0),0)</f>
        <v>0</v>
      </c>
    </row>
    <row r="650" spans="1:44" hidden="1" x14ac:dyDescent="0.35">
      <c r="A650" t="str">
        <f>UserInput!$B$56</f>
        <v>Max Buildout</v>
      </c>
      <c r="B650">
        <v>2043</v>
      </c>
      <c r="C650" t="s">
        <v>41</v>
      </c>
      <c r="D650" t="s">
        <v>86</v>
      </c>
      <c r="E650" s="66">
        <f>INDEX(UserInput!$C$56:$M$76,MATCH(UserMade_Scenario!B650,UserInput!$A$56:$A$76,0),MATCH(LEFT(IF(RIGHT(C650,2)="H2",UserMade_Scenario!C650,D650),3),UserInput!$C$25:$M$25,0))</f>
        <v>1000</v>
      </c>
      <c r="F650" t="s">
        <v>81</v>
      </c>
      <c r="G650" s="14">
        <f t="shared" si="182"/>
        <v>7.7761710970005284E-3</v>
      </c>
      <c r="H650" s="63">
        <f t="shared" si="188"/>
        <v>0.14688992375941165</v>
      </c>
      <c r="I650" s="63">
        <f t="shared" si="189"/>
        <v>8.4700334312261219E-2</v>
      </c>
      <c r="J650" s="63">
        <f t="shared" si="190"/>
        <v>0.20907951104640876</v>
      </c>
      <c r="K650" s="30">
        <f>IF(OR(LEFT($D650,5)="Solar",$D650="Wind"),INDEX(Land_Use[AVG],MATCH(LEFT($D650,5),Land_Use[Tech],0)),0)*$E650</f>
        <v>0</v>
      </c>
      <c r="L650" s="30">
        <f>IF(OR(LEFT($D650,5)="Solar",$D650="Wind"),INDEX(Land_Use[MIN],MATCH(LEFT($D650,5),Land_Use[Tech],0)),0)*$E650</f>
        <v>0</v>
      </c>
      <c r="M650" s="30">
        <f>IF(OR(LEFT($D650,5)="Solar",$D650="Wind"),INDEX(Land_Use[MAX],MATCH(LEFT($D650,5),Land_Use[Tech],0)),0)*$E650</f>
        <v>0</v>
      </c>
      <c r="N650" s="15">
        <f t="shared" si="183"/>
        <v>0</v>
      </c>
      <c r="O650" s="11">
        <f t="shared" si="184"/>
        <v>0</v>
      </c>
      <c r="P650" s="11">
        <f t="shared" si="185"/>
        <v>0</v>
      </c>
      <c r="Q650" s="11">
        <f t="shared" si="186"/>
        <v>0</v>
      </c>
      <c r="R650" s="11">
        <f t="shared" si="187"/>
        <v>0</v>
      </c>
      <c r="S650" s="30">
        <f t="shared" si="191"/>
        <v>0</v>
      </c>
      <c r="T650" s="30">
        <f t="shared" si="192"/>
        <v>0</v>
      </c>
      <c r="U650" s="30">
        <f t="shared" si="193"/>
        <v>0</v>
      </c>
      <c r="V650" s="30">
        <f t="shared" si="194"/>
        <v>0</v>
      </c>
      <c r="W650" s="30">
        <f t="shared" si="195"/>
        <v>0</v>
      </c>
      <c r="X650" s="30">
        <f t="shared" si="196"/>
        <v>0</v>
      </c>
      <c r="Z650" s="23" t="s">
        <v>76</v>
      </c>
      <c r="AA650" s="40">
        <f>IF(C650="Electricity",E650*SUMIFS(Electricity!S:S,Electricity!P:P,UserMade_Scenario!B650,Electricity!M:M,UserMade_Scenario!Z650,Electricity!O:O,UserMade_Scenario!D650),"")</f>
        <v>2160153.9937421279</v>
      </c>
      <c r="AB650" s="76">
        <f>1/Assumptions!$B$23/1000000000000</f>
        <v>3.5998225679871703E-9</v>
      </c>
      <c r="AC650" s="67" t="s">
        <v>82</v>
      </c>
      <c r="AD650" s="69">
        <f>INDEX(Table11[AVG
CO2e MT per MWh],MATCH(UserMade_Scenario!$B650,Table11[[Year]:[Year]],0))</f>
        <v>-6.7999746399999894E-2</v>
      </c>
      <c r="AE650" s="69">
        <f>INDEX(Table11[MIN
CO2e MT per MWh],MATCH(UserMade_Scenario!$B650,Table11[[Year]:[Year]],0))</f>
        <v>-3.9210322300000093E-2</v>
      </c>
      <c r="AF650" s="69">
        <f>INDEX(Table11[MAX CO2e MT per MWh],MATCH(UserMade_Scenario!$B650,Table11[[Year]:[Year]],0))</f>
        <v>-9.6789169500000008E-2</v>
      </c>
      <c r="AG650" s="68">
        <f>IFERROR(INDEX(WaterUseH2[Average Direct Water Consumption (Gal/ kg h2)],MATCH(LEFT(D650,3),WaterUseH2[Key],0)),0)</f>
        <v>0</v>
      </c>
      <c r="AH650">
        <v>14</v>
      </c>
      <c r="AI650">
        <v>1.4</v>
      </c>
      <c r="AJ650">
        <v>250</v>
      </c>
      <c r="AK650">
        <v>0.31</v>
      </c>
      <c r="AL650" s="63">
        <f>IFERROR(INDEX(Job_Training[[Solar]:[Wind]],MATCH(AL$1,Job_Training[[`Typical Entry Level Education`]:[`Typical Entry Level Education`]],0),MATCH(LEFT($D650,5),Job_Training[[#Headers],[Solar]:[Wind]],0)),0)</f>
        <v>0</v>
      </c>
      <c r="AM650" s="63">
        <f>IFERROR(INDEX(Job_Training[[Solar]:[Wind]],MATCH(AM$1,Job_Training[[`Typical Entry Level Education`]:[`Typical Entry Level Education`]],0),MATCH(LEFT($D650,5),Job_Training[[#Headers],[Solar]:[Wind]],0)),0)</f>
        <v>0</v>
      </c>
      <c r="AN650" s="63">
        <f>IFERROR(INDEX(Job_Training[[Solar]:[Wind]],MATCH(AN$1,Job_Training[[`Typical Entry Level Education`]:[`Typical Entry Level Education`]],0),MATCH(LEFT($D650,5),Job_Training[[#Headers],[Solar]:[Wind]],0)),0)</f>
        <v>0</v>
      </c>
      <c r="AO650" s="63">
        <f>IFERROR(INDEX(Job_Training[[Solar]:[Wind]],MATCH(AO$1,Job_Training[[`Typical Entry Level Education`]:[`Typical Entry Level Education`]],0),MATCH(LEFT($D650,5),Job_Training[[#Headers],[Solar]:[Wind]],0)),0)</f>
        <v>0</v>
      </c>
      <c r="AP650">
        <f t="shared" si="197"/>
        <v>0</v>
      </c>
      <c r="AQ650" s="63">
        <f>IF(AP650&gt;0,IFERROR(INDEX(Assumptions!$C$165:$D$165,MATCH(LEFT($D650,5),Job_Training[[#Headers],[Solar]:[Wind]],0)),0),0)</f>
        <v>0</v>
      </c>
      <c r="AR650">
        <f>IF(AP650&gt;0,IFERROR(INDEX(Assumptions!$C$166:$D$166,MATCH(LEFT($D650,5),Job_Training[[#Headers],[Solar]:[Wind]],0)),0),0)</f>
        <v>0</v>
      </c>
    </row>
    <row r="651" spans="1:44" hidden="1" x14ac:dyDescent="0.35">
      <c r="A651" t="str">
        <f>UserInput!$B$56</f>
        <v>Max Buildout</v>
      </c>
      <c r="B651">
        <v>2044</v>
      </c>
      <c r="C651" t="s">
        <v>41</v>
      </c>
      <c r="D651" t="s">
        <v>86</v>
      </c>
      <c r="E651" s="66">
        <f>INDEX(UserInput!$C$56:$M$76,MATCH(UserMade_Scenario!B651,UserInput!$A$56:$A$76,0),MATCH(LEFT(IF(RIGHT(C651,2)="H2",UserMade_Scenario!C651,D651),3),UserInput!$C$25:$M$25,0))</f>
        <v>2000</v>
      </c>
      <c r="F651" t="s">
        <v>81</v>
      </c>
      <c r="G651" s="14">
        <f t="shared" si="182"/>
        <v>1.5748065686134256E-2</v>
      </c>
      <c r="H651" s="63">
        <f t="shared" si="188"/>
        <v>0.27899870569298485</v>
      </c>
      <c r="I651" s="63">
        <f t="shared" si="189"/>
        <v>0.14896897420773714</v>
      </c>
      <c r="J651" s="63">
        <f t="shared" si="190"/>
        <v>0.40902843280355572</v>
      </c>
      <c r="K651" s="30">
        <f>IF(OR(LEFT($D651,5)="Solar",$D651="Wind"),INDEX(Land_Use[AVG],MATCH(LEFT($D651,5),Land_Use[Tech],0)),0)*$E651</f>
        <v>0</v>
      </c>
      <c r="L651" s="30">
        <f>IF(OR(LEFT($D651,5)="Solar",$D651="Wind"),INDEX(Land_Use[MIN],MATCH(LEFT($D651,5),Land_Use[Tech],0)),0)*$E651</f>
        <v>0</v>
      </c>
      <c r="M651" s="30">
        <f>IF(OR(LEFT($D651,5)="Solar",$D651="Wind"),INDEX(Land_Use[MAX],MATCH(LEFT($D651,5),Land_Use[Tech],0)),0)*$E651</f>
        <v>0</v>
      </c>
      <c r="N651" s="15">
        <f t="shared" si="183"/>
        <v>0</v>
      </c>
      <c r="O651" s="11">
        <f t="shared" si="184"/>
        <v>0</v>
      </c>
      <c r="P651" s="11">
        <f t="shared" si="185"/>
        <v>0</v>
      </c>
      <c r="Q651" s="11">
        <f t="shared" si="186"/>
        <v>0</v>
      </c>
      <c r="R651" s="11">
        <f t="shared" si="187"/>
        <v>0</v>
      </c>
      <c r="S651" s="30">
        <f t="shared" si="191"/>
        <v>0</v>
      </c>
      <c r="T651" s="30">
        <f t="shared" si="192"/>
        <v>0</v>
      </c>
      <c r="U651" s="30">
        <f t="shared" si="193"/>
        <v>0</v>
      </c>
      <c r="V651" s="30">
        <f t="shared" si="194"/>
        <v>0</v>
      </c>
      <c r="W651" s="30">
        <f t="shared" si="195"/>
        <v>0</v>
      </c>
      <c r="X651" s="30">
        <f t="shared" si="196"/>
        <v>0</v>
      </c>
      <c r="Z651" s="23" t="s">
        <v>76</v>
      </c>
      <c r="AA651" s="40">
        <f>IF(C651="Electricity",E651*SUMIFS(Electricity!S:S,Electricity!P:P,UserMade_Scenario!B651,Electricity!M:M,UserMade_Scenario!Z651,Electricity!O:O,UserMade_Scenario!D651),"")</f>
        <v>4374678.3039197782</v>
      </c>
      <c r="AB651" s="76">
        <f>1/Assumptions!$B$23/1000000000000</f>
        <v>3.5998225679871703E-9</v>
      </c>
      <c r="AC651" s="67" t="s">
        <v>82</v>
      </c>
      <c r="AD651" s="69">
        <f>INDEX(Table11[AVG
CO2e MT per MWh],MATCH(UserMade_Scenario!$B651,Table11[[Year]:[Year]],0))</f>
        <v>-6.3775822199999888E-2</v>
      </c>
      <c r="AE651" s="69">
        <f>INDEX(Table11[MIN
CO2e MT per MWh],MATCH(UserMade_Scenario!$B651,Table11[[Year]:[Year]],0))</f>
        <v>-3.4052555150000094E-2</v>
      </c>
      <c r="AF651" s="69">
        <f>INDEX(Table11[MAX CO2e MT per MWh],MATCH(UserMade_Scenario!$B651,Table11[[Year]:[Year]],0))</f>
        <v>-9.3499088250000001E-2</v>
      </c>
      <c r="AG651" s="68">
        <f>IFERROR(INDEX(WaterUseH2[Average Direct Water Consumption (Gal/ kg h2)],MATCH(LEFT(D651,3),WaterUseH2[Key],0)),0)</f>
        <v>0</v>
      </c>
      <c r="AH651">
        <v>14</v>
      </c>
      <c r="AI651">
        <v>1.4</v>
      </c>
      <c r="AJ651">
        <v>250</v>
      </c>
      <c r="AK651">
        <v>0.31</v>
      </c>
      <c r="AL651" s="63">
        <f>IFERROR(INDEX(Job_Training[[Solar]:[Wind]],MATCH(AL$1,Job_Training[[`Typical Entry Level Education`]:[`Typical Entry Level Education`]],0),MATCH(LEFT($D651,5),Job_Training[[#Headers],[Solar]:[Wind]],0)),0)</f>
        <v>0</v>
      </c>
      <c r="AM651" s="63">
        <f>IFERROR(INDEX(Job_Training[[Solar]:[Wind]],MATCH(AM$1,Job_Training[[`Typical Entry Level Education`]:[`Typical Entry Level Education`]],0),MATCH(LEFT($D651,5),Job_Training[[#Headers],[Solar]:[Wind]],0)),0)</f>
        <v>0</v>
      </c>
      <c r="AN651" s="63">
        <f>IFERROR(INDEX(Job_Training[[Solar]:[Wind]],MATCH(AN$1,Job_Training[[`Typical Entry Level Education`]:[`Typical Entry Level Education`]],0),MATCH(LEFT($D651,5),Job_Training[[#Headers],[Solar]:[Wind]],0)),0)</f>
        <v>0</v>
      </c>
      <c r="AO651" s="63">
        <f>IFERROR(INDEX(Job_Training[[Solar]:[Wind]],MATCH(AO$1,Job_Training[[`Typical Entry Level Education`]:[`Typical Entry Level Education`]],0),MATCH(LEFT($D651,5),Job_Training[[#Headers],[Solar]:[Wind]],0)),0)</f>
        <v>0</v>
      </c>
      <c r="AP651">
        <f t="shared" si="197"/>
        <v>1000</v>
      </c>
      <c r="AQ651" s="63">
        <f>IF(AP651&gt;0,IFERROR(INDEX(Assumptions!$C$165:$D$165,MATCH(LEFT($D651,5),Job_Training[[#Headers],[Solar]:[Wind]],0)),0),0)</f>
        <v>0</v>
      </c>
      <c r="AR651">
        <f>IF(AP651&gt;0,IFERROR(INDEX(Assumptions!$C$166:$D$166,MATCH(LEFT($D651,5),Job_Training[[#Headers],[Solar]:[Wind]],0)),0),0)</f>
        <v>0</v>
      </c>
    </row>
    <row r="652" spans="1:44" hidden="1" x14ac:dyDescent="0.35">
      <c r="A652" t="str">
        <f>UserInput!$B$56</f>
        <v>Max Buildout</v>
      </c>
      <c r="B652">
        <v>2045</v>
      </c>
      <c r="C652" t="s">
        <v>41</v>
      </c>
      <c r="D652" t="s">
        <v>86</v>
      </c>
      <c r="E652" s="66">
        <f>INDEX(UserInput!$C$56:$M$76,MATCH(UserMade_Scenario!B652,UserInput!$A$56:$A$76,0),MATCH(LEFT(IF(RIGHT(C652,2)="H2",UserMade_Scenario!C652,D652),3),UserInput!$C$25:$M$25,0))</f>
        <v>2000</v>
      </c>
      <c r="F652" t="s">
        <v>81</v>
      </c>
      <c r="G652" s="14">
        <f t="shared" si="182"/>
        <v>1.5943789178267449E-2</v>
      </c>
      <c r="H652" s="63">
        <f t="shared" si="188"/>
        <v>0.26375825167643902</v>
      </c>
      <c r="I652" s="63">
        <f t="shared" si="189"/>
        <v>0.12797642092685929</v>
      </c>
      <c r="J652" s="63">
        <f t="shared" si="190"/>
        <v>0.3995400779969715</v>
      </c>
      <c r="K652" s="30">
        <f>IF(OR(LEFT($D652,5)="Solar",$D652="Wind"),INDEX(Land_Use[AVG],MATCH(LEFT($D652,5),Land_Use[Tech],0)),0)*$E652</f>
        <v>0</v>
      </c>
      <c r="L652" s="30">
        <f>IF(OR(LEFT($D652,5)="Solar",$D652="Wind"),INDEX(Land_Use[MIN],MATCH(LEFT($D652,5),Land_Use[Tech],0)),0)*$E652</f>
        <v>0</v>
      </c>
      <c r="M652" s="30">
        <f>IF(OR(LEFT($D652,5)="Solar",$D652="Wind"),INDEX(Land_Use[MAX],MATCH(LEFT($D652,5),Land_Use[Tech],0)),0)*$E652</f>
        <v>0</v>
      </c>
      <c r="N652" s="15">
        <f t="shared" si="183"/>
        <v>0</v>
      </c>
      <c r="O652" s="11">
        <f t="shared" si="184"/>
        <v>0</v>
      </c>
      <c r="P652" s="11">
        <f t="shared" si="185"/>
        <v>0</v>
      </c>
      <c r="Q652" s="11">
        <f t="shared" si="186"/>
        <v>0</v>
      </c>
      <c r="R652" s="11">
        <f t="shared" si="187"/>
        <v>0</v>
      </c>
      <c r="S652" s="30">
        <f t="shared" si="191"/>
        <v>0</v>
      </c>
      <c r="T652" s="30">
        <f t="shared" si="192"/>
        <v>0</v>
      </c>
      <c r="U652" s="30">
        <f t="shared" si="193"/>
        <v>0</v>
      </c>
      <c r="V652" s="30">
        <f t="shared" si="194"/>
        <v>0</v>
      </c>
      <c r="W652" s="30">
        <f t="shared" si="195"/>
        <v>0</v>
      </c>
      <c r="X652" s="30">
        <f t="shared" si="196"/>
        <v>0</v>
      </c>
      <c r="Z652" s="23" t="s">
        <v>76</v>
      </c>
      <c r="AA652" s="40">
        <f>IF(C652="Electricity",E652*SUMIFS(Electricity!S:S,Electricity!P:P,UserMade_Scenario!B652,Electricity!M:M,UserMade_Scenario!Z652,Electricity!O:O,UserMade_Scenario!D652),"")</f>
        <v>4429048.6203552997</v>
      </c>
      <c r="AB652" s="76">
        <f>1/Assumptions!$B$23/1000000000000</f>
        <v>3.5998225679871703E-9</v>
      </c>
      <c r="AC652" s="67" t="s">
        <v>82</v>
      </c>
      <c r="AD652" s="69">
        <f>INDEX(Table11[AVG
CO2e MT per MWh],MATCH(UserMade_Scenario!$B652,Table11[[Year]:[Year]],0))</f>
        <v>-5.9551897999999888E-2</v>
      </c>
      <c r="AE652" s="69">
        <f>INDEX(Table11[MIN
CO2e MT per MWh],MATCH(UserMade_Scenario!$B652,Table11[[Year]:[Year]],0))</f>
        <v>-2.8894788000000095E-2</v>
      </c>
      <c r="AF652" s="69">
        <f>INDEX(Table11[MAX CO2e MT per MWh],MATCH(UserMade_Scenario!$B652,Table11[[Year]:[Year]],0))</f>
        <v>-9.0209006999999994E-2</v>
      </c>
      <c r="AG652" s="68">
        <f>IFERROR(INDEX(WaterUseH2[Average Direct Water Consumption (Gal/ kg h2)],MATCH(LEFT(D652,3),WaterUseH2[Key],0)),0)</f>
        <v>0</v>
      </c>
      <c r="AH652">
        <v>14</v>
      </c>
      <c r="AI652">
        <v>1.4</v>
      </c>
      <c r="AJ652">
        <v>250</v>
      </c>
      <c r="AK652">
        <v>0.31</v>
      </c>
      <c r="AL652" s="63">
        <f>IFERROR(INDEX(Job_Training[[Solar]:[Wind]],MATCH(AL$1,Job_Training[[`Typical Entry Level Education`]:[`Typical Entry Level Education`]],0),MATCH(LEFT($D652,5),Job_Training[[#Headers],[Solar]:[Wind]],0)),0)</f>
        <v>0</v>
      </c>
      <c r="AM652" s="63">
        <f>IFERROR(INDEX(Job_Training[[Solar]:[Wind]],MATCH(AM$1,Job_Training[[`Typical Entry Level Education`]:[`Typical Entry Level Education`]],0),MATCH(LEFT($D652,5),Job_Training[[#Headers],[Solar]:[Wind]],0)),0)</f>
        <v>0</v>
      </c>
      <c r="AN652" s="63">
        <f>IFERROR(INDEX(Job_Training[[Solar]:[Wind]],MATCH(AN$1,Job_Training[[`Typical Entry Level Education`]:[`Typical Entry Level Education`]],0),MATCH(LEFT($D652,5),Job_Training[[#Headers],[Solar]:[Wind]],0)),0)</f>
        <v>0</v>
      </c>
      <c r="AO652" s="63">
        <f>IFERROR(INDEX(Job_Training[[Solar]:[Wind]],MATCH(AO$1,Job_Training[[`Typical Entry Level Education`]:[`Typical Entry Level Education`]],0),MATCH(LEFT($D652,5),Job_Training[[#Headers],[Solar]:[Wind]],0)),0)</f>
        <v>0</v>
      </c>
      <c r="AP652">
        <f t="shared" si="197"/>
        <v>0</v>
      </c>
      <c r="AQ652" s="63">
        <f>IF(AP652&gt;0,IFERROR(INDEX(Assumptions!$C$165:$D$165,MATCH(LEFT($D652,5),Job_Training[[#Headers],[Solar]:[Wind]],0)),0),0)</f>
        <v>0</v>
      </c>
      <c r="AR652">
        <f>IF(AP652&gt;0,IFERROR(INDEX(Assumptions!$C$166:$D$166,MATCH(LEFT($D652,5),Job_Training[[#Headers],[Solar]:[Wind]],0)),0),0)</f>
        <v>0</v>
      </c>
    </row>
    <row r="653" spans="1:44" hidden="1" x14ac:dyDescent="0.35">
      <c r="A653" t="str">
        <f>UserInput!$B$56</f>
        <v>Max Buildout</v>
      </c>
      <c r="B653">
        <v>2025</v>
      </c>
      <c r="C653" t="s">
        <v>87</v>
      </c>
      <c r="D653" t="s">
        <v>88</v>
      </c>
      <c r="E653" s="66">
        <f>INDEX(UserInput!$C$56:$M$76,MATCH(UserMade_Scenario!B653,UserInput!$A$56:$A$76,0),MATCH(LEFT(IF(RIGHT(C653,2)="H2",UserMade_Scenario!C653,D653),3),UserInput!$C$25:$M$25,0))</f>
        <v>6857</v>
      </c>
      <c r="F653" t="s">
        <v>89</v>
      </c>
      <c r="G653" s="14">
        <f t="shared" ref="G653:G716" si="198">E653*AB653</f>
        <v>7.4947009999999994E-3</v>
      </c>
      <c r="H653" s="63">
        <f t="shared" si="188"/>
        <v>1.7178604162099997</v>
      </c>
      <c r="I653" s="63">
        <f t="shared" si="189"/>
        <v>1.5867780957199997</v>
      </c>
      <c r="J653" s="63">
        <f t="shared" si="190"/>
        <v>3.0580401759849565</v>
      </c>
      <c r="K653" s="30">
        <f>IF(OR(LEFT($D653,5)="Solar",$D653="Wind"),INDEX(Land_Use[AVG],MATCH(LEFT($D653,5),Land_Use[Tech],0)),0)*$E653</f>
        <v>0</v>
      </c>
      <c r="L653" s="30">
        <f>IF(OR(LEFT($D653,5)="Solar",$D653="Wind"),INDEX(Land_Use[MIN],MATCH(LEFT($D653,5),Land_Use[Tech],0)),0)*$E653</f>
        <v>0</v>
      </c>
      <c r="M653" s="30">
        <f>IF(OR(LEFT($D653,5)="Solar",$D653="Wind"),INDEX(Land_Use[MAX],MATCH(LEFT($D653,5),Land_Use[Tech],0)),0)*$E653</f>
        <v>0</v>
      </c>
      <c r="N653" s="15">
        <f t="shared" si="183"/>
        <v>0</v>
      </c>
      <c r="O653" s="11">
        <f t="shared" si="184"/>
        <v>0</v>
      </c>
      <c r="P653" s="11">
        <f t="shared" si="185"/>
        <v>0</v>
      </c>
      <c r="Q653" s="11">
        <f t="shared" si="186"/>
        <v>0</v>
      </c>
      <c r="R653" s="11">
        <f t="shared" si="187"/>
        <v>0</v>
      </c>
      <c r="S653" s="30">
        <f t="shared" si="191"/>
        <v>0</v>
      </c>
      <c r="T653" s="30">
        <f t="shared" si="192"/>
        <v>0</v>
      </c>
      <c r="U653" s="30">
        <f t="shared" si="193"/>
        <v>0</v>
      </c>
      <c r="V653" s="30">
        <f t="shared" si="194"/>
        <v>0</v>
      </c>
      <c r="W653" s="30">
        <f t="shared" si="195"/>
        <v>0</v>
      </c>
      <c r="X653" s="30">
        <f t="shared" si="196"/>
        <v>0</v>
      </c>
      <c r="Z653" s="23" t="s">
        <v>76</v>
      </c>
      <c r="AA653" s="40" t="str">
        <f>IF(C653="Electricity",E653*SUMIFS(Electricity!S:S,Electricity!P:P,UserMade_Scenario!B653,Electricity!M:M,UserMade_Scenario!Z653,Electricity!O:O,UserMade_Scenario!D653),"")</f>
        <v/>
      </c>
      <c r="AB653" s="67">
        <v>1.093E-6</v>
      </c>
      <c r="AC653" s="67" t="s">
        <v>90</v>
      </c>
      <c r="AD653" s="39">
        <f>IFERROR(INDEX(Assumptions!B$145:B$146,MATCH($D653,Assumptions!$A$145:$A$146,0)),0)</f>
        <v>-229.20999999999998</v>
      </c>
      <c r="AE653" s="39">
        <f>IFERROR(INDEX(Assumptions!C$145:C$146,MATCH($D653,Assumptions!$A$145:$A$146,0)),0)</f>
        <v>-211.71999999999997</v>
      </c>
      <c r="AF653" s="39">
        <f>IFERROR(INDEX(Assumptions!D$145:D$146,MATCH($D653,Assumptions!$A$145:$A$146,0)),0)</f>
        <v>-408.02697478991581</v>
      </c>
      <c r="AG653" s="68">
        <f>IFERROR(INDEX(WaterUseH2[Average Direct Water Consumption (Gal/ kg h2)],MATCH(LEFT(D653,3),WaterUseH2[Key],0)),0)</f>
        <v>0</v>
      </c>
      <c r="AH653">
        <v>14</v>
      </c>
      <c r="AI653">
        <v>1.4</v>
      </c>
      <c r="AJ653">
        <v>250</v>
      </c>
      <c r="AK653">
        <v>0.31</v>
      </c>
      <c r="AL653" s="63">
        <f>IFERROR(INDEX(Job_Training[[Solar]:[Wind]],MATCH(AL$1,Job_Training[[`Typical Entry Level Education`]:[`Typical Entry Level Education`]],0),MATCH(LEFT($D653,5),Job_Training[[#Headers],[Solar]:[Wind]],0)),0)</f>
        <v>0</v>
      </c>
      <c r="AM653" s="63">
        <f>IFERROR(INDEX(Job_Training[[Solar]:[Wind]],MATCH(AM$1,Job_Training[[`Typical Entry Level Education`]:[`Typical Entry Level Education`]],0),MATCH(LEFT($D653,5),Job_Training[[#Headers],[Solar]:[Wind]],0)),0)</f>
        <v>0</v>
      </c>
      <c r="AN653" s="63">
        <f>IFERROR(INDEX(Job_Training[[Solar]:[Wind]],MATCH(AN$1,Job_Training[[`Typical Entry Level Education`]:[`Typical Entry Level Education`]],0),MATCH(LEFT($D653,5),Job_Training[[#Headers],[Solar]:[Wind]],0)),0)</f>
        <v>0</v>
      </c>
      <c r="AO653" s="63">
        <f>IFERROR(INDEX(Job_Training[[Solar]:[Wind]],MATCH(AO$1,Job_Training[[`Typical Entry Level Education`]:[`Typical Entry Level Education`]],0),MATCH(LEFT($D653,5),Job_Training[[#Headers],[Solar]:[Wind]],0)),0)</f>
        <v>0</v>
      </c>
      <c r="AP653">
        <f t="shared" si="197"/>
        <v>0</v>
      </c>
      <c r="AQ653" s="63">
        <f>IF(AP653&gt;0,IFERROR(INDEX(Assumptions!$C$165:$D$165,MATCH(LEFT($D653,5),Job_Training[[#Headers],[Solar]:[Wind]],0)),0),0)</f>
        <v>0</v>
      </c>
      <c r="AR653">
        <f>IF(AP653&gt;0,IFERROR(INDEX(Assumptions!$C$166:$D$166,MATCH(LEFT($D653,5),Job_Training[[#Headers],[Solar]:[Wind]],0)),0),0)</f>
        <v>0</v>
      </c>
    </row>
    <row r="654" spans="1:44" hidden="1" x14ac:dyDescent="0.35">
      <c r="A654" t="str">
        <f>UserInput!$B$56</f>
        <v>Max Buildout</v>
      </c>
      <c r="B654">
        <v>2026</v>
      </c>
      <c r="C654" t="s">
        <v>87</v>
      </c>
      <c r="D654" t="s">
        <v>88</v>
      </c>
      <c r="E654" s="66">
        <f>INDEX(UserInput!$C$56:$M$76,MATCH(UserMade_Scenario!B654,UserInput!$A$56:$A$76,0),MATCH(LEFT(IF(RIGHT(C654,2)="H2",UserMade_Scenario!C654,D654),3),UserInput!$C$25:$M$25,0))</f>
        <v>7942.15</v>
      </c>
      <c r="F654" t="s">
        <v>89</v>
      </c>
      <c r="G654" s="14">
        <f t="shared" si="198"/>
        <v>8.6807699499999984E-3</v>
      </c>
      <c r="H654" s="63">
        <f t="shared" si="188"/>
        <v>1.9897192802394994</v>
      </c>
      <c r="I654" s="63">
        <f t="shared" si="189"/>
        <v>1.8378926138139995</v>
      </c>
      <c r="J654" s="63">
        <f t="shared" si="190"/>
        <v>3.5419883015457083</v>
      </c>
      <c r="K654" s="30">
        <f>IF(OR(LEFT($D654,5)="Solar",$D654="Wind"),INDEX(Land_Use[AVG],MATCH(LEFT($D654,5),Land_Use[Tech],0)),0)*$E654</f>
        <v>0</v>
      </c>
      <c r="L654" s="30">
        <f>IF(OR(LEFT($D654,5)="Solar",$D654="Wind"),INDEX(Land_Use[MIN],MATCH(LEFT($D654,5),Land_Use[Tech],0)),0)*$E654</f>
        <v>0</v>
      </c>
      <c r="M654" s="30">
        <f>IF(OR(LEFT($D654,5)="Solar",$D654="Wind"),INDEX(Land_Use[MAX],MATCH(LEFT($D654,5),Land_Use[Tech],0)),0)*$E654</f>
        <v>0</v>
      </c>
      <c r="N654" s="15">
        <f t="shared" si="183"/>
        <v>0</v>
      </c>
      <c r="O654" s="11">
        <f t="shared" si="184"/>
        <v>0</v>
      </c>
      <c r="P654" s="11">
        <f t="shared" si="185"/>
        <v>0</v>
      </c>
      <c r="Q654" s="11">
        <f t="shared" si="186"/>
        <v>0</v>
      </c>
      <c r="R654" s="11">
        <f t="shared" si="187"/>
        <v>0</v>
      </c>
      <c r="S654" s="30">
        <f t="shared" si="191"/>
        <v>0</v>
      </c>
      <c r="T654" s="30">
        <f t="shared" si="192"/>
        <v>0</v>
      </c>
      <c r="U654" s="30">
        <f t="shared" si="193"/>
        <v>0</v>
      </c>
      <c r="V654" s="30">
        <f t="shared" si="194"/>
        <v>0</v>
      </c>
      <c r="W654" s="30">
        <f t="shared" si="195"/>
        <v>0</v>
      </c>
      <c r="X654" s="30">
        <f t="shared" si="196"/>
        <v>0</v>
      </c>
      <c r="Z654" s="23" t="s">
        <v>76</v>
      </c>
      <c r="AA654" s="40" t="str">
        <f>IF(C654="Electricity",E654*SUMIFS(Electricity!S:S,Electricity!P:P,UserMade_Scenario!B654,Electricity!M:M,UserMade_Scenario!Z654,Electricity!O:O,UserMade_Scenario!D654),"")</f>
        <v/>
      </c>
      <c r="AB654" s="67">
        <v>1.093E-6</v>
      </c>
      <c r="AC654" s="67" t="s">
        <v>90</v>
      </c>
      <c r="AD654" s="39">
        <f>IFERROR(INDEX(Assumptions!B$145:B$146,MATCH($D654,Assumptions!$A$145:$A$146,0)),0)</f>
        <v>-229.20999999999998</v>
      </c>
      <c r="AE654" s="39">
        <f>IFERROR(INDEX(Assumptions!C$145:C$146,MATCH($D654,Assumptions!$A$145:$A$146,0)),0)</f>
        <v>-211.71999999999997</v>
      </c>
      <c r="AF654" s="39">
        <f>IFERROR(INDEX(Assumptions!D$145:D$146,MATCH($D654,Assumptions!$A$145:$A$146,0)),0)</f>
        <v>-408.02697478991581</v>
      </c>
      <c r="AG654" s="68">
        <f>IFERROR(INDEX(WaterUseH2[Average Direct Water Consumption (Gal/ kg h2)],MATCH(LEFT(D654,3),WaterUseH2[Key],0)),0)</f>
        <v>0</v>
      </c>
      <c r="AH654">
        <v>14</v>
      </c>
      <c r="AI654">
        <v>1.4</v>
      </c>
      <c r="AJ654">
        <v>250</v>
      </c>
      <c r="AK654">
        <v>0.31</v>
      </c>
      <c r="AL654" s="63">
        <f>IFERROR(INDEX(Job_Training[[Solar]:[Wind]],MATCH(AL$1,Job_Training[[`Typical Entry Level Education`]:[`Typical Entry Level Education`]],0),MATCH(LEFT($D654,5),Job_Training[[#Headers],[Solar]:[Wind]],0)),0)</f>
        <v>0</v>
      </c>
      <c r="AM654" s="63">
        <f>IFERROR(INDEX(Job_Training[[Solar]:[Wind]],MATCH(AM$1,Job_Training[[`Typical Entry Level Education`]:[`Typical Entry Level Education`]],0),MATCH(LEFT($D654,5),Job_Training[[#Headers],[Solar]:[Wind]],0)),0)</f>
        <v>0</v>
      </c>
      <c r="AN654" s="63">
        <f>IFERROR(INDEX(Job_Training[[Solar]:[Wind]],MATCH(AN$1,Job_Training[[`Typical Entry Level Education`]:[`Typical Entry Level Education`]],0),MATCH(LEFT($D654,5),Job_Training[[#Headers],[Solar]:[Wind]],0)),0)</f>
        <v>0</v>
      </c>
      <c r="AO654" s="63">
        <f>IFERROR(INDEX(Job_Training[[Solar]:[Wind]],MATCH(AO$1,Job_Training[[`Typical Entry Level Education`]:[`Typical Entry Level Education`]],0),MATCH(LEFT($D654,5),Job_Training[[#Headers],[Solar]:[Wind]],0)),0)</f>
        <v>0</v>
      </c>
      <c r="AP654">
        <f t="shared" si="197"/>
        <v>0</v>
      </c>
      <c r="AQ654" s="63">
        <f>IF(AP654&gt;0,IFERROR(INDEX(Assumptions!$C$165:$D$165,MATCH(LEFT($D654,5),Job_Training[[#Headers],[Solar]:[Wind]],0)),0),0)</f>
        <v>0</v>
      </c>
      <c r="AR654">
        <f>IF(AP654&gt;0,IFERROR(INDEX(Assumptions!$C$166:$D$166,MATCH(LEFT($D654,5),Job_Training[[#Headers],[Solar]:[Wind]],0)),0),0)</f>
        <v>0</v>
      </c>
    </row>
    <row r="655" spans="1:44" hidden="1" x14ac:dyDescent="0.35">
      <c r="A655" t="str">
        <f>UserInput!$B$56</f>
        <v>Max Buildout</v>
      </c>
      <c r="B655">
        <v>2027</v>
      </c>
      <c r="C655" t="s">
        <v>87</v>
      </c>
      <c r="D655" t="s">
        <v>88</v>
      </c>
      <c r="E655" s="66">
        <f>INDEX(UserInput!$C$56:$M$76,MATCH(UserMade_Scenario!B655,UserInput!$A$56:$A$76,0),MATCH(LEFT(IF(RIGHT(C655,2)="H2",UserMade_Scenario!C655,D655),3),UserInput!$C$25:$M$25,0))</f>
        <v>9027.2999999999993</v>
      </c>
      <c r="F655" t="s">
        <v>89</v>
      </c>
      <c r="G655" s="14">
        <f t="shared" si="198"/>
        <v>9.8668388999999992E-3</v>
      </c>
      <c r="H655" s="63">
        <f t="shared" si="188"/>
        <v>2.2615781442689995</v>
      </c>
      <c r="I655" s="63">
        <f t="shared" si="189"/>
        <v>2.0890071319079997</v>
      </c>
      <c r="J655" s="63">
        <f t="shared" si="190"/>
        <v>4.0259364271064602</v>
      </c>
      <c r="K655" s="30">
        <f>IF(OR(LEFT($D655,5)="Solar",$D655="Wind"),INDEX(Land_Use[AVG],MATCH(LEFT($D655,5),Land_Use[Tech],0)),0)*$E655</f>
        <v>0</v>
      </c>
      <c r="L655" s="30">
        <f>IF(OR(LEFT($D655,5)="Solar",$D655="Wind"),INDEX(Land_Use[MIN],MATCH(LEFT($D655,5),Land_Use[Tech],0)),0)*$E655</f>
        <v>0</v>
      </c>
      <c r="M655" s="30">
        <f>IF(OR(LEFT($D655,5)="Solar",$D655="Wind"),INDEX(Land_Use[MAX],MATCH(LEFT($D655,5),Land_Use[Tech],0)),0)*$E655</f>
        <v>0</v>
      </c>
      <c r="N655" s="15">
        <f t="shared" si="183"/>
        <v>0</v>
      </c>
      <c r="O655" s="11">
        <f t="shared" si="184"/>
        <v>0</v>
      </c>
      <c r="P655" s="11">
        <f t="shared" si="185"/>
        <v>0</v>
      </c>
      <c r="Q655" s="11">
        <f t="shared" si="186"/>
        <v>0</v>
      </c>
      <c r="R655" s="11">
        <f t="shared" si="187"/>
        <v>0</v>
      </c>
      <c r="S655" s="30">
        <f t="shared" si="191"/>
        <v>0</v>
      </c>
      <c r="T655" s="30">
        <f t="shared" si="192"/>
        <v>0</v>
      </c>
      <c r="U655" s="30">
        <f t="shared" si="193"/>
        <v>0</v>
      </c>
      <c r="V655" s="30">
        <f t="shared" si="194"/>
        <v>0</v>
      </c>
      <c r="W655" s="30">
        <f t="shared" si="195"/>
        <v>0</v>
      </c>
      <c r="X655" s="30">
        <f t="shared" si="196"/>
        <v>0</v>
      </c>
      <c r="Z655" s="23" t="s">
        <v>76</v>
      </c>
      <c r="AA655" s="40" t="str">
        <f>IF(C655="Electricity",E655*SUMIFS(Electricity!S:S,Electricity!P:P,UserMade_Scenario!B655,Electricity!M:M,UserMade_Scenario!Z655,Electricity!O:O,UserMade_Scenario!D655),"")</f>
        <v/>
      </c>
      <c r="AB655" s="67">
        <v>1.093E-6</v>
      </c>
      <c r="AC655" s="67" t="s">
        <v>90</v>
      </c>
      <c r="AD655" s="39">
        <f>IFERROR(INDEX(Assumptions!B$145:B$146,MATCH($D655,Assumptions!$A$145:$A$146,0)),0)</f>
        <v>-229.20999999999998</v>
      </c>
      <c r="AE655" s="39">
        <f>IFERROR(INDEX(Assumptions!C$145:C$146,MATCH($D655,Assumptions!$A$145:$A$146,0)),0)</f>
        <v>-211.71999999999997</v>
      </c>
      <c r="AF655" s="39">
        <f>IFERROR(INDEX(Assumptions!D$145:D$146,MATCH($D655,Assumptions!$A$145:$A$146,0)),0)</f>
        <v>-408.02697478991581</v>
      </c>
      <c r="AG655" s="68">
        <f>IFERROR(INDEX(WaterUseH2[Average Direct Water Consumption (Gal/ kg h2)],MATCH(LEFT(D655,3),WaterUseH2[Key],0)),0)</f>
        <v>0</v>
      </c>
      <c r="AH655">
        <v>14</v>
      </c>
      <c r="AI655">
        <v>1.4</v>
      </c>
      <c r="AJ655">
        <v>250</v>
      </c>
      <c r="AK655">
        <v>0.31</v>
      </c>
      <c r="AL655" s="63">
        <f>IFERROR(INDEX(Job_Training[[Solar]:[Wind]],MATCH(AL$1,Job_Training[[`Typical Entry Level Education`]:[`Typical Entry Level Education`]],0),MATCH(LEFT($D655,5),Job_Training[[#Headers],[Solar]:[Wind]],0)),0)</f>
        <v>0</v>
      </c>
      <c r="AM655" s="63">
        <f>IFERROR(INDEX(Job_Training[[Solar]:[Wind]],MATCH(AM$1,Job_Training[[`Typical Entry Level Education`]:[`Typical Entry Level Education`]],0),MATCH(LEFT($D655,5),Job_Training[[#Headers],[Solar]:[Wind]],0)),0)</f>
        <v>0</v>
      </c>
      <c r="AN655" s="63">
        <f>IFERROR(INDEX(Job_Training[[Solar]:[Wind]],MATCH(AN$1,Job_Training[[`Typical Entry Level Education`]:[`Typical Entry Level Education`]],0),MATCH(LEFT($D655,5),Job_Training[[#Headers],[Solar]:[Wind]],0)),0)</f>
        <v>0</v>
      </c>
      <c r="AO655" s="63">
        <f>IFERROR(INDEX(Job_Training[[Solar]:[Wind]],MATCH(AO$1,Job_Training[[`Typical Entry Level Education`]:[`Typical Entry Level Education`]],0),MATCH(LEFT($D655,5),Job_Training[[#Headers],[Solar]:[Wind]],0)),0)</f>
        <v>0</v>
      </c>
      <c r="AP655">
        <f t="shared" si="197"/>
        <v>0</v>
      </c>
      <c r="AQ655" s="63">
        <f>IF(AP655&gt;0,IFERROR(INDEX(Assumptions!$C$165:$D$165,MATCH(LEFT($D655,5),Job_Training[[#Headers],[Solar]:[Wind]],0)),0),0)</f>
        <v>0</v>
      </c>
      <c r="AR655">
        <f>IF(AP655&gt;0,IFERROR(INDEX(Assumptions!$C$166:$D$166,MATCH(LEFT($D655,5),Job_Training[[#Headers],[Solar]:[Wind]],0)),0),0)</f>
        <v>0</v>
      </c>
    </row>
    <row r="656" spans="1:44" hidden="1" x14ac:dyDescent="0.35">
      <c r="A656" t="str">
        <f>UserInput!$B$56</f>
        <v>Max Buildout</v>
      </c>
      <c r="B656">
        <v>2028</v>
      </c>
      <c r="C656" t="s">
        <v>87</v>
      </c>
      <c r="D656" t="s">
        <v>88</v>
      </c>
      <c r="E656" s="66">
        <f>INDEX(UserInput!$C$56:$M$76,MATCH(UserMade_Scenario!B656,UserInput!$A$56:$A$76,0),MATCH(LEFT(IF(RIGHT(C656,2)="H2",UserMade_Scenario!C656,D656),3),UserInput!$C$25:$M$25,0))</f>
        <v>10112.449999999999</v>
      </c>
      <c r="F656" t="s">
        <v>89</v>
      </c>
      <c r="G656" s="14">
        <f t="shared" si="198"/>
        <v>1.1052907849999998E-2</v>
      </c>
      <c r="H656" s="63">
        <f t="shared" si="188"/>
        <v>2.5334370082984994</v>
      </c>
      <c r="I656" s="63">
        <f t="shared" si="189"/>
        <v>2.3401216500019992</v>
      </c>
      <c r="J656" s="63">
        <f t="shared" si="190"/>
        <v>4.509884552667212</v>
      </c>
      <c r="K656" s="30">
        <f>IF(OR(LEFT($D656,5)="Solar",$D656="Wind"),INDEX(Land_Use[AVG],MATCH(LEFT($D656,5),Land_Use[Tech],0)),0)*$E656</f>
        <v>0</v>
      </c>
      <c r="L656" s="30">
        <f>IF(OR(LEFT($D656,5)="Solar",$D656="Wind"),INDEX(Land_Use[MIN],MATCH(LEFT($D656,5),Land_Use[Tech],0)),0)*$E656</f>
        <v>0</v>
      </c>
      <c r="M656" s="30">
        <f>IF(OR(LEFT($D656,5)="Solar",$D656="Wind"),INDEX(Land_Use[MAX],MATCH(LEFT($D656,5),Land_Use[Tech],0)),0)*$E656</f>
        <v>0</v>
      </c>
      <c r="N656" s="15">
        <f t="shared" si="183"/>
        <v>0</v>
      </c>
      <c r="O656" s="11">
        <f t="shared" si="184"/>
        <v>0</v>
      </c>
      <c r="P656" s="11">
        <f t="shared" si="185"/>
        <v>0</v>
      </c>
      <c r="Q656" s="11">
        <f t="shared" si="186"/>
        <v>0</v>
      </c>
      <c r="R656" s="11">
        <f t="shared" si="187"/>
        <v>0</v>
      </c>
      <c r="S656" s="30">
        <f t="shared" si="191"/>
        <v>0</v>
      </c>
      <c r="T656" s="30">
        <f t="shared" si="192"/>
        <v>0</v>
      </c>
      <c r="U656" s="30">
        <f t="shared" si="193"/>
        <v>0</v>
      </c>
      <c r="V656" s="30">
        <f t="shared" si="194"/>
        <v>0</v>
      </c>
      <c r="W656" s="30">
        <f t="shared" si="195"/>
        <v>0</v>
      </c>
      <c r="X656" s="30">
        <f t="shared" si="196"/>
        <v>0</v>
      </c>
      <c r="Z656" s="23" t="s">
        <v>76</v>
      </c>
      <c r="AA656" s="40" t="str">
        <f>IF(C656="Electricity",E656*SUMIFS(Electricity!S:S,Electricity!P:P,UserMade_Scenario!B656,Electricity!M:M,UserMade_Scenario!Z656,Electricity!O:O,UserMade_Scenario!D656),"")</f>
        <v/>
      </c>
      <c r="AB656" s="67">
        <v>1.093E-6</v>
      </c>
      <c r="AC656" s="67" t="s">
        <v>90</v>
      </c>
      <c r="AD656" s="39">
        <f>IFERROR(INDEX(Assumptions!B$145:B$146,MATCH($D656,Assumptions!$A$145:$A$146,0)),0)</f>
        <v>-229.20999999999998</v>
      </c>
      <c r="AE656" s="39">
        <f>IFERROR(INDEX(Assumptions!C$145:C$146,MATCH($D656,Assumptions!$A$145:$A$146,0)),0)</f>
        <v>-211.71999999999997</v>
      </c>
      <c r="AF656" s="39">
        <f>IFERROR(INDEX(Assumptions!D$145:D$146,MATCH($D656,Assumptions!$A$145:$A$146,0)),0)</f>
        <v>-408.02697478991581</v>
      </c>
      <c r="AG656" s="68">
        <f>IFERROR(INDEX(WaterUseH2[Average Direct Water Consumption (Gal/ kg h2)],MATCH(LEFT(D656,3),WaterUseH2[Key],0)),0)</f>
        <v>0</v>
      </c>
      <c r="AH656">
        <v>14</v>
      </c>
      <c r="AI656">
        <v>1.4</v>
      </c>
      <c r="AJ656">
        <v>250</v>
      </c>
      <c r="AK656">
        <v>0.31</v>
      </c>
      <c r="AL656" s="63">
        <f>IFERROR(INDEX(Job_Training[[Solar]:[Wind]],MATCH(AL$1,Job_Training[[`Typical Entry Level Education`]:[`Typical Entry Level Education`]],0),MATCH(LEFT($D656,5),Job_Training[[#Headers],[Solar]:[Wind]],0)),0)</f>
        <v>0</v>
      </c>
      <c r="AM656" s="63">
        <f>IFERROR(INDEX(Job_Training[[Solar]:[Wind]],MATCH(AM$1,Job_Training[[`Typical Entry Level Education`]:[`Typical Entry Level Education`]],0),MATCH(LEFT($D656,5),Job_Training[[#Headers],[Solar]:[Wind]],0)),0)</f>
        <v>0</v>
      </c>
      <c r="AN656" s="63">
        <f>IFERROR(INDEX(Job_Training[[Solar]:[Wind]],MATCH(AN$1,Job_Training[[`Typical Entry Level Education`]:[`Typical Entry Level Education`]],0),MATCH(LEFT($D656,5),Job_Training[[#Headers],[Solar]:[Wind]],0)),0)</f>
        <v>0</v>
      </c>
      <c r="AO656" s="63">
        <f>IFERROR(INDEX(Job_Training[[Solar]:[Wind]],MATCH(AO$1,Job_Training[[`Typical Entry Level Education`]:[`Typical Entry Level Education`]],0),MATCH(LEFT($D656,5),Job_Training[[#Headers],[Solar]:[Wind]],0)),0)</f>
        <v>0</v>
      </c>
      <c r="AP656">
        <f t="shared" si="197"/>
        <v>0</v>
      </c>
      <c r="AQ656" s="63">
        <f>IF(AP656&gt;0,IFERROR(INDEX(Assumptions!$C$165:$D$165,MATCH(LEFT($D656,5),Job_Training[[#Headers],[Solar]:[Wind]],0)),0),0)</f>
        <v>0</v>
      </c>
      <c r="AR656">
        <f>IF(AP656&gt;0,IFERROR(INDEX(Assumptions!$C$166:$D$166,MATCH(LEFT($D656,5),Job_Training[[#Headers],[Solar]:[Wind]],0)),0),0)</f>
        <v>0</v>
      </c>
    </row>
    <row r="657" spans="1:44" hidden="1" x14ac:dyDescent="0.35">
      <c r="A657" t="str">
        <f>UserInput!$B$56</f>
        <v>Max Buildout</v>
      </c>
      <c r="B657">
        <v>2029</v>
      </c>
      <c r="C657" t="s">
        <v>87</v>
      </c>
      <c r="D657" t="s">
        <v>88</v>
      </c>
      <c r="E657" s="66">
        <f>INDEX(UserInput!$C$56:$M$76,MATCH(UserMade_Scenario!B657,UserInput!$A$56:$A$76,0),MATCH(LEFT(IF(RIGHT(C657,2)="H2",UserMade_Scenario!C657,D657),3),UserInput!$C$25:$M$25,0))</f>
        <v>11197.599999999999</v>
      </c>
      <c r="F657" t="s">
        <v>89</v>
      </c>
      <c r="G657" s="14">
        <f t="shared" si="198"/>
        <v>1.2238976799999997E-2</v>
      </c>
      <c r="H657" s="63">
        <f t="shared" si="188"/>
        <v>2.8052958723279993</v>
      </c>
      <c r="I657" s="63">
        <f t="shared" si="189"/>
        <v>2.5912361680959992</v>
      </c>
      <c r="J657" s="63">
        <f t="shared" si="190"/>
        <v>4.993832678227963</v>
      </c>
      <c r="K657" s="30">
        <f>IF(OR(LEFT($D657,5)="Solar",$D657="Wind"),INDEX(Land_Use[AVG],MATCH(LEFT($D657,5),Land_Use[Tech],0)),0)*$E657</f>
        <v>0</v>
      </c>
      <c r="L657" s="30">
        <f>IF(OR(LEFT($D657,5)="Solar",$D657="Wind"),INDEX(Land_Use[MIN],MATCH(LEFT($D657,5),Land_Use[Tech],0)),0)*$E657</f>
        <v>0</v>
      </c>
      <c r="M657" s="30">
        <f>IF(OR(LEFT($D657,5)="Solar",$D657="Wind"),INDEX(Land_Use[MAX],MATCH(LEFT($D657,5),Land_Use[Tech],0)),0)*$E657</f>
        <v>0</v>
      </c>
      <c r="N657" s="15">
        <f t="shared" si="183"/>
        <v>0</v>
      </c>
      <c r="O657" s="11">
        <f t="shared" si="184"/>
        <v>0</v>
      </c>
      <c r="P657" s="11">
        <f t="shared" si="185"/>
        <v>0</v>
      </c>
      <c r="Q657" s="11">
        <f t="shared" si="186"/>
        <v>0</v>
      </c>
      <c r="R657" s="11">
        <f t="shared" si="187"/>
        <v>0</v>
      </c>
      <c r="S657" s="30">
        <f t="shared" si="191"/>
        <v>0</v>
      </c>
      <c r="T657" s="30">
        <f t="shared" si="192"/>
        <v>0</v>
      </c>
      <c r="U657" s="30">
        <f t="shared" si="193"/>
        <v>0</v>
      </c>
      <c r="V657" s="30">
        <f t="shared" si="194"/>
        <v>0</v>
      </c>
      <c r="W657" s="30">
        <f t="shared" si="195"/>
        <v>0</v>
      </c>
      <c r="X657" s="30">
        <f t="shared" si="196"/>
        <v>0</v>
      </c>
      <c r="Z657" s="23" t="s">
        <v>76</v>
      </c>
      <c r="AA657" s="40" t="str">
        <f>IF(C657="Electricity",E657*SUMIFS(Electricity!S:S,Electricity!P:P,UserMade_Scenario!B657,Electricity!M:M,UserMade_Scenario!Z657,Electricity!O:O,UserMade_Scenario!D657),"")</f>
        <v/>
      </c>
      <c r="AB657" s="67">
        <v>1.093E-6</v>
      </c>
      <c r="AC657" s="67" t="s">
        <v>90</v>
      </c>
      <c r="AD657" s="39">
        <f>IFERROR(INDEX(Assumptions!B$145:B$146,MATCH($D657,Assumptions!$A$145:$A$146,0)),0)</f>
        <v>-229.20999999999998</v>
      </c>
      <c r="AE657" s="39">
        <f>IFERROR(INDEX(Assumptions!C$145:C$146,MATCH($D657,Assumptions!$A$145:$A$146,0)),0)</f>
        <v>-211.71999999999997</v>
      </c>
      <c r="AF657" s="39">
        <f>IFERROR(INDEX(Assumptions!D$145:D$146,MATCH($D657,Assumptions!$A$145:$A$146,0)),0)</f>
        <v>-408.02697478991581</v>
      </c>
      <c r="AG657" s="68">
        <f>IFERROR(INDEX(WaterUseH2[Average Direct Water Consumption (Gal/ kg h2)],MATCH(LEFT(D657,3),WaterUseH2[Key],0)),0)</f>
        <v>0</v>
      </c>
      <c r="AH657">
        <v>14</v>
      </c>
      <c r="AI657">
        <v>1.4</v>
      </c>
      <c r="AJ657">
        <v>250</v>
      </c>
      <c r="AK657">
        <v>0.31</v>
      </c>
      <c r="AL657" s="63">
        <f>IFERROR(INDEX(Job_Training[[Solar]:[Wind]],MATCH(AL$1,Job_Training[[`Typical Entry Level Education`]:[`Typical Entry Level Education`]],0),MATCH(LEFT($D657,5),Job_Training[[#Headers],[Solar]:[Wind]],0)),0)</f>
        <v>0</v>
      </c>
      <c r="AM657" s="63">
        <f>IFERROR(INDEX(Job_Training[[Solar]:[Wind]],MATCH(AM$1,Job_Training[[`Typical Entry Level Education`]:[`Typical Entry Level Education`]],0),MATCH(LEFT($D657,5),Job_Training[[#Headers],[Solar]:[Wind]],0)),0)</f>
        <v>0</v>
      </c>
      <c r="AN657" s="63">
        <f>IFERROR(INDEX(Job_Training[[Solar]:[Wind]],MATCH(AN$1,Job_Training[[`Typical Entry Level Education`]:[`Typical Entry Level Education`]],0),MATCH(LEFT($D657,5),Job_Training[[#Headers],[Solar]:[Wind]],0)),0)</f>
        <v>0</v>
      </c>
      <c r="AO657" s="63">
        <f>IFERROR(INDEX(Job_Training[[Solar]:[Wind]],MATCH(AO$1,Job_Training[[`Typical Entry Level Education`]:[`Typical Entry Level Education`]],0),MATCH(LEFT($D657,5),Job_Training[[#Headers],[Solar]:[Wind]],0)),0)</f>
        <v>0</v>
      </c>
      <c r="AP657">
        <f t="shared" si="197"/>
        <v>0</v>
      </c>
      <c r="AQ657" s="63">
        <f>IF(AP657&gt;0,IFERROR(INDEX(Assumptions!$C$165:$D$165,MATCH(LEFT($D657,5),Job_Training[[#Headers],[Solar]:[Wind]],0)),0),0)</f>
        <v>0</v>
      </c>
      <c r="AR657">
        <f>IF(AP657&gt;0,IFERROR(INDEX(Assumptions!$C$166:$D$166,MATCH(LEFT($D657,5),Job_Training[[#Headers],[Solar]:[Wind]],0)),0),0)</f>
        <v>0</v>
      </c>
    </row>
    <row r="658" spans="1:44" hidden="1" x14ac:dyDescent="0.35">
      <c r="A658" t="str">
        <f>UserInput!$B$56</f>
        <v>Max Buildout</v>
      </c>
      <c r="B658">
        <v>2030</v>
      </c>
      <c r="C658" t="s">
        <v>87</v>
      </c>
      <c r="D658" t="s">
        <v>88</v>
      </c>
      <c r="E658" s="66">
        <f>INDEX(UserInput!$C$56:$M$76,MATCH(UserMade_Scenario!B658,UserInput!$A$56:$A$76,0),MATCH(LEFT(IF(RIGHT(C658,2)="H2",UserMade_Scenario!C658,D658),3),UserInput!$C$25:$M$25,0))</f>
        <v>12282.749999999998</v>
      </c>
      <c r="F658" t="s">
        <v>89</v>
      </c>
      <c r="G658" s="14">
        <f t="shared" si="198"/>
        <v>1.3425045749999998E-2</v>
      </c>
      <c r="H658" s="63">
        <f t="shared" si="188"/>
        <v>3.0771547363574991</v>
      </c>
      <c r="I658" s="63">
        <f t="shared" si="189"/>
        <v>2.8423506861899992</v>
      </c>
      <c r="J658" s="63">
        <f t="shared" si="190"/>
        <v>5.4777808037887157</v>
      </c>
      <c r="K658" s="30">
        <f>IF(OR(LEFT($D658,5)="Solar",$D658="Wind"),INDEX(Land_Use[AVG],MATCH(LEFT($D658,5),Land_Use[Tech],0)),0)*$E658</f>
        <v>0</v>
      </c>
      <c r="L658" s="30">
        <f>IF(OR(LEFT($D658,5)="Solar",$D658="Wind"),INDEX(Land_Use[MIN],MATCH(LEFT($D658,5),Land_Use[Tech],0)),0)*$E658</f>
        <v>0</v>
      </c>
      <c r="M658" s="30">
        <f>IF(OR(LEFT($D658,5)="Solar",$D658="Wind"),INDEX(Land_Use[MAX],MATCH(LEFT($D658,5),Land_Use[Tech],0)),0)*$E658</f>
        <v>0</v>
      </c>
      <c r="N658" s="15">
        <f t="shared" si="183"/>
        <v>0</v>
      </c>
      <c r="O658" s="11">
        <f t="shared" si="184"/>
        <v>0</v>
      </c>
      <c r="P658" s="11">
        <f t="shared" si="185"/>
        <v>0</v>
      </c>
      <c r="Q658" s="11">
        <f t="shared" si="186"/>
        <v>0</v>
      </c>
      <c r="R658" s="11">
        <f t="shared" si="187"/>
        <v>0</v>
      </c>
      <c r="S658" s="30">
        <f t="shared" si="191"/>
        <v>0</v>
      </c>
      <c r="T658" s="30">
        <f t="shared" si="192"/>
        <v>0</v>
      </c>
      <c r="U658" s="30">
        <f t="shared" si="193"/>
        <v>0</v>
      </c>
      <c r="V658" s="30">
        <f t="shared" si="194"/>
        <v>0</v>
      </c>
      <c r="W658" s="30">
        <f t="shared" si="195"/>
        <v>0</v>
      </c>
      <c r="X658" s="30">
        <f t="shared" si="196"/>
        <v>0</v>
      </c>
      <c r="Z658" s="23" t="s">
        <v>76</v>
      </c>
      <c r="AA658" s="40" t="str">
        <f>IF(C658="Electricity",E658*SUMIFS(Electricity!S:S,Electricity!P:P,UserMade_Scenario!B658,Electricity!M:M,UserMade_Scenario!Z658,Electricity!O:O,UserMade_Scenario!D658),"")</f>
        <v/>
      </c>
      <c r="AB658" s="67">
        <v>1.093E-6</v>
      </c>
      <c r="AC658" s="67" t="s">
        <v>90</v>
      </c>
      <c r="AD658" s="39">
        <f>IFERROR(INDEX(Assumptions!B$145:B$146,MATCH($D658,Assumptions!$A$145:$A$146,0)),0)</f>
        <v>-229.20999999999998</v>
      </c>
      <c r="AE658" s="39">
        <f>IFERROR(INDEX(Assumptions!C$145:C$146,MATCH($D658,Assumptions!$A$145:$A$146,0)),0)</f>
        <v>-211.71999999999997</v>
      </c>
      <c r="AF658" s="39">
        <f>IFERROR(INDEX(Assumptions!D$145:D$146,MATCH($D658,Assumptions!$A$145:$A$146,0)),0)</f>
        <v>-408.02697478991581</v>
      </c>
      <c r="AG658" s="68">
        <f>IFERROR(INDEX(WaterUseH2[Average Direct Water Consumption (Gal/ kg h2)],MATCH(LEFT(D658,3),WaterUseH2[Key],0)),0)</f>
        <v>0</v>
      </c>
      <c r="AH658">
        <v>14</v>
      </c>
      <c r="AI658">
        <v>1.4</v>
      </c>
      <c r="AJ658">
        <v>250</v>
      </c>
      <c r="AK658">
        <v>0.31</v>
      </c>
      <c r="AL658" s="63">
        <f>IFERROR(INDEX(Job_Training[[Solar]:[Wind]],MATCH(AL$1,Job_Training[[`Typical Entry Level Education`]:[`Typical Entry Level Education`]],0),MATCH(LEFT($D658,5),Job_Training[[#Headers],[Solar]:[Wind]],0)),0)</f>
        <v>0</v>
      </c>
      <c r="AM658" s="63">
        <f>IFERROR(INDEX(Job_Training[[Solar]:[Wind]],MATCH(AM$1,Job_Training[[`Typical Entry Level Education`]:[`Typical Entry Level Education`]],0),MATCH(LEFT($D658,5),Job_Training[[#Headers],[Solar]:[Wind]],0)),0)</f>
        <v>0</v>
      </c>
      <c r="AN658" s="63">
        <f>IFERROR(INDEX(Job_Training[[Solar]:[Wind]],MATCH(AN$1,Job_Training[[`Typical Entry Level Education`]:[`Typical Entry Level Education`]],0),MATCH(LEFT($D658,5),Job_Training[[#Headers],[Solar]:[Wind]],0)),0)</f>
        <v>0</v>
      </c>
      <c r="AO658" s="63">
        <f>IFERROR(INDEX(Job_Training[[Solar]:[Wind]],MATCH(AO$1,Job_Training[[`Typical Entry Level Education`]:[`Typical Entry Level Education`]],0),MATCH(LEFT($D658,5),Job_Training[[#Headers],[Solar]:[Wind]],0)),0)</f>
        <v>0</v>
      </c>
      <c r="AP658">
        <f t="shared" si="197"/>
        <v>0</v>
      </c>
      <c r="AQ658" s="63">
        <f>IF(AP658&gt;0,IFERROR(INDEX(Assumptions!$C$165:$D$165,MATCH(LEFT($D658,5),Job_Training[[#Headers],[Solar]:[Wind]],0)),0),0)</f>
        <v>0</v>
      </c>
      <c r="AR658">
        <f>IF(AP658&gt;0,IFERROR(INDEX(Assumptions!$C$166:$D$166,MATCH(LEFT($D658,5),Job_Training[[#Headers],[Solar]:[Wind]],0)),0),0)</f>
        <v>0</v>
      </c>
    </row>
    <row r="659" spans="1:44" hidden="1" x14ac:dyDescent="0.35">
      <c r="A659" t="str">
        <f>UserInput!$B$56</f>
        <v>Max Buildout</v>
      </c>
      <c r="B659">
        <v>2031</v>
      </c>
      <c r="C659" t="s">
        <v>87</v>
      </c>
      <c r="D659" t="s">
        <v>88</v>
      </c>
      <c r="E659" s="66">
        <f>INDEX(UserInput!$C$56:$M$76,MATCH(UserMade_Scenario!B659,UserInput!$A$56:$A$76,0),MATCH(LEFT(IF(RIGHT(C659,2)="H2",UserMade_Scenario!C659,D659),3),UserInput!$C$25:$M$25,0))</f>
        <v>13367.899999999998</v>
      </c>
      <c r="F659" t="s">
        <v>89</v>
      </c>
      <c r="G659" s="14">
        <f t="shared" si="198"/>
        <v>1.4611114699999997E-2</v>
      </c>
      <c r="H659" s="63">
        <f t="shared" si="188"/>
        <v>3.349013600386999</v>
      </c>
      <c r="I659" s="63">
        <f t="shared" si="189"/>
        <v>3.0934652042839987</v>
      </c>
      <c r="J659" s="63">
        <f t="shared" si="190"/>
        <v>5.9617289293494666</v>
      </c>
      <c r="K659" s="30">
        <f>IF(OR(LEFT($D659,5)="Solar",$D659="Wind"),INDEX(Land_Use[AVG],MATCH(LEFT($D659,5),Land_Use[Tech],0)),0)*$E659</f>
        <v>0</v>
      </c>
      <c r="L659" s="30">
        <f>IF(OR(LEFT($D659,5)="Solar",$D659="Wind"),INDEX(Land_Use[MIN],MATCH(LEFT($D659,5),Land_Use[Tech],0)),0)*$E659</f>
        <v>0</v>
      </c>
      <c r="M659" s="30">
        <f>IF(OR(LEFT($D659,5)="Solar",$D659="Wind"),INDEX(Land_Use[MAX],MATCH(LEFT($D659,5),Land_Use[Tech],0)),0)*$E659</f>
        <v>0</v>
      </c>
      <c r="N659" s="15">
        <f t="shared" si="183"/>
        <v>0</v>
      </c>
      <c r="O659" s="11">
        <f t="shared" si="184"/>
        <v>0</v>
      </c>
      <c r="P659" s="11">
        <f t="shared" si="185"/>
        <v>0</v>
      </c>
      <c r="Q659" s="11">
        <f t="shared" si="186"/>
        <v>0</v>
      </c>
      <c r="R659" s="11">
        <f t="shared" si="187"/>
        <v>0</v>
      </c>
      <c r="S659" s="30">
        <f t="shared" si="191"/>
        <v>0</v>
      </c>
      <c r="T659" s="30">
        <f t="shared" si="192"/>
        <v>0</v>
      </c>
      <c r="U659" s="30">
        <f t="shared" si="193"/>
        <v>0</v>
      </c>
      <c r="V659" s="30">
        <f t="shared" si="194"/>
        <v>0</v>
      </c>
      <c r="W659" s="30">
        <f t="shared" si="195"/>
        <v>0</v>
      </c>
      <c r="X659" s="30">
        <f t="shared" si="196"/>
        <v>0</v>
      </c>
      <c r="Z659" s="23" t="s">
        <v>76</v>
      </c>
      <c r="AA659" s="40" t="str">
        <f>IF(C659="Electricity",E659*SUMIFS(Electricity!S:S,Electricity!P:P,UserMade_Scenario!B659,Electricity!M:M,UserMade_Scenario!Z659,Electricity!O:O,UserMade_Scenario!D659),"")</f>
        <v/>
      </c>
      <c r="AB659" s="67">
        <v>1.093E-6</v>
      </c>
      <c r="AC659" s="67" t="s">
        <v>90</v>
      </c>
      <c r="AD659" s="39">
        <f>IFERROR(INDEX(Assumptions!B$145:B$146,MATCH($D659,Assumptions!$A$145:$A$146,0)),0)</f>
        <v>-229.20999999999998</v>
      </c>
      <c r="AE659" s="39">
        <f>IFERROR(INDEX(Assumptions!C$145:C$146,MATCH($D659,Assumptions!$A$145:$A$146,0)),0)</f>
        <v>-211.71999999999997</v>
      </c>
      <c r="AF659" s="39">
        <f>IFERROR(INDEX(Assumptions!D$145:D$146,MATCH($D659,Assumptions!$A$145:$A$146,0)),0)</f>
        <v>-408.02697478991581</v>
      </c>
      <c r="AG659" s="68">
        <f>IFERROR(INDEX(WaterUseH2[Average Direct Water Consumption (Gal/ kg h2)],MATCH(LEFT(D659,3),WaterUseH2[Key],0)),0)</f>
        <v>0</v>
      </c>
      <c r="AH659">
        <v>14</v>
      </c>
      <c r="AI659">
        <v>1.4</v>
      </c>
      <c r="AJ659">
        <v>250</v>
      </c>
      <c r="AK659">
        <v>0.31</v>
      </c>
      <c r="AL659" s="63">
        <f>IFERROR(INDEX(Job_Training[[Solar]:[Wind]],MATCH(AL$1,Job_Training[[`Typical Entry Level Education`]:[`Typical Entry Level Education`]],0),MATCH(LEFT($D659,5),Job_Training[[#Headers],[Solar]:[Wind]],0)),0)</f>
        <v>0</v>
      </c>
      <c r="AM659" s="63">
        <f>IFERROR(INDEX(Job_Training[[Solar]:[Wind]],MATCH(AM$1,Job_Training[[`Typical Entry Level Education`]:[`Typical Entry Level Education`]],0),MATCH(LEFT($D659,5),Job_Training[[#Headers],[Solar]:[Wind]],0)),0)</f>
        <v>0</v>
      </c>
      <c r="AN659" s="63">
        <f>IFERROR(INDEX(Job_Training[[Solar]:[Wind]],MATCH(AN$1,Job_Training[[`Typical Entry Level Education`]:[`Typical Entry Level Education`]],0),MATCH(LEFT($D659,5),Job_Training[[#Headers],[Solar]:[Wind]],0)),0)</f>
        <v>0</v>
      </c>
      <c r="AO659" s="63">
        <f>IFERROR(INDEX(Job_Training[[Solar]:[Wind]],MATCH(AO$1,Job_Training[[`Typical Entry Level Education`]:[`Typical Entry Level Education`]],0),MATCH(LEFT($D659,5),Job_Training[[#Headers],[Solar]:[Wind]],0)),0)</f>
        <v>0</v>
      </c>
      <c r="AP659">
        <f t="shared" si="197"/>
        <v>0</v>
      </c>
      <c r="AQ659" s="63">
        <f>IF(AP659&gt;0,IFERROR(INDEX(Assumptions!$C$165:$D$165,MATCH(LEFT($D659,5),Job_Training[[#Headers],[Solar]:[Wind]],0)),0),0)</f>
        <v>0</v>
      </c>
      <c r="AR659">
        <f>IF(AP659&gt;0,IFERROR(INDEX(Assumptions!$C$166:$D$166,MATCH(LEFT($D659,5),Job_Training[[#Headers],[Solar]:[Wind]],0)),0),0)</f>
        <v>0</v>
      </c>
    </row>
    <row r="660" spans="1:44" hidden="1" x14ac:dyDescent="0.35">
      <c r="A660" t="str">
        <f>UserInput!$B$56</f>
        <v>Max Buildout</v>
      </c>
      <c r="B660">
        <v>2032</v>
      </c>
      <c r="C660" t="s">
        <v>87</v>
      </c>
      <c r="D660" t="s">
        <v>88</v>
      </c>
      <c r="E660" s="66">
        <f>INDEX(UserInput!$C$56:$M$76,MATCH(UserMade_Scenario!B660,UserInput!$A$56:$A$76,0),MATCH(LEFT(IF(RIGHT(C660,2)="H2",UserMade_Scenario!C660,D660),3),UserInput!$C$25:$M$25,0))</f>
        <v>14453.049999999997</v>
      </c>
      <c r="F660" t="s">
        <v>89</v>
      </c>
      <c r="G660" s="14">
        <f t="shared" si="198"/>
        <v>1.5797183649999998E-2</v>
      </c>
      <c r="H660" s="63">
        <f t="shared" si="188"/>
        <v>3.6208724644164993</v>
      </c>
      <c r="I660" s="63">
        <f t="shared" si="189"/>
        <v>3.3445797223779992</v>
      </c>
      <c r="J660" s="63">
        <f t="shared" si="190"/>
        <v>6.4456770549102194</v>
      </c>
      <c r="K660" s="30">
        <f>IF(OR(LEFT($D660,5)="Solar",$D660="Wind"),INDEX(Land_Use[AVG],MATCH(LEFT($D660,5),Land_Use[Tech],0)),0)*$E660</f>
        <v>0</v>
      </c>
      <c r="L660" s="30">
        <f>IF(OR(LEFT($D660,5)="Solar",$D660="Wind"),INDEX(Land_Use[MIN],MATCH(LEFT($D660,5),Land_Use[Tech],0)),0)*$E660</f>
        <v>0</v>
      </c>
      <c r="M660" s="30">
        <f>IF(OR(LEFT($D660,5)="Solar",$D660="Wind"),INDEX(Land_Use[MAX],MATCH(LEFT($D660,5),Land_Use[Tech],0)),0)*$E660</f>
        <v>0</v>
      </c>
      <c r="N660" s="15">
        <f t="shared" si="183"/>
        <v>0</v>
      </c>
      <c r="O660" s="11">
        <f t="shared" si="184"/>
        <v>0</v>
      </c>
      <c r="P660" s="11">
        <f t="shared" si="185"/>
        <v>0</v>
      </c>
      <c r="Q660" s="11">
        <f t="shared" si="186"/>
        <v>0</v>
      </c>
      <c r="R660" s="11">
        <f t="shared" si="187"/>
        <v>0</v>
      </c>
      <c r="S660" s="30">
        <f t="shared" si="191"/>
        <v>0</v>
      </c>
      <c r="T660" s="30">
        <f t="shared" si="192"/>
        <v>0</v>
      </c>
      <c r="U660" s="30">
        <f t="shared" si="193"/>
        <v>0</v>
      </c>
      <c r="V660" s="30">
        <f t="shared" si="194"/>
        <v>0</v>
      </c>
      <c r="W660" s="30">
        <f t="shared" si="195"/>
        <v>0</v>
      </c>
      <c r="X660" s="30">
        <f t="shared" si="196"/>
        <v>0</v>
      </c>
      <c r="Z660" s="23" t="s">
        <v>76</v>
      </c>
      <c r="AA660" s="40" t="str">
        <f>IF(C660="Electricity",E660*SUMIFS(Electricity!S:S,Electricity!P:P,UserMade_Scenario!B660,Electricity!M:M,UserMade_Scenario!Z660,Electricity!O:O,UserMade_Scenario!D660),"")</f>
        <v/>
      </c>
      <c r="AB660" s="67">
        <v>1.093E-6</v>
      </c>
      <c r="AC660" s="67" t="s">
        <v>90</v>
      </c>
      <c r="AD660" s="39">
        <f>IFERROR(INDEX(Assumptions!B$145:B$146,MATCH($D660,Assumptions!$A$145:$A$146,0)),0)</f>
        <v>-229.20999999999998</v>
      </c>
      <c r="AE660" s="39">
        <f>IFERROR(INDEX(Assumptions!C$145:C$146,MATCH($D660,Assumptions!$A$145:$A$146,0)),0)</f>
        <v>-211.71999999999997</v>
      </c>
      <c r="AF660" s="39">
        <f>IFERROR(INDEX(Assumptions!D$145:D$146,MATCH($D660,Assumptions!$A$145:$A$146,0)),0)</f>
        <v>-408.02697478991581</v>
      </c>
      <c r="AG660" s="68">
        <f>IFERROR(INDEX(WaterUseH2[Average Direct Water Consumption (Gal/ kg h2)],MATCH(LEFT(D660,3),WaterUseH2[Key],0)),0)</f>
        <v>0</v>
      </c>
      <c r="AH660">
        <v>14</v>
      </c>
      <c r="AI660">
        <v>1.4</v>
      </c>
      <c r="AJ660">
        <v>250</v>
      </c>
      <c r="AK660">
        <v>0.31</v>
      </c>
      <c r="AL660" s="63">
        <f>IFERROR(INDEX(Job_Training[[Solar]:[Wind]],MATCH(AL$1,Job_Training[[`Typical Entry Level Education`]:[`Typical Entry Level Education`]],0),MATCH(LEFT($D660,5),Job_Training[[#Headers],[Solar]:[Wind]],0)),0)</f>
        <v>0</v>
      </c>
      <c r="AM660" s="63">
        <f>IFERROR(INDEX(Job_Training[[Solar]:[Wind]],MATCH(AM$1,Job_Training[[`Typical Entry Level Education`]:[`Typical Entry Level Education`]],0),MATCH(LEFT($D660,5),Job_Training[[#Headers],[Solar]:[Wind]],0)),0)</f>
        <v>0</v>
      </c>
      <c r="AN660" s="63">
        <f>IFERROR(INDEX(Job_Training[[Solar]:[Wind]],MATCH(AN$1,Job_Training[[`Typical Entry Level Education`]:[`Typical Entry Level Education`]],0),MATCH(LEFT($D660,5),Job_Training[[#Headers],[Solar]:[Wind]],0)),0)</f>
        <v>0</v>
      </c>
      <c r="AO660" s="63">
        <f>IFERROR(INDEX(Job_Training[[Solar]:[Wind]],MATCH(AO$1,Job_Training[[`Typical Entry Level Education`]:[`Typical Entry Level Education`]],0),MATCH(LEFT($D660,5),Job_Training[[#Headers],[Solar]:[Wind]],0)),0)</f>
        <v>0</v>
      </c>
      <c r="AP660">
        <f t="shared" si="197"/>
        <v>0</v>
      </c>
      <c r="AQ660" s="63">
        <f>IF(AP660&gt;0,IFERROR(INDEX(Assumptions!$C$165:$D$165,MATCH(LEFT($D660,5),Job_Training[[#Headers],[Solar]:[Wind]],0)),0),0)</f>
        <v>0</v>
      </c>
      <c r="AR660">
        <f>IF(AP660&gt;0,IFERROR(INDEX(Assumptions!$C$166:$D$166,MATCH(LEFT($D660,5),Job_Training[[#Headers],[Solar]:[Wind]],0)),0),0)</f>
        <v>0</v>
      </c>
    </row>
    <row r="661" spans="1:44" hidden="1" x14ac:dyDescent="0.35">
      <c r="A661" t="str">
        <f>UserInput!$B$56</f>
        <v>Max Buildout</v>
      </c>
      <c r="B661">
        <v>2033</v>
      </c>
      <c r="C661" t="s">
        <v>87</v>
      </c>
      <c r="D661" t="s">
        <v>88</v>
      </c>
      <c r="E661" s="66">
        <f>INDEX(UserInput!$C$56:$M$76,MATCH(UserMade_Scenario!B661,UserInput!$A$56:$A$76,0),MATCH(LEFT(IF(RIGHT(C661,2)="H2",UserMade_Scenario!C661,D661),3),UserInput!$C$25:$M$25,0))</f>
        <v>15538.199999999997</v>
      </c>
      <c r="F661" t="s">
        <v>89</v>
      </c>
      <c r="G661" s="14">
        <f t="shared" si="198"/>
        <v>1.6983252599999995E-2</v>
      </c>
      <c r="H661" s="63">
        <f t="shared" si="188"/>
        <v>3.8927313284459983</v>
      </c>
      <c r="I661" s="63">
        <f t="shared" si="189"/>
        <v>3.5956942404719983</v>
      </c>
      <c r="J661" s="63">
        <f t="shared" si="190"/>
        <v>6.9296251804709703</v>
      </c>
      <c r="K661" s="30">
        <f>IF(OR(LEFT($D661,5)="Solar",$D661="Wind"),INDEX(Land_Use[AVG],MATCH(LEFT($D661,5),Land_Use[Tech],0)),0)*$E661</f>
        <v>0</v>
      </c>
      <c r="L661" s="30">
        <f>IF(OR(LEFT($D661,5)="Solar",$D661="Wind"),INDEX(Land_Use[MIN],MATCH(LEFT($D661,5),Land_Use[Tech],0)),0)*$E661</f>
        <v>0</v>
      </c>
      <c r="M661" s="30">
        <f>IF(OR(LEFT($D661,5)="Solar",$D661="Wind"),INDEX(Land_Use[MAX],MATCH(LEFT($D661,5),Land_Use[Tech],0)),0)*$E661</f>
        <v>0</v>
      </c>
      <c r="N661" s="15">
        <f t="shared" si="183"/>
        <v>0</v>
      </c>
      <c r="O661" s="11">
        <f t="shared" si="184"/>
        <v>0</v>
      </c>
      <c r="P661" s="11">
        <f t="shared" si="185"/>
        <v>0</v>
      </c>
      <c r="Q661" s="11">
        <f t="shared" si="186"/>
        <v>0</v>
      </c>
      <c r="R661" s="11">
        <f t="shared" si="187"/>
        <v>0</v>
      </c>
      <c r="S661" s="30">
        <f t="shared" si="191"/>
        <v>0</v>
      </c>
      <c r="T661" s="30">
        <f t="shared" si="192"/>
        <v>0</v>
      </c>
      <c r="U661" s="30">
        <f t="shared" si="193"/>
        <v>0</v>
      </c>
      <c r="V661" s="30">
        <f t="shared" si="194"/>
        <v>0</v>
      </c>
      <c r="W661" s="30">
        <f t="shared" si="195"/>
        <v>0</v>
      </c>
      <c r="X661" s="30">
        <f t="shared" si="196"/>
        <v>0</v>
      </c>
      <c r="Z661" s="23" t="s">
        <v>76</v>
      </c>
      <c r="AA661" s="40" t="str">
        <f>IF(C661="Electricity",E661*SUMIFS(Electricity!S:S,Electricity!P:P,UserMade_Scenario!B661,Electricity!M:M,UserMade_Scenario!Z661,Electricity!O:O,UserMade_Scenario!D661),"")</f>
        <v/>
      </c>
      <c r="AB661" s="67">
        <v>1.093E-6</v>
      </c>
      <c r="AC661" s="67" t="s">
        <v>90</v>
      </c>
      <c r="AD661" s="39">
        <f>IFERROR(INDEX(Assumptions!B$145:B$146,MATCH($D661,Assumptions!$A$145:$A$146,0)),0)</f>
        <v>-229.20999999999998</v>
      </c>
      <c r="AE661" s="39">
        <f>IFERROR(INDEX(Assumptions!C$145:C$146,MATCH($D661,Assumptions!$A$145:$A$146,0)),0)</f>
        <v>-211.71999999999997</v>
      </c>
      <c r="AF661" s="39">
        <f>IFERROR(INDEX(Assumptions!D$145:D$146,MATCH($D661,Assumptions!$A$145:$A$146,0)),0)</f>
        <v>-408.02697478991581</v>
      </c>
      <c r="AG661" s="68">
        <f>IFERROR(INDEX(WaterUseH2[Average Direct Water Consumption (Gal/ kg h2)],MATCH(LEFT(D661,3),WaterUseH2[Key],0)),0)</f>
        <v>0</v>
      </c>
      <c r="AH661">
        <v>14</v>
      </c>
      <c r="AI661">
        <v>1.4</v>
      </c>
      <c r="AJ661">
        <v>250</v>
      </c>
      <c r="AK661">
        <v>0.31</v>
      </c>
      <c r="AL661" s="63">
        <f>IFERROR(INDEX(Job_Training[[Solar]:[Wind]],MATCH(AL$1,Job_Training[[`Typical Entry Level Education`]:[`Typical Entry Level Education`]],0),MATCH(LEFT($D661,5),Job_Training[[#Headers],[Solar]:[Wind]],0)),0)</f>
        <v>0</v>
      </c>
      <c r="AM661" s="63">
        <f>IFERROR(INDEX(Job_Training[[Solar]:[Wind]],MATCH(AM$1,Job_Training[[`Typical Entry Level Education`]:[`Typical Entry Level Education`]],0),MATCH(LEFT($D661,5),Job_Training[[#Headers],[Solar]:[Wind]],0)),0)</f>
        <v>0</v>
      </c>
      <c r="AN661" s="63">
        <f>IFERROR(INDEX(Job_Training[[Solar]:[Wind]],MATCH(AN$1,Job_Training[[`Typical Entry Level Education`]:[`Typical Entry Level Education`]],0),MATCH(LEFT($D661,5),Job_Training[[#Headers],[Solar]:[Wind]],0)),0)</f>
        <v>0</v>
      </c>
      <c r="AO661" s="63">
        <f>IFERROR(INDEX(Job_Training[[Solar]:[Wind]],MATCH(AO$1,Job_Training[[`Typical Entry Level Education`]:[`Typical Entry Level Education`]],0),MATCH(LEFT($D661,5),Job_Training[[#Headers],[Solar]:[Wind]],0)),0)</f>
        <v>0</v>
      </c>
      <c r="AP661">
        <f t="shared" si="197"/>
        <v>0</v>
      </c>
      <c r="AQ661" s="63">
        <f>IF(AP661&gt;0,IFERROR(INDEX(Assumptions!$C$165:$D$165,MATCH(LEFT($D661,5),Job_Training[[#Headers],[Solar]:[Wind]],0)),0),0)</f>
        <v>0</v>
      </c>
      <c r="AR661">
        <f>IF(AP661&gt;0,IFERROR(INDEX(Assumptions!$C$166:$D$166,MATCH(LEFT($D661,5),Job_Training[[#Headers],[Solar]:[Wind]],0)),0),0)</f>
        <v>0</v>
      </c>
    </row>
    <row r="662" spans="1:44" hidden="1" x14ac:dyDescent="0.35">
      <c r="A662" t="str">
        <f>UserInput!$B$56</f>
        <v>Max Buildout</v>
      </c>
      <c r="B662">
        <v>2034</v>
      </c>
      <c r="C662" t="s">
        <v>87</v>
      </c>
      <c r="D662" t="s">
        <v>88</v>
      </c>
      <c r="E662" s="66">
        <f>INDEX(UserInput!$C$56:$M$76,MATCH(UserMade_Scenario!B662,UserInput!$A$56:$A$76,0),MATCH(LEFT(IF(RIGHT(C662,2)="H2",UserMade_Scenario!C662,D662),3),UserInput!$C$25:$M$25,0))</f>
        <v>16623.349999999999</v>
      </c>
      <c r="F662" t="s">
        <v>89</v>
      </c>
      <c r="G662" s="14">
        <f t="shared" si="198"/>
        <v>1.8169321550000003E-2</v>
      </c>
      <c r="H662" s="63">
        <f t="shared" si="188"/>
        <v>4.1645901924755</v>
      </c>
      <c r="I662" s="63">
        <f t="shared" si="189"/>
        <v>3.846808758566</v>
      </c>
      <c r="J662" s="63">
        <f t="shared" si="190"/>
        <v>7.4135733060317248</v>
      </c>
      <c r="K662" s="30">
        <f>IF(OR(LEFT($D662,5)="Solar",$D662="Wind"),INDEX(Land_Use[AVG],MATCH(LEFT($D662,5),Land_Use[Tech],0)),0)*$E662</f>
        <v>0</v>
      </c>
      <c r="L662" s="30">
        <f>IF(OR(LEFT($D662,5)="Solar",$D662="Wind"),INDEX(Land_Use[MIN],MATCH(LEFT($D662,5),Land_Use[Tech],0)),0)*$E662</f>
        <v>0</v>
      </c>
      <c r="M662" s="30">
        <f>IF(OR(LEFT($D662,5)="Solar",$D662="Wind"),INDEX(Land_Use[MAX],MATCH(LEFT($D662,5),Land_Use[Tech],0)),0)*$E662</f>
        <v>0</v>
      </c>
      <c r="N662" s="15">
        <f t="shared" si="183"/>
        <v>0</v>
      </c>
      <c r="O662" s="11">
        <f t="shared" si="184"/>
        <v>0</v>
      </c>
      <c r="P662" s="11">
        <f t="shared" si="185"/>
        <v>0</v>
      </c>
      <c r="Q662" s="11">
        <f t="shared" si="186"/>
        <v>0</v>
      </c>
      <c r="R662" s="11">
        <f t="shared" si="187"/>
        <v>0</v>
      </c>
      <c r="S662" s="30">
        <f t="shared" si="191"/>
        <v>0</v>
      </c>
      <c r="T662" s="30">
        <f t="shared" si="192"/>
        <v>0</v>
      </c>
      <c r="U662" s="30">
        <f t="shared" si="193"/>
        <v>0</v>
      </c>
      <c r="V662" s="30">
        <f t="shared" si="194"/>
        <v>0</v>
      </c>
      <c r="W662" s="30">
        <f t="shared" si="195"/>
        <v>0</v>
      </c>
      <c r="X662" s="30">
        <f t="shared" si="196"/>
        <v>0</v>
      </c>
      <c r="Z662" s="23" t="s">
        <v>76</v>
      </c>
      <c r="AA662" s="40" t="str">
        <f>IF(C662="Electricity",E662*SUMIFS(Electricity!S:S,Electricity!P:P,UserMade_Scenario!B662,Electricity!M:M,UserMade_Scenario!Z662,Electricity!O:O,UserMade_Scenario!D662),"")</f>
        <v/>
      </c>
      <c r="AB662" s="67">
        <v>1.0930000000000002E-6</v>
      </c>
      <c r="AC662" s="67" t="s">
        <v>90</v>
      </c>
      <c r="AD662" s="39">
        <f>IFERROR(INDEX(Assumptions!B$145:B$146,MATCH($D662,Assumptions!$A$145:$A$146,0)),0)</f>
        <v>-229.20999999999998</v>
      </c>
      <c r="AE662" s="39">
        <f>IFERROR(INDEX(Assumptions!C$145:C$146,MATCH($D662,Assumptions!$A$145:$A$146,0)),0)</f>
        <v>-211.71999999999997</v>
      </c>
      <c r="AF662" s="39">
        <f>IFERROR(INDEX(Assumptions!D$145:D$146,MATCH($D662,Assumptions!$A$145:$A$146,0)),0)</f>
        <v>-408.02697478991581</v>
      </c>
      <c r="AG662" s="68">
        <f>IFERROR(INDEX(WaterUseH2[Average Direct Water Consumption (Gal/ kg h2)],MATCH(LEFT(D662,3),WaterUseH2[Key],0)),0)</f>
        <v>0</v>
      </c>
      <c r="AH662">
        <v>14</v>
      </c>
      <c r="AI662">
        <v>1.4</v>
      </c>
      <c r="AJ662">
        <v>250</v>
      </c>
      <c r="AK662">
        <v>0.31</v>
      </c>
      <c r="AL662" s="63">
        <f>IFERROR(INDEX(Job_Training[[Solar]:[Wind]],MATCH(AL$1,Job_Training[[`Typical Entry Level Education`]:[`Typical Entry Level Education`]],0),MATCH(LEFT($D662,5),Job_Training[[#Headers],[Solar]:[Wind]],0)),0)</f>
        <v>0</v>
      </c>
      <c r="AM662" s="63">
        <f>IFERROR(INDEX(Job_Training[[Solar]:[Wind]],MATCH(AM$1,Job_Training[[`Typical Entry Level Education`]:[`Typical Entry Level Education`]],0),MATCH(LEFT($D662,5),Job_Training[[#Headers],[Solar]:[Wind]],0)),0)</f>
        <v>0</v>
      </c>
      <c r="AN662" s="63">
        <f>IFERROR(INDEX(Job_Training[[Solar]:[Wind]],MATCH(AN$1,Job_Training[[`Typical Entry Level Education`]:[`Typical Entry Level Education`]],0),MATCH(LEFT($D662,5),Job_Training[[#Headers],[Solar]:[Wind]],0)),0)</f>
        <v>0</v>
      </c>
      <c r="AO662" s="63">
        <f>IFERROR(INDEX(Job_Training[[Solar]:[Wind]],MATCH(AO$1,Job_Training[[`Typical Entry Level Education`]:[`Typical Entry Level Education`]],0),MATCH(LEFT($D662,5),Job_Training[[#Headers],[Solar]:[Wind]],0)),0)</f>
        <v>0</v>
      </c>
      <c r="AP662">
        <f t="shared" si="197"/>
        <v>0</v>
      </c>
      <c r="AQ662" s="63">
        <f>IF(AP662&gt;0,IFERROR(INDEX(Assumptions!$C$165:$D$165,MATCH(LEFT($D662,5),Job_Training[[#Headers],[Solar]:[Wind]],0)),0),0)</f>
        <v>0</v>
      </c>
      <c r="AR662">
        <f>IF(AP662&gt;0,IFERROR(INDEX(Assumptions!$C$166:$D$166,MATCH(LEFT($D662,5),Job_Training[[#Headers],[Solar]:[Wind]],0)),0),0)</f>
        <v>0</v>
      </c>
    </row>
    <row r="663" spans="1:44" hidden="1" x14ac:dyDescent="0.35">
      <c r="A663" t="str">
        <f>UserInput!$B$56</f>
        <v>Max Buildout</v>
      </c>
      <c r="B663">
        <v>2035</v>
      </c>
      <c r="C663" t="s">
        <v>87</v>
      </c>
      <c r="D663" t="s">
        <v>88</v>
      </c>
      <c r="E663" s="66">
        <f>INDEX(UserInput!$C$56:$M$76,MATCH(UserMade_Scenario!B663,UserInput!$A$56:$A$76,0),MATCH(LEFT(IF(RIGHT(C663,2)="H2",UserMade_Scenario!C663,D663),3),UserInput!$C$25:$M$25,0))</f>
        <v>17708.5</v>
      </c>
      <c r="F663" t="s">
        <v>89</v>
      </c>
      <c r="G663" s="14">
        <f t="shared" si="198"/>
        <v>1.9355390500000003E-2</v>
      </c>
      <c r="H663" s="63">
        <f t="shared" si="188"/>
        <v>4.4364490565050003</v>
      </c>
      <c r="I663" s="63">
        <f t="shared" si="189"/>
        <v>4.0979232766600004</v>
      </c>
      <c r="J663" s="63">
        <f t="shared" si="190"/>
        <v>7.8975214315924775</v>
      </c>
      <c r="K663" s="30">
        <f>IF(OR(LEFT($D663,5)="Solar",$D663="Wind"),INDEX(Land_Use[AVG],MATCH(LEFT($D663,5),Land_Use[Tech],0)),0)*$E663</f>
        <v>0</v>
      </c>
      <c r="L663" s="30">
        <f>IF(OR(LEFT($D663,5)="Solar",$D663="Wind"),INDEX(Land_Use[MIN],MATCH(LEFT($D663,5),Land_Use[Tech],0)),0)*$E663</f>
        <v>0</v>
      </c>
      <c r="M663" s="30">
        <f>IF(OR(LEFT($D663,5)="Solar",$D663="Wind"),INDEX(Land_Use[MAX],MATCH(LEFT($D663,5),Land_Use[Tech],0)),0)*$E663</f>
        <v>0</v>
      </c>
      <c r="N663" s="15">
        <f t="shared" si="183"/>
        <v>0</v>
      </c>
      <c r="O663" s="11">
        <f t="shared" si="184"/>
        <v>0</v>
      </c>
      <c r="P663" s="11">
        <f t="shared" si="185"/>
        <v>0</v>
      </c>
      <c r="Q663" s="11">
        <f t="shared" si="186"/>
        <v>0</v>
      </c>
      <c r="R663" s="11">
        <f t="shared" si="187"/>
        <v>0</v>
      </c>
      <c r="S663" s="30">
        <f t="shared" si="191"/>
        <v>0</v>
      </c>
      <c r="T663" s="30">
        <f t="shared" si="192"/>
        <v>0</v>
      </c>
      <c r="U663" s="30">
        <f t="shared" si="193"/>
        <v>0</v>
      </c>
      <c r="V663" s="30">
        <f t="shared" si="194"/>
        <v>0</v>
      </c>
      <c r="W663" s="30">
        <f t="shared" si="195"/>
        <v>0</v>
      </c>
      <c r="X663" s="30">
        <f t="shared" si="196"/>
        <v>0</v>
      </c>
      <c r="Z663" s="23" t="s">
        <v>76</v>
      </c>
      <c r="AA663" s="40" t="str">
        <f>IF(C663="Electricity",E663*SUMIFS(Electricity!S:S,Electricity!P:P,UserMade_Scenario!B663,Electricity!M:M,UserMade_Scenario!Z663,Electricity!O:O,UserMade_Scenario!D663),"")</f>
        <v/>
      </c>
      <c r="AB663" s="67">
        <v>1.0930000000000002E-6</v>
      </c>
      <c r="AC663" s="67" t="s">
        <v>90</v>
      </c>
      <c r="AD663" s="39">
        <f>IFERROR(INDEX(Assumptions!B$145:B$146,MATCH($D663,Assumptions!$A$145:$A$146,0)),0)</f>
        <v>-229.20999999999998</v>
      </c>
      <c r="AE663" s="39">
        <f>IFERROR(INDEX(Assumptions!C$145:C$146,MATCH($D663,Assumptions!$A$145:$A$146,0)),0)</f>
        <v>-211.71999999999997</v>
      </c>
      <c r="AF663" s="39">
        <f>IFERROR(INDEX(Assumptions!D$145:D$146,MATCH($D663,Assumptions!$A$145:$A$146,0)),0)</f>
        <v>-408.02697478991581</v>
      </c>
      <c r="AG663" s="68">
        <f>IFERROR(INDEX(WaterUseH2[Average Direct Water Consumption (Gal/ kg h2)],MATCH(LEFT(D663,3),WaterUseH2[Key],0)),0)</f>
        <v>0</v>
      </c>
      <c r="AH663">
        <v>14</v>
      </c>
      <c r="AI663">
        <v>1.4</v>
      </c>
      <c r="AJ663">
        <v>250</v>
      </c>
      <c r="AK663">
        <v>0.31</v>
      </c>
      <c r="AL663" s="63">
        <f>IFERROR(INDEX(Job_Training[[Solar]:[Wind]],MATCH(AL$1,Job_Training[[`Typical Entry Level Education`]:[`Typical Entry Level Education`]],0),MATCH(LEFT($D663,5),Job_Training[[#Headers],[Solar]:[Wind]],0)),0)</f>
        <v>0</v>
      </c>
      <c r="AM663" s="63">
        <f>IFERROR(INDEX(Job_Training[[Solar]:[Wind]],MATCH(AM$1,Job_Training[[`Typical Entry Level Education`]:[`Typical Entry Level Education`]],0),MATCH(LEFT($D663,5),Job_Training[[#Headers],[Solar]:[Wind]],0)),0)</f>
        <v>0</v>
      </c>
      <c r="AN663" s="63">
        <f>IFERROR(INDEX(Job_Training[[Solar]:[Wind]],MATCH(AN$1,Job_Training[[`Typical Entry Level Education`]:[`Typical Entry Level Education`]],0),MATCH(LEFT($D663,5),Job_Training[[#Headers],[Solar]:[Wind]],0)),0)</f>
        <v>0</v>
      </c>
      <c r="AO663" s="63">
        <f>IFERROR(INDEX(Job_Training[[Solar]:[Wind]],MATCH(AO$1,Job_Training[[`Typical Entry Level Education`]:[`Typical Entry Level Education`]],0),MATCH(LEFT($D663,5),Job_Training[[#Headers],[Solar]:[Wind]],0)),0)</f>
        <v>0</v>
      </c>
      <c r="AP663">
        <f t="shared" si="197"/>
        <v>0</v>
      </c>
      <c r="AQ663" s="63">
        <f>IF(AP663&gt;0,IFERROR(INDEX(Assumptions!$C$165:$D$165,MATCH(LEFT($D663,5),Job_Training[[#Headers],[Solar]:[Wind]],0)),0),0)</f>
        <v>0</v>
      </c>
      <c r="AR663">
        <f>IF(AP663&gt;0,IFERROR(INDEX(Assumptions!$C$166:$D$166,MATCH(LEFT($D663,5),Job_Training[[#Headers],[Solar]:[Wind]],0)),0),0)</f>
        <v>0</v>
      </c>
    </row>
    <row r="664" spans="1:44" hidden="1" x14ac:dyDescent="0.35">
      <c r="A664" t="str">
        <f>UserInput!$B$56</f>
        <v>Max Buildout</v>
      </c>
      <c r="B664">
        <v>2036</v>
      </c>
      <c r="C664" t="s">
        <v>87</v>
      </c>
      <c r="D664" t="s">
        <v>88</v>
      </c>
      <c r="E664" s="66">
        <f>INDEX(UserInput!$C$56:$M$76,MATCH(UserMade_Scenario!B664,UserInput!$A$56:$A$76,0),MATCH(LEFT(IF(RIGHT(C664,2)="H2",UserMade_Scenario!C664,D664),3),UserInput!$C$25:$M$25,0))</f>
        <v>18793.650000000001</v>
      </c>
      <c r="F664" t="s">
        <v>89</v>
      </c>
      <c r="G664" s="14">
        <f t="shared" si="198"/>
        <v>2.0541459450000004E-2</v>
      </c>
      <c r="H664" s="63">
        <f t="shared" si="188"/>
        <v>4.7083079205345006</v>
      </c>
      <c r="I664" s="63">
        <f t="shared" si="189"/>
        <v>4.3490377947540004</v>
      </c>
      <c r="J664" s="63">
        <f t="shared" si="190"/>
        <v>8.3814695571532294</v>
      </c>
      <c r="K664" s="30">
        <f>IF(OR(LEFT($D664,5)="Solar",$D664="Wind"),INDEX(Land_Use[AVG],MATCH(LEFT($D664,5),Land_Use[Tech],0)),0)*$E664</f>
        <v>0</v>
      </c>
      <c r="L664" s="30">
        <f>IF(OR(LEFT($D664,5)="Solar",$D664="Wind"),INDEX(Land_Use[MIN],MATCH(LEFT($D664,5),Land_Use[Tech],0)),0)*$E664</f>
        <v>0</v>
      </c>
      <c r="M664" s="30">
        <f>IF(OR(LEFT($D664,5)="Solar",$D664="Wind"),INDEX(Land_Use[MAX],MATCH(LEFT($D664,5),Land_Use[Tech],0)),0)*$E664</f>
        <v>0</v>
      </c>
      <c r="N664" s="15">
        <f t="shared" si="183"/>
        <v>0</v>
      </c>
      <c r="O664" s="11">
        <f t="shared" si="184"/>
        <v>0</v>
      </c>
      <c r="P664" s="11">
        <f t="shared" si="185"/>
        <v>0</v>
      </c>
      <c r="Q664" s="11">
        <f t="shared" si="186"/>
        <v>0</v>
      </c>
      <c r="R664" s="11">
        <f t="shared" si="187"/>
        <v>0</v>
      </c>
      <c r="S664" s="30">
        <f t="shared" si="191"/>
        <v>0</v>
      </c>
      <c r="T664" s="30">
        <f t="shared" si="192"/>
        <v>0</v>
      </c>
      <c r="U664" s="30">
        <f t="shared" si="193"/>
        <v>0</v>
      </c>
      <c r="V664" s="30">
        <f t="shared" si="194"/>
        <v>0</v>
      </c>
      <c r="W664" s="30">
        <f t="shared" si="195"/>
        <v>0</v>
      </c>
      <c r="X664" s="30">
        <f t="shared" si="196"/>
        <v>0</v>
      </c>
      <c r="Z664" s="23" t="s">
        <v>76</v>
      </c>
      <c r="AA664" s="40" t="str">
        <f>IF(C664="Electricity",E664*SUMIFS(Electricity!S:S,Electricity!P:P,UserMade_Scenario!B664,Electricity!M:M,UserMade_Scenario!Z664,Electricity!O:O,UserMade_Scenario!D664),"")</f>
        <v/>
      </c>
      <c r="AB664" s="67">
        <v>1.0930000000000002E-6</v>
      </c>
      <c r="AC664" s="67" t="s">
        <v>90</v>
      </c>
      <c r="AD664" s="39">
        <f>IFERROR(INDEX(Assumptions!B$145:B$146,MATCH($D664,Assumptions!$A$145:$A$146,0)),0)</f>
        <v>-229.20999999999998</v>
      </c>
      <c r="AE664" s="39">
        <f>IFERROR(INDEX(Assumptions!C$145:C$146,MATCH($D664,Assumptions!$A$145:$A$146,0)),0)</f>
        <v>-211.71999999999997</v>
      </c>
      <c r="AF664" s="39">
        <f>IFERROR(INDEX(Assumptions!D$145:D$146,MATCH($D664,Assumptions!$A$145:$A$146,0)),0)</f>
        <v>-408.02697478991581</v>
      </c>
      <c r="AG664" s="68">
        <f>IFERROR(INDEX(WaterUseH2[Average Direct Water Consumption (Gal/ kg h2)],MATCH(LEFT(D664,3),WaterUseH2[Key],0)),0)</f>
        <v>0</v>
      </c>
      <c r="AH664">
        <v>14</v>
      </c>
      <c r="AI664">
        <v>1.4</v>
      </c>
      <c r="AJ664">
        <v>250</v>
      </c>
      <c r="AK664">
        <v>0.31</v>
      </c>
      <c r="AL664" s="63">
        <f>IFERROR(INDEX(Job_Training[[Solar]:[Wind]],MATCH(AL$1,Job_Training[[`Typical Entry Level Education`]:[`Typical Entry Level Education`]],0),MATCH(LEFT($D664,5),Job_Training[[#Headers],[Solar]:[Wind]],0)),0)</f>
        <v>0</v>
      </c>
      <c r="AM664" s="63">
        <f>IFERROR(INDEX(Job_Training[[Solar]:[Wind]],MATCH(AM$1,Job_Training[[`Typical Entry Level Education`]:[`Typical Entry Level Education`]],0),MATCH(LEFT($D664,5),Job_Training[[#Headers],[Solar]:[Wind]],0)),0)</f>
        <v>0</v>
      </c>
      <c r="AN664" s="63">
        <f>IFERROR(INDEX(Job_Training[[Solar]:[Wind]],MATCH(AN$1,Job_Training[[`Typical Entry Level Education`]:[`Typical Entry Level Education`]],0),MATCH(LEFT($D664,5),Job_Training[[#Headers],[Solar]:[Wind]],0)),0)</f>
        <v>0</v>
      </c>
      <c r="AO664" s="63">
        <f>IFERROR(INDEX(Job_Training[[Solar]:[Wind]],MATCH(AO$1,Job_Training[[`Typical Entry Level Education`]:[`Typical Entry Level Education`]],0),MATCH(LEFT($D664,5),Job_Training[[#Headers],[Solar]:[Wind]],0)),0)</f>
        <v>0</v>
      </c>
      <c r="AP664">
        <f t="shared" si="197"/>
        <v>0</v>
      </c>
      <c r="AQ664" s="63">
        <f>IF(AP664&gt;0,IFERROR(INDEX(Assumptions!$C$165:$D$165,MATCH(LEFT($D664,5),Job_Training[[#Headers],[Solar]:[Wind]],0)),0),0)</f>
        <v>0</v>
      </c>
      <c r="AR664">
        <f>IF(AP664&gt;0,IFERROR(INDEX(Assumptions!$C$166:$D$166,MATCH(LEFT($D664,5),Job_Training[[#Headers],[Solar]:[Wind]],0)),0),0)</f>
        <v>0</v>
      </c>
    </row>
    <row r="665" spans="1:44" hidden="1" x14ac:dyDescent="0.35">
      <c r="A665" t="str">
        <f>UserInput!$B$56</f>
        <v>Max Buildout</v>
      </c>
      <c r="B665">
        <v>2037</v>
      </c>
      <c r="C665" t="s">
        <v>87</v>
      </c>
      <c r="D665" t="s">
        <v>88</v>
      </c>
      <c r="E665" s="66">
        <f>INDEX(UserInput!$C$56:$M$76,MATCH(UserMade_Scenario!B665,UserInput!$A$56:$A$76,0),MATCH(LEFT(IF(RIGHT(C665,2)="H2",UserMade_Scenario!C665,D665),3),UserInput!$C$25:$M$25,0))</f>
        <v>19878.800000000003</v>
      </c>
      <c r="F665" t="s">
        <v>89</v>
      </c>
      <c r="G665" s="14">
        <f t="shared" si="198"/>
        <v>2.1727528400000005E-2</v>
      </c>
      <c r="H665" s="63">
        <f t="shared" si="188"/>
        <v>4.980166784564001</v>
      </c>
      <c r="I665" s="63">
        <f t="shared" si="189"/>
        <v>4.6001523128480004</v>
      </c>
      <c r="J665" s="63">
        <f t="shared" si="190"/>
        <v>8.8654176827139821</v>
      </c>
      <c r="K665" s="30">
        <f>IF(OR(LEFT($D665,5)="Solar",$D665="Wind"),INDEX(Land_Use[AVG],MATCH(LEFT($D665,5),Land_Use[Tech],0)),0)*$E665</f>
        <v>0</v>
      </c>
      <c r="L665" s="30">
        <f>IF(OR(LEFT($D665,5)="Solar",$D665="Wind"),INDEX(Land_Use[MIN],MATCH(LEFT($D665,5),Land_Use[Tech],0)),0)*$E665</f>
        <v>0</v>
      </c>
      <c r="M665" s="30">
        <f>IF(OR(LEFT($D665,5)="Solar",$D665="Wind"),INDEX(Land_Use[MAX],MATCH(LEFT($D665,5),Land_Use[Tech],0)),0)*$E665</f>
        <v>0</v>
      </c>
      <c r="N665" s="15">
        <f t="shared" si="183"/>
        <v>0</v>
      </c>
      <c r="O665" s="11">
        <f t="shared" si="184"/>
        <v>0</v>
      </c>
      <c r="P665" s="11">
        <f t="shared" si="185"/>
        <v>0</v>
      </c>
      <c r="Q665" s="11">
        <f t="shared" si="186"/>
        <v>0</v>
      </c>
      <c r="R665" s="11">
        <f t="shared" si="187"/>
        <v>0</v>
      </c>
      <c r="S665" s="30">
        <f t="shared" si="191"/>
        <v>0</v>
      </c>
      <c r="T665" s="30">
        <f t="shared" si="192"/>
        <v>0</v>
      </c>
      <c r="U665" s="30">
        <f t="shared" si="193"/>
        <v>0</v>
      </c>
      <c r="V665" s="30">
        <f t="shared" si="194"/>
        <v>0</v>
      </c>
      <c r="W665" s="30">
        <f t="shared" si="195"/>
        <v>0</v>
      </c>
      <c r="X665" s="30">
        <f t="shared" si="196"/>
        <v>0</v>
      </c>
      <c r="Z665" s="23" t="s">
        <v>76</v>
      </c>
      <c r="AA665" s="40" t="str">
        <f>IF(C665="Electricity",E665*SUMIFS(Electricity!S:S,Electricity!P:P,UserMade_Scenario!B665,Electricity!M:M,UserMade_Scenario!Z665,Electricity!O:O,UserMade_Scenario!D665),"")</f>
        <v/>
      </c>
      <c r="AB665" s="67">
        <v>1.0930000000000002E-6</v>
      </c>
      <c r="AC665" s="67" t="s">
        <v>90</v>
      </c>
      <c r="AD665" s="39">
        <f>IFERROR(INDEX(Assumptions!B$145:B$146,MATCH($D665,Assumptions!$A$145:$A$146,0)),0)</f>
        <v>-229.20999999999998</v>
      </c>
      <c r="AE665" s="39">
        <f>IFERROR(INDEX(Assumptions!C$145:C$146,MATCH($D665,Assumptions!$A$145:$A$146,0)),0)</f>
        <v>-211.71999999999997</v>
      </c>
      <c r="AF665" s="39">
        <f>IFERROR(INDEX(Assumptions!D$145:D$146,MATCH($D665,Assumptions!$A$145:$A$146,0)),0)</f>
        <v>-408.02697478991581</v>
      </c>
      <c r="AG665" s="68">
        <f>IFERROR(INDEX(WaterUseH2[Average Direct Water Consumption (Gal/ kg h2)],MATCH(LEFT(D665,3),WaterUseH2[Key],0)),0)</f>
        <v>0</v>
      </c>
      <c r="AH665">
        <v>14</v>
      </c>
      <c r="AI665">
        <v>1.4</v>
      </c>
      <c r="AJ665">
        <v>250</v>
      </c>
      <c r="AK665">
        <v>0.31</v>
      </c>
      <c r="AL665" s="63">
        <f>IFERROR(INDEX(Job_Training[[Solar]:[Wind]],MATCH(AL$1,Job_Training[[`Typical Entry Level Education`]:[`Typical Entry Level Education`]],0),MATCH(LEFT($D665,5),Job_Training[[#Headers],[Solar]:[Wind]],0)),0)</f>
        <v>0</v>
      </c>
      <c r="AM665" s="63">
        <f>IFERROR(INDEX(Job_Training[[Solar]:[Wind]],MATCH(AM$1,Job_Training[[`Typical Entry Level Education`]:[`Typical Entry Level Education`]],0),MATCH(LEFT($D665,5),Job_Training[[#Headers],[Solar]:[Wind]],0)),0)</f>
        <v>0</v>
      </c>
      <c r="AN665" s="63">
        <f>IFERROR(INDEX(Job_Training[[Solar]:[Wind]],MATCH(AN$1,Job_Training[[`Typical Entry Level Education`]:[`Typical Entry Level Education`]],0),MATCH(LEFT($D665,5),Job_Training[[#Headers],[Solar]:[Wind]],0)),0)</f>
        <v>0</v>
      </c>
      <c r="AO665" s="63">
        <f>IFERROR(INDEX(Job_Training[[Solar]:[Wind]],MATCH(AO$1,Job_Training[[`Typical Entry Level Education`]:[`Typical Entry Level Education`]],0),MATCH(LEFT($D665,5),Job_Training[[#Headers],[Solar]:[Wind]],0)),0)</f>
        <v>0</v>
      </c>
      <c r="AP665">
        <f t="shared" si="197"/>
        <v>0</v>
      </c>
      <c r="AQ665" s="63">
        <f>IF(AP665&gt;0,IFERROR(INDEX(Assumptions!$C$165:$D$165,MATCH(LEFT($D665,5),Job_Training[[#Headers],[Solar]:[Wind]],0)),0),0)</f>
        <v>0</v>
      </c>
      <c r="AR665">
        <f>IF(AP665&gt;0,IFERROR(INDEX(Assumptions!$C$166:$D$166,MATCH(LEFT($D665,5),Job_Training[[#Headers],[Solar]:[Wind]],0)),0),0)</f>
        <v>0</v>
      </c>
    </row>
    <row r="666" spans="1:44" hidden="1" x14ac:dyDescent="0.35">
      <c r="A666" t="str">
        <f>UserInput!$B$56</f>
        <v>Max Buildout</v>
      </c>
      <c r="B666">
        <v>2038</v>
      </c>
      <c r="C666" t="s">
        <v>87</v>
      </c>
      <c r="D666" t="s">
        <v>88</v>
      </c>
      <c r="E666" s="66">
        <f>INDEX(UserInput!$C$56:$M$76,MATCH(UserMade_Scenario!B666,UserInput!$A$56:$A$76,0),MATCH(LEFT(IF(RIGHT(C666,2)="H2",UserMade_Scenario!C666,D666),3),UserInput!$C$25:$M$25,0))</f>
        <v>20963.950000000004</v>
      </c>
      <c r="F666" t="s">
        <v>89</v>
      </c>
      <c r="G666" s="14">
        <f t="shared" si="198"/>
        <v>2.2913597350000009E-2</v>
      </c>
      <c r="H666" s="63">
        <f t="shared" si="188"/>
        <v>5.2520256485935013</v>
      </c>
      <c r="I666" s="63">
        <f t="shared" si="189"/>
        <v>4.8512668309420013</v>
      </c>
      <c r="J666" s="63">
        <f t="shared" si="190"/>
        <v>9.3493658082747348</v>
      </c>
      <c r="K666" s="30">
        <f>IF(OR(LEFT($D666,5)="Solar",$D666="Wind"),INDEX(Land_Use[AVG],MATCH(LEFT($D666,5),Land_Use[Tech],0)),0)*$E666</f>
        <v>0</v>
      </c>
      <c r="L666" s="30">
        <f>IF(OR(LEFT($D666,5)="Solar",$D666="Wind"),INDEX(Land_Use[MIN],MATCH(LEFT($D666,5),Land_Use[Tech],0)),0)*$E666</f>
        <v>0</v>
      </c>
      <c r="M666" s="30">
        <f>IF(OR(LEFT($D666,5)="Solar",$D666="Wind"),INDEX(Land_Use[MAX],MATCH(LEFT($D666,5),Land_Use[Tech],0)),0)*$E666</f>
        <v>0</v>
      </c>
      <c r="N666" s="15">
        <f t="shared" si="183"/>
        <v>0</v>
      </c>
      <c r="O666" s="11">
        <f t="shared" si="184"/>
        <v>0</v>
      </c>
      <c r="P666" s="11">
        <f t="shared" si="185"/>
        <v>0</v>
      </c>
      <c r="Q666" s="11">
        <f t="shared" si="186"/>
        <v>0</v>
      </c>
      <c r="R666" s="11">
        <f t="shared" si="187"/>
        <v>0</v>
      </c>
      <c r="S666" s="30">
        <f t="shared" si="191"/>
        <v>0</v>
      </c>
      <c r="T666" s="30">
        <f t="shared" si="192"/>
        <v>0</v>
      </c>
      <c r="U666" s="30">
        <f t="shared" si="193"/>
        <v>0</v>
      </c>
      <c r="V666" s="30">
        <f t="shared" si="194"/>
        <v>0</v>
      </c>
      <c r="W666" s="30">
        <f t="shared" si="195"/>
        <v>0</v>
      </c>
      <c r="X666" s="30">
        <f t="shared" si="196"/>
        <v>0</v>
      </c>
      <c r="Z666" s="23" t="s">
        <v>76</v>
      </c>
      <c r="AA666" s="40" t="str">
        <f>IF(C666="Electricity",E666*SUMIFS(Electricity!S:S,Electricity!P:P,UserMade_Scenario!B666,Electricity!M:M,UserMade_Scenario!Z666,Electricity!O:O,UserMade_Scenario!D666),"")</f>
        <v/>
      </c>
      <c r="AB666" s="67">
        <v>1.0930000000000002E-6</v>
      </c>
      <c r="AC666" s="67" t="s">
        <v>90</v>
      </c>
      <c r="AD666" s="39">
        <f>IFERROR(INDEX(Assumptions!B$145:B$146,MATCH($D666,Assumptions!$A$145:$A$146,0)),0)</f>
        <v>-229.20999999999998</v>
      </c>
      <c r="AE666" s="39">
        <f>IFERROR(INDEX(Assumptions!C$145:C$146,MATCH($D666,Assumptions!$A$145:$A$146,0)),0)</f>
        <v>-211.71999999999997</v>
      </c>
      <c r="AF666" s="39">
        <f>IFERROR(INDEX(Assumptions!D$145:D$146,MATCH($D666,Assumptions!$A$145:$A$146,0)),0)</f>
        <v>-408.02697478991581</v>
      </c>
      <c r="AG666" s="68">
        <f>IFERROR(INDEX(WaterUseH2[Average Direct Water Consumption (Gal/ kg h2)],MATCH(LEFT(D666,3),WaterUseH2[Key],0)),0)</f>
        <v>0</v>
      </c>
      <c r="AH666">
        <v>14</v>
      </c>
      <c r="AI666">
        <v>1.4</v>
      </c>
      <c r="AJ666">
        <v>250</v>
      </c>
      <c r="AK666">
        <v>0.31</v>
      </c>
      <c r="AL666" s="63">
        <f>IFERROR(INDEX(Job_Training[[Solar]:[Wind]],MATCH(AL$1,Job_Training[[`Typical Entry Level Education`]:[`Typical Entry Level Education`]],0),MATCH(LEFT($D666,5),Job_Training[[#Headers],[Solar]:[Wind]],0)),0)</f>
        <v>0</v>
      </c>
      <c r="AM666" s="63">
        <f>IFERROR(INDEX(Job_Training[[Solar]:[Wind]],MATCH(AM$1,Job_Training[[`Typical Entry Level Education`]:[`Typical Entry Level Education`]],0),MATCH(LEFT($D666,5),Job_Training[[#Headers],[Solar]:[Wind]],0)),0)</f>
        <v>0</v>
      </c>
      <c r="AN666" s="63">
        <f>IFERROR(INDEX(Job_Training[[Solar]:[Wind]],MATCH(AN$1,Job_Training[[`Typical Entry Level Education`]:[`Typical Entry Level Education`]],0),MATCH(LEFT($D666,5),Job_Training[[#Headers],[Solar]:[Wind]],0)),0)</f>
        <v>0</v>
      </c>
      <c r="AO666" s="63">
        <f>IFERROR(INDEX(Job_Training[[Solar]:[Wind]],MATCH(AO$1,Job_Training[[`Typical Entry Level Education`]:[`Typical Entry Level Education`]],0),MATCH(LEFT($D666,5),Job_Training[[#Headers],[Solar]:[Wind]],0)),0)</f>
        <v>0</v>
      </c>
      <c r="AP666">
        <f t="shared" si="197"/>
        <v>0</v>
      </c>
      <c r="AQ666" s="63">
        <f>IF(AP666&gt;0,IFERROR(INDEX(Assumptions!$C$165:$D$165,MATCH(LEFT($D666,5),Job_Training[[#Headers],[Solar]:[Wind]],0)),0),0)</f>
        <v>0</v>
      </c>
      <c r="AR666">
        <f>IF(AP666&gt;0,IFERROR(INDEX(Assumptions!$C$166:$D$166,MATCH(LEFT($D666,5),Job_Training[[#Headers],[Solar]:[Wind]],0)),0),0)</f>
        <v>0</v>
      </c>
    </row>
    <row r="667" spans="1:44" hidden="1" x14ac:dyDescent="0.35">
      <c r="A667" t="str">
        <f>UserInput!$B$56</f>
        <v>Max Buildout</v>
      </c>
      <c r="B667">
        <v>2039</v>
      </c>
      <c r="C667" t="s">
        <v>87</v>
      </c>
      <c r="D667" t="s">
        <v>88</v>
      </c>
      <c r="E667" s="66">
        <f>INDEX(UserInput!$C$56:$M$76,MATCH(UserMade_Scenario!B667,UserInput!$A$56:$A$76,0),MATCH(LEFT(IF(RIGHT(C667,2)="H2",UserMade_Scenario!C667,D667),3),UserInput!$C$25:$M$25,0))</f>
        <v>22049.100000000006</v>
      </c>
      <c r="F667" t="s">
        <v>89</v>
      </c>
      <c r="G667" s="14">
        <f t="shared" si="198"/>
        <v>2.409966630000001E-2</v>
      </c>
      <c r="H667" s="63">
        <f t="shared" si="188"/>
        <v>5.5238845126230016</v>
      </c>
      <c r="I667" s="63">
        <f t="shared" si="189"/>
        <v>5.1023813490360013</v>
      </c>
      <c r="J667" s="63">
        <f t="shared" si="190"/>
        <v>9.8333139338354876</v>
      </c>
      <c r="K667" s="30">
        <f>IF(OR(LEFT($D667,5)="Solar",$D667="Wind"),INDEX(Land_Use[AVG],MATCH(LEFT($D667,5),Land_Use[Tech],0)),0)*$E667</f>
        <v>0</v>
      </c>
      <c r="L667" s="30">
        <f>IF(OR(LEFT($D667,5)="Solar",$D667="Wind"),INDEX(Land_Use[MIN],MATCH(LEFT($D667,5),Land_Use[Tech],0)),0)*$E667</f>
        <v>0</v>
      </c>
      <c r="M667" s="30">
        <f>IF(OR(LEFT($D667,5)="Solar",$D667="Wind"),INDEX(Land_Use[MAX],MATCH(LEFT($D667,5),Land_Use[Tech],0)),0)*$E667</f>
        <v>0</v>
      </c>
      <c r="N667" s="15">
        <f t="shared" si="183"/>
        <v>0</v>
      </c>
      <c r="O667" s="11">
        <f t="shared" si="184"/>
        <v>0</v>
      </c>
      <c r="P667" s="11">
        <f t="shared" si="185"/>
        <v>0</v>
      </c>
      <c r="Q667" s="11">
        <f t="shared" si="186"/>
        <v>0</v>
      </c>
      <c r="R667" s="11">
        <f t="shared" si="187"/>
        <v>0</v>
      </c>
      <c r="S667" s="30">
        <f t="shared" si="191"/>
        <v>0</v>
      </c>
      <c r="T667" s="30">
        <f t="shared" si="192"/>
        <v>0</v>
      </c>
      <c r="U667" s="30">
        <f t="shared" si="193"/>
        <v>0</v>
      </c>
      <c r="V667" s="30">
        <f t="shared" si="194"/>
        <v>0</v>
      </c>
      <c r="W667" s="30">
        <f t="shared" si="195"/>
        <v>0</v>
      </c>
      <c r="X667" s="30">
        <f t="shared" si="196"/>
        <v>0</v>
      </c>
      <c r="Z667" s="23" t="s">
        <v>76</v>
      </c>
      <c r="AA667" s="40" t="str">
        <f>IF(C667="Electricity",E667*SUMIFS(Electricity!S:S,Electricity!P:P,UserMade_Scenario!B667,Electricity!M:M,UserMade_Scenario!Z667,Electricity!O:O,UserMade_Scenario!D667),"")</f>
        <v/>
      </c>
      <c r="AB667" s="67">
        <v>1.0930000000000002E-6</v>
      </c>
      <c r="AC667" s="67" t="s">
        <v>90</v>
      </c>
      <c r="AD667" s="39">
        <f>IFERROR(INDEX(Assumptions!B$145:B$146,MATCH($D667,Assumptions!$A$145:$A$146,0)),0)</f>
        <v>-229.20999999999998</v>
      </c>
      <c r="AE667" s="39">
        <f>IFERROR(INDEX(Assumptions!C$145:C$146,MATCH($D667,Assumptions!$A$145:$A$146,0)),0)</f>
        <v>-211.71999999999997</v>
      </c>
      <c r="AF667" s="39">
        <f>IFERROR(INDEX(Assumptions!D$145:D$146,MATCH($D667,Assumptions!$A$145:$A$146,0)),0)</f>
        <v>-408.02697478991581</v>
      </c>
      <c r="AG667" s="68">
        <f>IFERROR(INDEX(WaterUseH2[Average Direct Water Consumption (Gal/ kg h2)],MATCH(LEFT(D667,3),WaterUseH2[Key],0)),0)</f>
        <v>0</v>
      </c>
      <c r="AH667">
        <v>14</v>
      </c>
      <c r="AI667">
        <v>1.4</v>
      </c>
      <c r="AJ667">
        <v>250</v>
      </c>
      <c r="AK667">
        <v>0.31</v>
      </c>
      <c r="AL667" s="63">
        <f>IFERROR(INDEX(Job_Training[[Solar]:[Wind]],MATCH(AL$1,Job_Training[[`Typical Entry Level Education`]:[`Typical Entry Level Education`]],0),MATCH(LEFT($D667,5),Job_Training[[#Headers],[Solar]:[Wind]],0)),0)</f>
        <v>0</v>
      </c>
      <c r="AM667" s="63">
        <f>IFERROR(INDEX(Job_Training[[Solar]:[Wind]],MATCH(AM$1,Job_Training[[`Typical Entry Level Education`]:[`Typical Entry Level Education`]],0),MATCH(LEFT($D667,5),Job_Training[[#Headers],[Solar]:[Wind]],0)),0)</f>
        <v>0</v>
      </c>
      <c r="AN667" s="63">
        <f>IFERROR(INDEX(Job_Training[[Solar]:[Wind]],MATCH(AN$1,Job_Training[[`Typical Entry Level Education`]:[`Typical Entry Level Education`]],0),MATCH(LEFT($D667,5),Job_Training[[#Headers],[Solar]:[Wind]],0)),0)</f>
        <v>0</v>
      </c>
      <c r="AO667" s="63">
        <f>IFERROR(INDEX(Job_Training[[Solar]:[Wind]],MATCH(AO$1,Job_Training[[`Typical Entry Level Education`]:[`Typical Entry Level Education`]],0),MATCH(LEFT($D667,5),Job_Training[[#Headers],[Solar]:[Wind]],0)),0)</f>
        <v>0</v>
      </c>
      <c r="AP667">
        <f t="shared" si="197"/>
        <v>0</v>
      </c>
      <c r="AQ667" s="63">
        <f>IF(AP667&gt;0,IFERROR(INDEX(Assumptions!$C$165:$D$165,MATCH(LEFT($D667,5),Job_Training[[#Headers],[Solar]:[Wind]],0)),0),0)</f>
        <v>0</v>
      </c>
      <c r="AR667">
        <f>IF(AP667&gt;0,IFERROR(INDEX(Assumptions!$C$166:$D$166,MATCH(LEFT($D667,5),Job_Training[[#Headers],[Solar]:[Wind]],0)),0),0)</f>
        <v>0</v>
      </c>
    </row>
    <row r="668" spans="1:44" hidden="1" x14ac:dyDescent="0.35">
      <c r="A668" t="str">
        <f>UserInput!$B$56</f>
        <v>Max Buildout</v>
      </c>
      <c r="B668">
        <v>2040</v>
      </c>
      <c r="C668" t="s">
        <v>87</v>
      </c>
      <c r="D668" t="s">
        <v>88</v>
      </c>
      <c r="E668" s="66">
        <f>INDEX(UserInput!$C$56:$M$76,MATCH(UserMade_Scenario!B668,UserInput!$A$56:$A$76,0),MATCH(LEFT(IF(RIGHT(C668,2)="H2",UserMade_Scenario!C668,D668),3),UserInput!$C$25:$M$25,0))</f>
        <v>23134.250000000007</v>
      </c>
      <c r="F668" t="s">
        <v>89</v>
      </c>
      <c r="G668" s="14">
        <f t="shared" si="198"/>
        <v>2.528573525000001E-2</v>
      </c>
      <c r="H668" s="63">
        <f t="shared" si="188"/>
        <v>5.7957433766525019</v>
      </c>
      <c r="I668" s="63">
        <f t="shared" si="189"/>
        <v>5.3534958671300013</v>
      </c>
      <c r="J668" s="63">
        <f t="shared" si="190"/>
        <v>10.31726205939624</v>
      </c>
      <c r="K668" s="30">
        <f>IF(OR(LEFT($D668,5)="Solar",$D668="Wind"),INDEX(Land_Use[AVG],MATCH(LEFT($D668,5),Land_Use[Tech],0)),0)*$E668</f>
        <v>0</v>
      </c>
      <c r="L668" s="30">
        <f>IF(OR(LEFT($D668,5)="Solar",$D668="Wind"),INDEX(Land_Use[MIN],MATCH(LEFT($D668,5),Land_Use[Tech],0)),0)*$E668</f>
        <v>0</v>
      </c>
      <c r="M668" s="30">
        <f>IF(OR(LEFT($D668,5)="Solar",$D668="Wind"),INDEX(Land_Use[MAX],MATCH(LEFT($D668,5),Land_Use[Tech],0)),0)*$E668</f>
        <v>0</v>
      </c>
      <c r="N668" s="15">
        <f t="shared" si="183"/>
        <v>0</v>
      </c>
      <c r="O668" s="11">
        <f t="shared" si="184"/>
        <v>0</v>
      </c>
      <c r="P668" s="11">
        <f t="shared" si="185"/>
        <v>0</v>
      </c>
      <c r="Q668" s="11">
        <f t="shared" si="186"/>
        <v>0</v>
      </c>
      <c r="R668" s="11">
        <f t="shared" si="187"/>
        <v>0</v>
      </c>
      <c r="S668" s="30">
        <f t="shared" si="191"/>
        <v>0</v>
      </c>
      <c r="T668" s="30">
        <f t="shared" si="192"/>
        <v>0</v>
      </c>
      <c r="U668" s="30">
        <f t="shared" si="193"/>
        <v>0</v>
      </c>
      <c r="V668" s="30">
        <f t="shared" si="194"/>
        <v>0</v>
      </c>
      <c r="W668" s="30">
        <f t="shared" si="195"/>
        <v>0</v>
      </c>
      <c r="X668" s="30">
        <f t="shared" si="196"/>
        <v>0</v>
      </c>
      <c r="Z668" s="23" t="s">
        <v>76</v>
      </c>
      <c r="AA668" s="40" t="str">
        <f>IF(C668="Electricity",E668*SUMIFS(Electricity!S:S,Electricity!P:P,UserMade_Scenario!B668,Electricity!M:M,UserMade_Scenario!Z668,Electricity!O:O,UserMade_Scenario!D668),"")</f>
        <v/>
      </c>
      <c r="AB668" s="67">
        <v>1.0930000000000002E-6</v>
      </c>
      <c r="AC668" s="67" t="s">
        <v>90</v>
      </c>
      <c r="AD668" s="39">
        <f>IFERROR(INDEX(Assumptions!B$145:B$146,MATCH($D668,Assumptions!$A$145:$A$146,0)),0)</f>
        <v>-229.20999999999998</v>
      </c>
      <c r="AE668" s="39">
        <f>IFERROR(INDEX(Assumptions!C$145:C$146,MATCH($D668,Assumptions!$A$145:$A$146,0)),0)</f>
        <v>-211.71999999999997</v>
      </c>
      <c r="AF668" s="39">
        <f>IFERROR(INDEX(Assumptions!D$145:D$146,MATCH($D668,Assumptions!$A$145:$A$146,0)),0)</f>
        <v>-408.02697478991581</v>
      </c>
      <c r="AG668" s="68">
        <f>IFERROR(INDEX(WaterUseH2[Average Direct Water Consumption (Gal/ kg h2)],MATCH(LEFT(D668,3),WaterUseH2[Key],0)),0)</f>
        <v>0</v>
      </c>
      <c r="AH668">
        <v>14</v>
      </c>
      <c r="AI668">
        <v>1.4</v>
      </c>
      <c r="AJ668">
        <v>250</v>
      </c>
      <c r="AK668">
        <v>0.31</v>
      </c>
      <c r="AL668" s="63">
        <f>IFERROR(INDEX(Job_Training[[Solar]:[Wind]],MATCH(AL$1,Job_Training[[`Typical Entry Level Education`]:[`Typical Entry Level Education`]],0),MATCH(LEFT($D668,5),Job_Training[[#Headers],[Solar]:[Wind]],0)),0)</f>
        <v>0</v>
      </c>
      <c r="AM668" s="63">
        <f>IFERROR(INDEX(Job_Training[[Solar]:[Wind]],MATCH(AM$1,Job_Training[[`Typical Entry Level Education`]:[`Typical Entry Level Education`]],0),MATCH(LEFT($D668,5),Job_Training[[#Headers],[Solar]:[Wind]],0)),0)</f>
        <v>0</v>
      </c>
      <c r="AN668" s="63">
        <f>IFERROR(INDEX(Job_Training[[Solar]:[Wind]],MATCH(AN$1,Job_Training[[`Typical Entry Level Education`]:[`Typical Entry Level Education`]],0),MATCH(LEFT($D668,5),Job_Training[[#Headers],[Solar]:[Wind]],0)),0)</f>
        <v>0</v>
      </c>
      <c r="AO668" s="63">
        <f>IFERROR(INDEX(Job_Training[[Solar]:[Wind]],MATCH(AO$1,Job_Training[[`Typical Entry Level Education`]:[`Typical Entry Level Education`]],0),MATCH(LEFT($D668,5),Job_Training[[#Headers],[Solar]:[Wind]],0)),0)</f>
        <v>0</v>
      </c>
      <c r="AP668">
        <f t="shared" si="197"/>
        <v>0</v>
      </c>
      <c r="AQ668" s="63">
        <f>IF(AP668&gt;0,IFERROR(INDEX(Assumptions!$C$165:$D$165,MATCH(LEFT($D668,5),Job_Training[[#Headers],[Solar]:[Wind]],0)),0),0)</f>
        <v>0</v>
      </c>
      <c r="AR668">
        <f>IF(AP668&gt;0,IFERROR(INDEX(Assumptions!$C$166:$D$166,MATCH(LEFT($D668,5),Job_Training[[#Headers],[Solar]:[Wind]],0)),0),0)</f>
        <v>0</v>
      </c>
    </row>
    <row r="669" spans="1:44" hidden="1" x14ac:dyDescent="0.35">
      <c r="A669" t="str">
        <f>UserInput!$B$56</f>
        <v>Max Buildout</v>
      </c>
      <c r="B669">
        <v>2041</v>
      </c>
      <c r="C669" t="s">
        <v>87</v>
      </c>
      <c r="D669" t="s">
        <v>88</v>
      </c>
      <c r="E669" s="66">
        <f>INDEX(UserInput!$C$56:$M$76,MATCH(UserMade_Scenario!B669,UserInput!$A$56:$A$76,0),MATCH(LEFT(IF(RIGHT(C669,2)="H2",UserMade_Scenario!C669,D669),3),UserInput!$C$25:$M$25,0))</f>
        <v>24219.400000000009</v>
      </c>
      <c r="F669" t="s">
        <v>89</v>
      </c>
      <c r="G669" s="14">
        <f t="shared" si="198"/>
        <v>2.6471804200000015E-2</v>
      </c>
      <c r="H669" s="63">
        <f t="shared" si="188"/>
        <v>6.0676022406820032</v>
      </c>
      <c r="I669" s="63">
        <f t="shared" si="189"/>
        <v>5.6046103852240021</v>
      </c>
      <c r="J669" s="63">
        <f t="shared" si="190"/>
        <v>10.801210184956993</v>
      </c>
      <c r="K669" s="30">
        <f>IF(OR(LEFT($D669,5)="Solar",$D669="Wind"),INDEX(Land_Use[AVG],MATCH(LEFT($D669,5),Land_Use[Tech],0)),0)*$E669</f>
        <v>0</v>
      </c>
      <c r="L669" s="30">
        <f>IF(OR(LEFT($D669,5)="Solar",$D669="Wind"),INDEX(Land_Use[MIN],MATCH(LEFT($D669,5),Land_Use[Tech],0)),0)*$E669</f>
        <v>0</v>
      </c>
      <c r="M669" s="30">
        <f>IF(OR(LEFT($D669,5)="Solar",$D669="Wind"),INDEX(Land_Use[MAX],MATCH(LEFT($D669,5),Land_Use[Tech],0)),0)*$E669</f>
        <v>0</v>
      </c>
      <c r="N669" s="15">
        <f t="shared" si="183"/>
        <v>0</v>
      </c>
      <c r="O669" s="11">
        <f t="shared" si="184"/>
        <v>0</v>
      </c>
      <c r="P669" s="11">
        <f t="shared" si="185"/>
        <v>0</v>
      </c>
      <c r="Q669" s="11">
        <f t="shared" si="186"/>
        <v>0</v>
      </c>
      <c r="R669" s="11">
        <f t="shared" si="187"/>
        <v>0</v>
      </c>
      <c r="S669" s="30">
        <f t="shared" si="191"/>
        <v>0</v>
      </c>
      <c r="T669" s="30">
        <f t="shared" si="192"/>
        <v>0</v>
      </c>
      <c r="U669" s="30">
        <f t="shared" si="193"/>
        <v>0</v>
      </c>
      <c r="V669" s="30">
        <f t="shared" si="194"/>
        <v>0</v>
      </c>
      <c r="W669" s="30">
        <f t="shared" si="195"/>
        <v>0</v>
      </c>
      <c r="X669" s="30">
        <f t="shared" si="196"/>
        <v>0</v>
      </c>
      <c r="Z669" s="23" t="s">
        <v>76</v>
      </c>
      <c r="AA669" s="40" t="str">
        <f>IF(C669="Electricity",E669*SUMIFS(Electricity!S:S,Electricity!P:P,UserMade_Scenario!B669,Electricity!M:M,UserMade_Scenario!Z669,Electricity!O:O,UserMade_Scenario!D669),"")</f>
        <v/>
      </c>
      <c r="AB669" s="67">
        <v>1.0930000000000002E-6</v>
      </c>
      <c r="AC669" s="67" t="s">
        <v>90</v>
      </c>
      <c r="AD669" s="39">
        <f>IFERROR(INDEX(Assumptions!B$145:B$146,MATCH($D669,Assumptions!$A$145:$A$146,0)),0)</f>
        <v>-229.20999999999998</v>
      </c>
      <c r="AE669" s="39">
        <f>IFERROR(INDEX(Assumptions!C$145:C$146,MATCH($D669,Assumptions!$A$145:$A$146,0)),0)</f>
        <v>-211.71999999999997</v>
      </c>
      <c r="AF669" s="39">
        <f>IFERROR(INDEX(Assumptions!D$145:D$146,MATCH($D669,Assumptions!$A$145:$A$146,0)),0)</f>
        <v>-408.02697478991581</v>
      </c>
      <c r="AG669" s="68">
        <f>IFERROR(INDEX(WaterUseH2[Average Direct Water Consumption (Gal/ kg h2)],MATCH(LEFT(D669,3),WaterUseH2[Key],0)),0)</f>
        <v>0</v>
      </c>
      <c r="AH669">
        <v>14</v>
      </c>
      <c r="AI669">
        <v>1.4</v>
      </c>
      <c r="AJ669">
        <v>250</v>
      </c>
      <c r="AK669">
        <v>0.31</v>
      </c>
      <c r="AL669" s="63">
        <f>IFERROR(INDEX(Job_Training[[Solar]:[Wind]],MATCH(AL$1,Job_Training[[`Typical Entry Level Education`]:[`Typical Entry Level Education`]],0),MATCH(LEFT($D669,5),Job_Training[[#Headers],[Solar]:[Wind]],0)),0)</f>
        <v>0</v>
      </c>
      <c r="AM669" s="63">
        <f>IFERROR(INDEX(Job_Training[[Solar]:[Wind]],MATCH(AM$1,Job_Training[[`Typical Entry Level Education`]:[`Typical Entry Level Education`]],0),MATCH(LEFT($D669,5),Job_Training[[#Headers],[Solar]:[Wind]],0)),0)</f>
        <v>0</v>
      </c>
      <c r="AN669" s="63">
        <f>IFERROR(INDEX(Job_Training[[Solar]:[Wind]],MATCH(AN$1,Job_Training[[`Typical Entry Level Education`]:[`Typical Entry Level Education`]],0),MATCH(LEFT($D669,5),Job_Training[[#Headers],[Solar]:[Wind]],0)),0)</f>
        <v>0</v>
      </c>
      <c r="AO669" s="63">
        <f>IFERROR(INDEX(Job_Training[[Solar]:[Wind]],MATCH(AO$1,Job_Training[[`Typical Entry Level Education`]:[`Typical Entry Level Education`]],0),MATCH(LEFT($D669,5),Job_Training[[#Headers],[Solar]:[Wind]],0)),0)</f>
        <v>0</v>
      </c>
      <c r="AP669">
        <f t="shared" si="197"/>
        <v>0</v>
      </c>
      <c r="AQ669" s="63">
        <f>IF(AP669&gt;0,IFERROR(INDEX(Assumptions!$C$165:$D$165,MATCH(LEFT($D669,5),Job_Training[[#Headers],[Solar]:[Wind]],0)),0),0)</f>
        <v>0</v>
      </c>
      <c r="AR669">
        <f>IF(AP669&gt;0,IFERROR(INDEX(Assumptions!$C$166:$D$166,MATCH(LEFT($D669,5),Job_Training[[#Headers],[Solar]:[Wind]],0)),0),0)</f>
        <v>0</v>
      </c>
    </row>
    <row r="670" spans="1:44" hidden="1" x14ac:dyDescent="0.35">
      <c r="A670" t="str">
        <f>UserInput!$B$56</f>
        <v>Max Buildout</v>
      </c>
      <c r="B670">
        <v>2042</v>
      </c>
      <c r="C670" t="s">
        <v>87</v>
      </c>
      <c r="D670" t="s">
        <v>88</v>
      </c>
      <c r="E670" s="66">
        <f>INDEX(UserInput!$C$56:$M$76,MATCH(UserMade_Scenario!B670,UserInput!$A$56:$A$76,0),MATCH(LEFT(IF(RIGHT(C670,2)="H2",UserMade_Scenario!C670,D670),3),UserInput!$C$25:$M$25,0))</f>
        <v>25304.55000000001</v>
      </c>
      <c r="F670" t="s">
        <v>89</v>
      </c>
      <c r="G670" s="14">
        <f t="shared" si="198"/>
        <v>2.7657873150000015E-2</v>
      </c>
      <c r="H670" s="63">
        <f t="shared" si="188"/>
        <v>6.3394611047115026</v>
      </c>
      <c r="I670" s="63">
        <f t="shared" si="189"/>
        <v>5.8557249033180021</v>
      </c>
      <c r="J670" s="63">
        <f t="shared" si="190"/>
        <v>11.285158310517746</v>
      </c>
      <c r="K670" s="30">
        <f>IF(OR(LEFT($D670,5)="Solar",$D670="Wind"),INDEX(Land_Use[AVG],MATCH(LEFT($D670,5),Land_Use[Tech],0)),0)*$E670</f>
        <v>0</v>
      </c>
      <c r="L670" s="30">
        <f>IF(OR(LEFT($D670,5)="Solar",$D670="Wind"),INDEX(Land_Use[MIN],MATCH(LEFT($D670,5),Land_Use[Tech],0)),0)*$E670</f>
        <v>0</v>
      </c>
      <c r="M670" s="30">
        <f>IF(OR(LEFT($D670,5)="Solar",$D670="Wind"),INDEX(Land_Use[MAX],MATCH(LEFT($D670,5),Land_Use[Tech],0)),0)*$E670</f>
        <v>0</v>
      </c>
      <c r="N670" s="15">
        <f t="shared" si="183"/>
        <v>0</v>
      </c>
      <c r="O670" s="11">
        <f t="shared" si="184"/>
        <v>0</v>
      </c>
      <c r="P670" s="11">
        <f t="shared" si="185"/>
        <v>0</v>
      </c>
      <c r="Q670" s="11">
        <f t="shared" si="186"/>
        <v>0</v>
      </c>
      <c r="R670" s="11">
        <f t="shared" si="187"/>
        <v>0</v>
      </c>
      <c r="S670" s="30">
        <f t="shared" si="191"/>
        <v>0</v>
      </c>
      <c r="T670" s="30">
        <f t="shared" si="192"/>
        <v>0</v>
      </c>
      <c r="U670" s="30">
        <f t="shared" si="193"/>
        <v>0</v>
      </c>
      <c r="V670" s="30">
        <f t="shared" si="194"/>
        <v>0</v>
      </c>
      <c r="W670" s="30">
        <f t="shared" si="195"/>
        <v>0</v>
      </c>
      <c r="X670" s="30">
        <f t="shared" si="196"/>
        <v>0</v>
      </c>
      <c r="Z670" s="23" t="s">
        <v>76</v>
      </c>
      <c r="AA670" s="40" t="str">
        <f>IF(C670="Electricity",E670*SUMIFS(Electricity!S:S,Electricity!P:P,UserMade_Scenario!B670,Electricity!M:M,UserMade_Scenario!Z670,Electricity!O:O,UserMade_Scenario!D670),"")</f>
        <v/>
      </c>
      <c r="AB670" s="67">
        <v>1.0930000000000002E-6</v>
      </c>
      <c r="AC670" s="67" t="s">
        <v>90</v>
      </c>
      <c r="AD670" s="39">
        <f>IFERROR(INDEX(Assumptions!B$145:B$146,MATCH($D670,Assumptions!$A$145:$A$146,0)),0)</f>
        <v>-229.20999999999998</v>
      </c>
      <c r="AE670" s="39">
        <f>IFERROR(INDEX(Assumptions!C$145:C$146,MATCH($D670,Assumptions!$A$145:$A$146,0)),0)</f>
        <v>-211.71999999999997</v>
      </c>
      <c r="AF670" s="39">
        <f>IFERROR(INDEX(Assumptions!D$145:D$146,MATCH($D670,Assumptions!$A$145:$A$146,0)),0)</f>
        <v>-408.02697478991581</v>
      </c>
      <c r="AG670" s="68">
        <f>IFERROR(INDEX(WaterUseH2[Average Direct Water Consumption (Gal/ kg h2)],MATCH(LEFT(D670,3),WaterUseH2[Key],0)),0)</f>
        <v>0</v>
      </c>
      <c r="AH670">
        <v>14</v>
      </c>
      <c r="AI670">
        <v>1.4</v>
      </c>
      <c r="AJ670">
        <v>250</v>
      </c>
      <c r="AK670">
        <v>0.31</v>
      </c>
      <c r="AL670" s="63">
        <f>IFERROR(INDEX(Job_Training[[Solar]:[Wind]],MATCH(AL$1,Job_Training[[`Typical Entry Level Education`]:[`Typical Entry Level Education`]],0),MATCH(LEFT($D670,5),Job_Training[[#Headers],[Solar]:[Wind]],0)),0)</f>
        <v>0</v>
      </c>
      <c r="AM670" s="63">
        <f>IFERROR(INDEX(Job_Training[[Solar]:[Wind]],MATCH(AM$1,Job_Training[[`Typical Entry Level Education`]:[`Typical Entry Level Education`]],0),MATCH(LEFT($D670,5),Job_Training[[#Headers],[Solar]:[Wind]],0)),0)</f>
        <v>0</v>
      </c>
      <c r="AN670" s="63">
        <f>IFERROR(INDEX(Job_Training[[Solar]:[Wind]],MATCH(AN$1,Job_Training[[`Typical Entry Level Education`]:[`Typical Entry Level Education`]],0),MATCH(LEFT($D670,5),Job_Training[[#Headers],[Solar]:[Wind]],0)),0)</f>
        <v>0</v>
      </c>
      <c r="AO670" s="63">
        <f>IFERROR(INDEX(Job_Training[[Solar]:[Wind]],MATCH(AO$1,Job_Training[[`Typical Entry Level Education`]:[`Typical Entry Level Education`]],0),MATCH(LEFT($D670,5),Job_Training[[#Headers],[Solar]:[Wind]],0)),0)</f>
        <v>0</v>
      </c>
      <c r="AP670">
        <f t="shared" si="197"/>
        <v>0</v>
      </c>
      <c r="AQ670" s="63">
        <f>IF(AP670&gt;0,IFERROR(INDEX(Assumptions!$C$165:$D$165,MATCH(LEFT($D670,5),Job_Training[[#Headers],[Solar]:[Wind]],0)),0),0)</f>
        <v>0</v>
      </c>
      <c r="AR670">
        <f>IF(AP670&gt;0,IFERROR(INDEX(Assumptions!$C$166:$D$166,MATCH(LEFT($D670,5),Job_Training[[#Headers],[Solar]:[Wind]],0)),0),0)</f>
        <v>0</v>
      </c>
    </row>
    <row r="671" spans="1:44" hidden="1" x14ac:dyDescent="0.35">
      <c r="A671" t="str">
        <f>UserInput!$B$56</f>
        <v>Max Buildout</v>
      </c>
      <c r="B671">
        <v>2043</v>
      </c>
      <c r="C671" t="s">
        <v>87</v>
      </c>
      <c r="D671" t="s">
        <v>88</v>
      </c>
      <c r="E671" s="66">
        <f>INDEX(UserInput!$C$56:$M$76,MATCH(UserMade_Scenario!B671,UserInput!$A$56:$A$76,0),MATCH(LEFT(IF(RIGHT(C671,2)="H2",UserMade_Scenario!C671,D671),3),UserInput!$C$25:$M$25,0))</f>
        <v>26389.700000000012</v>
      </c>
      <c r="F671" t="s">
        <v>89</v>
      </c>
      <c r="G671" s="14">
        <f t="shared" si="198"/>
        <v>2.8843942100000016E-2</v>
      </c>
      <c r="H671" s="63">
        <f t="shared" si="188"/>
        <v>6.6113199687410029</v>
      </c>
      <c r="I671" s="63">
        <f t="shared" si="189"/>
        <v>6.106839421412003</v>
      </c>
      <c r="J671" s="63">
        <f t="shared" si="190"/>
        <v>11.769106436078498</v>
      </c>
      <c r="K671" s="30">
        <f>IF(OR(LEFT($D671,5)="Solar",$D671="Wind"),INDEX(Land_Use[AVG],MATCH(LEFT($D671,5),Land_Use[Tech],0)),0)*$E671</f>
        <v>0</v>
      </c>
      <c r="L671" s="30">
        <f>IF(OR(LEFT($D671,5)="Solar",$D671="Wind"),INDEX(Land_Use[MIN],MATCH(LEFT($D671,5),Land_Use[Tech],0)),0)*$E671</f>
        <v>0</v>
      </c>
      <c r="M671" s="30">
        <f>IF(OR(LEFT($D671,5)="Solar",$D671="Wind"),INDEX(Land_Use[MAX],MATCH(LEFT($D671,5),Land_Use[Tech],0)),0)*$E671</f>
        <v>0</v>
      </c>
      <c r="N671" s="15">
        <f t="shared" si="183"/>
        <v>0</v>
      </c>
      <c r="O671" s="11">
        <f t="shared" si="184"/>
        <v>0</v>
      </c>
      <c r="P671" s="11">
        <f t="shared" si="185"/>
        <v>0</v>
      </c>
      <c r="Q671" s="11">
        <f t="shared" si="186"/>
        <v>0</v>
      </c>
      <c r="R671" s="11">
        <f t="shared" si="187"/>
        <v>0</v>
      </c>
      <c r="S671" s="30">
        <f t="shared" si="191"/>
        <v>0</v>
      </c>
      <c r="T671" s="30">
        <f t="shared" si="192"/>
        <v>0</v>
      </c>
      <c r="U671" s="30">
        <f t="shared" si="193"/>
        <v>0</v>
      </c>
      <c r="V671" s="30">
        <f t="shared" si="194"/>
        <v>0</v>
      </c>
      <c r="W671" s="30">
        <f t="shared" si="195"/>
        <v>0</v>
      </c>
      <c r="X671" s="30">
        <f t="shared" si="196"/>
        <v>0</v>
      </c>
      <c r="Z671" s="23" t="s">
        <v>76</v>
      </c>
      <c r="AA671" s="40" t="str">
        <f>IF(C671="Electricity",E671*SUMIFS(Electricity!S:S,Electricity!P:P,UserMade_Scenario!B671,Electricity!M:M,UserMade_Scenario!Z671,Electricity!O:O,UserMade_Scenario!D671),"")</f>
        <v/>
      </c>
      <c r="AB671" s="67">
        <v>1.0930000000000002E-6</v>
      </c>
      <c r="AC671" s="67" t="s">
        <v>90</v>
      </c>
      <c r="AD671" s="39">
        <f>IFERROR(INDEX(Assumptions!B$145:B$146,MATCH($D671,Assumptions!$A$145:$A$146,0)),0)</f>
        <v>-229.20999999999998</v>
      </c>
      <c r="AE671" s="39">
        <f>IFERROR(INDEX(Assumptions!C$145:C$146,MATCH($D671,Assumptions!$A$145:$A$146,0)),0)</f>
        <v>-211.71999999999997</v>
      </c>
      <c r="AF671" s="39">
        <f>IFERROR(INDEX(Assumptions!D$145:D$146,MATCH($D671,Assumptions!$A$145:$A$146,0)),0)</f>
        <v>-408.02697478991581</v>
      </c>
      <c r="AG671" s="68">
        <f>IFERROR(INDEX(WaterUseH2[Average Direct Water Consumption (Gal/ kg h2)],MATCH(LEFT(D671,3),WaterUseH2[Key],0)),0)</f>
        <v>0</v>
      </c>
      <c r="AH671">
        <v>14</v>
      </c>
      <c r="AI671">
        <v>1.4</v>
      </c>
      <c r="AJ671">
        <v>250</v>
      </c>
      <c r="AK671">
        <v>0.31</v>
      </c>
      <c r="AL671" s="63">
        <f>IFERROR(INDEX(Job_Training[[Solar]:[Wind]],MATCH(AL$1,Job_Training[[`Typical Entry Level Education`]:[`Typical Entry Level Education`]],0),MATCH(LEFT($D671,5),Job_Training[[#Headers],[Solar]:[Wind]],0)),0)</f>
        <v>0</v>
      </c>
      <c r="AM671" s="63">
        <f>IFERROR(INDEX(Job_Training[[Solar]:[Wind]],MATCH(AM$1,Job_Training[[`Typical Entry Level Education`]:[`Typical Entry Level Education`]],0),MATCH(LEFT($D671,5),Job_Training[[#Headers],[Solar]:[Wind]],0)),0)</f>
        <v>0</v>
      </c>
      <c r="AN671" s="63">
        <f>IFERROR(INDEX(Job_Training[[Solar]:[Wind]],MATCH(AN$1,Job_Training[[`Typical Entry Level Education`]:[`Typical Entry Level Education`]],0),MATCH(LEFT($D671,5),Job_Training[[#Headers],[Solar]:[Wind]],0)),0)</f>
        <v>0</v>
      </c>
      <c r="AO671" s="63">
        <f>IFERROR(INDEX(Job_Training[[Solar]:[Wind]],MATCH(AO$1,Job_Training[[`Typical Entry Level Education`]:[`Typical Entry Level Education`]],0),MATCH(LEFT($D671,5),Job_Training[[#Headers],[Solar]:[Wind]],0)),0)</f>
        <v>0</v>
      </c>
      <c r="AP671">
        <f t="shared" si="197"/>
        <v>0</v>
      </c>
      <c r="AQ671" s="63">
        <f>IF(AP671&gt;0,IFERROR(INDEX(Assumptions!$C$165:$D$165,MATCH(LEFT($D671,5),Job_Training[[#Headers],[Solar]:[Wind]],0)),0),0)</f>
        <v>0</v>
      </c>
      <c r="AR671">
        <f>IF(AP671&gt;0,IFERROR(INDEX(Assumptions!$C$166:$D$166,MATCH(LEFT($D671,5),Job_Training[[#Headers],[Solar]:[Wind]],0)),0),0)</f>
        <v>0</v>
      </c>
    </row>
    <row r="672" spans="1:44" hidden="1" x14ac:dyDescent="0.35">
      <c r="A672" t="str">
        <f>UserInput!$B$56</f>
        <v>Max Buildout</v>
      </c>
      <c r="B672">
        <v>2044</v>
      </c>
      <c r="C672" t="s">
        <v>87</v>
      </c>
      <c r="D672" t="s">
        <v>88</v>
      </c>
      <c r="E672" s="66">
        <f>INDEX(UserInput!$C$56:$M$76,MATCH(UserMade_Scenario!B672,UserInput!$A$56:$A$76,0),MATCH(LEFT(IF(RIGHT(C672,2)="H2",UserMade_Scenario!C672,D672),3),UserInput!$C$25:$M$25,0))</f>
        <v>27474.850000000013</v>
      </c>
      <c r="F672" t="s">
        <v>89</v>
      </c>
      <c r="G672" s="14">
        <f t="shared" si="198"/>
        <v>3.003001105000002E-2</v>
      </c>
      <c r="H672" s="63">
        <f t="shared" si="188"/>
        <v>6.8831788327705041</v>
      </c>
      <c r="I672" s="63">
        <f t="shared" si="189"/>
        <v>6.3579539395060038</v>
      </c>
      <c r="J672" s="63">
        <f t="shared" si="190"/>
        <v>12.253054561639251</v>
      </c>
      <c r="K672" s="30">
        <f>IF(OR(LEFT($D672,5)="Solar",$D672="Wind"),INDEX(Land_Use[AVG],MATCH(LEFT($D672,5),Land_Use[Tech],0)),0)*$E672</f>
        <v>0</v>
      </c>
      <c r="L672" s="30">
        <f>IF(OR(LEFT($D672,5)="Solar",$D672="Wind"),INDEX(Land_Use[MIN],MATCH(LEFT($D672,5),Land_Use[Tech],0)),0)*$E672</f>
        <v>0</v>
      </c>
      <c r="M672" s="30">
        <f>IF(OR(LEFT($D672,5)="Solar",$D672="Wind"),INDEX(Land_Use[MAX],MATCH(LEFT($D672,5),Land_Use[Tech],0)),0)*$E672</f>
        <v>0</v>
      </c>
      <c r="N672" s="15">
        <f t="shared" si="183"/>
        <v>0</v>
      </c>
      <c r="O672" s="11">
        <f t="shared" si="184"/>
        <v>0</v>
      </c>
      <c r="P672" s="11">
        <f t="shared" si="185"/>
        <v>0</v>
      </c>
      <c r="Q672" s="11">
        <f t="shared" si="186"/>
        <v>0</v>
      </c>
      <c r="R672" s="11">
        <f t="shared" si="187"/>
        <v>0</v>
      </c>
      <c r="S672" s="30">
        <f t="shared" si="191"/>
        <v>0</v>
      </c>
      <c r="T672" s="30">
        <f t="shared" si="192"/>
        <v>0</v>
      </c>
      <c r="U672" s="30">
        <f t="shared" si="193"/>
        <v>0</v>
      </c>
      <c r="V672" s="30">
        <f t="shared" si="194"/>
        <v>0</v>
      </c>
      <c r="W672" s="30">
        <f t="shared" si="195"/>
        <v>0</v>
      </c>
      <c r="X672" s="30">
        <f t="shared" si="196"/>
        <v>0</v>
      </c>
      <c r="Z672" s="23" t="s">
        <v>76</v>
      </c>
      <c r="AA672" s="40" t="str">
        <f>IF(C672="Electricity",E672*SUMIFS(Electricity!S:S,Electricity!P:P,UserMade_Scenario!B672,Electricity!M:M,UserMade_Scenario!Z672,Electricity!O:O,UserMade_Scenario!D672),"")</f>
        <v/>
      </c>
      <c r="AB672" s="67">
        <v>1.0930000000000002E-6</v>
      </c>
      <c r="AC672" s="67" t="s">
        <v>90</v>
      </c>
      <c r="AD672" s="39">
        <f>IFERROR(INDEX(Assumptions!B$145:B$146,MATCH($D672,Assumptions!$A$145:$A$146,0)),0)</f>
        <v>-229.20999999999998</v>
      </c>
      <c r="AE672" s="39">
        <f>IFERROR(INDEX(Assumptions!C$145:C$146,MATCH($D672,Assumptions!$A$145:$A$146,0)),0)</f>
        <v>-211.71999999999997</v>
      </c>
      <c r="AF672" s="39">
        <f>IFERROR(INDEX(Assumptions!D$145:D$146,MATCH($D672,Assumptions!$A$145:$A$146,0)),0)</f>
        <v>-408.02697478991581</v>
      </c>
      <c r="AG672" s="68">
        <f>IFERROR(INDEX(WaterUseH2[Average Direct Water Consumption (Gal/ kg h2)],MATCH(LEFT(D672,3),WaterUseH2[Key],0)),0)</f>
        <v>0</v>
      </c>
      <c r="AH672">
        <v>14</v>
      </c>
      <c r="AI672">
        <v>1.4</v>
      </c>
      <c r="AJ672">
        <v>250</v>
      </c>
      <c r="AK672">
        <v>0.31</v>
      </c>
      <c r="AL672" s="63">
        <f>IFERROR(INDEX(Job_Training[[Solar]:[Wind]],MATCH(AL$1,Job_Training[[`Typical Entry Level Education`]:[`Typical Entry Level Education`]],0),MATCH(LEFT($D672,5),Job_Training[[#Headers],[Solar]:[Wind]],0)),0)</f>
        <v>0</v>
      </c>
      <c r="AM672" s="63">
        <f>IFERROR(INDEX(Job_Training[[Solar]:[Wind]],MATCH(AM$1,Job_Training[[`Typical Entry Level Education`]:[`Typical Entry Level Education`]],0),MATCH(LEFT($D672,5),Job_Training[[#Headers],[Solar]:[Wind]],0)),0)</f>
        <v>0</v>
      </c>
      <c r="AN672" s="63">
        <f>IFERROR(INDEX(Job_Training[[Solar]:[Wind]],MATCH(AN$1,Job_Training[[`Typical Entry Level Education`]:[`Typical Entry Level Education`]],0),MATCH(LEFT($D672,5),Job_Training[[#Headers],[Solar]:[Wind]],0)),0)</f>
        <v>0</v>
      </c>
      <c r="AO672" s="63">
        <f>IFERROR(INDEX(Job_Training[[Solar]:[Wind]],MATCH(AO$1,Job_Training[[`Typical Entry Level Education`]:[`Typical Entry Level Education`]],0),MATCH(LEFT($D672,5),Job_Training[[#Headers],[Solar]:[Wind]],0)),0)</f>
        <v>0</v>
      </c>
      <c r="AP672">
        <f t="shared" si="197"/>
        <v>0</v>
      </c>
      <c r="AQ672" s="63">
        <f>IF(AP672&gt;0,IFERROR(INDEX(Assumptions!$C$165:$D$165,MATCH(LEFT($D672,5),Job_Training[[#Headers],[Solar]:[Wind]],0)),0),0)</f>
        <v>0</v>
      </c>
      <c r="AR672">
        <f>IF(AP672&gt;0,IFERROR(INDEX(Assumptions!$C$166:$D$166,MATCH(LEFT($D672,5),Job_Training[[#Headers],[Solar]:[Wind]],0)),0),0)</f>
        <v>0</v>
      </c>
    </row>
    <row r="673" spans="1:44" hidden="1" x14ac:dyDescent="0.35">
      <c r="A673" t="str">
        <f>UserInput!$B$56</f>
        <v>Max Buildout</v>
      </c>
      <c r="B673">
        <v>2045</v>
      </c>
      <c r="C673" t="s">
        <v>87</v>
      </c>
      <c r="D673" t="s">
        <v>88</v>
      </c>
      <c r="E673" s="66">
        <f>INDEX(UserInput!$C$56:$M$76,MATCH(UserMade_Scenario!B673,UserInput!$A$56:$A$76,0),MATCH(LEFT(IF(RIGHT(C673,2)="H2",UserMade_Scenario!C673,D673),3),UserInput!$C$25:$M$25,0))</f>
        <v>28560.000000000015</v>
      </c>
      <c r="F673" t="s">
        <v>89</v>
      </c>
      <c r="G673" s="14">
        <f t="shared" si="198"/>
        <v>3.1216080000000021E-2</v>
      </c>
      <c r="H673" s="63">
        <f t="shared" si="188"/>
        <v>7.1550376968000045</v>
      </c>
      <c r="I673" s="63">
        <f t="shared" si="189"/>
        <v>6.6090684576000038</v>
      </c>
      <c r="J673" s="63">
        <f t="shared" si="190"/>
        <v>12.737002687200004</v>
      </c>
      <c r="K673" s="30">
        <f>IF(OR(LEFT($D673,5)="Solar",$D673="Wind"),INDEX(Land_Use[AVG],MATCH(LEFT($D673,5),Land_Use[Tech],0)),0)*$E673</f>
        <v>0</v>
      </c>
      <c r="L673" s="30">
        <f>IF(OR(LEFT($D673,5)="Solar",$D673="Wind"),INDEX(Land_Use[MIN],MATCH(LEFT($D673,5),Land_Use[Tech],0)),0)*$E673</f>
        <v>0</v>
      </c>
      <c r="M673" s="30">
        <f>IF(OR(LEFT($D673,5)="Solar",$D673="Wind"),INDEX(Land_Use[MAX],MATCH(LEFT($D673,5),Land_Use[Tech],0)),0)*$E673</f>
        <v>0</v>
      </c>
      <c r="N673" s="15">
        <f t="shared" si="183"/>
        <v>0</v>
      </c>
      <c r="O673" s="11">
        <f t="shared" si="184"/>
        <v>0</v>
      </c>
      <c r="P673" s="11">
        <f t="shared" si="185"/>
        <v>0</v>
      </c>
      <c r="Q673" s="11">
        <f t="shared" si="186"/>
        <v>0</v>
      </c>
      <c r="R673" s="11">
        <f t="shared" si="187"/>
        <v>0</v>
      </c>
      <c r="S673" s="30">
        <f t="shared" si="191"/>
        <v>0</v>
      </c>
      <c r="T673" s="30">
        <f t="shared" si="192"/>
        <v>0</v>
      </c>
      <c r="U673" s="30">
        <f t="shared" si="193"/>
        <v>0</v>
      </c>
      <c r="V673" s="30">
        <f t="shared" si="194"/>
        <v>0</v>
      </c>
      <c r="W673" s="30">
        <f t="shared" si="195"/>
        <v>0</v>
      </c>
      <c r="X673" s="30">
        <f t="shared" si="196"/>
        <v>0</v>
      </c>
      <c r="Z673" s="23" t="s">
        <v>76</v>
      </c>
      <c r="AA673" s="40" t="str">
        <f>IF(C673="Electricity",E673*SUMIFS(Electricity!S:S,Electricity!P:P,UserMade_Scenario!B673,Electricity!M:M,UserMade_Scenario!Z673,Electricity!O:O,UserMade_Scenario!D673),"")</f>
        <v/>
      </c>
      <c r="AB673" s="67">
        <v>1.0930000000000002E-6</v>
      </c>
      <c r="AC673" s="67" t="s">
        <v>90</v>
      </c>
      <c r="AD673" s="39">
        <f>IFERROR(INDEX(Assumptions!B$145:B$146,MATCH($D673,Assumptions!$A$145:$A$146,0)),0)</f>
        <v>-229.20999999999998</v>
      </c>
      <c r="AE673" s="39">
        <f>IFERROR(INDEX(Assumptions!C$145:C$146,MATCH($D673,Assumptions!$A$145:$A$146,0)),0)</f>
        <v>-211.71999999999997</v>
      </c>
      <c r="AF673" s="39">
        <f>IFERROR(INDEX(Assumptions!D$145:D$146,MATCH($D673,Assumptions!$A$145:$A$146,0)),0)</f>
        <v>-408.02697478991581</v>
      </c>
      <c r="AG673" s="68">
        <f>IFERROR(INDEX(WaterUseH2[Average Direct Water Consumption (Gal/ kg h2)],MATCH(LEFT(D673,3),WaterUseH2[Key],0)),0)</f>
        <v>0</v>
      </c>
      <c r="AH673">
        <v>14</v>
      </c>
      <c r="AI673">
        <v>1.4</v>
      </c>
      <c r="AJ673">
        <v>250</v>
      </c>
      <c r="AK673">
        <v>0.31</v>
      </c>
      <c r="AL673" s="63">
        <f>IFERROR(INDEX(Job_Training[[Solar]:[Wind]],MATCH(AL$1,Job_Training[[`Typical Entry Level Education`]:[`Typical Entry Level Education`]],0),MATCH(LEFT($D673,5),Job_Training[[#Headers],[Solar]:[Wind]],0)),0)</f>
        <v>0</v>
      </c>
      <c r="AM673" s="63">
        <f>IFERROR(INDEX(Job_Training[[Solar]:[Wind]],MATCH(AM$1,Job_Training[[`Typical Entry Level Education`]:[`Typical Entry Level Education`]],0),MATCH(LEFT($D673,5),Job_Training[[#Headers],[Solar]:[Wind]],0)),0)</f>
        <v>0</v>
      </c>
      <c r="AN673" s="63">
        <f>IFERROR(INDEX(Job_Training[[Solar]:[Wind]],MATCH(AN$1,Job_Training[[`Typical Entry Level Education`]:[`Typical Entry Level Education`]],0),MATCH(LEFT($D673,5),Job_Training[[#Headers],[Solar]:[Wind]],0)),0)</f>
        <v>0</v>
      </c>
      <c r="AO673" s="63">
        <f>IFERROR(INDEX(Job_Training[[Solar]:[Wind]],MATCH(AO$1,Job_Training[[`Typical Entry Level Education`]:[`Typical Entry Level Education`]],0),MATCH(LEFT($D673,5),Job_Training[[#Headers],[Solar]:[Wind]],0)),0)</f>
        <v>0</v>
      </c>
      <c r="AP673">
        <f t="shared" si="197"/>
        <v>0</v>
      </c>
      <c r="AQ673" s="63">
        <f>IF(AP673&gt;0,IFERROR(INDEX(Assumptions!$C$165:$D$165,MATCH(LEFT($D673,5),Job_Training[[#Headers],[Solar]:[Wind]],0)),0),0)</f>
        <v>0</v>
      </c>
      <c r="AR673">
        <f>IF(AP673&gt;0,IFERROR(INDEX(Assumptions!$C$166:$D$166,MATCH(LEFT($D673,5),Job_Training[[#Headers],[Solar]:[Wind]],0)),0),0)</f>
        <v>0</v>
      </c>
    </row>
    <row r="674" spans="1:44" hidden="1" x14ac:dyDescent="0.35">
      <c r="A674" t="str">
        <f>UserInput!$B$56</f>
        <v>Max Buildout</v>
      </c>
      <c r="B674">
        <v>2025</v>
      </c>
      <c r="C674" t="s">
        <v>87</v>
      </c>
      <c r="D674" t="s">
        <v>91</v>
      </c>
      <c r="E674" s="66">
        <f>INDEX(UserInput!$C$56:$M$76,MATCH(UserMade_Scenario!B674,UserInput!$A$56:$A$76,0),MATCH(LEFT(IF(RIGHT(C674,2)="H2",UserMade_Scenario!C674,D674),3),UserInput!$C$25:$M$25,0))</f>
        <v>444</v>
      </c>
      <c r="F674" t="s">
        <v>89</v>
      </c>
      <c r="G674" s="14">
        <f t="shared" si="198"/>
        <v>4.8529199999999996E-4</v>
      </c>
      <c r="H674" s="63">
        <f t="shared" si="188"/>
        <v>1.6601839319999995E-2</v>
      </c>
      <c r="I674" s="63">
        <f t="shared" si="189"/>
        <v>1.6601839319999995E-2</v>
      </c>
      <c r="J674" s="63">
        <f t="shared" si="190"/>
        <v>6.4672438379999989E-2</v>
      </c>
      <c r="K674" s="30">
        <f>IF(OR(LEFT($D674,5)="Solar",$D674="Wind"),INDEX(Land_Use[AVG],MATCH(LEFT($D674,5),Land_Use[Tech],0)),0)*$E674</f>
        <v>0</v>
      </c>
      <c r="L674" s="30">
        <f>IF(OR(LEFT($D674,5)="Solar",$D674="Wind"),INDEX(Land_Use[MIN],MATCH(LEFT($D674,5),Land_Use[Tech],0)),0)*$E674</f>
        <v>0</v>
      </c>
      <c r="M674" s="30">
        <f>IF(OR(LEFT($D674,5)="Solar",$D674="Wind"),INDEX(Land_Use[MAX],MATCH(LEFT($D674,5),Land_Use[Tech],0)),0)*$E674</f>
        <v>0</v>
      </c>
      <c r="N674" s="15">
        <f t="shared" si="183"/>
        <v>0</v>
      </c>
      <c r="O674" s="11">
        <f t="shared" si="184"/>
        <v>0</v>
      </c>
      <c r="P674" s="11">
        <f t="shared" si="185"/>
        <v>0</v>
      </c>
      <c r="Q674" s="11">
        <f t="shared" si="186"/>
        <v>0</v>
      </c>
      <c r="R674" s="11">
        <f t="shared" si="187"/>
        <v>0</v>
      </c>
      <c r="S674" s="30">
        <f t="shared" si="191"/>
        <v>0</v>
      </c>
      <c r="T674" s="30">
        <f t="shared" si="192"/>
        <v>0</v>
      </c>
      <c r="U674" s="30">
        <f t="shared" si="193"/>
        <v>0</v>
      </c>
      <c r="V674" s="30">
        <f t="shared" si="194"/>
        <v>0</v>
      </c>
      <c r="W674" s="30">
        <f t="shared" si="195"/>
        <v>0</v>
      </c>
      <c r="X674" s="30">
        <f t="shared" si="196"/>
        <v>0</v>
      </c>
      <c r="Z674" s="23" t="s">
        <v>76</v>
      </c>
      <c r="AA674" s="40" t="str">
        <f>IF(C674="Electricity",E674*SUMIFS(Electricity!S:S,Electricity!P:P,UserMade_Scenario!B674,Electricity!M:M,UserMade_Scenario!Z674,Electricity!O:O,UserMade_Scenario!D674),"")</f>
        <v/>
      </c>
      <c r="AB674" s="67">
        <v>1.093E-6</v>
      </c>
      <c r="AC674" s="67" t="s">
        <v>90</v>
      </c>
      <c r="AD674" s="39">
        <f>IFERROR(INDEX(Assumptions!B$145:B$146,MATCH($D674,Assumptions!$A$145:$A$146,0)),0)</f>
        <v>-34.209999999999994</v>
      </c>
      <c r="AE674" s="39">
        <f>IFERROR(INDEX(Assumptions!C$145:C$146,MATCH($D674,Assumptions!$A$145:$A$146,0)),0)</f>
        <v>-34.209999999999994</v>
      </c>
      <c r="AF674" s="39">
        <f>IFERROR(INDEX(Assumptions!D$145:D$146,MATCH($D674,Assumptions!$A$145:$A$146,0)),0)</f>
        <v>-133.26499999999999</v>
      </c>
      <c r="AG674" s="68">
        <f>IFERROR(INDEX(WaterUseH2[Average Direct Water Consumption (Gal/ kg h2)],MATCH(LEFT(D674,3),WaterUseH2[Key],0)),0)</f>
        <v>0</v>
      </c>
      <c r="AH674">
        <v>14</v>
      </c>
      <c r="AI674">
        <v>1.4</v>
      </c>
      <c r="AJ674">
        <v>250</v>
      </c>
      <c r="AK674">
        <v>0.31</v>
      </c>
      <c r="AL674" s="63">
        <f>IFERROR(INDEX(Job_Training[[Solar]:[Wind]],MATCH(AL$1,Job_Training[[`Typical Entry Level Education`]:[`Typical Entry Level Education`]],0),MATCH(LEFT($D674,5),Job_Training[[#Headers],[Solar]:[Wind]],0)),0)</f>
        <v>0</v>
      </c>
      <c r="AM674" s="63">
        <f>IFERROR(INDEX(Job_Training[[Solar]:[Wind]],MATCH(AM$1,Job_Training[[`Typical Entry Level Education`]:[`Typical Entry Level Education`]],0),MATCH(LEFT($D674,5),Job_Training[[#Headers],[Solar]:[Wind]],0)),0)</f>
        <v>0</v>
      </c>
      <c r="AN674" s="63">
        <f>IFERROR(INDEX(Job_Training[[Solar]:[Wind]],MATCH(AN$1,Job_Training[[`Typical Entry Level Education`]:[`Typical Entry Level Education`]],0),MATCH(LEFT($D674,5),Job_Training[[#Headers],[Solar]:[Wind]],0)),0)</f>
        <v>0</v>
      </c>
      <c r="AO674" s="63">
        <f>IFERROR(INDEX(Job_Training[[Solar]:[Wind]],MATCH(AO$1,Job_Training[[`Typical Entry Level Education`]:[`Typical Entry Level Education`]],0),MATCH(LEFT($D674,5),Job_Training[[#Headers],[Solar]:[Wind]],0)),0)</f>
        <v>0</v>
      </c>
      <c r="AP674">
        <f t="shared" si="197"/>
        <v>0</v>
      </c>
      <c r="AQ674" s="63">
        <f>IF(AP674&gt;0,IFERROR(INDEX(Assumptions!$C$165:$D$165,MATCH(LEFT($D674,5),Job_Training[[#Headers],[Solar]:[Wind]],0)),0),0)</f>
        <v>0</v>
      </c>
      <c r="AR674">
        <f>IF(AP674&gt;0,IFERROR(INDEX(Assumptions!$C$166:$D$166,MATCH(LEFT($D674,5),Job_Training[[#Headers],[Solar]:[Wind]],0)),0),0)</f>
        <v>0</v>
      </c>
    </row>
    <row r="675" spans="1:44" hidden="1" x14ac:dyDescent="0.35">
      <c r="A675" t="str">
        <f>UserInput!$B$56</f>
        <v>Max Buildout</v>
      </c>
      <c r="B675">
        <v>2026</v>
      </c>
      <c r="C675" t="s">
        <v>87</v>
      </c>
      <c r="D675" t="s">
        <v>91</v>
      </c>
      <c r="E675" s="66">
        <f>INDEX(UserInput!$C$56:$M$76,MATCH(UserMade_Scenario!B675,UserInput!$A$56:$A$76,0),MATCH(LEFT(IF(RIGHT(C675,2)="H2",UserMade_Scenario!C675,D675),3),UserInput!$C$25:$M$25,0))</f>
        <v>514.20000000000005</v>
      </c>
      <c r="F675" t="s">
        <v>89</v>
      </c>
      <c r="G675" s="14">
        <f t="shared" si="198"/>
        <v>5.6202059999999998E-4</v>
      </c>
      <c r="H675" s="63">
        <f t="shared" si="188"/>
        <v>1.9226724725999997E-2</v>
      </c>
      <c r="I675" s="63">
        <f t="shared" si="189"/>
        <v>1.9226724725999997E-2</v>
      </c>
      <c r="J675" s="63">
        <f t="shared" si="190"/>
        <v>7.4897675258999985E-2</v>
      </c>
      <c r="K675" s="30">
        <f>IF(OR(LEFT($D675,5)="Solar",$D675="Wind"),INDEX(Land_Use[AVG],MATCH(LEFT($D675,5),Land_Use[Tech],0)),0)*$E675</f>
        <v>0</v>
      </c>
      <c r="L675" s="30">
        <f>IF(OR(LEFT($D675,5)="Solar",$D675="Wind"),INDEX(Land_Use[MIN],MATCH(LEFT($D675,5),Land_Use[Tech],0)),0)*$E675</f>
        <v>0</v>
      </c>
      <c r="M675" s="30">
        <f>IF(OR(LEFT($D675,5)="Solar",$D675="Wind"),INDEX(Land_Use[MAX],MATCH(LEFT($D675,5),Land_Use[Tech],0)),0)*$E675</f>
        <v>0</v>
      </c>
      <c r="N675" s="15">
        <f t="shared" si="183"/>
        <v>0</v>
      </c>
      <c r="O675" s="11">
        <f t="shared" si="184"/>
        <v>0</v>
      </c>
      <c r="P675" s="11">
        <f t="shared" si="185"/>
        <v>0</v>
      </c>
      <c r="Q675" s="11">
        <f t="shared" si="186"/>
        <v>0</v>
      </c>
      <c r="R675" s="11">
        <f t="shared" si="187"/>
        <v>0</v>
      </c>
      <c r="S675" s="30">
        <f t="shared" si="191"/>
        <v>0</v>
      </c>
      <c r="T675" s="30">
        <f t="shared" si="192"/>
        <v>0</v>
      </c>
      <c r="U675" s="30">
        <f t="shared" si="193"/>
        <v>0</v>
      </c>
      <c r="V675" s="30">
        <f t="shared" si="194"/>
        <v>0</v>
      </c>
      <c r="W675" s="30">
        <f t="shared" si="195"/>
        <v>0</v>
      </c>
      <c r="X675" s="30">
        <f t="shared" si="196"/>
        <v>0</v>
      </c>
      <c r="Z675" s="23" t="s">
        <v>76</v>
      </c>
      <c r="AA675" s="40" t="str">
        <f>IF(C675="Electricity",E675*SUMIFS(Electricity!S:S,Electricity!P:P,UserMade_Scenario!B675,Electricity!M:M,UserMade_Scenario!Z675,Electricity!O:O,UserMade_Scenario!D675),"")</f>
        <v/>
      </c>
      <c r="AB675" s="67">
        <v>1.093E-6</v>
      </c>
      <c r="AC675" s="67" t="s">
        <v>90</v>
      </c>
      <c r="AD675" s="39">
        <f>IFERROR(INDEX(Assumptions!B$145:B$146,MATCH($D675,Assumptions!$A$145:$A$146,0)),0)</f>
        <v>-34.209999999999994</v>
      </c>
      <c r="AE675" s="39">
        <f>IFERROR(INDEX(Assumptions!C$145:C$146,MATCH($D675,Assumptions!$A$145:$A$146,0)),0)</f>
        <v>-34.209999999999994</v>
      </c>
      <c r="AF675" s="39">
        <f>IFERROR(INDEX(Assumptions!D$145:D$146,MATCH($D675,Assumptions!$A$145:$A$146,0)),0)</f>
        <v>-133.26499999999999</v>
      </c>
      <c r="AG675" s="68">
        <f>IFERROR(INDEX(WaterUseH2[Average Direct Water Consumption (Gal/ kg h2)],MATCH(LEFT(D675,3),WaterUseH2[Key],0)),0)</f>
        <v>0</v>
      </c>
      <c r="AH675">
        <v>14</v>
      </c>
      <c r="AI675">
        <v>1.4</v>
      </c>
      <c r="AJ675">
        <v>250</v>
      </c>
      <c r="AK675">
        <v>0.31</v>
      </c>
      <c r="AL675" s="63">
        <f>IFERROR(INDEX(Job_Training[[Solar]:[Wind]],MATCH(AL$1,Job_Training[[`Typical Entry Level Education`]:[`Typical Entry Level Education`]],0),MATCH(LEFT($D675,5),Job_Training[[#Headers],[Solar]:[Wind]],0)),0)</f>
        <v>0</v>
      </c>
      <c r="AM675" s="63">
        <f>IFERROR(INDEX(Job_Training[[Solar]:[Wind]],MATCH(AM$1,Job_Training[[`Typical Entry Level Education`]:[`Typical Entry Level Education`]],0),MATCH(LEFT($D675,5),Job_Training[[#Headers],[Solar]:[Wind]],0)),0)</f>
        <v>0</v>
      </c>
      <c r="AN675" s="63">
        <f>IFERROR(INDEX(Job_Training[[Solar]:[Wind]],MATCH(AN$1,Job_Training[[`Typical Entry Level Education`]:[`Typical Entry Level Education`]],0),MATCH(LEFT($D675,5),Job_Training[[#Headers],[Solar]:[Wind]],0)),0)</f>
        <v>0</v>
      </c>
      <c r="AO675" s="63">
        <f>IFERROR(INDEX(Job_Training[[Solar]:[Wind]],MATCH(AO$1,Job_Training[[`Typical Entry Level Education`]:[`Typical Entry Level Education`]],0),MATCH(LEFT($D675,5),Job_Training[[#Headers],[Solar]:[Wind]],0)),0)</f>
        <v>0</v>
      </c>
      <c r="AP675">
        <f t="shared" si="197"/>
        <v>0</v>
      </c>
      <c r="AQ675" s="63">
        <f>IF(AP675&gt;0,IFERROR(INDEX(Assumptions!$C$165:$D$165,MATCH(LEFT($D675,5),Job_Training[[#Headers],[Solar]:[Wind]],0)),0),0)</f>
        <v>0</v>
      </c>
      <c r="AR675">
        <f>IF(AP675&gt;0,IFERROR(INDEX(Assumptions!$C$166:$D$166,MATCH(LEFT($D675,5),Job_Training[[#Headers],[Solar]:[Wind]],0)),0),0)</f>
        <v>0</v>
      </c>
    </row>
    <row r="676" spans="1:44" hidden="1" x14ac:dyDescent="0.35">
      <c r="A676" t="str">
        <f>UserInput!$B$56</f>
        <v>Max Buildout</v>
      </c>
      <c r="B676">
        <v>2027</v>
      </c>
      <c r="C676" t="s">
        <v>87</v>
      </c>
      <c r="D676" t="s">
        <v>91</v>
      </c>
      <c r="E676" s="66">
        <f>INDEX(UserInput!$C$56:$M$76,MATCH(UserMade_Scenario!B676,UserInput!$A$56:$A$76,0),MATCH(LEFT(IF(RIGHT(C676,2)="H2",UserMade_Scenario!C676,D676),3),UserInput!$C$25:$M$25,0))</f>
        <v>584.40000000000009</v>
      </c>
      <c r="F676" t="s">
        <v>89</v>
      </c>
      <c r="G676" s="14">
        <f t="shared" si="198"/>
        <v>6.3874920000000005E-4</v>
      </c>
      <c r="H676" s="63">
        <f t="shared" si="188"/>
        <v>2.1851610131999998E-2</v>
      </c>
      <c r="I676" s="63">
        <f t="shared" si="189"/>
        <v>2.1851610131999998E-2</v>
      </c>
      <c r="J676" s="63">
        <f t="shared" si="190"/>
        <v>8.5122912137999995E-2</v>
      </c>
      <c r="K676" s="30">
        <f>IF(OR(LEFT($D676,5)="Solar",$D676="Wind"),INDEX(Land_Use[AVG],MATCH(LEFT($D676,5),Land_Use[Tech],0)),0)*$E676</f>
        <v>0</v>
      </c>
      <c r="L676" s="30">
        <f>IF(OR(LEFT($D676,5)="Solar",$D676="Wind"),INDEX(Land_Use[MIN],MATCH(LEFT($D676,5),Land_Use[Tech],0)),0)*$E676</f>
        <v>0</v>
      </c>
      <c r="M676" s="30">
        <f>IF(OR(LEFT($D676,5)="Solar",$D676="Wind"),INDEX(Land_Use[MAX],MATCH(LEFT($D676,5),Land_Use[Tech],0)),0)*$E676</f>
        <v>0</v>
      </c>
      <c r="N676" s="15">
        <f t="shared" si="183"/>
        <v>0</v>
      </c>
      <c r="O676" s="11">
        <f t="shared" si="184"/>
        <v>0</v>
      </c>
      <c r="P676" s="11">
        <f t="shared" si="185"/>
        <v>0</v>
      </c>
      <c r="Q676" s="11">
        <f t="shared" si="186"/>
        <v>0</v>
      </c>
      <c r="R676" s="11">
        <f t="shared" si="187"/>
        <v>0</v>
      </c>
      <c r="S676" s="30">
        <f t="shared" si="191"/>
        <v>0</v>
      </c>
      <c r="T676" s="30">
        <f t="shared" si="192"/>
        <v>0</v>
      </c>
      <c r="U676" s="30">
        <f t="shared" si="193"/>
        <v>0</v>
      </c>
      <c r="V676" s="30">
        <f t="shared" si="194"/>
        <v>0</v>
      </c>
      <c r="W676" s="30">
        <f t="shared" si="195"/>
        <v>0</v>
      </c>
      <c r="X676" s="30">
        <f t="shared" si="196"/>
        <v>0</v>
      </c>
      <c r="Z676" s="23" t="s">
        <v>76</v>
      </c>
      <c r="AA676" s="40" t="str">
        <f>IF(C676="Electricity",E676*SUMIFS(Electricity!S:S,Electricity!P:P,UserMade_Scenario!B676,Electricity!M:M,UserMade_Scenario!Z676,Electricity!O:O,UserMade_Scenario!D676),"")</f>
        <v/>
      </c>
      <c r="AB676" s="67">
        <v>1.093E-6</v>
      </c>
      <c r="AC676" s="67" t="s">
        <v>90</v>
      </c>
      <c r="AD676" s="39">
        <f>IFERROR(INDEX(Assumptions!B$145:B$146,MATCH($D676,Assumptions!$A$145:$A$146,0)),0)</f>
        <v>-34.209999999999994</v>
      </c>
      <c r="AE676" s="39">
        <f>IFERROR(INDEX(Assumptions!C$145:C$146,MATCH($D676,Assumptions!$A$145:$A$146,0)),0)</f>
        <v>-34.209999999999994</v>
      </c>
      <c r="AF676" s="39">
        <f>IFERROR(INDEX(Assumptions!D$145:D$146,MATCH($D676,Assumptions!$A$145:$A$146,0)),0)</f>
        <v>-133.26499999999999</v>
      </c>
      <c r="AG676" s="68">
        <f>IFERROR(INDEX(WaterUseH2[Average Direct Water Consumption (Gal/ kg h2)],MATCH(LEFT(D676,3),WaterUseH2[Key],0)),0)</f>
        <v>0</v>
      </c>
      <c r="AH676">
        <v>14</v>
      </c>
      <c r="AI676">
        <v>1.4</v>
      </c>
      <c r="AJ676">
        <v>250</v>
      </c>
      <c r="AK676">
        <v>0.31</v>
      </c>
      <c r="AL676" s="63">
        <f>IFERROR(INDEX(Job_Training[[Solar]:[Wind]],MATCH(AL$1,Job_Training[[`Typical Entry Level Education`]:[`Typical Entry Level Education`]],0),MATCH(LEFT($D676,5),Job_Training[[#Headers],[Solar]:[Wind]],0)),0)</f>
        <v>0</v>
      </c>
      <c r="AM676" s="63">
        <f>IFERROR(INDEX(Job_Training[[Solar]:[Wind]],MATCH(AM$1,Job_Training[[`Typical Entry Level Education`]:[`Typical Entry Level Education`]],0),MATCH(LEFT($D676,5),Job_Training[[#Headers],[Solar]:[Wind]],0)),0)</f>
        <v>0</v>
      </c>
      <c r="AN676" s="63">
        <f>IFERROR(INDEX(Job_Training[[Solar]:[Wind]],MATCH(AN$1,Job_Training[[`Typical Entry Level Education`]:[`Typical Entry Level Education`]],0),MATCH(LEFT($D676,5),Job_Training[[#Headers],[Solar]:[Wind]],0)),0)</f>
        <v>0</v>
      </c>
      <c r="AO676" s="63">
        <f>IFERROR(INDEX(Job_Training[[Solar]:[Wind]],MATCH(AO$1,Job_Training[[`Typical Entry Level Education`]:[`Typical Entry Level Education`]],0),MATCH(LEFT($D676,5),Job_Training[[#Headers],[Solar]:[Wind]],0)),0)</f>
        <v>0</v>
      </c>
      <c r="AP676">
        <f t="shared" si="197"/>
        <v>0</v>
      </c>
      <c r="AQ676" s="63">
        <f>IF(AP676&gt;0,IFERROR(INDEX(Assumptions!$C$165:$D$165,MATCH(LEFT($D676,5),Job_Training[[#Headers],[Solar]:[Wind]],0)),0),0)</f>
        <v>0</v>
      </c>
      <c r="AR676">
        <f>IF(AP676&gt;0,IFERROR(INDEX(Assumptions!$C$166:$D$166,MATCH(LEFT($D676,5),Job_Training[[#Headers],[Solar]:[Wind]],0)),0),0)</f>
        <v>0</v>
      </c>
    </row>
    <row r="677" spans="1:44" hidden="1" x14ac:dyDescent="0.35">
      <c r="A677" t="str">
        <f>UserInput!$B$56</f>
        <v>Max Buildout</v>
      </c>
      <c r="B677">
        <v>2028</v>
      </c>
      <c r="C677" t="s">
        <v>87</v>
      </c>
      <c r="D677" t="s">
        <v>91</v>
      </c>
      <c r="E677" s="66">
        <f>INDEX(UserInput!$C$56:$M$76,MATCH(UserMade_Scenario!B677,UserInput!$A$56:$A$76,0),MATCH(LEFT(IF(RIGHT(C677,2)="H2",UserMade_Scenario!C677,D677),3),UserInput!$C$25:$M$25,0))</f>
        <v>654.60000000000014</v>
      </c>
      <c r="F677" t="s">
        <v>89</v>
      </c>
      <c r="G677" s="14">
        <f t="shared" si="198"/>
        <v>7.1547780000000012E-4</v>
      </c>
      <c r="H677" s="63">
        <f t="shared" si="188"/>
        <v>2.4476495538E-2</v>
      </c>
      <c r="I677" s="63">
        <f t="shared" si="189"/>
        <v>2.4476495538E-2</v>
      </c>
      <c r="J677" s="63">
        <f t="shared" si="190"/>
        <v>9.5348149017000006E-2</v>
      </c>
      <c r="K677" s="30">
        <f>IF(OR(LEFT($D677,5)="Solar",$D677="Wind"),INDEX(Land_Use[AVG],MATCH(LEFT($D677,5),Land_Use[Tech],0)),0)*$E677</f>
        <v>0</v>
      </c>
      <c r="L677" s="30">
        <f>IF(OR(LEFT($D677,5)="Solar",$D677="Wind"),INDEX(Land_Use[MIN],MATCH(LEFT($D677,5),Land_Use[Tech],0)),0)*$E677</f>
        <v>0</v>
      </c>
      <c r="M677" s="30">
        <f>IF(OR(LEFT($D677,5)="Solar",$D677="Wind"),INDEX(Land_Use[MAX],MATCH(LEFT($D677,5),Land_Use[Tech],0)),0)*$E677</f>
        <v>0</v>
      </c>
      <c r="N677" s="15">
        <f t="shared" si="183"/>
        <v>0</v>
      </c>
      <c r="O677" s="11">
        <f t="shared" si="184"/>
        <v>0</v>
      </c>
      <c r="P677" s="11">
        <f t="shared" si="185"/>
        <v>0</v>
      </c>
      <c r="Q677" s="11">
        <f t="shared" si="186"/>
        <v>0</v>
      </c>
      <c r="R677" s="11">
        <f t="shared" si="187"/>
        <v>0</v>
      </c>
      <c r="S677" s="30">
        <f t="shared" si="191"/>
        <v>0</v>
      </c>
      <c r="T677" s="30">
        <f t="shared" si="192"/>
        <v>0</v>
      </c>
      <c r="U677" s="30">
        <f t="shared" si="193"/>
        <v>0</v>
      </c>
      <c r="V677" s="30">
        <f t="shared" si="194"/>
        <v>0</v>
      </c>
      <c r="W677" s="30">
        <f t="shared" si="195"/>
        <v>0</v>
      </c>
      <c r="X677" s="30">
        <f t="shared" si="196"/>
        <v>0</v>
      </c>
      <c r="Z677" s="23" t="s">
        <v>76</v>
      </c>
      <c r="AA677" s="40" t="str">
        <f>IF(C677="Electricity",E677*SUMIFS(Electricity!S:S,Electricity!P:P,UserMade_Scenario!B677,Electricity!M:M,UserMade_Scenario!Z677,Electricity!O:O,UserMade_Scenario!D677),"")</f>
        <v/>
      </c>
      <c r="AB677" s="67">
        <v>1.093E-6</v>
      </c>
      <c r="AC677" s="67" t="s">
        <v>90</v>
      </c>
      <c r="AD677" s="39">
        <f>IFERROR(INDEX(Assumptions!B$145:B$146,MATCH($D677,Assumptions!$A$145:$A$146,0)),0)</f>
        <v>-34.209999999999994</v>
      </c>
      <c r="AE677" s="39">
        <f>IFERROR(INDEX(Assumptions!C$145:C$146,MATCH($D677,Assumptions!$A$145:$A$146,0)),0)</f>
        <v>-34.209999999999994</v>
      </c>
      <c r="AF677" s="39">
        <f>IFERROR(INDEX(Assumptions!D$145:D$146,MATCH($D677,Assumptions!$A$145:$A$146,0)),0)</f>
        <v>-133.26499999999999</v>
      </c>
      <c r="AG677" s="68">
        <f>IFERROR(INDEX(WaterUseH2[Average Direct Water Consumption (Gal/ kg h2)],MATCH(LEFT(D677,3),WaterUseH2[Key],0)),0)</f>
        <v>0</v>
      </c>
      <c r="AH677">
        <v>14</v>
      </c>
      <c r="AI677">
        <v>1.4</v>
      </c>
      <c r="AJ677">
        <v>250</v>
      </c>
      <c r="AK677">
        <v>0.31</v>
      </c>
      <c r="AL677" s="63">
        <f>IFERROR(INDEX(Job_Training[[Solar]:[Wind]],MATCH(AL$1,Job_Training[[`Typical Entry Level Education`]:[`Typical Entry Level Education`]],0),MATCH(LEFT($D677,5),Job_Training[[#Headers],[Solar]:[Wind]],0)),0)</f>
        <v>0</v>
      </c>
      <c r="AM677" s="63">
        <f>IFERROR(INDEX(Job_Training[[Solar]:[Wind]],MATCH(AM$1,Job_Training[[`Typical Entry Level Education`]:[`Typical Entry Level Education`]],0),MATCH(LEFT($D677,5),Job_Training[[#Headers],[Solar]:[Wind]],0)),0)</f>
        <v>0</v>
      </c>
      <c r="AN677" s="63">
        <f>IFERROR(INDEX(Job_Training[[Solar]:[Wind]],MATCH(AN$1,Job_Training[[`Typical Entry Level Education`]:[`Typical Entry Level Education`]],0),MATCH(LEFT($D677,5),Job_Training[[#Headers],[Solar]:[Wind]],0)),0)</f>
        <v>0</v>
      </c>
      <c r="AO677" s="63">
        <f>IFERROR(INDEX(Job_Training[[Solar]:[Wind]],MATCH(AO$1,Job_Training[[`Typical Entry Level Education`]:[`Typical Entry Level Education`]],0),MATCH(LEFT($D677,5),Job_Training[[#Headers],[Solar]:[Wind]],0)),0)</f>
        <v>0</v>
      </c>
      <c r="AP677">
        <f t="shared" si="197"/>
        <v>0</v>
      </c>
      <c r="AQ677" s="63">
        <f>IF(AP677&gt;0,IFERROR(INDEX(Assumptions!$C$165:$D$165,MATCH(LEFT($D677,5),Job_Training[[#Headers],[Solar]:[Wind]],0)),0),0)</f>
        <v>0</v>
      </c>
      <c r="AR677">
        <f>IF(AP677&gt;0,IFERROR(INDEX(Assumptions!$C$166:$D$166,MATCH(LEFT($D677,5),Job_Training[[#Headers],[Solar]:[Wind]],0)),0),0)</f>
        <v>0</v>
      </c>
    </row>
    <row r="678" spans="1:44" hidden="1" x14ac:dyDescent="0.35">
      <c r="A678" t="str">
        <f>UserInput!$B$56</f>
        <v>Max Buildout</v>
      </c>
      <c r="B678">
        <v>2029</v>
      </c>
      <c r="C678" t="s">
        <v>87</v>
      </c>
      <c r="D678" t="s">
        <v>91</v>
      </c>
      <c r="E678" s="66">
        <f>INDEX(UserInput!$C$56:$M$76,MATCH(UserMade_Scenario!B678,UserInput!$A$56:$A$76,0),MATCH(LEFT(IF(RIGHT(C678,2)="H2",UserMade_Scenario!C678,D678),3),UserInput!$C$25:$M$25,0))</f>
        <v>724.80000000000018</v>
      </c>
      <c r="F678" t="s">
        <v>89</v>
      </c>
      <c r="G678" s="14">
        <f t="shared" si="198"/>
        <v>7.9220640000000019E-4</v>
      </c>
      <c r="H678" s="63">
        <f t="shared" si="188"/>
        <v>2.7101380944000001E-2</v>
      </c>
      <c r="I678" s="63">
        <f t="shared" si="189"/>
        <v>2.7101380944000001E-2</v>
      </c>
      <c r="J678" s="63">
        <f t="shared" si="190"/>
        <v>0.10557338589600002</v>
      </c>
      <c r="K678" s="30">
        <f>IF(OR(LEFT($D678,5)="Solar",$D678="Wind"),INDEX(Land_Use[AVG],MATCH(LEFT($D678,5),Land_Use[Tech],0)),0)*$E678</f>
        <v>0</v>
      </c>
      <c r="L678" s="30">
        <f>IF(OR(LEFT($D678,5)="Solar",$D678="Wind"),INDEX(Land_Use[MIN],MATCH(LEFT($D678,5),Land_Use[Tech],0)),0)*$E678</f>
        <v>0</v>
      </c>
      <c r="M678" s="30">
        <f>IF(OR(LEFT($D678,5)="Solar",$D678="Wind"),INDEX(Land_Use[MAX],MATCH(LEFT($D678,5),Land_Use[Tech],0)),0)*$E678</f>
        <v>0</v>
      </c>
      <c r="N678" s="15">
        <f t="shared" si="183"/>
        <v>0</v>
      </c>
      <c r="O678" s="11">
        <f t="shared" si="184"/>
        <v>0</v>
      </c>
      <c r="P678" s="11">
        <f t="shared" si="185"/>
        <v>0</v>
      </c>
      <c r="Q678" s="11">
        <f t="shared" si="186"/>
        <v>0</v>
      </c>
      <c r="R678" s="11">
        <f t="shared" si="187"/>
        <v>0</v>
      </c>
      <c r="S678" s="30">
        <f t="shared" si="191"/>
        <v>0</v>
      </c>
      <c r="T678" s="30">
        <f t="shared" si="192"/>
        <v>0</v>
      </c>
      <c r="U678" s="30">
        <f t="shared" si="193"/>
        <v>0</v>
      </c>
      <c r="V678" s="30">
        <f t="shared" si="194"/>
        <v>0</v>
      </c>
      <c r="W678" s="30">
        <f t="shared" si="195"/>
        <v>0</v>
      </c>
      <c r="X678" s="30">
        <f t="shared" si="196"/>
        <v>0</v>
      </c>
      <c r="Z678" s="23" t="s">
        <v>76</v>
      </c>
      <c r="AA678" s="40" t="str">
        <f>IF(C678="Electricity",E678*SUMIFS(Electricity!S:S,Electricity!P:P,UserMade_Scenario!B678,Electricity!M:M,UserMade_Scenario!Z678,Electricity!O:O,UserMade_Scenario!D678),"")</f>
        <v/>
      </c>
      <c r="AB678" s="67">
        <v>1.093E-6</v>
      </c>
      <c r="AC678" s="67" t="s">
        <v>90</v>
      </c>
      <c r="AD678" s="39">
        <f>IFERROR(INDEX(Assumptions!B$145:B$146,MATCH($D678,Assumptions!$A$145:$A$146,0)),0)</f>
        <v>-34.209999999999994</v>
      </c>
      <c r="AE678" s="39">
        <f>IFERROR(INDEX(Assumptions!C$145:C$146,MATCH($D678,Assumptions!$A$145:$A$146,0)),0)</f>
        <v>-34.209999999999994</v>
      </c>
      <c r="AF678" s="39">
        <f>IFERROR(INDEX(Assumptions!D$145:D$146,MATCH($D678,Assumptions!$A$145:$A$146,0)),0)</f>
        <v>-133.26499999999999</v>
      </c>
      <c r="AG678" s="68">
        <f>IFERROR(INDEX(WaterUseH2[Average Direct Water Consumption (Gal/ kg h2)],MATCH(LEFT(D678,3),WaterUseH2[Key],0)),0)</f>
        <v>0</v>
      </c>
      <c r="AH678">
        <v>14</v>
      </c>
      <c r="AI678">
        <v>1.4</v>
      </c>
      <c r="AJ678">
        <v>250</v>
      </c>
      <c r="AK678">
        <v>0.31</v>
      </c>
      <c r="AL678" s="63">
        <f>IFERROR(INDEX(Job_Training[[Solar]:[Wind]],MATCH(AL$1,Job_Training[[`Typical Entry Level Education`]:[`Typical Entry Level Education`]],0),MATCH(LEFT($D678,5),Job_Training[[#Headers],[Solar]:[Wind]],0)),0)</f>
        <v>0</v>
      </c>
      <c r="AM678" s="63">
        <f>IFERROR(INDEX(Job_Training[[Solar]:[Wind]],MATCH(AM$1,Job_Training[[`Typical Entry Level Education`]:[`Typical Entry Level Education`]],0),MATCH(LEFT($D678,5),Job_Training[[#Headers],[Solar]:[Wind]],0)),0)</f>
        <v>0</v>
      </c>
      <c r="AN678" s="63">
        <f>IFERROR(INDEX(Job_Training[[Solar]:[Wind]],MATCH(AN$1,Job_Training[[`Typical Entry Level Education`]:[`Typical Entry Level Education`]],0),MATCH(LEFT($D678,5),Job_Training[[#Headers],[Solar]:[Wind]],0)),0)</f>
        <v>0</v>
      </c>
      <c r="AO678" s="63">
        <f>IFERROR(INDEX(Job_Training[[Solar]:[Wind]],MATCH(AO$1,Job_Training[[`Typical Entry Level Education`]:[`Typical Entry Level Education`]],0),MATCH(LEFT($D678,5),Job_Training[[#Headers],[Solar]:[Wind]],0)),0)</f>
        <v>0</v>
      </c>
      <c r="AP678">
        <f t="shared" si="197"/>
        <v>0</v>
      </c>
      <c r="AQ678" s="63">
        <f>IF(AP678&gt;0,IFERROR(INDEX(Assumptions!$C$165:$D$165,MATCH(LEFT($D678,5),Job_Training[[#Headers],[Solar]:[Wind]],0)),0),0)</f>
        <v>0</v>
      </c>
      <c r="AR678">
        <f>IF(AP678&gt;0,IFERROR(INDEX(Assumptions!$C$166:$D$166,MATCH(LEFT($D678,5),Job_Training[[#Headers],[Solar]:[Wind]],0)),0),0)</f>
        <v>0</v>
      </c>
    </row>
    <row r="679" spans="1:44" hidden="1" x14ac:dyDescent="0.35">
      <c r="A679" t="str">
        <f>UserInput!$B$56</f>
        <v>Max Buildout</v>
      </c>
      <c r="B679">
        <v>2030</v>
      </c>
      <c r="C679" t="s">
        <v>87</v>
      </c>
      <c r="D679" t="s">
        <v>91</v>
      </c>
      <c r="E679" s="66">
        <f>INDEX(UserInput!$C$56:$M$76,MATCH(UserMade_Scenario!B679,UserInput!$A$56:$A$76,0),MATCH(LEFT(IF(RIGHT(C679,2)="H2",UserMade_Scenario!C679,D679),3),UserInput!$C$25:$M$25,0))</f>
        <v>795.00000000000023</v>
      </c>
      <c r="F679" t="s">
        <v>89</v>
      </c>
      <c r="G679" s="14">
        <f t="shared" si="198"/>
        <v>8.6893500000000026E-4</v>
      </c>
      <c r="H679" s="63">
        <f t="shared" si="188"/>
        <v>2.9726266350000002E-2</v>
      </c>
      <c r="I679" s="63">
        <f t="shared" si="189"/>
        <v>2.9726266350000002E-2</v>
      </c>
      <c r="J679" s="63">
        <f t="shared" si="190"/>
        <v>0.11579862277500003</v>
      </c>
      <c r="K679" s="30">
        <f>IF(OR(LEFT($D679,5)="Solar",$D679="Wind"),INDEX(Land_Use[AVG],MATCH(LEFT($D679,5),Land_Use[Tech],0)),0)*$E679</f>
        <v>0</v>
      </c>
      <c r="L679" s="30">
        <f>IF(OR(LEFT($D679,5)="Solar",$D679="Wind"),INDEX(Land_Use[MIN],MATCH(LEFT($D679,5),Land_Use[Tech],0)),0)*$E679</f>
        <v>0</v>
      </c>
      <c r="M679" s="30">
        <f>IF(OR(LEFT($D679,5)="Solar",$D679="Wind"),INDEX(Land_Use[MAX],MATCH(LEFT($D679,5),Land_Use[Tech],0)),0)*$E679</f>
        <v>0</v>
      </c>
      <c r="N679" s="15">
        <f t="shared" si="183"/>
        <v>0</v>
      </c>
      <c r="O679" s="11">
        <f t="shared" si="184"/>
        <v>0</v>
      </c>
      <c r="P679" s="11">
        <f t="shared" si="185"/>
        <v>0</v>
      </c>
      <c r="Q679" s="11">
        <f t="shared" si="186"/>
        <v>0</v>
      </c>
      <c r="R679" s="11">
        <f t="shared" si="187"/>
        <v>0</v>
      </c>
      <c r="S679" s="30">
        <f t="shared" si="191"/>
        <v>0</v>
      </c>
      <c r="T679" s="30">
        <f t="shared" si="192"/>
        <v>0</v>
      </c>
      <c r="U679" s="30">
        <f t="shared" si="193"/>
        <v>0</v>
      </c>
      <c r="V679" s="30">
        <f t="shared" si="194"/>
        <v>0</v>
      </c>
      <c r="W679" s="30">
        <f t="shared" si="195"/>
        <v>0</v>
      </c>
      <c r="X679" s="30">
        <f t="shared" si="196"/>
        <v>0</v>
      </c>
      <c r="Z679" s="23" t="s">
        <v>76</v>
      </c>
      <c r="AA679" s="40" t="str">
        <f>IF(C679="Electricity",E679*SUMIFS(Electricity!S:S,Electricity!P:P,UserMade_Scenario!B679,Electricity!M:M,UserMade_Scenario!Z679,Electricity!O:O,UserMade_Scenario!D679),"")</f>
        <v/>
      </c>
      <c r="AB679" s="67">
        <v>1.093E-6</v>
      </c>
      <c r="AC679" s="67" t="s">
        <v>90</v>
      </c>
      <c r="AD679" s="39">
        <f>IFERROR(INDEX(Assumptions!B$145:B$146,MATCH($D679,Assumptions!$A$145:$A$146,0)),0)</f>
        <v>-34.209999999999994</v>
      </c>
      <c r="AE679" s="39">
        <f>IFERROR(INDEX(Assumptions!C$145:C$146,MATCH($D679,Assumptions!$A$145:$A$146,0)),0)</f>
        <v>-34.209999999999994</v>
      </c>
      <c r="AF679" s="39">
        <f>IFERROR(INDEX(Assumptions!D$145:D$146,MATCH($D679,Assumptions!$A$145:$A$146,0)),0)</f>
        <v>-133.26499999999999</v>
      </c>
      <c r="AG679" s="68">
        <f>IFERROR(INDEX(WaterUseH2[Average Direct Water Consumption (Gal/ kg h2)],MATCH(LEFT(D679,3),WaterUseH2[Key],0)),0)</f>
        <v>0</v>
      </c>
      <c r="AH679">
        <v>14</v>
      </c>
      <c r="AI679">
        <v>1.4</v>
      </c>
      <c r="AJ679">
        <v>250</v>
      </c>
      <c r="AK679">
        <v>0.31</v>
      </c>
      <c r="AL679" s="63">
        <f>IFERROR(INDEX(Job_Training[[Solar]:[Wind]],MATCH(AL$1,Job_Training[[`Typical Entry Level Education`]:[`Typical Entry Level Education`]],0),MATCH(LEFT($D679,5),Job_Training[[#Headers],[Solar]:[Wind]],0)),0)</f>
        <v>0</v>
      </c>
      <c r="AM679" s="63">
        <f>IFERROR(INDEX(Job_Training[[Solar]:[Wind]],MATCH(AM$1,Job_Training[[`Typical Entry Level Education`]:[`Typical Entry Level Education`]],0),MATCH(LEFT($D679,5),Job_Training[[#Headers],[Solar]:[Wind]],0)),0)</f>
        <v>0</v>
      </c>
      <c r="AN679" s="63">
        <f>IFERROR(INDEX(Job_Training[[Solar]:[Wind]],MATCH(AN$1,Job_Training[[`Typical Entry Level Education`]:[`Typical Entry Level Education`]],0),MATCH(LEFT($D679,5),Job_Training[[#Headers],[Solar]:[Wind]],0)),0)</f>
        <v>0</v>
      </c>
      <c r="AO679" s="63">
        <f>IFERROR(INDEX(Job_Training[[Solar]:[Wind]],MATCH(AO$1,Job_Training[[`Typical Entry Level Education`]:[`Typical Entry Level Education`]],0),MATCH(LEFT($D679,5),Job_Training[[#Headers],[Solar]:[Wind]],0)),0)</f>
        <v>0</v>
      </c>
      <c r="AP679">
        <f t="shared" si="197"/>
        <v>0</v>
      </c>
      <c r="AQ679" s="63">
        <f>IF(AP679&gt;0,IFERROR(INDEX(Assumptions!$C$165:$D$165,MATCH(LEFT($D679,5),Job_Training[[#Headers],[Solar]:[Wind]],0)),0),0)</f>
        <v>0</v>
      </c>
      <c r="AR679">
        <f>IF(AP679&gt;0,IFERROR(INDEX(Assumptions!$C$166:$D$166,MATCH(LEFT($D679,5),Job_Training[[#Headers],[Solar]:[Wind]],0)),0),0)</f>
        <v>0</v>
      </c>
    </row>
    <row r="680" spans="1:44" hidden="1" x14ac:dyDescent="0.35">
      <c r="A680" t="str">
        <f>UserInput!$B$56</f>
        <v>Max Buildout</v>
      </c>
      <c r="B680">
        <v>2031</v>
      </c>
      <c r="C680" t="s">
        <v>87</v>
      </c>
      <c r="D680" t="s">
        <v>91</v>
      </c>
      <c r="E680" s="66">
        <f>INDEX(UserInput!$C$56:$M$76,MATCH(UserMade_Scenario!B680,UserInput!$A$56:$A$76,0),MATCH(LEFT(IF(RIGHT(C680,2)="H2",UserMade_Scenario!C680,D680),3),UserInput!$C$25:$M$25,0))</f>
        <v>865.20000000000027</v>
      </c>
      <c r="F680" t="s">
        <v>89</v>
      </c>
      <c r="G680" s="14">
        <f t="shared" si="198"/>
        <v>9.4566360000000022E-4</v>
      </c>
      <c r="H680" s="63">
        <f t="shared" si="188"/>
        <v>3.2351151756E-2</v>
      </c>
      <c r="I680" s="63">
        <f t="shared" si="189"/>
        <v>3.2351151756E-2</v>
      </c>
      <c r="J680" s="63">
        <f t="shared" si="190"/>
        <v>0.12602385965400001</v>
      </c>
      <c r="K680" s="30">
        <f>IF(OR(LEFT($D680,5)="Solar",$D680="Wind"),INDEX(Land_Use[AVG],MATCH(LEFT($D680,5),Land_Use[Tech],0)),0)*$E680</f>
        <v>0</v>
      </c>
      <c r="L680" s="30">
        <f>IF(OR(LEFT($D680,5)="Solar",$D680="Wind"),INDEX(Land_Use[MIN],MATCH(LEFT($D680,5),Land_Use[Tech],0)),0)*$E680</f>
        <v>0</v>
      </c>
      <c r="M680" s="30">
        <f>IF(OR(LEFT($D680,5)="Solar",$D680="Wind"),INDEX(Land_Use[MAX],MATCH(LEFT($D680,5),Land_Use[Tech],0)),0)*$E680</f>
        <v>0</v>
      </c>
      <c r="N680" s="15">
        <f t="shared" si="183"/>
        <v>0</v>
      </c>
      <c r="O680" s="11">
        <f t="shared" si="184"/>
        <v>0</v>
      </c>
      <c r="P680" s="11">
        <f t="shared" si="185"/>
        <v>0</v>
      </c>
      <c r="Q680" s="11">
        <f t="shared" si="186"/>
        <v>0</v>
      </c>
      <c r="R680" s="11">
        <f t="shared" si="187"/>
        <v>0</v>
      </c>
      <c r="S680" s="30">
        <f t="shared" si="191"/>
        <v>0</v>
      </c>
      <c r="T680" s="30">
        <f t="shared" si="192"/>
        <v>0</v>
      </c>
      <c r="U680" s="30">
        <f t="shared" si="193"/>
        <v>0</v>
      </c>
      <c r="V680" s="30">
        <f t="shared" si="194"/>
        <v>0</v>
      </c>
      <c r="W680" s="30">
        <f t="shared" si="195"/>
        <v>0</v>
      </c>
      <c r="X680" s="30">
        <f t="shared" si="196"/>
        <v>0</v>
      </c>
      <c r="Z680" s="23" t="s">
        <v>76</v>
      </c>
      <c r="AA680" s="40" t="str">
        <f>IF(C680="Electricity",E680*SUMIFS(Electricity!S:S,Electricity!P:P,UserMade_Scenario!B680,Electricity!M:M,UserMade_Scenario!Z680,Electricity!O:O,UserMade_Scenario!D680),"")</f>
        <v/>
      </c>
      <c r="AB680" s="67">
        <v>1.093E-6</v>
      </c>
      <c r="AC680" s="67" t="s">
        <v>90</v>
      </c>
      <c r="AD680" s="39">
        <f>IFERROR(INDEX(Assumptions!B$145:B$146,MATCH($D680,Assumptions!$A$145:$A$146,0)),0)</f>
        <v>-34.209999999999994</v>
      </c>
      <c r="AE680" s="39">
        <f>IFERROR(INDEX(Assumptions!C$145:C$146,MATCH($D680,Assumptions!$A$145:$A$146,0)),0)</f>
        <v>-34.209999999999994</v>
      </c>
      <c r="AF680" s="39">
        <f>IFERROR(INDEX(Assumptions!D$145:D$146,MATCH($D680,Assumptions!$A$145:$A$146,0)),0)</f>
        <v>-133.26499999999999</v>
      </c>
      <c r="AG680" s="68">
        <f>IFERROR(INDEX(WaterUseH2[Average Direct Water Consumption (Gal/ kg h2)],MATCH(LEFT(D680,3),WaterUseH2[Key],0)),0)</f>
        <v>0</v>
      </c>
      <c r="AH680">
        <v>14</v>
      </c>
      <c r="AI680">
        <v>1.4</v>
      </c>
      <c r="AJ680">
        <v>250</v>
      </c>
      <c r="AK680">
        <v>0.31</v>
      </c>
      <c r="AL680" s="63">
        <f>IFERROR(INDEX(Job_Training[[Solar]:[Wind]],MATCH(AL$1,Job_Training[[`Typical Entry Level Education`]:[`Typical Entry Level Education`]],0),MATCH(LEFT($D680,5),Job_Training[[#Headers],[Solar]:[Wind]],0)),0)</f>
        <v>0</v>
      </c>
      <c r="AM680" s="63">
        <f>IFERROR(INDEX(Job_Training[[Solar]:[Wind]],MATCH(AM$1,Job_Training[[`Typical Entry Level Education`]:[`Typical Entry Level Education`]],0),MATCH(LEFT($D680,5),Job_Training[[#Headers],[Solar]:[Wind]],0)),0)</f>
        <v>0</v>
      </c>
      <c r="AN680" s="63">
        <f>IFERROR(INDEX(Job_Training[[Solar]:[Wind]],MATCH(AN$1,Job_Training[[`Typical Entry Level Education`]:[`Typical Entry Level Education`]],0),MATCH(LEFT($D680,5),Job_Training[[#Headers],[Solar]:[Wind]],0)),0)</f>
        <v>0</v>
      </c>
      <c r="AO680" s="63">
        <f>IFERROR(INDEX(Job_Training[[Solar]:[Wind]],MATCH(AO$1,Job_Training[[`Typical Entry Level Education`]:[`Typical Entry Level Education`]],0),MATCH(LEFT($D680,5),Job_Training[[#Headers],[Solar]:[Wind]],0)),0)</f>
        <v>0</v>
      </c>
      <c r="AP680">
        <f t="shared" si="197"/>
        <v>0</v>
      </c>
      <c r="AQ680" s="63">
        <f>IF(AP680&gt;0,IFERROR(INDEX(Assumptions!$C$165:$D$165,MATCH(LEFT($D680,5),Job_Training[[#Headers],[Solar]:[Wind]],0)),0),0)</f>
        <v>0</v>
      </c>
      <c r="AR680">
        <f>IF(AP680&gt;0,IFERROR(INDEX(Assumptions!$C$166:$D$166,MATCH(LEFT($D680,5),Job_Training[[#Headers],[Solar]:[Wind]],0)),0),0)</f>
        <v>0</v>
      </c>
    </row>
    <row r="681" spans="1:44" hidden="1" x14ac:dyDescent="0.35">
      <c r="A681" t="str">
        <f>UserInput!$B$56</f>
        <v>Max Buildout</v>
      </c>
      <c r="B681">
        <v>2032</v>
      </c>
      <c r="C681" t="s">
        <v>87</v>
      </c>
      <c r="D681" t="s">
        <v>91</v>
      </c>
      <c r="E681" s="66">
        <f>INDEX(UserInput!$C$56:$M$76,MATCH(UserMade_Scenario!B681,UserInput!$A$56:$A$76,0),MATCH(LEFT(IF(RIGHT(C681,2)="H2",UserMade_Scenario!C681,D681),3),UserInput!$C$25:$M$25,0))</f>
        <v>935.40000000000032</v>
      </c>
      <c r="F681" t="s">
        <v>89</v>
      </c>
      <c r="G681" s="14">
        <f t="shared" si="198"/>
        <v>1.0223922000000003E-3</v>
      </c>
      <c r="H681" s="63">
        <f t="shared" si="188"/>
        <v>3.4976037162000005E-2</v>
      </c>
      <c r="I681" s="63">
        <f t="shared" si="189"/>
        <v>3.4976037162000005E-2</v>
      </c>
      <c r="J681" s="63">
        <f t="shared" si="190"/>
        <v>0.13624909653300002</v>
      </c>
      <c r="K681" s="30">
        <f>IF(OR(LEFT($D681,5)="Solar",$D681="Wind"),INDEX(Land_Use[AVG],MATCH(LEFT($D681,5),Land_Use[Tech],0)),0)*$E681</f>
        <v>0</v>
      </c>
      <c r="L681" s="30">
        <f>IF(OR(LEFT($D681,5)="Solar",$D681="Wind"),INDEX(Land_Use[MIN],MATCH(LEFT($D681,5),Land_Use[Tech],0)),0)*$E681</f>
        <v>0</v>
      </c>
      <c r="M681" s="30">
        <f>IF(OR(LEFT($D681,5)="Solar",$D681="Wind"),INDEX(Land_Use[MAX],MATCH(LEFT($D681,5),Land_Use[Tech],0)),0)*$E681</f>
        <v>0</v>
      </c>
      <c r="N681" s="15">
        <f t="shared" si="183"/>
        <v>0</v>
      </c>
      <c r="O681" s="11">
        <f t="shared" si="184"/>
        <v>0</v>
      </c>
      <c r="P681" s="11">
        <f t="shared" si="185"/>
        <v>0</v>
      </c>
      <c r="Q681" s="11">
        <f t="shared" si="186"/>
        <v>0</v>
      </c>
      <c r="R681" s="11">
        <f t="shared" si="187"/>
        <v>0</v>
      </c>
      <c r="S681" s="30">
        <f t="shared" si="191"/>
        <v>0</v>
      </c>
      <c r="T681" s="30">
        <f t="shared" si="192"/>
        <v>0</v>
      </c>
      <c r="U681" s="30">
        <f t="shared" si="193"/>
        <v>0</v>
      </c>
      <c r="V681" s="30">
        <f t="shared" si="194"/>
        <v>0</v>
      </c>
      <c r="W681" s="30">
        <f t="shared" si="195"/>
        <v>0</v>
      </c>
      <c r="X681" s="30">
        <f t="shared" si="196"/>
        <v>0</v>
      </c>
      <c r="Z681" s="23" t="s">
        <v>76</v>
      </c>
      <c r="AA681" s="40" t="str">
        <f>IF(C681="Electricity",E681*SUMIFS(Electricity!S:S,Electricity!P:P,UserMade_Scenario!B681,Electricity!M:M,UserMade_Scenario!Z681,Electricity!O:O,UserMade_Scenario!D681),"")</f>
        <v/>
      </c>
      <c r="AB681" s="67">
        <v>1.093E-6</v>
      </c>
      <c r="AC681" s="67" t="s">
        <v>90</v>
      </c>
      <c r="AD681" s="39">
        <f>IFERROR(INDEX(Assumptions!B$145:B$146,MATCH($D681,Assumptions!$A$145:$A$146,0)),0)</f>
        <v>-34.209999999999994</v>
      </c>
      <c r="AE681" s="39">
        <f>IFERROR(INDEX(Assumptions!C$145:C$146,MATCH($D681,Assumptions!$A$145:$A$146,0)),0)</f>
        <v>-34.209999999999994</v>
      </c>
      <c r="AF681" s="39">
        <f>IFERROR(INDEX(Assumptions!D$145:D$146,MATCH($D681,Assumptions!$A$145:$A$146,0)),0)</f>
        <v>-133.26499999999999</v>
      </c>
      <c r="AG681" s="68">
        <f>IFERROR(INDEX(WaterUseH2[Average Direct Water Consumption (Gal/ kg h2)],MATCH(LEFT(D681,3),WaterUseH2[Key],0)),0)</f>
        <v>0</v>
      </c>
      <c r="AH681">
        <v>14</v>
      </c>
      <c r="AI681">
        <v>1.4</v>
      </c>
      <c r="AJ681">
        <v>250</v>
      </c>
      <c r="AK681">
        <v>0.31</v>
      </c>
      <c r="AL681" s="63">
        <f>IFERROR(INDEX(Job_Training[[Solar]:[Wind]],MATCH(AL$1,Job_Training[[`Typical Entry Level Education`]:[`Typical Entry Level Education`]],0),MATCH(LEFT($D681,5),Job_Training[[#Headers],[Solar]:[Wind]],0)),0)</f>
        <v>0</v>
      </c>
      <c r="AM681" s="63">
        <f>IFERROR(INDEX(Job_Training[[Solar]:[Wind]],MATCH(AM$1,Job_Training[[`Typical Entry Level Education`]:[`Typical Entry Level Education`]],0),MATCH(LEFT($D681,5),Job_Training[[#Headers],[Solar]:[Wind]],0)),0)</f>
        <v>0</v>
      </c>
      <c r="AN681" s="63">
        <f>IFERROR(INDEX(Job_Training[[Solar]:[Wind]],MATCH(AN$1,Job_Training[[`Typical Entry Level Education`]:[`Typical Entry Level Education`]],0),MATCH(LEFT($D681,5),Job_Training[[#Headers],[Solar]:[Wind]],0)),0)</f>
        <v>0</v>
      </c>
      <c r="AO681" s="63">
        <f>IFERROR(INDEX(Job_Training[[Solar]:[Wind]],MATCH(AO$1,Job_Training[[`Typical Entry Level Education`]:[`Typical Entry Level Education`]],0),MATCH(LEFT($D681,5),Job_Training[[#Headers],[Solar]:[Wind]],0)),0)</f>
        <v>0</v>
      </c>
      <c r="AP681">
        <f t="shared" si="197"/>
        <v>0</v>
      </c>
      <c r="AQ681" s="63">
        <f>IF(AP681&gt;0,IFERROR(INDEX(Assumptions!$C$165:$D$165,MATCH(LEFT($D681,5),Job_Training[[#Headers],[Solar]:[Wind]],0)),0),0)</f>
        <v>0</v>
      </c>
      <c r="AR681">
        <f>IF(AP681&gt;0,IFERROR(INDEX(Assumptions!$C$166:$D$166,MATCH(LEFT($D681,5),Job_Training[[#Headers],[Solar]:[Wind]],0)),0),0)</f>
        <v>0</v>
      </c>
    </row>
    <row r="682" spans="1:44" hidden="1" x14ac:dyDescent="0.35">
      <c r="A682" t="str">
        <f>UserInput!$B$56</f>
        <v>Max Buildout</v>
      </c>
      <c r="B682">
        <v>2033</v>
      </c>
      <c r="C682" t="s">
        <v>87</v>
      </c>
      <c r="D682" t="s">
        <v>91</v>
      </c>
      <c r="E682" s="66">
        <f>INDEX(UserInput!$C$56:$M$76,MATCH(UserMade_Scenario!B682,UserInput!$A$56:$A$76,0),MATCH(LEFT(IF(RIGHT(C682,2)="H2",UserMade_Scenario!C682,D682),3),UserInput!$C$25:$M$25,0))</f>
        <v>1005.6000000000004</v>
      </c>
      <c r="F682" t="s">
        <v>89</v>
      </c>
      <c r="G682" s="14">
        <f t="shared" si="198"/>
        <v>1.0991208000000004E-3</v>
      </c>
      <c r="H682" s="63">
        <f t="shared" si="188"/>
        <v>3.7600922568000003E-2</v>
      </c>
      <c r="I682" s="63">
        <f t="shared" si="189"/>
        <v>3.7600922568000003E-2</v>
      </c>
      <c r="J682" s="63">
        <f t="shared" si="190"/>
        <v>0.14647433341200003</v>
      </c>
      <c r="K682" s="30">
        <f>IF(OR(LEFT($D682,5)="Solar",$D682="Wind"),INDEX(Land_Use[AVG],MATCH(LEFT($D682,5),Land_Use[Tech],0)),0)*$E682</f>
        <v>0</v>
      </c>
      <c r="L682" s="30">
        <f>IF(OR(LEFT($D682,5)="Solar",$D682="Wind"),INDEX(Land_Use[MIN],MATCH(LEFT($D682,5),Land_Use[Tech],0)),0)*$E682</f>
        <v>0</v>
      </c>
      <c r="M682" s="30">
        <f>IF(OR(LEFT($D682,5)="Solar",$D682="Wind"),INDEX(Land_Use[MAX],MATCH(LEFT($D682,5),Land_Use[Tech],0)),0)*$E682</f>
        <v>0</v>
      </c>
      <c r="N682" s="15">
        <f t="shared" si="183"/>
        <v>0</v>
      </c>
      <c r="O682" s="11">
        <f t="shared" si="184"/>
        <v>0</v>
      </c>
      <c r="P682" s="11">
        <f t="shared" si="185"/>
        <v>0</v>
      </c>
      <c r="Q682" s="11">
        <f t="shared" si="186"/>
        <v>0</v>
      </c>
      <c r="R682" s="11">
        <f t="shared" si="187"/>
        <v>0</v>
      </c>
      <c r="S682" s="30">
        <f t="shared" si="191"/>
        <v>0</v>
      </c>
      <c r="T682" s="30">
        <f t="shared" si="192"/>
        <v>0</v>
      </c>
      <c r="U682" s="30">
        <f t="shared" si="193"/>
        <v>0</v>
      </c>
      <c r="V682" s="30">
        <f t="shared" si="194"/>
        <v>0</v>
      </c>
      <c r="W682" s="30">
        <f t="shared" si="195"/>
        <v>0</v>
      </c>
      <c r="X682" s="30">
        <f t="shared" si="196"/>
        <v>0</v>
      </c>
      <c r="Z682" s="23" t="s">
        <v>76</v>
      </c>
      <c r="AA682" s="40" t="str">
        <f>IF(C682="Electricity",E682*SUMIFS(Electricity!S:S,Electricity!P:P,UserMade_Scenario!B682,Electricity!M:M,UserMade_Scenario!Z682,Electricity!O:O,UserMade_Scenario!D682),"")</f>
        <v/>
      </c>
      <c r="AB682" s="67">
        <v>1.093E-6</v>
      </c>
      <c r="AC682" s="67" t="s">
        <v>90</v>
      </c>
      <c r="AD682" s="39">
        <f>IFERROR(INDEX(Assumptions!B$145:B$146,MATCH($D682,Assumptions!$A$145:$A$146,0)),0)</f>
        <v>-34.209999999999994</v>
      </c>
      <c r="AE682" s="39">
        <f>IFERROR(INDEX(Assumptions!C$145:C$146,MATCH($D682,Assumptions!$A$145:$A$146,0)),0)</f>
        <v>-34.209999999999994</v>
      </c>
      <c r="AF682" s="39">
        <f>IFERROR(INDEX(Assumptions!D$145:D$146,MATCH($D682,Assumptions!$A$145:$A$146,0)),0)</f>
        <v>-133.26499999999999</v>
      </c>
      <c r="AG682" s="68">
        <f>IFERROR(INDEX(WaterUseH2[Average Direct Water Consumption (Gal/ kg h2)],MATCH(LEFT(D682,3),WaterUseH2[Key],0)),0)</f>
        <v>0</v>
      </c>
      <c r="AH682">
        <v>14</v>
      </c>
      <c r="AI682">
        <v>1.4</v>
      </c>
      <c r="AJ682">
        <v>250</v>
      </c>
      <c r="AK682">
        <v>0.31</v>
      </c>
      <c r="AL682" s="63">
        <f>IFERROR(INDEX(Job_Training[[Solar]:[Wind]],MATCH(AL$1,Job_Training[[`Typical Entry Level Education`]:[`Typical Entry Level Education`]],0),MATCH(LEFT($D682,5),Job_Training[[#Headers],[Solar]:[Wind]],0)),0)</f>
        <v>0</v>
      </c>
      <c r="AM682" s="63">
        <f>IFERROR(INDEX(Job_Training[[Solar]:[Wind]],MATCH(AM$1,Job_Training[[`Typical Entry Level Education`]:[`Typical Entry Level Education`]],0),MATCH(LEFT($D682,5),Job_Training[[#Headers],[Solar]:[Wind]],0)),0)</f>
        <v>0</v>
      </c>
      <c r="AN682" s="63">
        <f>IFERROR(INDEX(Job_Training[[Solar]:[Wind]],MATCH(AN$1,Job_Training[[`Typical Entry Level Education`]:[`Typical Entry Level Education`]],0),MATCH(LEFT($D682,5),Job_Training[[#Headers],[Solar]:[Wind]],0)),0)</f>
        <v>0</v>
      </c>
      <c r="AO682" s="63">
        <f>IFERROR(INDEX(Job_Training[[Solar]:[Wind]],MATCH(AO$1,Job_Training[[`Typical Entry Level Education`]:[`Typical Entry Level Education`]],0),MATCH(LEFT($D682,5),Job_Training[[#Headers],[Solar]:[Wind]],0)),0)</f>
        <v>0</v>
      </c>
      <c r="AP682">
        <f t="shared" si="197"/>
        <v>0</v>
      </c>
      <c r="AQ682" s="63">
        <f>IF(AP682&gt;0,IFERROR(INDEX(Assumptions!$C$165:$D$165,MATCH(LEFT($D682,5),Job_Training[[#Headers],[Solar]:[Wind]],0)),0),0)</f>
        <v>0</v>
      </c>
      <c r="AR682">
        <f>IF(AP682&gt;0,IFERROR(INDEX(Assumptions!$C$166:$D$166,MATCH(LEFT($D682,5),Job_Training[[#Headers],[Solar]:[Wind]],0)),0),0)</f>
        <v>0</v>
      </c>
    </row>
    <row r="683" spans="1:44" hidden="1" x14ac:dyDescent="0.35">
      <c r="A683" t="str">
        <f>UserInput!$B$56</f>
        <v>Max Buildout</v>
      </c>
      <c r="B683">
        <v>2034</v>
      </c>
      <c r="C683" t="s">
        <v>87</v>
      </c>
      <c r="D683" t="s">
        <v>91</v>
      </c>
      <c r="E683" s="66">
        <f>INDEX(UserInput!$C$56:$M$76,MATCH(UserMade_Scenario!B683,UserInput!$A$56:$A$76,0),MATCH(LEFT(IF(RIGHT(C683,2)="H2",UserMade_Scenario!C683,D683),3),UserInput!$C$25:$M$25,0))</f>
        <v>1075.8000000000004</v>
      </c>
      <c r="F683" t="s">
        <v>89</v>
      </c>
      <c r="G683" s="14">
        <f t="shared" si="198"/>
        <v>1.1758494000000006E-3</v>
      </c>
      <c r="H683" s="63">
        <f t="shared" si="188"/>
        <v>4.0225807974000015E-2</v>
      </c>
      <c r="I683" s="63">
        <f t="shared" si="189"/>
        <v>4.0225807974000015E-2</v>
      </c>
      <c r="J683" s="63">
        <f t="shared" si="190"/>
        <v>0.15669957029100007</v>
      </c>
      <c r="K683" s="30">
        <f>IF(OR(LEFT($D683,5)="Solar",$D683="Wind"),INDEX(Land_Use[AVG],MATCH(LEFT($D683,5),Land_Use[Tech],0)),0)*$E683</f>
        <v>0</v>
      </c>
      <c r="L683" s="30">
        <f>IF(OR(LEFT($D683,5)="Solar",$D683="Wind"),INDEX(Land_Use[MIN],MATCH(LEFT($D683,5),Land_Use[Tech],0)),0)*$E683</f>
        <v>0</v>
      </c>
      <c r="M683" s="30">
        <f>IF(OR(LEFT($D683,5)="Solar",$D683="Wind"),INDEX(Land_Use[MAX],MATCH(LEFT($D683,5),Land_Use[Tech],0)),0)*$E683</f>
        <v>0</v>
      </c>
      <c r="N683" s="15">
        <f t="shared" si="183"/>
        <v>0</v>
      </c>
      <c r="O683" s="11">
        <f t="shared" si="184"/>
        <v>0</v>
      </c>
      <c r="P683" s="11">
        <f t="shared" si="185"/>
        <v>0</v>
      </c>
      <c r="Q683" s="11">
        <f t="shared" si="186"/>
        <v>0</v>
      </c>
      <c r="R683" s="11">
        <f t="shared" si="187"/>
        <v>0</v>
      </c>
      <c r="S683" s="30">
        <f t="shared" si="191"/>
        <v>0</v>
      </c>
      <c r="T683" s="30">
        <f t="shared" si="192"/>
        <v>0</v>
      </c>
      <c r="U683" s="30">
        <f t="shared" si="193"/>
        <v>0</v>
      </c>
      <c r="V683" s="30">
        <f t="shared" si="194"/>
        <v>0</v>
      </c>
      <c r="W683" s="30">
        <f t="shared" si="195"/>
        <v>0</v>
      </c>
      <c r="X683" s="30">
        <f t="shared" si="196"/>
        <v>0</v>
      </c>
      <c r="Z683" s="23" t="s">
        <v>76</v>
      </c>
      <c r="AA683" s="40" t="str">
        <f>IF(C683="Electricity",E683*SUMIFS(Electricity!S:S,Electricity!P:P,UserMade_Scenario!B683,Electricity!M:M,UserMade_Scenario!Z683,Electricity!O:O,UserMade_Scenario!D683),"")</f>
        <v/>
      </c>
      <c r="AB683" s="67">
        <v>1.0930000000000002E-6</v>
      </c>
      <c r="AC683" s="67" t="s">
        <v>90</v>
      </c>
      <c r="AD683" s="39">
        <f>IFERROR(INDEX(Assumptions!B$145:B$146,MATCH($D683,Assumptions!$A$145:$A$146,0)),0)</f>
        <v>-34.209999999999994</v>
      </c>
      <c r="AE683" s="39">
        <f>IFERROR(INDEX(Assumptions!C$145:C$146,MATCH($D683,Assumptions!$A$145:$A$146,0)),0)</f>
        <v>-34.209999999999994</v>
      </c>
      <c r="AF683" s="39">
        <f>IFERROR(INDEX(Assumptions!D$145:D$146,MATCH($D683,Assumptions!$A$145:$A$146,0)),0)</f>
        <v>-133.26499999999999</v>
      </c>
      <c r="AG683" s="68">
        <f>IFERROR(INDEX(WaterUseH2[Average Direct Water Consumption (Gal/ kg h2)],MATCH(LEFT(D683,3),WaterUseH2[Key],0)),0)</f>
        <v>0</v>
      </c>
      <c r="AH683">
        <v>14</v>
      </c>
      <c r="AI683">
        <v>1.4</v>
      </c>
      <c r="AJ683">
        <v>250</v>
      </c>
      <c r="AK683">
        <v>0.31</v>
      </c>
      <c r="AL683" s="63">
        <f>IFERROR(INDEX(Job_Training[[Solar]:[Wind]],MATCH(AL$1,Job_Training[[`Typical Entry Level Education`]:[`Typical Entry Level Education`]],0),MATCH(LEFT($D683,5),Job_Training[[#Headers],[Solar]:[Wind]],0)),0)</f>
        <v>0</v>
      </c>
      <c r="AM683" s="63">
        <f>IFERROR(INDEX(Job_Training[[Solar]:[Wind]],MATCH(AM$1,Job_Training[[`Typical Entry Level Education`]:[`Typical Entry Level Education`]],0),MATCH(LEFT($D683,5),Job_Training[[#Headers],[Solar]:[Wind]],0)),0)</f>
        <v>0</v>
      </c>
      <c r="AN683" s="63">
        <f>IFERROR(INDEX(Job_Training[[Solar]:[Wind]],MATCH(AN$1,Job_Training[[`Typical Entry Level Education`]:[`Typical Entry Level Education`]],0),MATCH(LEFT($D683,5),Job_Training[[#Headers],[Solar]:[Wind]],0)),0)</f>
        <v>0</v>
      </c>
      <c r="AO683" s="63">
        <f>IFERROR(INDEX(Job_Training[[Solar]:[Wind]],MATCH(AO$1,Job_Training[[`Typical Entry Level Education`]:[`Typical Entry Level Education`]],0),MATCH(LEFT($D683,5),Job_Training[[#Headers],[Solar]:[Wind]],0)),0)</f>
        <v>0</v>
      </c>
      <c r="AP683">
        <f t="shared" si="197"/>
        <v>0</v>
      </c>
      <c r="AQ683" s="63">
        <f>IF(AP683&gt;0,IFERROR(INDEX(Assumptions!$C$165:$D$165,MATCH(LEFT($D683,5),Job_Training[[#Headers],[Solar]:[Wind]],0)),0),0)</f>
        <v>0</v>
      </c>
      <c r="AR683">
        <f>IF(AP683&gt;0,IFERROR(INDEX(Assumptions!$C$166:$D$166,MATCH(LEFT($D683,5),Job_Training[[#Headers],[Solar]:[Wind]],0)),0),0)</f>
        <v>0</v>
      </c>
    </row>
    <row r="684" spans="1:44" hidden="1" x14ac:dyDescent="0.35">
      <c r="A684" t="str">
        <f>UserInput!$B$56</f>
        <v>Max Buildout</v>
      </c>
      <c r="B684">
        <v>2035</v>
      </c>
      <c r="C684" t="s">
        <v>87</v>
      </c>
      <c r="D684" t="s">
        <v>91</v>
      </c>
      <c r="E684" s="66">
        <f>INDEX(UserInput!$C$56:$M$76,MATCH(UserMade_Scenario!B684,UserInput!$A$56:$A$76,0),MATCH(LEFT(IF(RIGHT(C684,2)="H2",UserMade_Scenario!C684,D684),3),UserInput!$C$25:$M$25,0))</f>
        <v>1146.0000000000005</v>
      </c>
      <c r="F684" t="s">
        <v>89</v>
      </c>
      <c r="G684" s="14">
        <f t="shared" si="198"/>
        <v>1.2525780000000007E-3</v>
      </c>
      <c r="H684" s="63">
        <f t="shared" si="188"/>
        <v>4.285069338000002E-2</v>
      </c>
      <c r="I684" s="63">
        <f t="shared" si="189"/>
        <v>4.285069338000002E-2</v>
      </c>
      <c r="J684" s="63">
        <f t="shared" si="190"/>
        <v>0.16692480717000008</v>
      </c>
      <c r="K684" s="30">
        <f>IF(OR(LEFT($D684,5)="Solar",$D684="Wind"),INDEX(Land_Use[AVG],MATCH(LEFT($D684,5),Land_Use[Tech],0)),0)*$E684</f>
        <v>0</v>
      </c>
      <c r="L684" s="30">
        <f>IF(OR(LEFT($D684,5)="Solar",$D684="Wind"),INDEX(Land_Use[MIN],MATCH(LEFT($D684,5),Land_Use[Tech],0)),0)*$E684</f>
        <v>0</v>
      </c>
      <c r="M684" s="30">
        <f>IF(OR(LEFT($D684,5)="Solar",$D684="Wind"),INDEX(Land_Use[MAX],MATCH(LEFT($D684,5),Land_Use[Tech],0)),0)*$E684</f>
        <v>0</v>
      </c>
      <c r="N684" s="15">
        <f t="shared" si="183"/>
        <v>0</v>
      </c>
      <c r="O684" s="11">
        <f t="shared" si="184"/>
        <v>0</v>
      </c>
      <c r="P684" s="11">
        <f t="shared" si="185"/>
        <v>0</v>
      </c>
      <c r="Q684" s="11">
        <f t="shared" si="186"/>
        <v>0</v>
      </c>
      <c r="R684" s="11">
        <f t="shared" si="187"/>
        <v>0</v>
      </c>
      <c r="S684" s="30">
        <f t="shared" si="191"/>
        <v>0</v>
      </c>
      <c r="T684" s="30">
        <f t="shared" si="192"/>
        <v>0</v>
      </c>
      <c r="U684" s="30">
        <f t="shared" si="193"/>
        <v>0</v>
      </c>
      <c r="V684" s="30">
        <f t="shared" si="194"/>
        <v>0</v>
      </c>
      <c r="W684" s="30">
        <f t="shared" si="195"/>
        <v>0</v>
      </c>
      <c r="X684" s="30">
        <f t="shared" si="196"/>
        <v>0</v>
      </c>
      <c r="Z684" s="23" t="s">
        <v>76</v>
      </c>
      <c r="AA684" s="40" t="str">
        <f>IF(C684="Electricity",E684*SUMIFS(Electricity!S:S,Electricity!P:P,UserMade_Scenario!B684,Electricity!M:M,UserMade_Scenario!Z684,Electricity!O:O,UserMade_Scenario!D684),"")</f>
        <v/>
      </c>
      <c r="AB684" s="67">
        <v>1.0930000000000002E-6</v>
      </c>
      <c r="AC684" s="67" t="s">
        <v>90</v>
      </c>
      <c r="AD684" s="39">
        <f>IFERROR(INDEX(Assumptions!B$145:B$146,MATCH($D684,Assumptions!$A$145:$A$146,0)),0)</f>
        <v>-34.209999999999994</v>
      </c>
      <c r="AE684" s="39">
        <f>IFERROR(INDEX(Assumptions!C$145:C$146,MATCH($D684,Assumptions!$A$145:$A$146,0)),0)</f>
        <v>-34.209999999999994</v>
      </c>
      <c r="AF684" s="39">
        <f>IFERROR(INDEX(Assumptions!D$145:D$146,MATCH($D684,Assumptions!$A$145:$A$146,0)),0)</f>
        <v>-133.26499999999999</v>
      </c>
      <c r="AG684" s="68">
        <f>IFERROR(INDEX(WaterUseH2[Average Direct Water Consumption (Gal/ kg h2)],MATCH(LEFT(D684,3),WaterUseH2[Key],0)),0)</f>
        <v>0</v>
      </c>
      <c r="AH684">
        <v>14</v>
      </c>
      <c r="AI684">
        <v>1.4</v>
      </c>
      <c r="AJ684">
        <v>250</v>
      </c>
      <c r="AK684">
        <v>0.31</v>
      </c>
      <c r="AL684" s="63">
        <f>IFERROR(INDEX(Job_Training[[Solar]:[Wind]],MATCH(AL$1,Job_Training[[`Typical Entry Level Education`]:[`Typical Entry Level Education`]],0),MATCH(LEFT($D684,5),Job_Training[[#Headers],[Solar]:[Wind]],0)),0)</f>
        <v>0</v>
      </c>
      <c r="AM684" s="63">
        <f>IFERROR(INDEX(Job_Training[[Solar]:[Wind]],MATCH(AM$1,Job_Training[[`Typical Entry Level Education`]:[`Typical Entry Level Education`]],0),MATCH(LEFT($D684,5),Job_Training[[#Headers],[Solar]:[Wind]],0)),0)</f>
        <v>0</v>
      </c>
      <c r="AN684" s="63">
        <f>IFERROR(INDEX(Job_Training[[Solar]:[Wind]],MATCH(AN$1,Job_Training[[`Typical Entry Level Education`]:[`Typical Entry Level Education`]],0),MATCH(LEFT($D684,5),Job_Training[[#Headers],[Solar]:[Wind]],0)),0)</f>
        <v>0</v>
      </c>
      <c r="AO684" s="63">
        <f>IFERROR(INDEX(Job_Training[[Solar]:[Wind]],MATCH(AO$1,Job_Training[[`Typical Entry Level Education`]:[`Typical Entry Level Education`]],0),MATCH(LEFT($D684,5),Job_Training[[#Headers],[Solar]:[Wind]],0)),0)</f>
        <v>0</v>
      </c>
      <c r="AP684">
        <f t="shared" si="197"/>
        <v>0</v>
      </c>
      <c r="AQ684" s="63">
        <f>IF(AP684&gt;0,IFERROR(INDEX(Assumptions!$C$165:$D$165,MATCH(LEFT($D684,5),Job_Training[[#Headers],[Solar]:[Wind]],0)),0),0)</f>
        <v>0</v>
      </c>
      <c r="AR684">
        <f>IF(AP684&gt;0,IFERROR(INDEX(Assumptions!$C$166:$D$166,MATCH(LEFT($D684,5),Job_Training[[#Headers],[Solar]:[Wind]],0)),0),0)</f>
        <v>0</v>
      </c>
    </row>
    <row r="685" spans="1:44" hidden="1" x14ac:dyDescent="0.35">
      <c r="A685" t="str">
        <f>UserInput!$B$56</f>
        <v>Max Buildout</v>
      </c>
      <c r="B685">
        <v>2036</v>
      </c>
      <c r="C685" t="s">
        <v>87</v>
      </c>
      <c r="D685" t="s">
        <v>91</v>
      </c>
      <c r="E685" s="66">
        <f>INDEX(UserInput!$C$56:$M$76,MATCH(UserMade_Scenario!B685,UserInput!$A$56:$A$76,0),MATCH(LEFT(IF(RIGHT(C685,2)="H2",UserMade_Scenario!C685,D685),3),UserInput!$C$25:$M$25,0))</f>
        <v>1216.2000000000005</v>
      </c>
      <c r="F685" t="s">
        <v>89</v>
      </c>
      <c r="G685" s="14">
        <f t="shared" si="198"/>
        <v>1.3293066000000008E-3</v>
      </c>
      <c r="H685" s="63">
        <f t="shared" si="188"/>
        <v>4.5475578786000018E-2</v>
      </c>
      <c r="I685" s="63">
        <f t="shared" si="189"/>
        <v>4.5475578786000018E-2</v>
      </c>
      <c r="J685" s="63">
        <f t="shared" si="190"/>
        <v>0.17715004404900009</v>
      </c>
      <c r="K685" s="30">
        <f>IF(OR(LEFT($D685,5)="Solar",$D685="Wind"),INDEX(Land_Use[AVG],MATCH(LEFT($D685,5),Land_Use[Tech],0)),0)*$E685</f>
        <v>0</v>
      </c>
      <c r="L685" s="30">
        <f>IF(OR(LEFT($D685,5)="Solar",$D685="Wind"),INDEX(Land_Use[MIN],MATCH(LEFT($D685,5),Land_Use[Tech],0)),0)*$E685</f>
        <v>0</v>
      </c>
      <c r="M685" s="30">
        <f>IF(OR(LEFT($D685,5)="Solar",$D685="Wind"),INDEX(Land_Use[MAX],MATCH(LEFT($D685,5),Land_Use[Tech],0)),0)*$E685</f>
        <v>0</v>
      </c>
      <c r="N685" s="15">
        <f t="shared" si="183"/>
        <v>0</v>
      </c>
      <c r="O685" s="11">
        <f t="shared" si="184"/>
        <v>0</v>
      </c>
      <c r="P685" s="11">
        <f t="shared" si="185"/>
        <v>0</v>
      </c>
      <c r="Q685" s="11">
        <f t="shared" si="186"/>
        <v>0</v>
      </c>
      <c r="R685" s="11">
        <f t="shared" si="187"/>
        <v>0</v>
      </c>
      <c r="S685" s="30">
        <f t="shared" si="191"/>
        <v>0</v>
      </c>
      <c r="T685" s="30">
        <f t="shared" si="192"/>
        <v>0</v>
      </c>
      <c r="U685" s="30">
        <f t="shared" si="193"/>
        <v>0</v>
      </c>
      <c r="V685" s="30">
        <f t="shared" si="194"/>
        <v>0</v>
      </c>
      <c r="W685" s="30">
        <f t="shared" si="195"/>
        <v>0</v>
      </c>
      <c r="X685" s="30">
        <f t="shared" si="196"/>
        <v>0</v>
      </c>
      <c r="Z685" s="23" t="s">
        <v>76</v>
      </c>
      <c r="AA685" s="40" t="str">
        <f>IF(C685="Electricity",E685*SUMIFS(Electricity!S:S,Electricity!P:P,UserMade_Scenario!B685,Electricity!M:M,UserMade_Scenario!Z685,Electricity!O:O,UserMade_Scenario!D685),"")</f>
        <v/>
      </c>
      <c r="AB685" s="67">
        <v>1.0930000000000002E-6</v>
      </c>
      <c r="AC685" s="67" t="s">
        <v>90</v>
      </c>
      <c r="AD685" s="39">
        <f>IFERROR(INDEX(Assumptions!B$145:B$146,MATCH($D685,Assumptions!$A$145:$A$146,0)),0)</f>
        <v>-34.209999999999994</v>
      </c>
      <c r="AE685" s="39">
        <f>IFERROR(INDEX(Assumptions!C$145:C$146,MATCH($D685,Assumptions!$A$145:$A$146,0)),0)</f>
        <v>-34.209999999999994</v>
      </c>
      <c r="AF685" s="39">
        <f>IFERROR(INDEX(Assumptions!D$145:D$146,MATCH($D685,Assumptions!$A$145:$A$146,0)),0)</f>
        <v>-133.26499999999999</v>
      </c>
      <c r="AG685" s="68">
        <f>IFERROR(INDEX(WaterUseH2[Average Direct Water Consumption (Gal/ kg h2)],MATCH(LEFT(D685,3),WaterUseH2[Key],0)),0)</f>
        <v>0</v>
      </c>
      <c r="AH685">
        <v>14</v>
      </c>
      <c r="AI685">
        <v>1.4</v>
      </c>
      <c r="AJ685">
        <v>250</v>
      </c>
      <c r="AK685">
        <v>0.31</v>
      </c>
      <c r="AL685" s="63">
        <f>IFERROR(INDEX(Job_Training[[Solar]:[Wind]],MATCH(AL$1,Job_Training[[`Typical Entry Level Education`]:[`Typical Entry Level Education`]],0),MATCH(LEFT($D685,5),Job_Training[[#Headers],[Solar]:[Wind]],0)),0)</f>
        <v>0</v>
      </c>
      <c r="AM685" s="63">
        <f>IFERROR(INDEX(Job_Training[[Solar]:[Wind]],MATCH(AM$1,Job_Training[[`Typical Entry Level Education`]:[`Typical Entry Level Education`]],0),MATCH(LEFT($D685,5),Job_Training[[#Headers],[Solar]:[Wind]],0)),0)</f>
        <v>0</v>
      </c>
      <c r="AN685" s="63">
        <f>IFERROR(INDEX(Job_Training[[Solar]:[Wind]],MATCH(AN$1,Job_Training[[`Typical Entry Level Education`]:[`Typical Entry Level Education`]],0),MATCH(LEFT($D685,5),Job_Training[[#Headers],[Solar]:[Wind]],0)),0)</f>
        <v>0</v>
      </c>
      <c r="AO685" s="63">
        <f>IFERROR(INDEX(Job_Training[[Solar]:[Wind]],MATCH(AO$1,Job_Training[[`Typical Entry Level Education`]:[`Typical Entry Level Education`]],0),MATCH(LEFT($D685,5),Job_Training[[#Headers],[Solar]:[Wind]],0)),0)</f>
        <v>0</v>
      </c>
      <c r="AP685">
        <f t="shared" si="197"/>
        <v>0</v>
      </c>
      <c r="AQ685" s="63">
        <f>IF(AP685&gt;0,IFERROR(INDEX(Assumptions!$C$165:$D$165,MATCH(LEFT($D685,5),Job_Training[[#Headers],[Solar]:[Wind]],0)),0),0)</f>
        <v>0</v>
      </c>
      <c r="AR685">
        <f>IF(AP685&gt;0,IFERROR(INDEX(Assumptions!$C$166:$D$166,MATCH(LEFT($D685,5),Job_Training[[#Headers],[Solar]:[Wind]],0)),0),0)</f>
        <v>0</v>
      </c>
    </row>
    <row r="686" spans="1:44" hidden="1" x14ac:dyDescent="0.35">
      <c r="A686" t="str">
        <f>UserInput!$B$56</f>
        <v>Max Buildout</v>
      </c>
      <c r="B686">
        <v>2037</v>
      </c>
      <c r="C686" t="s">
        <v>87</v>
      </c>
      <c r="D686" t="s">
        <v>91</v>
      </c>
      <c r="E686" s="66">
        <f>INDEX(UserInput!$C$56:$M$76,MATCH(UserMade_Scenario!B686,UserInput!$A$56:$A$76,0),MATCH(LEFT(IF(RIGHT(C686,2)="H2",UserMade_Scenario!C686,D686),3),UserInput!$C$25:$M$25,0))</f>
        <v>1286.4000000000005</v>
      </c>
      <c r="F686" t="s">
        <v>89</v>
      </c>
      <c r="G686" s="14">
        <f t="shared" si="198"/>
        <v>1.4060352000000009E-3</v>
      </c>
      <c r="H686" s="63">
        <f t="shared" si="188"/>
        <v>4.8100464192000023E-2</v>
      </c>
      <c r="I686" s="63">
        <f t="shared" si="189"/>
        <v>4.8100464192000023E-2</v>
      </c>
      <c r="J686" s="63">
        <f t="shared" si="190"/>
        <v>0.1873752809280001</v>
      </c>
      <c r="K686" s="30">
        <f>IF(OR(LEFT($D686,5)="Solar",$D686="Wind"),INDEX(Land_Use[AVG],MATCH(LEFT($D686,5),Land_Use[Tech],0)),0)*$E686</f>
        <v>0</v>
      </c>
      <c r="L686" s="30">
        <f>IF(OR(LEFT($D686,5)="Solar",$D686="Wind"),INDEX(Land_Use[MIN],MATCH(LEFT($D686,5),Land_Use[Tech],0)),0)*$E686</f>
        <v>0</v>
      </c>
      <c r="M686" s="30">
        <f>IF(OR(LEFT($D686,5)="Solar",$D686="Wind"),INDEX(Land_Use[MAX],MATCH(LEFT($D686,5),Land_Use[Tech],0)),0)*$E686</f>
        <v>0</v>
      </c>
      <c r="N686" s="15">
        <f t="shared" si="183"/>
        <v>0</v>
      </c>
      <c r="O686" s="11">
        <f t="shared" si="184"/>
        <v>0</v>
      </c>
      <c r="P686" s="11">
        <f t="shared" si="185"/>
        <v>0</v>
      </c>
      <c r="Q686" s="11">
        <f t="shared" si="186"/>
        <v>0</v>
      </c>
      <c r="R686" s="11">
        <f t="shared" si="187"/>
        <v>0</v>
      </c>
      <c r="S686" s="30">
        <f t="shared" si="191"/>
        <v>0</v>
      </c>
      <c r="T686" s="30">
        <f t="shared" si="192"/>
        <v>0</v>
      </c>
      <c r="U686" s="30">
        <f t="shared" si="193"/>
        <v>0</v>
      </c>
      <c r="V686" s="30">
        <f t="shared" si="194"/>
        <v>0</v>
      </c>
      <c r="W686" s="30">
        <f t="shared" si="195"/>
        <v>0</v>
      </c>
      <c r="X686" s="30">
        <f t="shared" si="196"/>
        <v>0</v>
      </c>
      <c r="Z686" s="23" t="s">
        <v>76</v>
      </c>
      <c r="AA686" s="40" t="str">
        <f>IF(C686="Electricity",E686*SUMIFS(Electricity!S:S,Electricity!P:P,UserMade_Scenario!B686,Electricity!M:M,UserMade_Scenario!Z686,Electricity!O:O,UserMade_Scenario!D686),"")</f>
        <v/>
      </c>
      <c r="AB686" s="67">
        <v>1.0930000000000002E-6</v>
      </c>
      <c r="AC686" s="67" t="s">
        <v>90</v>
      </c>
      <c r="AD686" s="39">
        <f>IFERROR(INDEX(Assumptions!B$145:B$146,MATCH($D686,Assumptions!$A$145:$A$146,0)),0)</f>
        <v>-34.209999999999994</v>
      </c>
      <c r="AE686" s="39">
        <f>IFERROR(INDEX(Assumptions!C$145:C$146,MATCH($D686,Assumptions!$A$145:$A$146,0)),0)</f>
        <v>-34.209999999999994</v>
      </c>
      <c r="AF686" s="39">
        <f>IFERROR(INDEX(Assumptions!D$145:D$146,MATCH($D686,Assumptions!$A$145:$A$146,0)),0)</f>
        <v>-133.26499999999999</v>
      </c>
      <c r="AG686" s="68">
        <f>IFERROR(INDEX(WaterUseH2[Average Direct Water Consumption (Gal/ kg h2)],MATCH(LEFT(D686,3),WaterUseH2[Key],0)),0)</f>
        <v>0</v>
      </c>
      <c r="AH686">
        <v>14</v>
      </c>
      <c r="AI686">
        <v>1.4</v>
      </c>
      <c r="AJ686">
        <v>250</v>
      </c>
      <c r="AK686">
        <v>0.31</v>
      </c>
      <c r="AL686" s="63">
        <f>IFERROR(INDEX(Job_Training[[Solar]:[Wind]],MATCH(AL$1,Job_Training[[`Typical Entry Level Education`]:[`Typical Entry Level Education`]],0),MATCH(LEFT($D686,5),Job_Training[[#Headers],[Solar]:[Wind]],0)),0)</f>
        <v>0</v>
      </c>
      <c r="AM686" s="63">
        <f>IFERROR(INDEX(Job_Training[[Solar]:[Wind]],MATCH(AM$1,Job_Training[[`Typical Entry Level Education`]:[`Typical Entry Level Education`]],0),MATCH(LEFT($D686,5),Job_Training[[#Headers],[Solar]:[Wind]],0)),0)</f>
        <v>0</v>
      </c>
      <c r="AN686" s="63">
        <f>IFERROR(INDEX(Job_Training[[Solar]:[Wind]],MATCH(AN$1,Job_Training[[`Typical Entry Level Education`]:[`Typical Entry Level Education`]],0),MATCH(LEFT($D686,5),Job_Training[[#Headers],[Solar]:[Wind]],0)),0)</f>
        <v>0</v>
      </c>
      <c r="AO686" s="63">
        <f>IFERROR(INDEX(Job_Training[[Solar]:[Wind]],MATCH(AO$1,Job_Training[[`Typical Entry Level Education`]:[`Typical Entry Level Education`]],0),MATCH(LEFT($D686,5),Job_Training[[#Headers],[Solar]:[Wind]],0)),0)</f>
        <v>0</v>
      </c>
      <c r="AP686">
        <f t="shared" si="197"/>
        <v>0</v>
      </c>
      <c r="AQ686" s="63">
        <f>IF(AP686&gt;0,IFERROR(INDEX(Assumptions!$C$165:$D$165,MATCH(LEFT($D686,5),Job_Training[[#Headers],[Solar]:[Wind]],0)),0),0)</f>
        <v>0</v>
      </c>
      <c r="AR686">
        <f>IF(AP686&gt;0,IFERROR(INDEX(Assumptions!$C$166:$D$166,MATCH(LEFT($D686,5),Job_Training[[#Headers],[Solar]:[Wind]],0)),0),0)</f>
        <v>0</v>
      </c>
    </row>
    <row r="687" spans="1:44" hidden="1" x14ac:dyDescent="0.35">
      <c r="A687" t="str">
        <f>UserInput!$B$56</f>
        <v>Max Buildout</v>
      </c>
      <c r="B687">
        <v>2038</v>
      </c>
      <c r="C687" t="s">
        <v>87</v>
      </c>
      <c r="D687" t="s">
        <v>91</v>
      </c>
      <c r="E687" s="66">
        <f>INDEX(UserInput!$C$56:$M$76,MATCH(UserMade_Scenario!B687,UserInput!$A$56:$A$76,0),MATCH(LEFT(IF(RIGHT(C687,2)="H2",UserMade_Scenario!C687,D687),3),UserInput!$C$25:$M$25,0))</f>
        <v>1356.6000000000006</v>
      </c>
      <c r="F687" t="s">
        <v>89</v>
      </c>
      <c r="G687" s="14">
        <f t="shared" si="198"/>
        <v>1.4827638000000009E-3</v>
      </c>
      <c r="H687" s="63">
        <f t="shared" si="188"/>
        <v>5.072534959800002E-2</v>
      </c>
      <c r="I687" s="63">
        <f t="shared" si="189"/>
        <v>5.072534959800002E-2</v>
      </c>
      <c r="J687" s="63">
        <f t="shared" si="190"/>
        <v>0.19760051780700011</v>
      </c>
      <c r="K687" s="30">
        <f>IF(OR(LEFT($D687,5)="Solar",$D687="Wind"),INDEX(Land_Use[AVG],MATCH(LEFT($D687,5),Land_Use[Tech],0)),0)*$E687</f>
        <v>0</v>
      </c>
      <c r="L687" s="30">
        <f>IF(OR(LEFT($D687,5)="Solar",$D687="Wind"),INDEX(Land_Use[MIN],MATCH(LEFT($D687,5),Land_Use[Tech],0)),0)*$E687</f>
        <v>0</v>
      </c>
      <c r="M687" s="30">
        <f>IF(OR(LEFT($D687,5)="Solar",$D687="Wind"),INDEX(Land_Use[MAX],MATCH(LEFT($D687,5),Land_Use[Tech],0)),0)*$E687</f>
        <v>0</v>
      </c>
      <c r="N687" s="15">
        <f t="shared" si="183"/>
        <v>0</v>
      </c>
      <c r="O687" s="11">
        <f t="shared" si="184"/>
        <v>0</v>
      </c>
      <c r="P687" s="11">
        <f t="shared" si="185"/>
        <v>0</v>
      </c>
      <c r="Q687" s="11">
        <f t="shared" si="186"/>
        <v>0</v>
      </c>
      <c r="R687" s="11">
        <f t="shared" si="187"/>
        <v>0</v>
      </c>
      <c r="S687" s="30">
        <f t="shared" si="191"/>
        <v>0</v>
      </c>
      <c r="T687" s="30">
        <f t="shared" si="192"/>
        <v>0</v>
      </c>
      <c r="U687" s="30">
        <f t="shared" si="193"/>
        <v>0</v>
      </c>
      <c r="V687" s="30">
        <f t="shared" si="194"/>
        <v>0</v>
      </c>
      <c r="W687" s="30">
        <f t="shared" si="195"/>
        <v>0</v>
      </c>
      <c r="X687" s="30">
        <f t="shared" si="196"/>
        <v>0</v>
      </c>
      <c r="Z687" s="23" t="s">
        <v>76</v>
      </c>
      <c r="AA687" s="40" t="str">
        <f>IF(C687="Electricity",E687*SUMIFS(Electricity!S:S,Electricity!P:P,UserMade_Scenario!B687,Electricity!M:M,UserMade_Scenario!Z687,Electricity!O:O,UserMade_Scenario!D687),"")</f>
        <v/>
      </c>
      <c r="AB687" s="67">
        <v>1.0930000000000002E-6</v>
      </c>
      <c r="AC687" s="67" t="s">
        <v>90</v>
      </c>
      <c r="AD687" s="39">
        <f>IFERROR(INDEX(Assumptions!B$145:B$146,MATCH($D687,Assumptions!$A$145:$A$146,0)),0)</f>
        <v>-34.209999999999994</v>
      </c>
      <c r="AE687" s="39">
        <f>IFERROR(INDEX(Assumptions!C$145:C$146,MATCH($D687,Assumptions!$A$145:$A$146,0)),0)</f>
        <v>-34.209999999999994</v>
      </c>
      <c r="AF687" s="39">
        <f>IFERROR(INDEX(Assumptions!D$145:D$146,MATCH($D687,Assumptions!$A$145:$A$146,0)),0)</f>
        <v>-133.26499999999999</v>
      </c>
      <c r="AG687" s="68">
        <f>IFERROR(INDEX(WaterUseH2[Average Direct Water Consumption (Gal/ kg h2)],MATCH(LEFT(D687,3),WaterUseH2[Key],0)),0)</f>
        <v>0</v>
      </c>
      <c r="AH687">
        <v>14</v>
      </c>
      <c r="AI687">
        <v>1.4</v>
      </c>
      <c r="AJ687">
        <v>250</v>
      </c>
      <c r="AK687">
        <v>0.31</v>
      </c>
      <c r="AL687" s="63">
        <f>IFERROR(INDEX(Job_Training[[Solar]:[Wind]],MATCH(AL$1,Job_Training[[`Typical Entry Level Education`]:[`Typical Entry Level Education`]],0),MATCH(LEFT($D687,5),Job_Training[[#Headers],[Solar]:[Wind]],0)),0)</f>
        <v>0</v>
      </c>
      <c r="AM687" s="63">
        <f>IFERROR(INDEX(Job_Training[[Solar]:[Wind]],MATCH(AM$1,Job_Training[[`Typical Entry Level Education`]:[`Typical Entry Level Education`]],0),MATCH(LEFT($D687,5),Job_Training[[#Headers],[Solar]:[Wind]],0)),0)</f>
        <v>0</v>
      </c>
      <c r="AN687" s="63">
        <f>IFERROR(INDEX(Job_Training[[Solar]:[Wind]],MATCH(AN$1,Job_Training[[`Typical Entry Level Education`]:[`Typical Entry Level Education`]],0),MATCH(LEFT($D687,5),Job_Training[[#Headers],[Solar]:[Wind]],0)),0)</f>
        <v>0</v>
      </c>
      <c r="AO687" s="63">
        <f>IFERROR(INDEX(Job_Training[[Solar]:[Wind]],MATCH(AO$1,Job_Training[[`Typical Entry Level Education`]:[`Typical Entry Level Education`]],0),MATCH(LEFT($D687,5),Job_Training[[#Headers],[Solar]:[Wind]],0)),0)</f>
        <v>0</v>
      </c>
      <c r="AP687">
        <f t="shared" si="197"/>
        <v>0</v>
      </c>
      <c r="AQ687" s="63">
        <f>IF(AP687&gt;0,IFERROR(INDEX(Assumptions!$C$165:$D$165,MATCH(LEFT($D687,5),Job_Training[[#Headers],[Solar]:[Wind]],0)),0),0)</f>
        <v>0</v>
      </c>
      <c r="AR687">
        <f>IF(AP687&gt;0,IFERROR(INDEX(Assumptions!$C$166:$D$166,MATCH(LEFT($D687,5),Job_Training[[#Headers],[Solar]:[Wind]],0)),0),0)</f>
        <v>0</v>
      </c>
    </row>
    <row r="688" spans="1:44" hidden="1" x14ac:dyDescent="0.35">
      <c r="A688" t="str">
        <f>UserInput!$B$56</f>
        <v>Max Buildout</v>
      </c>
      <c r="B688">
        <v>2039</v>
      </c>
      <c r="C688" t="s">
        <v>87</v>
      </c>
      <c r="D688" t="s">
        <v>91</v>
      </c>
      <c r="E688" s="66">
        <f>INDEX(UserInput!$C$56:$M$76,MATCH(UserMade_Scenario!B688,UserInput!$A$56:$A$76,0),MATCH(LEFT(IF(RIGHT(C688,2)="H2",UserMade_Scenario!C688,D688),3),UserInput!$C$25:$M$25,0))</f>
        <v>1426.8000000000006</v>
      </c>
      <c r="F688" t="s">
        <v>89</v>
      </c>
      <c r="G688" s="14">
        <f t="shared" si="198"/>
        <v>1.559492400000001E-3</v>
      </c>
      <c r="H688" s="63">
        <f t="shared" si="188"/>
        <v>5.3350235004000025E-2</v>
      </c>
      <c r="I688" s="63">
        <f t="shared" si="189"/>
        <v>5.3350235004000025E-2</v>
      </c>
      <c r="J688" s="63">
        <f t="shared" si="190"/>
        <v>0.20782575468600012</v>
      </c>
      <c r="K688" s="30">
        <f>IF(OR(LEFT($D688,5)="Solar",$D688="Wind"),INDEX(Land_Use[AVG],MATCH(LEFT($D688,5),Land_Use[Tech],0)),0)*$E688</f>
        <v>0</v>
      </c>
      <c r="L688" s="30">
        <f>IF(OR(LEFT($D688,5)="Solar",$D688="Wind"),INDEX(Land_Use[MIN],MATCH(LEFT($D688,5),Land_Use[Tech],0)),0)*$E688</f>
        <v>0</v>
      </c>
      <c r="M688" s="30">
        <f>IF(OR(LEFT($D688,5)="Solar",$D688="Wind"),INDEX(Land_Use[MAX],MATCH(LEFT($D688,5),Land_Use[Tech],0)),0)*$E688</f>
        <v>0</v>
      </c>
      <c r="N688" s="15">
        <f t="shared" si="183"/>
        <v>0</v>
      </c>
      <c r="O688" s="11">
        <f t="shared" si="184"/>
        <v>0</v>
      </c>
      <c r="P688" s="11">
        <f t="shared" si="185"/>
        <v>0</v>
      </c>
      <c r="Q688" s="11">
        <f t="shared" si="186"/>
        <v>0</v>
      </c>
      <c r="R688" s="11">
        <f t="shared" si="187"/>
        <v>0</v>
      </c>
      <c r="S688" s="30">
        <f t="shared" si="191"/>
        <v>0</v>
      </c>
      <c r="T688" s="30">
        <f t="shared" si="192"/>
        <v>0</v>
      </c>
      <c r="U688" s="30">
        <f t="shared" si="193"/>
        <v>0</v>
      </c>
      <c r="V688" s="30">
        <f t="shared" si="194"/>
        <v>0</v>
      </c>
      <c r="W688" s="30">
        <f t="shared" si="195"/>
        <v>0</v>
      </c>
      <c r="X688" s="30">
        <f t="shared" si="196"/>
        <v>0</v>
      </c>
      <c r="Z688" s="23" t="s">
        <v>76</v>
      </c>
      <c r="AA688" s="40" t="str">
        <f>IF(C688="Electricity",E688*SUMIFS(Electricity!S:S,Electricity!P:P,UserMade_Scenario!B688,Electricity!M:M,UserMade_Scenario!Z688,Electricity!O:O,UserMade_Scenario!D688),"")</f>
        <v/>
      </c>
      <c r="AB688" s="67">
        <v>1.0930000000000002E-6</v>
      </c>
      <c r="AC688" s="67" t="s">
        <v>90</v>
      </c>
      <c r="AD688" s="39">
        <f>IFERROR(INDEX(Assumptions!B$145:B$146,MATCH($D688,Assumptions!$A$145:$A$146,0)),0)</f>
        <v>-34.209999999999994</v>
      </c>
      <c r="AE688" s="39">
        <f>IFERROR(INDEX(Assumptions!C$145:C$146,MATCH($D688,Assumptions!$A$145:$A$146,0)),0)</f>
        <v>-34.209999999999994</v>
      </c>
      <c r="AF688" s="39">
        <f>IFERROR(INDEX(Assumptions!D$145:D$146,MATCH($D688,Assumptions!$A$145:$A$146,0)),0)</f>
        <v>-133.26499999999999</v>
      </c>
      <c r="AG688" s="68">
        <f>IFERROR(INDEX(WaterUseH2[Average Direct Water Consumption (Gal/ kg h2)],MATCH(LEFT(D688,3),WaterUseH2[Key],0)),0)</f>
        <v>0</v>
      </c>
      <c r="AH688">
        <v>14</v>
      </c>
      <c r="AI688">
        <v>1.4</v>
      </c>
      <c r="AJ688">
        <v>250</v>
      </c>
      <c r="AK688">
        <v>0.31</v>
      </c>
      <c r="AL688" s="63">
        <f>IFERROR(INDEX(Job_Training[[Solar]:[Wind]],MATCH(AL$1,Job_Training[[`Typical Entry Level Education`]:[`Typical Entry Level Education`]],0),MATCH(LEFT($D688,5),Job_Training[[#Headers],[Solar]:[Wind]],0)),0)</f>
        <v>0</v>
      </c>
      <c r="AM688" s="63">
        <f>IFERROR(INDEX(Job_Training[[Solar]:[Wind]],MATCH(AM$1,Job_Training[[`Typical Entry Level Education`]:[`Typical Entry Level Education`]],0),MATCH(LEFT($D688,5),Job_Training[[#Headers],[Solar]:[Wind]],0)),0)</f>
        <v>0</v>
      </c>
      <c r="AN688" s="63">
        <f>IFERROR(INDEX(Job_Training[[Solar]:[Wind]],MATCH(AN$1,Job_Training[[`Typical Entry Level Education`]:[`Typical Entry Level Education`]],0),MATCH(LEFT($D688,5),Job_Training[[#Headers],[Solar]:[Wind]],0)),0)</f>
        <v>0</v>
      </c>
      <c r="AO688" s="63">
        <f>IFERROR(INDEX(Job_Training[[Solar]:[Wind]],MATCH(AO$1,Job_Training[[`Typical Entry Level Education`]:[`Typical Entry Level Education`]],0),MATCH(LEFT($D688,5),Job_Training[[#Headers],[Solar]:[Wind]],0)),0)</f>
        <v>0</v>
      </c>
      <c r="AP688">
        <f t="shared" si="197"/>
        <v>0</v>
      </c>
      <c r="AQ688" s="63">
        <f>IF(AP688&gt;0,IFERROR(INDEX(Assumptions!$C$165:$D$165,MATCH(LEFT($D688,5),Job_Training[[#Headers],[Solar]:[Wind]],0)),0),0)</f>
        <v>0</v>
      </c>
      <c r="AR688">
        <f>IF(AP688&gt;0,IFERROR(INDEX(Assumptions!$C$166:$D$166,MATCH(LEFT($D688,5),Job_Training[[#Headers],[Solar]:[Wind]],0)),0),0)</f>
        <v>0</v>
      </c>
    </row>
    <row r="689" spans="1:44" hidden="1" x14ac:dyDescent="0.35">
      <c r="A689" t="str">
        <f>UserInput!$B$56</f>
        <v>Max Buildout</v>
      </c>
      <c r="B689">
        <v>2040</v>
      </c>
      <c r="C689" t="s">
        <v>87</v>
      </c>
      <c r="D689" t="s">
        <v>91</v>
      </c>
      <c r="E689" s="66">
        <f>INDEX(UserInput!$C$56:$M$76,MATCH(UserMade_Scenario!B689,UserInput!$A$56:$A$76,0),MATCH(LEFT(IF(RIGHT(C689,2)="H2",UserMade_Scenario!C689,D689),3),UserInput!$C$25:$M$25,0))</f>
        <v>1497.0000000000007</v>
      </c>
      <c r="F689" t="s">
        <v>89</v>
      </c>
      <c r="G689" s="14">
        <f t="shared" si="198"/>
        <v>1.6362210000000011E-3</v>
      </c>
      <c r="H689" s="63">
        <f t="shared" si="188"/>
        <v>5.5975120410000023E-2</v>
      </c>
      <c r="I689" s="63">
        <f t="shared" si="189"/>
        <v>5.5975120410000023E-2</v>
      </c>
      <c r="J689" s="63">
        <f t="shared" si="190"/>
        <v>0.21805099156500013</v>
      </c>
      <c r="K689" s="30">
        <f>IF(OR(LEFT($D689,5)="Solar",$D689="Wind"),INDEX(Land_Use[AVG],MATCH(LEFT($D689,5),Land_Use[Tech],0)),0)*$E689</f>
        <v>0</v>
      </c>
      <c r="L689" s="30">
        <f>IF(OR(LEFT($D689,5)="Solar",$D689="Wind"),INDEX(Land_Use[MIN],MATCH(LEFT($D689,5),Land_Use[Tech],0)),0)*$E689</f>
        <v>0</v>
      </c>
      <c r="M689" s="30">
        <f>IF(OR(LEFT($D689,5)="Solar",$D689="Wind"),INDEX(Land_Use[MAX],MATCH(LEFT($D689,5),Land_Use[Tech],0)),0)*$E689</f>
        <v>0</v>
      </c>
      <c r="N689" s="15">
        <f t="shared" si="183"/>
        <v>0</v>
      </c>
      <c r="O689" s="11">
        <f t="shared" si="184"/>
        <v>0</v>
      </c>
      <c r="P689" s="11">
        <f t="shared" si="185"/>
        <v>0</v>
      </c>
      <c r="Q689" s="11">
        <f t="shared" si="186"/>
        <v>0</v>
      </c>
      <c r="R689" s="11">
        <f t="shared" si="187"/>
        <v>0</v>
      </c>
      <c r="S689" s="30">
        <f t="shared" si="191"/>
        <v>0</v>
      </c>
      <c r="T689" s="30">
        <f t="shared" si="192"/>
        <v>0</v>
      </c>
      <c r="U689" s="30">
        <f t="shared" si="193"/>
        <v>0</v>
      </c>
      <c r="V689" s="30">
        <f t="shared" si="194"/>
        <v>0</v>
      </c>
      <c r="W689" s="30">
        <f t="shared" si="195"/>
        <v>0</v>
      </c>
      <c r="X689" s="30">
        <f t="shared" si="196"/>
        <v>0</v>
      </c>
      <c r="Z689" s="23" t="s">
        <v>76</v>
      </c>
      <c r="AA689" s="40" t="str">
        <f>IF(C689="Electricity",E689*SUMIFS(Electricity!S:S,Electricity!P:P,UserMade_Scenario!B689,Electricity!M:M,UserMade_Scenario!Z689,Electricity!O:O,UserMade_Scenario!D689),"")</f>
        <v/>
      </c>
      <c r="AB689" s="67">
        <v>1.0930000000000002E-6</v>
      </c>
      <c r="AC689" s="67" t="s">
        <v>90</v>
      </c>
      <c r="AD689" s="39">
        <f>IFERROR(INDEX(Assumptions!B$145:B$146,MATCH($D689,Assumptions!$A$145:$A$146,0)),0)</f>
        <v>-34.209999999999994</v>
      </c>
      <c r="AE689" s="39">
        <f>IFERROR(INDEX(Assumptions!C$145:C$146,MATCH($D689,Assumptions!$A$145:$A$146,0)),0)</f>
        <v>-34.209999999999994</v>
      </c>
      <c r="AF689" s="39">
        <f>IFERROR(INDEX(Assumptions!D$145:D$146,MATCH($D689,Assumptions!$A$145:$A$146,0)),0)</f>
        <v>-133.26499999999999</v>
      </c>
      <c r="AG689" s="68">
        <f>IFERROR(INDEX(WaterUseH2[Average Direct Water Consumption (Gal/ kg h2)],MATCH(LEFT(D689,3),WaterUseH2[Key],0)),0)</f>
        <v>0</v>
      </c>
      <c r="AH689">
        <v>14</v>
      </c>
      <c r="AI689">
        <v>1.4</v>
      </c>
      <c r="AJ689">
        <v>250</v>
      </c>
      <c r="AK689">
        <v>0.31</v>
      </c>
      <c r="AL689" s="63">
        <f>IFERROR(INDEX(Job_Training[[Solar]:[Wind]],MATCH(AL$1,Job_Training[[`Typical Entry Level Education`]:[`Typical Entry Level Education`]],0),MATCH(LEFT($D689,5),Job_Training[[#Headers],[Solar]:[Wind]],0)),0)</f>
        <v>0</v>
      </c>
      <c r="AM689" s="63">
        <f>IFERROR(INDEX(Job_Training[[Solar]:[Wind]],MATCH(AM$1,Job_Training[[`Typical Entry Level Education`]:[`Typical Entry Level Education`]],0),MATCH(LEFT($D689,5),Job_Training[[#Headers],[Solar]:[Wind]],0)),0)</f>
        <v>0</v>
      </c>
      <c r="AN689" s="63">
        <f>IFERROR(INDEX(Job_Training[[Solar]:[Wind]],MATCH(AN$1,Job_Training[[`Typical Entry Level Education`]:[`Typical Entry Level Education`]],0),MATCH(LEFT($D689,5),Job_Training[[#Headers],[Solar]:[Wind]],0)),0)</f>
        <v>0</v>
      </c>
      <c r="AO689" s="63">
        <f>IFERROR(INDEX(Job_Training[[Solar]:[Wind]],MATCH(AO$1,Job_Training[[`Typical Entry Level Education`]:[`Typical Entry Level Education`]],0),MATCH(LEFT($D689,5),Job_Training[[#Headers],[Solar]:[Wind]],0)),0)</f>
        <v>0</v>
      </c>
      <c r="AP689">
        <f t="shared" si="197"/>
        <v>0</v>
      </c>
      <c r="AQ689" s="63">
        <f>IF(AP689&gt;0,IFERROR(INDEX(Assumptions!$C$165:$D$165,MATCH(LEFT($D689,5),Job_Training[[#Headers],[Solar]:[Wind]],0)),0),0)</f>
        <v>0</v>
      </c>
      <c r="AR689">
        <f>IF(AP689&gt;0,IFERROR(INDEX(Assumptions!$C$166:$D$166,MATCH(LEFT($D689,5),Job_Training[[#Headers],[Solar]:[Wind]],0)),0),0)</f>
        <v>0</v>
      </c>
    </row>
    <row r="690" spans="1:44" hidden="1" x14ac:dyDescent="0.35">
      <c r="A690" t="str">
        <f>UserInput!$B$56</f>
        <v>Max Buildout</v>
      </c>
      <c r="B690">
        <v>2041</v>
      </c>
      <c r="C690" t="s">
        <v>87</v>
      </c>
      <c r="D690" t="s">
        <v>91</v>
      </c>
      <c r="E690" s="66">
        <f>INDEX(UserInput!$C$56:$M$76,MATCH(UserMade_Scenario!B690,UserInput!$A$56:$A$76,0),MATCH(LEFT(IF(RIGHT(C690,2)="H2",UserMade_Scenario!C690,D690),3),UserInput!$C$25:$M$25,0))</f>
        <v>1567.2000000000007</v>
      </c>
      <c r="F690" t="s">
        <v>89</v>
      </c>
      <c r="G690" s="14">
        <f t="shared" si="198"/>
        <v>1.7129496000000011E-3</v>
      </c>
      <c r="H690" s="63">
        <f t="shared" si="188"/>
        <v>5.8600005816000028E-2</v>
      </c>
      <c r="I690" s="63">
        <f t="shared" si="189"/>
        <v>5.8600005816000028E-2</v>
      </c>
      <c r="J690" s="63">
        <f t="shared" si="190"/>
        <v>0.22827622844400014</v>
      </c>
      <c r="K690" s="30">
        <f>IF(OR(LEFT($D690,5)="Solar",$D690="Wind"),INDEX(Land_Use[AVG],MATCH(LEFT($D690,5),Land_Use[Tech],0)),0)*$E690</f>
        <v>0</v>
      </c>
      <c r="L690" s="30">
        <f>IF(OR(LEFT($D690,5)="Solar",$D690="Wind"),INDEX(Land_Use[MIN],MATCH(LEFT($D690,5),Land_Use[Tech],0)),0)*$E690</f>
        <v>0</v>
      </c>
      <c r="M690" s="30">
        <f>IF(OR(LEFT($D690,5)="Solar",$D690="Wind"),INDEX(Land_Use[MAX],MATCH(LEFT($D690,5),Land_Use[Tech],0)),0)*$E690</f>
        <v>0</v>
      </c>
      <c r="N690" s="15">
        <f t="shared" si="183"/>
        <v>0</v>
      </c>
      <c r="O690" s="11">
        <f t="shared" si="184"/>
        <v>0</v>
      </c>
      <c r="P690" s="11">
        <f t="shared" si="185"/>
        <v>0</v>
      </c>
      <c r="Q690" s="11">
        <f t="shared" si="186"/>
        <v>0</v>
      </c>
      <c r="R690" s="11">
        <f t="shared" si="187"/>
        <v>0</v>
      </c>
      <c r="S690" s="30">
        <f t="shared" si="191"/>
        <v>0</v>
      </c>
      <c r="T690" s="30">
        <f t="shared" si="192"/>
        <v>0</v>
      </c>
      <c r="U690" s="30">
        <f t="shared" si="193"/>
        <v>0</v>
      </c>
      <c r="V690" s="30">
        <f t="shared" si="194"/>
        <v>0</v>
      </c>
      <c r="W690" s="30">
        <f t="shared" si="195"/>
        <v>0</v>
      </c>
      <c r="X690" s="30">
        <f t="shared" si="196"/>
        <v>0</v>
      </c>
      <c r="Z690" s="23" t="s">
        <v>76</v>
      </c>
      <c r="AA690" s="40" t="str">
        <f>IF(C690="Electricity",E690*SUMIFS(Electricity!S:S,Electricity!P:P,UserMade_Scenario!B690,Electricity!M:M,UserMade_Scenario!Z690,Electricity!O:O,UserMade_Scenario!D690),"")</f>
        <v/>
      </c>
      <c r="AB690" s="67">
        <v>1.0930000000000002E-6</v>
      </c>
      <c r="AC690" s="67" t="s">
        <v>90</v>
      </c>
      <c r="AD690" s="39">
        <f>IFERROR(INDEX(Assumptions!B$145:B$146,MATCH($D690,Assumptions!$A$145:$A$146,0)),0)</f>
        <v>-34.209999999999994</v>
      </c>
      <c r="AE690" s="39">
        <f>IFERROR(INDEX(Assumptions!C$145:C$146,MATCH($D690,Assumptions!$A$145:$A$146,0)),0)</f>
        <v>-34.209999999999994</v>
      </c>
      <c r="AF690" s="39">
        <f>IFERROR(INDEX(Assumptions!D$145:D$146,MATCH($D690,Assumptions!$A$145:$A$146,0)),0)</f>
        <v>-133.26499999999999</v>
      </c>
      <c r="AG690" s="68">
        <f>IFERROR(INDEX(WaterUseH2[Average Direct Water Consumption (Gal/ kg h2)],MATCH(LEFT(D690,3),WaterUseH2[Key],0)),0)</f>
        <v>0</v>
      </c>
      <c r="AH690">
        <v>14</v>
      </c>
      <c r="AI690">
        <v>1.4</v>
      </c>
      <c r="AJ690">
        <v>250</v>
      </c>
      <c r="AK690">
        <v>0.31</v>
      </c>
      <c r="AL690" s="63">
        <f>IFERROR(INDEX(Job_Training[[Solar]:[Wind]],MATCH(AL$1,Job_Training[[`Typical Entry Level Education`]:[`Typical Entry Level Education`]],0),MATCH(LEFT($D690,5),Job_Training[[#Headers],[Solar]:[Wind]],0)),0)</f>
        <v>0</v>
      </c>
      <c r="AM690" s="63">
        <f>IFERROR(INDEX(Job_Training[[Solar]:[Wind]],MATCH(AM$1,Job_Training[[`Typical Entry Level Education`]:[`Typical Entry Level Education`]],0),MATCH(LEFT($D690,5),Job_Training[[#Headers],[Solar]:[Wind]],0)),0)</f>
        <v>0</v>
      </c>
      <c r="AN690" s="63">
        <f>IFERROR(INDEX(Job_Training[[Solar]:[Wind]],MATCH(AN$1,Job_Training[[`Typical Entry Level Education`]:[`Typical Entry Level Education`]],0),MATCH(LEFT($D690,5),Job_Training[[#Headers],[Solar]:[Wind]],0)),0)</f>
        <v>0</v>
      </c>
      <c r="AO690" s="63">
        <f>IFERROR(INDEX(Job_Training[[Solar]:[Wind]],MATCH(AO$1,Job_Training[[`Typical Entry Level Education`]:[`Typical Entry Level Education`]],0),MATCH(LEFT($D690,5),Job_Training[[#Headers],[Solar]:[Wind]],0)),0)</f>
        <v>0</v>
      </c>
      <c r="AP690">
        <f t="shared" si="197"/>
        <v>0</v>
      </c>
      <c r="AQ690" s="63">
        <f>IF(AP690&gt;0,IFERROR(INDEX(Assumptions!$C$165:$D$165,MATCH(LEFT($D690,5),Job_Training[[#Headers],[Solar]:[Wind]],0)),0),0)</f>
        <v>0</v>
      </c>
      <c r="AR690">
        <f>IF(AP690&gt;0,IFERROR(INDEX(Assumptions!$C$166:$D$166,MATCH(LEFT($D690,5),Job_Training[[#Headers],[Solar]:[Wind]],0)),0),0)</f>
        <v>0</v>
      </c>
    </row>
    <row r="691" spans="1:44" hidden="1" x14ac:dyDescent="0.35">
      <c r="A691" t="str">
        <f>UserInput!$B$56</f>
        <v>Max Buildout</v>
      </c>
      <c r="B691">
        <v>2042</v>
      </c>
      <c r="C691" t="s">
        <v>87</v>
      </c>
      <c r="D691" t="s">
        <v>91</v>
      </c>
      <c r="E691" s="66">
        <f>INDEX(UserInput!$C$56:$M$76,MATCH(UserMade_Scenario!B691,UserInput!$A$56:$A$76,0),MATCH(LEFT(IF(RIGHT(C691,2)="H2",UserMade_Scenario!C691,D691),3),UserInput!$C$25:$M$25,0))</f>
        <v>1637.4000000000008</v>
      </c>
      <c r="F691" t="s">
        <v>89</v>
      </c>
      <c r="G691" s="14">
        <f t="shared" si="198"/>
        <v>1.7896782000000012E-3</v>
      </c>
      <c r="H691" s="63">
        <f t="shared" si="188"/>
        <v>6.1224891222000033E-2</v>
      </c>
      <c r="I691" s="63">
        <f t="shared" si="189"/>
        <v>6.1224891222000033E-2</v>
      </c>
      <c r="J691" s="63">
        <f t="shared" si="190"/>
        <v>0.23850146532300015</v>
      </c>
      <c r="K691" s="30">
        <f>IF(OR(LEFT($D691,5)="Solar",$D691="Wind"),INDEX(Land_Use[AVG],MATCH(LEFT($D691,5),Land_Use[Tech],0)),0)*$E691</f>
        <v>0</v>
      </c>
      <c r="L691" s="30">
        <f>IF(OR(LEFT($D691,5)="Solar",$D691="Wind"),INDEX(Land_Use[MIN],MATCH(LEFT($D691,5),Land_Use[Tech],0)),0)*$E691</f>
        <v>0</v>
      </c>
      <c r="M691" s="30">
        <f>IF(OR(LEFT($D691,5)="Solar",$D691="Wind"),INDEX(Land_Use[MAX],MATCH(LEFT($D691,5),Land_Use[Tech],0)),0)*$E691</f>
        <v>0</v>
      </c>
      <c r="N691" s="15">
        <f t="shared" si="183"/>
        <v>0</v>
      </c>
      <c r="O691" s="11">
        <f t="shared" si="184"/>
        <v>0</v>
      </c>
      <c r="P691" s="11">
        <f t="shared" si="185"/>
        <v>0</v>
      </c>
      <c r="Q691" s="11">
        <f t="shared" si="186"/>
        <v>0</v>
      </c>
      <c r="R691" s="11">
        <f t="shared" si="187"/>
        <v>0</v>
      </c>
      <c r="S691" s="30">
        <f t="shared" si="191"/>
        <v>0</v>
      </c>
      <c r="T691" s="30">
        <f t="shared" si="192"/>
        <v>0</v>
      </c>
      <c r="U691" s="30">
        <f t="shared" si="193"/>
        <v>0</v>
      </c>
      <c r="V691" s="30">
        <f t="shared" si="194"/>
        <v>0</v>
      </c>
      <c r="W691" s="30">
        <f t="shared" si="195"/>
        <v>0</v>
      </c>
      <c r="X691" s="30">
        <f t="shared" si="196"/>
        <v>0</v>
      </c>
      <c r="Z691" s="23" t="s">
        <v>76</v>
      </c>
      <c r="AA691" s="40" t="str">
        <f>IF(C691="Electricity",E691*SUMIFS(Electricity!S:S,Electricity!P:P,UserMade_Scenario!B691,Electricity!M:M,UserMade_Scenario!Z691,Electricity!O:O,UserMade_Scenario!D691),"")</f>
        <v/>
      </c>
      <c r="AB691" s="67">
        <v>1.0930000000000002E-6</v>
      </c>
      <c r="AC691" s="67" t="s">
        <v>90</v>
      </c>
      <c r="AD691" s="39">
        <f>IFERROR(INDEX(Assumptions!B$145:B$146,MATCH($D691,Assumptions!$A$145:$A$146,0)),0)</f>
        <v>-34.209999999999994</v>
      </c>
      <c r="AE691" s="39">
        <f>IFERROR(INDEX(Assumptions!C$145:C$146,MATCH($D691,Assumptions!$A$145:$A$146,0)),0)</f>
        <v>-34.209999999999994</v>
      </c>
      <c r="AF691" s="39">
        <f>IFERROR(INDEX(Assumptions!D$145:D$146,MATCH($D691,Assumptions!$A$145:$A$146,0)),0)</f>
        <v>-133.26499999999999</v>
      </c>
      <c r="AG691" s="68">
        <f>IFERROR(INDEX(WaterUseH2[Average Direct Water Consumption (Gal/ kg h2)],MATCH(LEFT(D691,3),WaterUseH2[Key],0)),0)</f>
        <v>0</v>
      </c>
      <c r="AH691">
        <v>14</v>
      </c>
      <c r="AI691">
        <v>1.4</v>
      </c>
      <c r="AJ691">
        <v>250</v>
      </c>
      <c r="AK691">
        <v>0.31</v>
      </c>
      <c r="AL691" s="63">
        <f>IFERROR(INDEX(Job_Training[[Solar]:[Wind]],MATCH(AL$1,Job_Training[[`Typical Entry Level Education`]:[`Typical Entry Level Education`]],0),MATCH(LEFT($D691,5),Job_Training[[#Headers],[Solar]:[Wind]],0)),0)</f>
        <v>0</v>
      </c>
      <c r="AM691" s="63">
        <f>IFERROR(INDEX(Job_Training[[Solar]:[Wind]],MATCH(AM$1,Job_Training[[`Typical Entry Level Education`]:[`Typical Entry Level Education`]],0),MATCH(LEFT($D691,5),Job_Training[[#Headers],[Solar]:[Wind]],0)),0)</f>
        <v>0</v>
      </c>
      <c r="AN691" s="63">
        <f>IFERROR(INDEX(Job_Training[[Solar]:[Wind]],MATCH(AN$1,Job_Training[[`Typical Entry Level Education`]:[`Typical Entry Level Education`]],0),MATCH(LEFT($D691,5),Job_Training[[#Headers],[Solar]:[Wind]],0)),0)</f>
        <v>0</v>
      </c>
      <c r="AO691" s="63">
        <f>IFERROR(INDEX(Job_Training[[Solar]:[Wind]],MATCH(AO$1,Job_Training[[`Typical Entry Level Education`]:[`Typical Entry Level Education`]],0),MATCH(LEFT($D691,5),Job_Training[[#Headers],[Solar]:[Wind]],0)),0)</f>
        <v>0</v>
      </c>
      <c r="AP691">
        <f t="shared" si="197"/>
        <v>0</v>
      </c>
      <c r="AQ691" s="63">
        <f>IF(AP691&gt;0,IFERROR(INDEX(Assumptions!$C$165:$D$165,MATCH(LEFT($D691,5),Job_Training[[#Headers],[Solar]:[Wind]],0)),0),0)</f>
        <v>0</v>
      </c>
      <c r="AR691">
        <f>IF(AP691&gt;0,IFERROR(INDEX(Assumptions!$C$166:$D$166,MATCH(LEFT($D691,5),Job_Training[[#Headers],[Solar]:[Wind]],0)),0),0)</f>
        <v>0</v>
      </c>
    </row>
    <row r="692" spans="1:44" hidden="1" x14ac:dyDescent="0.35">
      <c r="A692" t="str">
        <f>UserInput!$B$56</f>
        <v>Max Buildout</v>
      </c>
      <c r="B692">
        <v>2043</v>
      </c>
      <c r="C692" t="s">
        <v>87</v>
      </c>
      <c r="D692" t="s">
        <v>91</v>
      </c>
      <c r="E692" s="66">
        <f>INDEX(UserInput!$C$56:$M$76,MATCH(UserMade_Scenario!B692,UserInput!$A$56:$A$76,0),MATCH(LEFT(IF(RIGHT(C692,2)="H2",UserMade_Scenario!C692,D692),3),UserInput!$C$25:$M$25,0))</f>
        <v>1707.6000000000008</v>
      </c>
      <c r="F692" t="s">
        <v>89</v>
      </c>
      <c r="G692" s="14">
        <f t="shared" si="198"/>
        <v>1.8664068000000013E-3</v>
      </c>
      <c r="H692" s="63">
        <f t="shared" si="188"/>
        <v>6.3849776628000038E-2</v>
      </c>
      <c r="I692" s="63">
        <f t="shared" si="189"/>
        <v>6.3849776628000038E-2</v>
      </c>
      <c r="J692" s="63">
        <f t="shared" si="190"/>
        <v>0.24872670220200013</v>
      </c>
      <c r="K692" s="30">
        <f>IF(OR(LEFT($D692,5)="Solar",$D692="Wind"),INDEX(Land_Use[AVG],MATCH(LEFT($D692,5),Land_Use[Tech],0)),0)*$E692</f>
        <v>0</v>
      </c>
      <c r="L692" s="30">
        <f>IF(OR(LEFT($D692,5)="Solar",$D692="Wind"),INDEX(Land_Use[MIN],MATCH(LEFT($D692,5),Land_Use[Tech],0)),0)*$E692</f>
        <v>0</v>
      </c>
      <c r="M692" s="30">
        <f>IF(OR(LEFT($D692,5)="Solar",$D692="Wind"),INDEX(Land_Use[MAX],MATCH(LEFT($D692,5),Land_Use[Tech],0)),0)*$E692</f>
        <v>0</v>
      </c>
      <c r="N692" s="15">
        <f t="shared" si="183"/>
        <v>0</v>
      </c>
      <c r="O692" s="11">
        <f t="shared" si="184"/>
        <v>0</v>
      </c>
      <c r="P692" s="11">
        <f t="shared" si="185"/>
        <v>0</v>
      </c>
      <c r="Q692" s="11">
        <f t="shared" si="186"/>
        <v>0</v>
      </c>
      <c r="R692" s="11">
        <f t="shared" si="187"/>
        <v>0</v>
      </c>
      <c r="S692" s="30">
        <f t="shared" si="191"/>
        <v>0</v>
      </c>
      <c r="T692" s="30">
        <f t="shared" si="192"/>
        <v>0</v>
      </c>
      <c r="U692" s="30">
        <f t="shared" si="193"/>
        <v>0</v>
      </c>
      <c r="V692" s="30">
        <f t="shared" si="194"/>
        <v>0</v>
      </c>
      <c r="W692" s="30">
        <f t="shared" si="195"/>
        <v>0</v>
      </c>
      <c r="X692" s="30">
        <f t="shared" si="196"/>
        <v>0</v>
      </c>
      <c r="Z692" s="23" t="s">
        <v>76</v>
      </c>
      <c r="AA692" s="40" t="str">
        <f>IF(C692="Electricity",E692*SUMIFS(Electricity!S:S,Electricity!P:P,UserMade_Scenario!B692,Electricity!M:M,UserMade_Scenario!Z692,Electricity!O:O,UserMade_Scenario!D692),"")</f>
        <v/>
      </c>
      <c r="AB692" s="67">
        <v>1.0930000000000002E-6</v>
      </c>
      <c r="AC692" s="67" t="s">
        <v>90</v>
      </c>
      <c r="AD692" s="39">
        <f>IFERROR(INDEX(Assumptions!B$145:B$146,MATCH($D692,Assumptions!$A$145:$A$146,0)),0)</f>
        <v>-34.209999999999994</v>
      </c>
      <c r="AE692" s="39">
        <f>IFERROR(INDEX(Assumptions!C$145:C$146,MATCH($D692,Assumptions!$A$145:$A$146,0)),0)</f>
        <v>-34.209999999999994</v>
      </c>
      <c r="AF692" s="39">
        <f>IFERROR(INDEX(Assumptions!D$145:D$146,MATCH($D692,Assumptions!$A$145:$A$146,0)),0)</f>
        <v>-133.26499999999999</v>
      </c>
      <c r="AG692" s="68">
        <f>IFERROR(INDEX(WaterUseH2[Average Direct Water Consumption (Gal/ kg h2)],MATCH(LEFT(D692,3),WaterUseH2[Key],0)),0)</f>
        <v>0</v>
      </c>
      <c r="AH692">
        <v>14</v>
      </c>
      <c r="AI692">
        <v>1.4</v>
      </c>
      <c r="AJ692">
        <v>250</v>
      </c>
      <c r="AK692">
        <v>0.31</v>
      </c>
      <c r="AL692" s="63">
        <f>IFERROR(INDEX(Job_Training[[Solar]:[Wind]],MATCH(AL$1,Job_Training[[`Typical Entry Level Education`]:[`Typical Entry Level Education`]],0),MATCH(LEFT($D692,5),Job_Training[[#Headers],[Solar]:[Wind]],0)),0)</f>
        <v>0</v>
      </c>
      <c r="AM692" s="63">
        <f>IFERROR(INDEX(Job_Training[[Solar]:[Wind]],MATCH(AM$1,Job_Training[[`Typical Entry Level Education`]:[`Typical Entry Level Education`]],0),MATCH(LEFT($D692,5),Job_Training[[#Headers],[Solar]:[Wind]],0)),0)</f>
        <v>0</v>
      </c>
      <c r="AN692" s="63">
        <f>IFERROR(INDEX(Job_Training[[Solar]:[Wind]],MATCH(AN$1,Job_Training[[`Typical Entry Level Education`]:[`Typical Entry Level Education`]],0),MATCH(LEFT($D692,5),Job_Training[[#Headers],[Solar]:[Wind]],0)),0)</f>
        <v>0</v>
      </c>
      <c r="AO692" s="63">
        <f>IFERROR(INDEX(Job_Training[[Solar]:[Wind]],MATCH(AO$1,Job_Training[[`Typical Entry Level Education`]:[`Typical Entry Level Education`]],0),MATCH(LEFT($D692,5),Job_Training[[#Headers],[Solar]:[Wind]],0)),0)</f>
        <v>0</v>
      </c>
      <c r="AP692">
        <f t="shared" si="197"/>
        <v>0</v>
      </c>
      <c r="AQ692" s="63">
        <f>IF(AP692&gt;0,IFERROR(INDEX(Assumptions!$C$165:$D$165,MATCH(LEFT($D692,5),Job_Training[[#Headers],[Solar]:[Wind]],0)),0),0)</f>
        <v>0</v>
      </c>
      <c r="AR692">
        <f>IF(AP692&gt;0,IFERROR(INDEX(Assumptions!$C$166:$D$166,MATCH(LEFT($D692,5),Job_Training[[#Headers],[Solar]:[Wind]],0)),0),0)</f>
        <v>0</v>
      </c>
    </row>
    <row r="693" spans="1:44" hidden="1" x14ac:dyDescent="0.35">
      <c r="A693" t="str">
        <f>UserInput!$B$56</f>
        <v>Max Buildout</v>
      </c>
      <c r="B693">
        <v>2044</v>
      </c>
      <c r="C693" t="s">
        <v>87</v>
      </c>
      <c r="D693" t="s">
        <v>91</v>
      </c>
      <c r="E693" s="66">
        <f>INDEX(UserInput!$C$56:$M$76,MATCH(UserMade_Scenario!B693,UserInput!$A$56:$A$76,0),MATCH(LEFT(IF(RIGHT(C693,2)="H2",UserMade_Scenario!C693,D693),3),UserInput!$C$25:$M$25,0))</f>
        <v>1777.8000000000009</v>
      </c>
      <c r="F693" t="s">
        <v>89</v>
      </c>
      <c r="G693" s="14">
        <f t="shared" si="198"/>
        <v>1.9431354000000011E-3</v>
      </c>
      <c r="H693" s="63">
        <f t="shared" si="188"/>
        <v>6.6474662034000029E-2</v>
      </c>
      <c r="I693" s="63">
        <f t="shared" si="189"/>
        <v>6.6474662034000029E-2</v>
      </c>
      <c r="J693" s="63">
        <f t="shared" si="190"/>
        <v>0.25895193908100012</v>
      </c>
      <c r="K693" s="30">
        <f>IF(OR(LEFT($D693,5)="Solar",$D693="Wind"),INDEX(Land_Use[AVG],MATCH(LEFT($D693,5),Land_Use[Tech],0)),0)*$E693</f>
        <v>0</v>
      </c>
      <c r="L693" s="30">
        <f>IF(OR(LEFT($D693,5)="Solar",$D693="Wind"),INDEX(Land_Use[MIN],MATCH(LEFT($D693,5),Land_Use[Tech],0)),0)*$E693</f>
        <v>0</v>
      </c>
      <c r="M693" s="30">
        <f>IF(OR(LEFT($D693,5)="Solar",$D693="Wind"),INDEX(Land_Use[MAX],MATCH(LEFT($D693,5),Land_Use[Tech],0)),0)*$E693</f>
        <v>0</v>
      </c>
      <c r="N693" s="15">
        <f t="shared" ref="N693:N756" si="199">E693*AG693*1000/1000000</f>
        <v>0</v>
      </c>
      <c r="O693" s="11">
        <f t="shared" ref="O693:O756" si="200">$K693*AH$2</f>
        <v>0</v>
      </c>
      <c r="P693" s="11">
        <f t="shared" ref="P693:P756" si="201">$K693*AI$2</f>
        <v>0</v>
      </c>
      <c r="Q693" s="11">
        <f t="shared" ref="Q693:Q756" si="202">$K693*AJ$2</f>
        <v>0</v>
      </c>
      <c r="R693" s="11">
        <f t="shared" ref="R693:R756" si="203">$K693*AK$2</f>
        <v>0</v>
      </c>
      <c r="S693" s="30">
        <f t="shared" si="191"/>
        <v>0</v>
      </c>
      <c r="T693" s="30">
        <f t="shared" si="192"/>
        <v>0</v>
      </c>
      <c r="U693" s="30">
        <f t="shared" si="193"/>
        <v>0</v>
      </c>
      <c r="V693" s="30">
        <f t="shared" si="194"/>
        <v>0</v>
      </c>
      <c r="W693" s="30">
        <f t="shared" si="195"/>
        <v>0</v>
      </c>
      <c r="X693" s="30">
        <f t="shared" si="196"/>
        <v>0</v>
      </c>
      <c r="Z693" s="23" t="s">
        <v>76</v>
      </c>
      <c r="AA693" s="40" t="str">
        <f>IF(C693="Electricity",E693*SUMIFS(Electricity!S:S,Electricity!P:P,UserMade_Scenario!B693,Electricity!M:M,UserMade_Scenario!Z693,Electricity!O:O,UserMade_Scenario!D693),"")</f>
        <v/>
      </c>
      <c r="AB693" s="67">
        <v>1.0930000000000002E-6</v>
      </c>
      <c r="AC693" s="67" t="s">
        <v>90</v>
      </c>
      <c r="AD693" s="39">
        <f>IFERROR(INDEX(Assumptions!B$145:B$146,MATCH($D693,Assumptions!$A$145:$A$146,0)),0)</f>
        <v>-34.209999999999994</v>
      </c>
      <c r="AE693" s="39">
        <f>IFERROR(INDEX(Assumptions!C$145:C$146,MATCH($D693,Assumptions!$A$145:$A$146,0)),0)</f>
        <v>-34.209999999999994</v>
      </c>
      <c r="AF693" s="39">
        <f>IFERROR(INDEX(Assumptions!D$145:D$146,MATCH($D693,Assumptions!$A$145:$A$146,0)),0)</f>
        <v>-133.26499999999999</v>
      </c>
      <c r="AG693" s="68">
        <f>IFERROR(INDEX(WaterUseH2[Average Direct Water Consumption (Gal/ kg h2)],MATCH(LEFT(D693,3),WaterUseH2[Key],0)),0)</f>
        <v>0</v>
      </c>
      <c r="AH693">
        <v>14</v>
      </c>
      <c r="AI693">
        <v>1.4</v>
      </c>
      <c r="AJ693">
        <v>250</v>
      </c>
      <c r="AK693">
        <v>0.31</v>
      </c>
      <c r="AL693" s="63">
        <f>IFERROR(INDEX(Job_Training[[Solar]:[Wind]],MATCH(AL$1,Job_Training[[`Typical Entry Level Education`]:[`Typical Entry Level Education`]],0),MATCH(LEFT($D693,5),Job_Training[[#Headers],[Solar]:[Wind]],0)),0)</f>
        <v>0</v>
      </c>
      <c r="AM693" s="63">
        <f>IFERROR(INDEX(Job_Training[[Solar]:[Wind]],MATCH(AM$1,Job_Training[[`Typical Entry Level Education`]:[`Typical Entry Level Education`]],0),MATCH(LEFT($D693,5),Job_Training[[#Headers],[Solar]:[Wind]],0)),0)</f>
        <v>0</v>
      </c>
      <c r="AN693" s="63">
        <f>IFERROR(INDEX(Job_Training[[Solar]:[Wind]],MATCH(AN$1,Job_Training[[`Typical Entry Level Education`]:[`Typical Entry Level Education`]],0),MATCH(LEFT($D693,5),Job_Training[[#Headers],[Solar]:[Wind]],0)),0)</f>
        <v>0</v>
      </c>
      <c r="AO693" s="63">
        <f>IFERROR(INDEX(Job_Training[[Solar]:[Wind]],MATCH(AO$1,Job_Training[[`Typical Entry Level Education`]:[`Typical Entry Level Education`]],0),MATCH(LEFT($D693,5),Job_Training[[#Headers],[Solar]:[Wind]],0)),0)</f>
        <v>0</v>
      </c>
      <c r="AP693">
        <f t="shared" si="197"/>
        <v>0</v>
      </c>
      <c r="AQ693" s="63">
        <f>IF(AP693&gt;0,IFERROR(INDEX(Assumptions!$C$165:$D$165,MATCH(LEFT($D693,5),Job_Training[[#Headers],[Solar]:[Wind]],0)),0),0)</f>
        <v>0</v>
      </c>
      <c r="AR693">
        <f>IF(AP693&gt;0,IFERROR(INDEX(Assumptions!$C$166:$D$166,MATCH(LEFT($D693,5),Job_Training[[#Headers],[Solar]:[Wind]],0)),0),0)</f>
        <v>0</v>
      </c>
    </row>
    <row r="694" spans="1:44" hidden="1" x14ac:dyDescent="0.35">
      <c r="A694" t="str">
        <f>UserInput!$B$56</f>
        <v>Max Buildout</v>
      </c>
      <c r="B694">
        <v>2045</v>
      </c>
      <c r="C694" t="s">
        <v>87</v>
      </c>
      <c r="D694" t="s">
        <v>91</v>
      </c>
      <c r="E694" s="66">
        <f>INDEX(UserInput!$C$56:$M$76,MATCH(UserMade_Scenario!B694,UserInput!$A$56:$A$76,0),MATCH(LEFT(IF(RIGHT(C694,2)="H2",UserMade_Scenario!C694,D694),3),UserInput!$C$25:$M$25,0))</f>
        <v>1848.0000000000009</v>
      </c>
      <c r="F694" t="s">
        <v>89</v>
      </c>
      <c r="G694" s="14">
        <f t="shared" si="198"/>
        <v>2.0198640000000014E-3</v>
      </c>
      <c r="H694" s="63">
        <f t="shared" si="188"/>
        <v>6.9099547440000034E-2</v>
      </c>
      <c r="I694" s="63">
        <f t="shared" si="189"/>
        <v>6.9099547440000034E-2</v>
      </c>
      <c r="J694" s="63">
        <f t="shared" si="190"/>
        <v>0.26917717596000018</v>
      </c>
      <c r="K694" s="30">
        <f>IF(OR(LEFT($D694,5)="Solar",$D694="Wind"),INDEX(Land_Use[AVG],MATCH(LEFT($D694,5),Land_Use[Tech],0)),0)*$E694</f>
        <v>0</v>
      </c>
      <c r="L694" s="30">
        <f>IF(OR(LEFT($D694,5)="Solar",$D694="Wind"),INDEX(Land_Use[MIN],MATCH(LEFT($D694,5),Land_Use[Tech],0)),0)*$E694</f>
        <v>0</v>
      </c>
      <c r="M694" s="30">
        <f>IF(OR(LEFT($D694,5)="Solar",$D694="Wind"),INDEX(Land_Use[MAX],MATCH(LEFT($D694,5),Land_Use[Tech],0)),0)*$E694</f>
        <v>0</v>
      </c>
      <c r="N694" s="15">
        <f t="shared" si="199"/>
        <v>0</v>
      </c>
      <c r="O694" s="11">
        <f t="shared" si="200"/>
        <v>0</v>
      </c>
      <c r="P694" s="11">
        <f t="shared" si="201"/>
        <v>0</v>
      </c>
      <c r="Q694" s="11">
        <f t="shared" si="202"/>
        <v>0</v>
      </c>
      <c r="R694" s="11">
        <f t="shared" si="203"/>
        <v>0</v>
      </c>
      <c r="S694" s="30">
        <f t="shared" si="191"/>
        <v>0</v>
      </c>
      <c r="T694" s="30">
        <f t="shared" si="192"/>
        <v>0</v>
      </c>
      <c r="U694" s="30">
        <f t="shared" si="193"/>
        <v>0</v>
      </c>
      <c r="V694" s="30">
        <f t="shared" si="194"/>
        <v>0</v>
      </c>
      <c r="W694" s="30">
        <f t="shared" si="195"/>
        <v>0</v>
      </c>
      <c r="X694" s="30">
        <f t="shared" si="196"/>
        <v>0</v>
      </c>
      <c r="Z694" s="23" t="s">
        <v>76</v>
      </c>
      <c r="AA694" s="40" t="str">
        <f>IF(C694="Electricity",E694*SUMIFS(Electricity!S:S,Electricity!P:P,UserMade_Scenario!B694,Electricity!M:M,UserMade_Scenario!Z694,Electricity!O:O,UserMade_Scenario!D694),"")</f>
        <v/>
      </c>
      <c r="AB694" s="67">
        <v>1.0930000000000002E-6</v>
      </c>
      <c r="AC694" s="67" t="s">
        <v>90</v>
      </c>
      <c r="AD694" s="39">
        <f>IFERROR(INDEX(Assumptions!B$145:B$146,MATCH($D694,Assumptions!$A$145:$A$146,0)),0)</f>
        <v>-34.209999999999994</v>
      </c>
      <c r="AE694" s="39">
        <f>IFERROR(INDEX(Assumptions!C$145:C$146,MATCH($D694,Assumptions!$A$145:$A$146,0)),0)</f>
        <v>-34.209999999999994</v>
      </c>
      <c r="AF694" s="39">
        <f>IFERROR(INDEX(Assumptions!D$145:D$146,MATCH($D694,Assumptions!$A$145:$A$146,0)),0)</f>
        <v>-133.26499999999999</v>
      </c>
      <c r="AG694" s="68">
        <f>IFERROR(INDEX(WaterUseH2[Average Direct Water Consumption (Gal/ kg h2)],MATCH(LEFT(D694,3),WaterUseH2[Key],0)),0)</f>
        <v>0</v>
      </c>
      <c r="AH694">
        <v>14</v>
      </c>
      <c r="AI694">
        <v>1.4</v>
      </c>
      <c r="AJ694">
        <v>250</v>
      </c>
      <c r="AK694">
        <v>0.31</v>
      </c>
      <c r="AL694" s="63">
        <f>IFERROR(INDEX(Job_Training[[Solar]:[Wind]],MATCH(AL$1,Job_Training[[`Typical Entry Level Education`]:[`Typical Entry Level Education`]],0),MATCH(LEFT($D694,5),Job_Training[[#Headers],[Solar]:[Wind]],0)),0)</f>
        <v>0</v>
      </c>
      <c r="AM694" s="63">
        <f>IFERROR(INDEX(Job_Training[[Solar]:[Wind]],MATCH(AM$1,Job_Training[[`Typical Entry Level Education`]:[`Typical Entry Level Education`]],0),MATCH(LEFT($D694,5),Job_Training[[#Headers],[Solar]:[Wind]],0)),0)</f>
        <v>0</v>
      </c>
      <c r="AN694" s="63">
        <f>IFERROR(INDEX(Job_Training[[Solar]:[Wind]],MATCH(AN$1,Job_Training[[`Typical Entry Level Education`]:[`Typical Entry Level Education`]],0),MATCH(LEFT($D694,5),Job_Training[[#Headers],[Solar]:[Wind]],0)),0)</f>
        <v>0</v>
      </c>
      <c r="AO694" s="63">
        <f>IFERROR(INDEX(Job_Training[[Solar]:[Wind]],MATCH(AO$1,Job_Training[[`Typical Entry Level Education`]:[`Typical Entry Level Education`]],0),MATCH(LEFT($D694,5),Job_Training[[#Headers],[Solar]:[Wind]],0)),0)</f>
        <v>0</v>
      </c>
      <c r="AP694">
        <f t="shared" si="197"/>
        <v>0</v>
      </c>
      <c r="AQ694" s="63">
        <f>IF(AP694&gt;0,IFERROR(INDEX(Assumptions!$C$165:$D$165,MATCH(LEFT($D694,5),Job_Training[[#Headers],[Solar]:[Wind]],0)),0),0)</f>
        <v>0</v>
      </c>
      <c r="AR694">
        <f>IF(AP694&gt;0,IFERROR(INDEX(Assumptions!$C$166:$D$166,MATCH(LEFT($D694,5),Job_Training[[#Headers],[Solar]:[Wind]],0)),0),0)</f>
        <v>0</v>
      </c>
    </row>
    <row r="695" spans="1:44" hidden="1" x14ac:dyDescent="0.35">
      <c r="A695" t="str">
        <f>UserInput!$B$56</f>
        <v>Max Buildout</v>
      </c>
      <c r="B695">
        <v>2025</v>
      </c>
      <c r="C695" t="s">
        <v>92</v>
      </c>
      <c r="D695" t="s">
        <v>93</v>
      </c>
      <c r="E695" s="66">
        <f>INDEX(UserInput!$C$56:$M$76,MATCH(UserMade_Scenario!B695,UserInput!$A$56:$A$76,0),MATCH(LEFT(IF(RIGHT(C695,2)="H2",UserMade_Scenario!C695,D695),3),UserInput!$C$25:$M$25,0))</f>
        <v>0</v>
      </c>
      <c r="F695" t="s">
        <v>94</v>
      </c>
      <c r="G695" s="14">
        <f t="shared" si="198"/>
        <v>0</v>
      </c>
      <c r="H695" s="63">
        <f t="shared" si="188"/>
        <v>0</v>
      </c>
      <c r="I695" s="63">
        <f t="shared" si="189"/>
        <v>0</v>
      </c>
      <c r="J695" s="63">
        <f t="shared" si="190"/>
        <v>0</v>
      </c>
      <c r="K695" s="30">
        <f>IF(OR(LEFT($D695,5)="Solar",$D695="Wind"),INDEX(Land_Use[AVG],MATCH(LEFT($D695,5),Land_Use[Tech],0)),0)*$E695</f>
        <v>0</v>
      </c>
      <c r="L695" s="30">
        <f>IF(OR(LEFT($D695,5)="Solar",$D695="Wind"),INDEX(Land_Use[MIN],MATCH(LEFT($D695,5),Land_Use[Tech],0)),0)*$E695</f>
        <v>0</v>
      </c>
      <c r="M695" s="30">
        <f>IF(OR(LEFT($D695,5)="Solar",$D695="Wind"),INDEX(Land_Use[MAX],MATCH(LEFT($D695,5),Land_Use[Tech],0)),0)*$E695</f>
        <v>0</v>
      </c>
      <c r="N695" s="15">
        <f t="shared" si="199"/>
        <v>0</v>
      </c>
      <c r="O695" s="11">
        <f t="shared" si="200"/>
        <v>0</v>
      </c>
      <c r="P695" s="11">
        <f t="shared" si="201"/>
        <v>0</v>
      </c>
      <c r="Q695" s="11">
        <f t="shared" si="202"/>
        <v>0</v>
      </c>
      <c r="R695" s="11">
        <f t="shared" si="203"/>
        <v>0</v>
      </c>
      <c r="S695" s="30">
        <f t="shared" si="191"/>
        <v>0</v>
      </c>
      <c r="T695" s="30">
        <f t="shared" si="192"/>
        <v>0</v>
      </c>
      <c r="U695" s="30">
        <f t="shared" si="193"/>
        <v>0</v>
      </c>
      <c r="V695" s="30">
        <f t="shared" si="194"/>
        <v>0</v>
      </c>
      <c r="W695" s="30">
        <f t="shared" si="195"/>
        <v>0</v>
      </c>
      <c r="X695" s="30">
        <f t="shared" si="196"/>
        <v>0</v>
      </c>
      <c r="Z695" s="23" t="s">
        <v>76</v>
      </c>
      <c r="AA695" s="40" t="str">
        <f>IF(C695="Electricity",E695*SUMIFS(Electricity!S:S,Electricity!P:P,UserMade_Scenario!B695,Electricity!M:M,UserMade_Scenario!Z695,Electricity!O:O,UserMade_Scenario!D695),"")</f>
        <v/>
      </c>
      <c r="AB695" s="67">
        <v>1.4243253975000002E-4</v>
      </c>
      <c r="AC695" s="67" t="s">
        <v>95</v>
      </c>
      <c r="AD695" s="39">
        <f>INDEX(Assumptions!E$120:E$141,MATCH(UserMade_Scenario!$B695,Assumptions!$A$120:$A$141,0))</f>
        <v>-16.64</v>
      </c>
      <c r="AE695" s="39">
        <f>INDEX(Assumptions!F$120:F$141,MATCH(UserMade_Scenario!$B695,Assumptions!$A$120:$A$141,0))</f>
        <v>-16.64</v>
      </c>
      <c r="AF695" s="39">
        <f>INDEX(Assumptions!G$120:G$141,MATCH(UserMade_Scenario!$B695,Assumptions!$A$120:$A$141,0))</f>
        <v>-39.14</v>
      </c>
      <c r="AG695" s="68">
        <f>IFERROR(INDEX(WaterUseH2[Average Direct Water Consumption (Gal/ kg h2)],MATCH(LEFT(D695,3),WaterUseH2[Key],0)),0)</f>
        <v>0</v>
      </c>
      <c r="AH695">
        <v>14</v>
      </c>
      <c r="AI695">
        <v>1.4</v>
      </c>
      <c r="AJ695">
        <v>250</v>
      </c>
      <c r="AK695">
        <v>0.31</v>
      </c>
      <c r="AL695" s="63">
        <f>IFERROR(INDEX(Job_Training[[Solar]:[Wind]],MATCH(AL$1,Job_Training[[`Typical Entry Level Education`]:[`Typical Entry Level Education`]],0),MATCH(LEFT($D695,5),Job_Training[[#Headers],[Solar]:[Wind]],0)),0)</f>
        <v>0</v>
      </c>
      <c r="AM695" s="63">
        <f>IFERROR(INDEX(Job_Training[[Solar]:[Wind]],MATCH(AM$1,Job_Training[[`Typical Entry Level Education`]:[`Typical Entry Level Education`]],0),MATCH(LEFT($D695,5),Job_Training[[#Headers],[Solar]:[Wind]],0)),0)</f>
        <v>0</v>
      </c>
      <c r="AN695" s="63">
        <f>IFERROR(INDEX(Job_Training[[Solar]:[Wind]],MATCH(AN$1,Job_Training[[`Typical Entry Level Education`]:[`Typical Entry Level Education`]],0),MATCH(LEFT($D695,5),Job_Training[[#Headers],[Solar]:[Wind]],0)),0)</f>
        <v>0</v>
      </c>
      <c r="AO695" s="63">
        <f>IFERROR(INDEX(Job_Training[[Solar]:[Wind]],MATCH(AO$1,Job_Training[[`Typical Entry Level Education`]:[`Typical Entry Level Education`]],0),MATCH(LEFT($D695,5),Job_Training[[#Headers],[Solar]:[Wind]],0)),0)</f>
        <v>0</v>
      </c>
      <c r="AP695">
        <f t="shared" si="197"/>
        <v>0</v>
      </c>
      <c r="AQ695" s="63">
        <f>IF(AP695&gt;0,IFERROR(INDEX(Assumptions!$C$165:$D$165,MATCH(LEFT($D695,5),Job_Training[[#Headers],[Solar]:[Wind]],0)),0),0)</f>
        <v>0</v>
      </c>
      <c r="AR695">
        <f>IF(AP695&gt;0,IFERROR(INDEX(Assumptions!$C$166:$D$166,MATCH(LEFT($D695,5),Job_Training[[#Headers],[Solar]:[Wind]],0)),0),0)</f>
        <v>0</v>
      </c>
    </row>
    <row r="696" spans="1:44" hidden="1" x14ac:dyDescent="0.35">
      <c r="A696" t="str">
        <f>UserInput!$B$56</f>
        <v>Max Buildout</v>
      </c>
      <c r="B696">
        <v>2026</v>
      </c>
      <c r="C696" t="s">
        <v>92</v>
      </c>
      <c r="D696" t="s">
        <v>93</v>
      </c>
      <c r="E696" s="66">
        <f>INDEX(UserInput!$C$56:$M$76,MATCH(UserMade_Scenario!B696,UserInput!$A$56:$A$76,0),MATCH(LEFT(IF(RIGHT(C696,2)="H2",UserMade_Scenario!C696,D696),3),UserInput!$C$25:$M$25,0))</f>
        <v>0</v>
      </c>
      <c r="F696" t="s">
        <v>94</v>
      </c>
      <c r="G696" s="14">
        <f t="shared" si="198"/>
        <v>0</v>
      </c>
      <c r="H696" s="63">
        <f t="shared" si="188"/>
        <v>0</v>
      </c>
      <c r="I696" s="63">
        <f t="shared" si="189"/>
        <v>0</v>
      </c>
      <c r="J696" s="63">
        <f t="shared" si="190"/>
        <v>0</v>
      </c>
      <c r="K696" s="30">
        <f>IF(OR(LEFT($D696,5)="Solar",$D696="Wind"),INDEX(Land_Use[AVG],MATCH(LEFT($D696,5),Land_Use[Tech],0)),0)*$E696</f>
        <v>0</v>
      </c>
      <c r="L696" s="30">
        <f>IF(OR(LEFT($D696,5)="Solar",$D696="Wind"),INDEX(Land_Use[MIN],MATCH(LEFT($D696,5),Land_Use[Tech],0)),0)*$E696</f>
        <v>0</v>
      </c>
      <c r="M696" s="30">
        <f>IF(OR(LEFT($D696,5)="Solar",$D696="Wind"),INDEX(Land_Use[MAX],MATCH(LEFT($D696,5),Land_Use[Tech],0)),0)*$E696</f>
        <v>0</v>
      </c>
      <c r="N696" s="15">
        <f t="shared" si="199"/>
        <v>0</v>
      </c>
      <c r="O696" s="11">
        <f t="shared" si="200"/>
        <v>0</v>
      </c>
      <c r="P696" s="11">
        <f t="shared" si="201"/>
        <v>0</v>
      </c>
      <c r="Q696" s="11">
        <f t="shared" si="202"/>
        <v>0</v>
      </c>
      <c r="R696" s="11">
        <f t="shared" si="203"/>
        <v>0</v>
      </c>
      <c r="S696" s="30">
        <f t="shared" si="191"/>
        <v>0</v>
      </c>
      <c r="T696" s="30">
        <f t="shared" si="192"/>
        <v>0</v>
      </c>
      <c r="U696" s="30">
        <f t="shared" si="193"/>
        <v>0</v>
      </c>
      <c r="V696" s="30">
        <f t="shared" si="194"/>
        <v>0</v>
      </c>
      <c r="W696" s="30">
        <f t="shared" si="195"/>
        <v>0</v>
      </c>
      <c r="X696" s="30">
        <f t="shared" si="196"/>
        <v>0</v>
      </c>
      <c r="Z696" s="23" t="s">
        <v>76</v>
      </c>
      <c r="AA696" s="40" t="str">
        <f>IF(C696="Electricity",E696*SUMIFS(Electricity!S:S,Electricity!P:P,UserMade_Scenario!B696,Electricity!M:M,UserMade_Scenario!Z696,Electricity!O:O,UserMade_Scenario!D696),"")</f>
        <v/>
      </c>
      <c r="AB696" s="67">
        <v>1.4243253975000002E-4</v>
      </c>
      <c r="AC696" s="67" t="s">
        <v>95</v>
      </c>
      <c r="AD696" s="39">
        <f>INDEX(Assumptions!E$120:E$141,MATCH(UserMade_Scenario!$B696,Assumptions!$A$120:$A$141,0))</f>
        <v>-15.379999999999995</v>
      </c>
      <c r="AE696" s="39">
        <f>INDEX(Assumptions!F$120:F$141,MATCH(UserMade_Scenario!$B696,Assumptions!$A$120:$A$141,0))</f>
        <v>-15.379999999999995</v>
      </c>
      <c r="AF696" s="39">
        <f>INDEX(Assumptions!G$120:G$141,MATCH(UserMade_Scenario!$B696,Assumptions!$A$120:$A$141,0))</f>
        <v>-37.879999999999995</v>
      </c>
      <c r="AG696" s="68">
        <f>IFERROR(INDEX(WaterUseH2[Average Direct Water Consumption (Gal/ kg h2)],MATCH(LEFT(D696,3),WaterUseH2[Key],0)),0)</f>
        <v>0</v>
      </c>
      <c r="AH696">
        <v>14</v>
      </c>
      <c r="AI696">
        <v>1.4</v>
      </c>
      <c r="AJ696">
        <v>250</v>
      </c>
      <c r="AK696">
        <v>0.31</v>
      </c>
      <c r="AL696" s="63">
        <f>IFERROR(INDEX(Job_Training[[Solar]:[Wind]],MATCH(AL$1,Job_Training[[`Typical Entry Level Education`]:[`Typical Entry Level Education`]],0),MATCH(LEFT($D696,5),Job_Training[[#Headers],[Solar]:[Wind]],0)),0)</f>
        <v>0</v>
      </c>
      <c r="AM696" s="63">
        <f>IFERROR(INDEX(Job_Training[[Solar]:[Wind]],MATCH(AM$1,Job_Training[[`Typical Entry Level Education`]:[`Typical Entry Level Education`]],0),MATCH(LEFT($D696,5),Job_Training[[#Headers],[Solar]:[Wind]],0)),0)</f>
        <v>0</v>
      </c>
      <c r="AN696" s="63">
        <f>IFERROR(INDEX(Job_Training[[Solar]:[Wind]],MATCH(AN$1,Job_Training[[`Typical Entry Level Education`]:[`Typical Entry Level Education`]],0),MATCH(LEFT($D696,5),Job_Training[[#Headers],[Solar]:[Wind]],0)),0)</f>
        <v>0</v>
      </c>
      <c r="AO696" s="63">
        <f>IFERROR(INDEX(Job_Training[[Solar]:[Wind]],MATCH(AO$1,Job_Training[[`Typical Entry Level Education`]:[`Typical Entry Level Education`]],0),MATCH(LEFT($D696,5),Job_Training[[#Headers],[Solar]:[Wind]],0)),0)</f>
        <v>0</v>
      </c>
      <c r="AP696">
        <f t="shared" si="197"/>
        <v>0</v>
      </c>
      <c r="AQ696" s="63">
        <f>IF(AP696&gt;0,IFERROR(INDEX(Assumptions!$C$165:$D$165,MATCH(LEFT($D696,5),Job_Training[[#Headers],[Solar]:[Wind]],0)),0),0)</f>
        <v>0</v>
      </c>
      <c r="AR696">
        <f>IF(AP696&gt;0,IFERROR(INDEX(Assumptions!$C$166:$D$166,MATCH(LEFT($D696,5),Job_Training[[#Headers],[Solar]:[Wind]],0)),0),0)</f>
        <v>0</v>
      </c>
    </row>
    <row r="697" spans="1:44" hidden="1" x14ac:dyDescent="0.35">
      <c r="A697" t="str">
        <f>UserInput!$B$56</f>
        <v>Max Buildout</v>
      </c>
      <c r="B697">
        <v>2027</v>
      </c>
      <c r="C697" t="s">
        <v>92</v>
      </c>
      <c r="D697" t="s">
        <v>93</v>
      </c>
      <c r="E697" s="66">
        <f>INDEX(UserInput!$C$56:$M$76,MATCH(UserMade_Scenario!B697,UserInput!$A$56:$A$76,0),MATCH(LEFT(IF(RIGHT(C697,2)="H2",UserMade_Scenario!C697,D697),3),UserInput!$C$25:$M$25,0))</f>
        <v>0</v>
      </c>
      <c r="F697" t="s">
        <v>94</v>
      </c>
      <c r="G697" s="14">
        <f t="shared" si="198"/>
        <v>0</v>
      </c>
      <c r="H697" s="63">
        <f t="shared" si="188"/>
        <v>0</v>
      </c>
      <c r="I697" s="63">
        <f t="shared" si="189"/>
        <v>0</v>
      </c>
      <c r="J697" s="63">
        <f t="shared" si="190"/>
        <v>0</v>
      </c>
      <c r="K697" s="30">
        <f>IF(OR(LEFT($D697,5)="Solar",$D697="Wind"),INDEX(Land_Use[AVG],MATCH(LEFT($D697,5),Land_Use[Tech],0)),0)*$E697</f>
        <v>0</v>
      </c>
      <c r="L697" s="30">
        <f>IF(OR(LEFT($D697,5)="Solar",$D697="Wind"),INDEX(Land_Use[MIN],MATCH(LEFT($D697,5),Land_Use[Tech],0)),0)*$E697</f>
        <v>0</v>
      </c>
      <c r="M697" s="30">
        <f>IF(OR(LEFT($D697,5)="Solar",$D697="Wind"),INDEX(Land_Use[MAX],MATCH(LEFT($D697,5),Land_Use[Tech],0)),0)*$E697</f>
        <v>0</v>
      </c>
      <c r="N697" s="15">
        <f t="shared" si="199"/>
        <v>0</v>
      </c>
      <c r="O697" s="11">
        <f t="shared" si="200"/>
        <v>0</v>
      </c>
      <c r="P697" s="11">
        <f t="shared" si="201"/>
        <v>0</v>
      </c>
      <c r="Q697" s="11">
        <f t="shared" si="202"/>
        <v>0</v>
      </c>
      <c r="R697" s="11">
        <f t="shared" si="203"/>
        <v>0</v>
      </c>
      <c r="S697" s="30">
        <f t="shared" si="191"/>
        <v>0</v>
      </c>
      <c r="T697" s="30">
        <f t="shared" si="192"/>
        <v>0</v>
      </c>
      <c r="U697" s="30">
        <f t="shared" si="193"/>
        <v>0</v>
      </c>
      <c r="V697" s="30">
        <f t="shared" si="194"/>
        <v>0</v>
      </c>
      <c r="W697" s="30">
        <f t="shared" si="195"/>
        <v>0</v>
      </c>
      <c r="X697" s="30">
        <f t="shared" si="196"/>
        <v>0</v>
      </c>
      <c r="Z697" s="23" t="s">
        <v>76</v>
      </c>
      <c r="AA697" s="40" t="str">
        <f>IF(C697="Electricity",E697*SUMIFS(Electricity!S:S,Electricity!P:P,UserMade_Scenario!B697,Electricity!M:M,UserMade_Scenario!Z697,Electricity!O:O,UserMade_Scenario!D697),"")</f>
        <v/>
      </c>
      <c r="AB697" s="67">
        <v>1.4243253975000002E-4</v>
      </c>
      <c r="AC697" s="67" t="s">
        <v>95</v>
      </c>
      <c r="AD697" s="39">
        <f>INDEX(Assumptions!E$120:E$141,MATCH(UserMade_Scenario!$B697,Assumptions!$A$120:$A$141,0))</f>
        <v>-14.129999999999995</v>
      </c>
      <c r="AE697" s="39">
        <f>INDEX(Assumptions!F$120:F$141,MATCH(UserMade_Scenario!$B697,Assumptions!$A$120:$A$141,0))</f>
        <v>-14.129999999999995</v>
      </c>
      <c r="AF697" s="39">
        <f>INDEX(Assumptions!G$120:G$141,MATCH(UserMade_Scenario!$B697,Assumptions!$A$120:$A$141,0))</f>
        <v>-36.629999999999995</v>
      </c>
      <c r="AG697" s="68">
        <f>IFERROR(INDEX(WaterUseH2[Average Direct Water Consumption (Gal/ kg h2)],MATCH(LEFT(D697,3),WaterUseH2[Key],0)),0)</f>
        <v>0</v>
      </c>
      <c r="AH697">
        <v>14</v>
      </c>
      <c r="AI697">
        <v>1.4</v>
      </c>
      <c r="AJ697">
        <v>250</v>
      </c>
      <c r="AK697">
        <v>0.31</v>
      </c>
      <c r="AL697" s="63">
        <f>IFERROR(INDEX(Job_Training[[Solar]:[Wind]],MATCH(AL$1,Job_Training[[`Typical Entry Level Education`]:[`Typical Entry Level Education`]],0),MATCH(LEFT($D697,5),Job_Training[[#Headers],[Solar]:[Wind]],0)),0)</f>
        <v>0</v>
      </c>
      <c r="AM697" s="63">
        <f>IFERROR(INDEX(Job_Training[[Solar]:[Wind]],MATCH(AM$1,Job_Training[[`Typical Entry Level Education`]:[`Typical Entry Level Education`]],0),MATCH(LEFT($D697,5),Job_Training[[#Headers],[Solar]:[Wind]],0)),0)</f>
        <v>0</v>
      </c>
      <c r="AN697" s="63">
        <f>IFERROR(INDEX(Job_Training[[Solar]:[Wind]],MATCH(AN$1,Job_Training[[`Typical Entry Level Education`]:[`Typical Entry Level Education`]],0),MATCH(LEFT($D697,5),Job_Training[[#Headers],[Solar]:[Wind]],0)),0)</f>
        <v>0</v>
      </c>
      <c r="AO697" s="63">
        <f>IFERROR(INDEX(Job_Training[[Solar]:[Wind]],MATCH(AO$1,Job_Training[[`Typical Entry Level Education`]:[`Typical Entry Level Education`]],0),MATCH(LEFT($D697,5),Job_Training[[#Headers],[Solar]:[Wind]],0)),0)</f>
        <v>0</v>
      </c>
      <c r="AP697">
        <f t="shared" si="197"/>
        <v>0</v>
      </c>
      <c r="AQ697" s="63">
        <f>IF(AP697&gt;0,IFERROR(INDEX(Assumptions!$C$165:$D$165,MATCH(LEFT($D697,5),Job_Training[[#Headers],[Solar]:[Wind]],0)),0),0)</f>
        <v>0</v>
      </c>
      <c r="AR697">
        <f>IF(AP697&gt;0,IFERROR(INDEX(Assumptions!$C$166:$D$166,MATCH(LEFT($D697,5),Job_Training[[#Headers],[Solar]:[Wind]],0)),0),0)</f>
        <v>0</v>
      </c>
    </row>
    <row r="698" spans="1:44" hidden="1" x14ac:dyDescent="0.35">
      <c r="A698" t="str">
        <f>UserInput!$B$56</f>
        <v>Max Buildout</v>
      </c>
      <c r="B698">
        <v>2028</v>
      </c>
      <c r="C698" t="s">
        <v>92</v>
      </c>
      <c r="D698" t="s">
        <v>93</v>
      </c>
      <c r="E698" s="66">
        <f>INDEX(UserInput!$C$56:$M$76,MATCH(UserMade_Scenario!B698,UserInput!$A$56:$A$76,0),MATCH(LEFT(IF(RIGHT(C698,2)="H2",UserMade_Scenario!C698,D698),3),UserInput!$C$25:$M$25,0))</f>
        <v>0</v>
      </c>
      <c r="F698" t="s">
        <v>94</v>
      </c>
      <c r="G698" s="14">
        <f t="shared" si="198"/>
        <v>0</v>
      </c>
      <c r="H698" s="63">
        <f t="shared" si="188"/>
        <v>0</v>
      </c>
      <c r="I698" s="63">
        <f t="shared" si="189"/>
        <v>0</v>
      </c>
      <c r="J698" s="63">
        <f t="shared" si="190"/>
        <v>0</v>
      </c>
      <c r="K698" s="30">
        <f>IF(OR(LEFT($D698,5)="Solar",$D698="Wind"),INDEX(Land_Use[AVG],MATCH(LEFT($D698,5),Land_Use[Tech],0)),0)*$E698</f>
        <v>0</v>
      </c>
      <c r="L698" s="30">
        <f>IF(OR(LEFT($D698,5)="Solar",$D698="Wind"),INDEX(Land_Use[MIN],MATCH(LEFT($D698,5),Land_Use[Tech],0)),0)*$E698</f>
        <v>0</v>
      </c>
      <c r="M698" s="30">
        <f>IF(OR(LEFT($D698,5)="Solar",$D698="Wind"),INDEX(Land_Use[MAX],MATCH(LEFT($D698,5),Land_Use[Tech],0)),0)*$E698</f>
        <v>0</v>
      </c>
      <c r="N698" s="15">
        <f t="shared" si="199"/>
        <v>0</v>
      </c>
      <c r="O698" s="11">
        <f t="shared" si="200"/>
        <v>0</v>
      </c>
      <c r="P698" s="11">
        <f t="shared" si="201"/>
        <v>0</v>
      </c>
      <c r="Q698" s="11">
        <f t="shared" si="202"/>
        <v>0</v>
      </c>
      <c r="R698" s="11">
        <f t="shared" si="203"/>
        <v>0</v>
      </c>
      <c r="S698" s="30">
        <f t="shared" si="191"/>
        <v>0</v>
      </c>
      <c r="T698" s="30">
        <f t="shared" si="192"/>
        <v>0</v>
      </c>
      <c r="U698" s="30">
        <f t="shared" si="193"/>
        <v>0</v>
      </c>
      <c r="V698" s="30">
        <f t="shared" si="194"/>
        <v>0</v>
      </c>
      <c r="W698" s="30">
        <f t="shared" si="195"/>
        <v>0</v>
      </c>
      <c r="X698" s="30">
        <f t="shared" si="196"/>
        <v>0</v>
      </c>
      <c r="Z698" s="23" t="s">
        <v>76</v>
      </c>
      <c r="AA698" s="40" t="str">
        <f>IF(C698="Electricity",E698*SUMIFS(Electricity!S:S,Electricity!P:P,UserMade_Scenario!B698,Electricity!M:M,UserMade_Scenario!Z698,Electricity!O:O,UserMade_Scenario!D698),"")</f>
        <v/>
      </c>
      <c r="AB698" s="67">
        <v>1.4243253975000002E-4</v>
      </c>
      <c r="AC698" s="67" t="s">
        <v>95</v>
      </c>
      <c r="AD698" s="39">
        <f>INDEX(Assumptions!E$120:E$141,MATCH(UserMade_Scenario!$B698,Assumptions!$A$120:$A$141,0))</f>
        <v>-12.870000000000005</v>
      </c>
      <c r="AE698" s="39">
        <f>INDEX(Assumptions!F$120:F$141,MATCH(UserMade_Scenario!$B698,Assumptions!$A$120:$A$141,0))</f>
        <v>-12.870000000000005</v>
      </c>
      <c r="AF698" s="39">
        <f>INDEX(Assumptions!G$120:G$141,MATCH(UserMade_Scenario!$B698,Assumptions!$A$120:$A$141,0))</f>
        <v>-35.370000000000005</v>
      </c>
      <c r="AG698" s="68">
        <f>IFERROR(INDEX(WaterUseH2[Average Direct Water Consumption (Gal/ kg h2)],MATCH(LEFT(D698,3),WaterUseH2[Key],0)),0)</f>
        <v>0</v>
      </c>
      <c r="AH698">
        <v>14</v>
      </c>
      <c r="AI698">
        <v>1.4</v>
      </c>
      <c r="AJ698">
        <v>250</v>
      </c>
      <c r="AK698">
        <v>0.31</v>
      </c>
      <c r="AL698" s="63">
        <f>IFERROR(INDEX(Job_Training[[Solar]:[Wind]],MATCH(AL$1,Job_Training[[`Typical Entry Level Education`]:[`Typical Entry Level Education`]],0),MATCH(LEFT($D698,5),Job_Training[[#Headers],[Solar]:[Wind]],0)),0)</f>
        <v>0</v>
      </c>
      <c r="AM698" s="63">
        <f>IFERROR(INDEX(Job_Training[[Solar]:[Wind]],MATCH(AM$1,Job_Training[[`Typical Entry Level Education`]:[`Typical Entry Level Education`]],0),MATCH(LEFT($D698,5),Job_Training[[#Headers],[Solar]:[Wind]],0)),0)</f>
        <v>0</v>
      </c>
      <c r="AN698" s="63">
        <f>IFERROR(INDEX(Job_Training[[Solar]:[Wind]],MATCH(AN$1,Job_Training[[`Typical Entry Level Education`]:[`Typical Entry Level Education`]],0),MATCH(LEFT($D698,5),Job_Training[[#Headers],[Solar]:[Wind]],0)),0)</f>
        <v>0</v>
      </c>
      <c r="AO698" s="63">
        <f>IFERROR(INDEX(Job_Training[[Solar]:[Wind]],MATCH(AO$1,Job_Training[[`Typical Entry Level Education`]:[`Typical Entry Level Education`]],0),MATCH(LEFT($D698,5),Job_Training[[#Headers],[Solar]:[Wind]],0)),0)</f>
        <v>0</v>
      </c>
      <c r="AP698">
        <f t="shared" si="197"/>
        <v>0</v>
      </c>
      <c r="AQ698" s="63">
        <f>IF(AP698&gt;0,IFERROR(INDEX(Assumptions!$C$165:$D$165,MATCH(LEFT($D698,5),Job_Training[[#Headers],[Solar]:[Wind]],0)),0),0)</f>
        <v>0</v>
      </c>
      <c r="AR698">
        <f>IF(AP698&gt;0,IFERROR(INDEX(Assumptions!$C$166:$D$166,MATCH(LEFT($D698,5),Job_Training[[#Headers],[Solar]:[Wind]],0)),0),0)</f>
        <v>0</v>
      </c>
    </row>
    <row r="699" spans="1:44" hidden="1" x14ac:dyDescent="0.35">
      <c r="A699" t="str">
        <f>UserInput!$B$56</f>
        <v>Max Buildout</v>
      </c>
      <c r="B699">
        <v>2029</v>
      </c>
      <c r="C699" t="s">
        <v>92</v>
      </c>
      <c r="D699" t="s">
        <v>93</v>
      </c>
      <c r="E699" s="66">
        <f>INDEX(UserInput!$C$56:$M$76,MATCH(UserMade_Scenario!B699,UserInput!$A$56:$A$76,0),MATCH(LEFT(IF(RIGHT(C699,2)="H2",UserMade_Scenario!C699,D699),3),UserInput!$C$25:$M$25,0))</f>
        <v>0</v>
      </c>
      <c r="F699" t="s">
        <v>94</v>
      </c>
      <c r="G699" s="14">
        <f t="shared" si="198"/>
        <v>0</v>
      </c>
      <c r="H699" s="63">
        <f t="shared" ref="H699:H736" si="204">IF($C699="Electricity",$AA699/1000000,$G699)*AD699*-1</f>
        <v>0</v>
      </c>
      <c r="I699" s="63">
        <f t="shared" ref="I699:I736" si="205">IF($C699="Electricity",$AA699/1000000,$G699)*AE699*-1</f>
        <v>0</v>
      </c>
      <c r="J699" s="63">
        <f t="shared" ref="J699:J736" si="206">IF($C699="Electricity",$AA699/1000000,$G699)*AF699*-1</f>
        <v>0</v>
      </c>
      <c r="K699" s="30">
        <f>IF(OR(LEFT($D699,5)="Solar",$D699="Wind"),INDEX(Land_Use[AVG],MATCH(LEFT($D699,5),Land_Use[Tech],0)),0)*$E699</f>
        <v>0</v>
      </c>
      <c r="L699" s="30">
        <f>IF(OR(LEFT($D699,5)="Solar",$D699="Wind"),INDEX(Land_Use[MIN],MATCH(LEFT($D699,5),Land_Use[Tech],0)),0)*$E699</f>
        <v>0</v>
      </c>
      <c r="M699" s="30">
        <f>IF(OR(LEFT($D699,5)="Solar",$D699="Wind"),INDEX(Land_Use[MAX],MATCH(LEFT($D699,5),Land_Use[Tech],0)),0)*$E699</f>
        <v>0</v>
      </c>
      <c r="N699" s="15">
        <f t="shared" si="199"/>
        <v>0</v>
      </c>
      <c r="O699" s="11">
        <f t="shared" si="200"/>
        <v>0</v>
      </c>
      <c r="P699" s="11">
        <f t="shared" si="201"/>
        <v>0</v>
      </c>
      <c r="Q699" s="11">
        <f t="shared" si="202"/>
        <v>0</v>
      </c>
      <c r="R699" s="11">
        <f t="shared" si="203"/>
        <v>0</v>
      </c>
      <c r="S699" s="30">
        <f t="shared" si="191"/>
        <v>0</v>
      </c>
      <c r="T699" s="30">
        <f t="shared" si="192"/>
        <v>0</v>
      </c>
      <c r="U699" s="30">
        <f t="shared" si="193"/>
        <v>0</v>
      </c>
      <c r="V699" s="30">
        <f t="shared" si="194"/>
        <v>0</v>
      </c>
      <c r="W699" s="30">
        <f t="shared" si="195"/>
        <v>0</v>
      </c>
      <c r="X699" s="30">
        <f t="shared" si="196"/>
        <v>0</v>
      </c>
      <c r="Y699" s="31"/>
      <c r="Z699" s="23" t="s">
        <v>76</v>
      </c>
      <c r="AA699" s="40" t="str">
        <f>IF(C699="Electricity",E699*SUMIFS(Electricity!S:S,Electricity!P:P,UserMade_Scenario!B699,Electricity!M:M,UserMade_Scenario!Z699,Electricity!O:O,UserMade_Scenario!D699),"")</f>
        <v/>
      </c>
      <c r="AB699" s="67">
        <v>1.4243253975000002E-4</v>
      </c>
      <c r="AC699" s="67" t="s">
        <v>95</v>
      </c>
      <c r="AD699" s="39">
        <f>INDEX(Assumptions!E$120:E$141,MATCH(UserMade_Scenario!$B699,Assumptions!$A$120:$A$141,0))</f>
        <v>-11.620000000000005</v>
      </c>
      <c r="AE699" s="39">
        <f>INDEX(Assumptions!F$120:F$141,MATCH(UserMade_Scenario!$B699,Assumptions!$A$120:$A$141,0))</f>
        <v>-11.620000000000005</v>
      </c>
      <c r="AF699" s="39">
        <f>INDEX(Assumptions!G$120:G$141,MATCH(UserMade_Scenario!$B699,Assumptions!$A$120:$A$141,0))</f>
        <v>-34.120000000000005</v>
      </c>
      <c r="AG699" s="68">
        <f>IFERROR(INDEX(WaterUseH2[Average Direct Water Consumption (Gal/ kg h2)],MATCH(LEFT(D699,3),WaterUseH2[Key],0)),0)</f>
        <v>0</v>
      </c>
      <c r="AH699">
        <v>14</v>
      </c>
      <c r="AI699">
        <v>1.4</v>
      </c>
      <c r="AJ699">
        <v>250</v>
      </c>
      <c r="AK699">
        <v>0.31</v>
      </c>
      <c r="AL699" s="63">
        <f>IFERROR(INDEX(Job_Training[[Solar]:[Wind]],MATCH(AL$1,Job_Training[[`Typical Entry Level Education`]:[`Typical Entry Level Education`]],0),MATCH(LEFT($D699,5),Job_Training[[#Headers],[Solar]:[Wind]],0)),0)</f>
        <v>0</v>
      </c>
      <c r="AM699" s="63">
        <f>IFERROR(INDEX(Job_Training[[Solar]:[Wind]],MATCH(AM$1,Job_Training[[`Typical Entry Level Education`]:[`Typical Entry Level Education`]],0),MATCH(LEFT($D699,5),Job_Training[[#Headers],[Solar]:[Wind]],0)),0)</f>
        <v>0</v>
      </c>
      <c r="AN699" s="63">
        <f>IFERROR(INDEX(Job_Training[[Solar]:[Wind]],MATCH(AN$1,Job_Training[[`Typical Entry Level Education`]:[`Typical Entry Level Education`]],0),MATCH(LEFT($D699,5),Job_Training[[#Headers],[Solar]:[Wind]],0)),0)</f>
        <v>0</v>
      </c>
      <c r="AO699" s="63">
        <f>IFERROR(INDEX(Job_Training[[Solar]:[Wind]],MATCH(AO$1,Job_Training[[`Typical Entry Level Education`]:[`Typical Entry Level Education`]],0),MATCH(LEFT($D699,5),Job_Training[[#Headers],[Solar]:[Wind]],0)),0)</f>
        <v>0</v>
      </c>
      <c r="AP699">
        <f t="shared" si="197"/>
        <v>0</v>
      </c>
      <c r="AQ699" s="63">
        <f>IF(AP699&gt;0,IFERROR(INDEX(Assumptions!$C$165:$D$165,MATCH(LEFT($D699,5),Job_Training[[#Headers],[Solar]:[Wind]],0)),0),0)</f>
        <v>0</v>
      </c>
      <c r="AR699">
        <f>IF(AP699&gt;0,IFERROR(INDEX(Assumptions!$C$166:$D$166,MATCH(LEFT($D699,5),Job_Training[[#Headers],[Solar]:[Wind]],0)),0),0)</f>
        <v>0</v>
      </c>
    </row>
    <row r="700" spans="1:44" hidden="1" x14ac:dyDescent="0.35">
      <c r="A700" t="str">
        <f>UserInput!$B$56</f>
        <v>Max Buildout</v>
      </c>
      <c r="B700">
        <v>2030</v>
      </c>
      <c r="C700" t="s">
        <v>92</v>
      </c>
      <c r="D700" t="s">
        <v>93</v>
      </c>
      <c r="E700" s="66">
        <f>INDEX(UserInput!$C$56:$M$76,MATCH(UserMade_Scenario!B700,UserInput!$A$56:$A$76,0),MATCH(LEFT(IF(RIGHT(C700,2)="H2",UserMade_Scenario!C700,D700),3),UserInput!$C$25:$M$25,0))</f>
        <v>50</v>
      </c>
      <c r="F700" t="s">
        <v>94</v>
      </c>
      <c r="G700" s="14">
        <f t="shared" si="198"/>
        <v>7.1216269875000009E-3</v>
      </c>
      <c r="H700" s="63">
        <f t="shared" si="204"/>
        <v>7.3780055590500007E-2</v>
      </c>
      <c r="I700" s="63">
        <f t="shared" si="205"/>
        <v>7.3780055590500007E-2</v>
      </c>
      <c r="J700" s="63">
        <f t="shared" si="206"/>
        <v>0.23401666280925001</v>
      </c>
      <c r="K700" s="30">
        <f>IF(OR(LEFT($D700,5)="Solar",$D700="Wind"),INDEX(Land_Use[AVG],MATCH(LEFT($D700,5),Land_Use[Tech],0)),0)*$E700</f>
        <v>0</v>
      </c>
      <c r="L700" s="30">
        <f>IF(OR(LEFT($D700,5)="Solar",$D700="Wind"),INDEX(Land_Use[MIN],MATCH(LEFT($D700,5),Land_Use[Tech],0)),0)*$E700</f>
        <v>0</v>
      </c>
      <c r="M700" s="30">
        <f>IF(OR(LEFT($D700,5)="Solar",$D700="Wind"),INDEX(Land_Use[MAX],MATCH(LEFT($D700,5),Land_Use[Tech],0)),0)*$E700</f>
        <v>0</v>
      </c>
      <c r="N700" s="15">
        <f t="shared" si="199"/>
        <v>0</v>
      </c>
      <c r="O700" s="11">
        <f t="shared" si="200"/>
        <v>0</v>
      </c>
      <c r="P700" s="11">
        <f t="shared" si="201"/>
        <v>0</v>
      </c>
      <c r="Q700" s="11">
        <f t="shared" si="202"/>
        <v>0</v>
      </c>
      <c r="R700" s="11">
        <f t="shared" si="203"/>
        <v>0</v>
      </c>
      <c r="S700" s="30">
        <f t="shared" si="191"/>
        <v>0</v>
      </c>
      <c r="T700" s="30">
        <f t="shared" si="192"/>
        <v>0</v>
      </c>
      <c r="U700" s="30">
        <f t="shared" si="193"/>
        <v>0</v>
      </c>
      <c r="V700" s="30">
        <f t="shared" si="194"/>
        <v>0</v>
      </c>
      <c r="W700" s="30">
        <f t="shared" si="195"/>
        <v>0</v>
      </c>
      <c r="X700" s="30">
        <f t="shared" si="196"/>
        <v>0</v>
      </c>
      <c r="Z700" s="23" t="s">
        <v>76</v>
      </c>
      <c r="AA700" s="40" t="str">
        <f>IF(C700="Electricity",E700*SUMIFS(Electricity!S:S,Electricity!P:P,UserMade_Scenario!B700,Electricity!M:M,UserMade_Scenario!Z700,Electricity!O:O,UserMade_Scenario!D700),"")</f>
        <v/>
      </c>
      <c r="AB700" s="67">
        <v>1.4243253975000002E-4</v>
      </c>
      <c r="AC700" s="67" t="s">
        <v>95</v>
      </c>
      <c r="AD700" s="39">
        <f>INDEX(Assumptions!E$120:E$141,MATCH(UserMade_Scenario!$B700,Assumptions!$A$120:$A$141,0))</f>
        <v>-10.36</v>
      </c>
      <c r="AE700" s="39">
        <f>INDEX(Assumptions!F$120:F$141,MATCH(UserMade_Scenario!$B700,Assumptions!$A$120:$A$141,0))</f>
        <v>-10.36</v>
      </c>
      <c r="AF700" s="39">
        <f>INDEX(Assumptions!G$120:G$141,MATCH(UserMade_Scenario!$B700,Assumptions!$A$120:$A$141,0))</f>
        <v>-32.86</v>
      </c>
      <c r="AG700" s="68">
        <f>IFERROR(INDEX(WaterUseH2[Average Direct Water Consumption (Gal/ kg h2)],MATCH(LEFT(D700,3),WaterUseH2[Key],0)),0)</f>
        <v>0</v>
      </c>
      <c r="AH700">
        <v>14</v>
      </c>
      <c r="AI700">
        <v>1.4</v>
      </c>
      <c r="AJ700">
        <v>250</v>
      </c>
      <c r="AK700">
        <v>0.31</v>
      </c>
      <c r="AL700" s="63">
        <f>IFERROR(INDEX(Job_Training[[Solar]:[Wind]],MATCH(AL$1,Job_Training[[`Typical Entry Level Education`]:[`Typical Entry Level Education`]],0),MATCH(LEFT($D700,5),Job_Training[[#Headers],[Solar]:[Wind]],0)),0)</f>
        <v>0</v>
      </c>
      <c r="AM700" s="63">
        <f>IFERROR(INDEX(Job_Training[[Solar]:[Wind]],MATCH(AM$1,Job_Training[[`Typical Entry Level Education`]:[`Typical Entry Level Education`]],0),MATCH(LEFT($D700,5),Job_Training[[#Headers],[Solar]:[Wind]],0)),0)</f>
        <v>0</v>
      </c>
      <c r="AN700" s="63">
        <f>IFERROR(INDEX(Job_Training[[Solar]:[Wind]],MATCH(AN$1,Job_Training[[`Typical Entry Level Education`]:[`Typical Entry Level Education`]],0),MATCH(LEFT($D700,5),Job_Training[[#Headers],[Solar]:[Wind]],0)),0)</f>
        <v>0</v>
      </c>
      <c r="AO700" s="63">
        <f>IFERROR(INDEX(Job_Training[[Solar]:[Wind]],MATCH(AO$1,Job_Training[[`Typical Entry Level Education`]:[`Typical Entry Level Education`]],0),MATCH(LEFT($D700,5),Job_Training[[#Headers],[Solar]:[Wind]],0)),0)</f>
        <v>0</v>
      </c>
      <c r="AP700">
        <f t="shared" si="197"/>
        <v>0</v>
      </c>
      <c r="AQ700" s="63">
        <f>IF(AP700&gt;0,IFERROR(INDEX(Assumptions!$C$165:$D$165,MATCH(LEFT($D700,5),Job_Training[[#Headers],[Solar]:[Wind]],0)),0),0)</f>
        <v>0</v>
      </c>
      <c r="AR700">
        <f>IF(AP700&gt;0,IFERROR(INDEX(Assumptions!$C$166:$D$166,MATCH(LEFT($D700,5),Job_Training[[#Headers],[Solar]:[Wind]],0)),0),0)</f>
        <v>0</v>
      </c>
    </row>
    <row r="701" spans="1:44" hidden="1" x14ac:dyDescent="0.35">
      <c r="A701" t="str">
        <f>UserInput!$B$56</f>
        <v>Max Buildout</v>
      </c>
      <c r="B701">
        <v>2031</v>
      </c>
      <c r="C701" t="s">
        <v>92</v>
      </c>
      <c r="D701" t="s">
        <v>93</v>
      </c>
      <c r="E701" s="66">
        <f>INDEX(UserInput!$C$56:$M$76,MATCH(UserMade_Scenario!B701,UserInput!$A$56:$A$76,0),MATCH(LEFT(IF(RIGHT(C701,2)="H2",UserMade_Scenario!C701,D701),3),UserInput!$C$25:$M$25,0))</f>
        <v>60</v>
      </c>
      <c r="F701" t="s">
        <v>94</v>
      </c>
      <c r="G701" s="14">
        <f t="shared" si="198"/>
        <v>8.5459523850000014E-3</v>
      </c>
      <c r="H701" s="63">
        <f t="shared" si="204"/>
        <v>8.8536066708600009E-2</v>
      </c>
      <c r="I701" s="63">
        <f t="shared" si="205"/>
        <v>8.8536066708600009E-2</v>
      </c>
      <c r="J701" s="63">
        <f t="shared" si="206"/>
        <v>0.28081999537110003</v>
      </c>
      <c r="K701" s="30">
        <f>IF(OR(LEFT($D701,5)="Solar",$D701="Wind"),INDEX(Land_Use[AVG],MATCH(LEFT($D701,5),Land_Use[Tech],0)),0)*$E701</f>
        <v>0</v>
      </c>
      <c r="L701" s="30">
        <f>IF(OR(LEFT($D701,5)="Solar",$D701="Wind"),INDEX(Land_Use[MIN],MATCH(LEFT($D701,5),Land_Use[Tech],0)),0)*$E701</f>
        <v>0</v>
      </c>
      <c r="M701" s="30">
        <f>IF(OR(LEFT($D701,5)="Solar",$D701="Wind"),INDEX(Land_Use[MAX],MATCH(LEFT($D701,5),Land_Use[Tech],0)),0)*$E701</f>
        <v>0</v>
      </c>
      <c r="N701" s="15">
        <f t="shared" si="199"/>
        <v>0</v>
      </c>
      <c r="O701" s="11">
        <f t="shared" si="200"/>
        <v>0</v>
      </c>
      <c r="P701" s="11">
        <f t="shared" si="201"/>
        <v>0</v>
      </c>
      <c r="Q701" s="11">
        <f t="shared" si="202"/>
        <v>0</v>
      </c>
      <c r="R701" s="11">
        <f t="shared" si="203"/>
        <v>0</v>
      </c>
      <c r="S701" s="30">
        <f t="shared" si="191"/>
        <v>0</v>
      </c>
      <c r="T701" s="30">
        <f t="shared" si="192"/>
        <v>0</v>
      </c>
      <c r="U701" s="30">
        <f t="shared" si="193"/>
        <v>0</v>
      </c>
      <c r="V701" s="30">
        <f t="shared" si="194"/>
        <v>0</v>
      </c>
      <c r="W701" s="30">
        <f t="shared" si="195"/>
        <v>0</v>
      </c>
      <c r="X701" s="30">
        <f t="shared" si="196"/>
        <v>0</v>
      </c>
      <c r="Z701" s="23" t="s">
        <v>76</v>
      </c>
      <c r="AA701" s="40" t="str">
        <f>IF(C701="Electricity",E701*SUMIFS(Electricity!S:S,Electricity!P:P,UserMade_Scenario!B701,Electricity!M:M,UserMade_Scenario!Z701,Electricity!O:O,UserMade_Scenario!D701),"")</f>
        <v/>
      </c>
      <c r="AB701" s="67">
        <v>1.4243253975000002E-4</v>
      </c>
      <c r="AC701" s="67" t="s">
        <v>95</v>
      </c>
      <c r="AD701" s="39">
        <f>INDEX(Assumptions!E$120:E$141,MATCH(UserMade_Scenario!$B701,Assumptions!$A$120:$A$141,0))</f>
        <v>-10.36</v>
      </c>
      <c r="AE701" s="39">
        <f>INDEX(Assumptions!F$120:F$141,MATCH(UserMade_Scenario!$B701,Assumptions!$A$120:$A$141,0))</f>
        <v>-10.36</v>
      </c>
      <c r="AF701" s="39">
        <f>INDEX(Assumptions!G$120:G$141,MATCH(UserMade_Scenario!$B701,Assumptions!$A$120:$A$141,0))</f>
        <v>-32.86</v>
      </c>
      <c r="AG701" s="68">
        <f>IFERROR(INDEX(WaterUseH2[Average Direct Water Consumption (Gal/ kg h2)],MATCH(LEFT(D701,3),WaterUseH2[Key],0)),0)</f>
        <v>0</v>
      </c>
      <c r="AH701">
        <v>14</v>
      </c>
      <c r="AI701">
        <v>1.4</v>
      </c>
      <c r="AJ701">
        <v>250</v>
      </c>
      <c r="AK701">
        <v>0.31</v>
      </c>
      <c r="AL701" s="63">
        <f>IFERROR(INDEX(Job_Training[[Solar]:[Wind]],MATCH(AL$1,Job_Training[[`Typical Entry Level Education`]:[`Typical Entry Level Education`]],0),MATCH(LEFT($D701,5),Job_Training[[#Headers],[Solar]:[Wind]],0)),0)</f>
        <v>0</v>
      </c>
      <c r="AM701" s="63">
        <f>IFERROR(INDEX(Job_Training[[Solar]:[Wind]],MATCH(AM$1,Job_Training[[`Typical Entry Level Education`]:[`Typical Entry Level Education`]],0),MATCH(LEFT($D701,5),Job_Training[[#Headers],[Solar]:[Wind]],0)),0)</f>
        <v>0</v>
      </c>
      <c r="AN701" s="63">
        <f>IFERROR(INDEX(Job_Training[[Solar]:[Wind]],MATCH(AN$1,Job_Training[[`Typical Entry Level Education`]:[`Typical Entry Level Education`]],0),MATCH(LEFT($D701,5),Job_Training[[#Headers],[Solar]:[Wind]],0)),0)</f>
        <v>0</v>
      </c>
      <c r="AO701" s="63">
        <f>IFERROR(INDEX(Job_Training[[Solar]:[Wind]],MATCH(AO$1,Job_Training[[`Typical Entry Level Education`]:[`Typical Entry Level Education`]],0),MATCH(LEFT($D701,5),Job_Training[[#Headers],[Solar]:[Wind]],0)),0)</f>
        <v>0</v>
      </c>
      <c r="AP701">
        <f t="shared" si="197"/>
        <v>0</v>
      </c>
      <c r="AQ701" s="63">
        <f>IF(AP701&gt;0,IFERROR(INDEX(Assumptions!$C$165:$D$165,MATCH(LEFT($D701,5),Job_Training[[#Headers],[Solar]:[Wind]],0)),0),0)</f>
        <v>0</v>
      </c>
      <c r="AR701">
        <f>IF(AP701&gt;0,IFERROR(INDEX(Assumptions!$C$166:$D$166,MATCH(LEFT($D701,5),Job_Training[[#Headers],[Solar]:[Wind]],0)),0),0)</f>
        <v>0</v>
      </c>
    </row>
    <row r="702" spans="1:44" hidden="1" x14ac:dyDescent="0.35">
      <c r="A702" t="str">
        <f>UserInput!$B$56</f>
        <v>Max Buildout</v>
      </c>
      <c r="B702">
        <v>2032</v>
      </c>
      <c r="C702" t="s">
        <v>92</v>
      </c>
      <c r="D702" t="s">
        <v>93</v>
      </c>
      <c r="E702" s="66">
        <f>INDEX(UserInput!$C$56:$M$76,MATCH(UserMade_Scenario!B702,UserInput!$A$56:$A$76,0),MATCH(LEFT(IF(RIGHT(C702,2)="H2",UserMade_Scenario!C702,D702),3),UserInput!$C$25:$M$25,0))</f>
        <v>70</v>
      </c>
      <c r="F702" t="s">
        <v>94</v>
      </c>
      <c r="G702" s="14">
        <f t="shared" si="198"/>
        <v>9.9702777825000019E-3</v>
      </c>
      <c r="H702" s="63">
        <f t="shared" si="204"/>
        <v>0.10329207782670001</v>
      </c>
      <c r="I702" s="63">
        <f t="shared" si="205"/>
        <v>0.10329207782670001</v>
      </c>
      <c r="J702" s="63">
        <f t="shared" si="206"/>
        <v>0.32762332793295007</v>
      </c>
      <c r="K702" s="30">
        <f>IF(OR(LEFT($D702,5)="Solar",$D702="Wind"),INDEX(Land_Use[AVG],MATCH(LEFT($D702,5),Land_Use[Tech],0)),0)*$E702</f>
        <v>0</v>
      </c>
      <c r="L702" s="30">
        <f>IF(OR(LEFT($D702,5)="Solar",$D702="Wind"),INDEX(Land_Use[MIN],MATCH(LEFT($D702,5),Land_Use[Tech],0)),0)*$E702</f>
        <v>0</v>
      </c>
      <c r="M702" s="30">
        <f>IF(OR(LEFT($D702,5)="Solar",$D702="Wind"),INDEX(Land_Use[MAX],MATCH(LEFT($D702,5),Land_Use[Tech],0)),0)*$E702</f>
        <v>0</v>
      </c>
      <c r="N702" s="15">
        <f t="shared" si="199"/>
        <v>0</v>
      </c>
      <c r="O702" s="11">
        <f t="shared" si="200"/>
        <v>0</v>
      </c>
      <c r="P702" s="11">
        <f t="shared" si="201"/>
        <v>0</v>
      </c>
      <c r="Q702" s="11">
        <f t="shared" si="202"/>
        <v>0</v>
      </c>
      <c r="R702" s="11">
        <f t="shared" si="203"/>
        <v>0</v>
      </c>
      <c r="S702" s="30">
        <f t="shared" si="191"/>
        <v>0</v>
      </c>
      <c r="T702" s="30">
        <f t="shared" si="192"/>
        <v>0</v>
      </c>
      <c r="U702" s="30">
        <f t="shared" si="193"/>
        <v>0</v>
      </c>
      <c r="V702" s="30">
        <f t="shared" si="194"/>
        <v>0</v>
      </c>
      <c r="W702" s="30">
        <f t="shared" si="195"/>
        <v>0</v>
      </c>
      <c r="X702" s="30">
        <f t="shared" si="196"/>
        <v>0</v>
      </c>
      <c r="Z702" s="23" t="s">
        <v>76</v>
      </c>
      <c r="AA702" s="40" t="str">
        <f>IF(C702="Electricity",E702*SUMIFS(Electricity!S:S,Electricity!P:P,UserMade_Scenario!B702,Electricity!M:M,UserMade_Scenario!Z702,Electricity!O:O,UserMade_Scenario!D702),"")</f>
        <v/>
      </c>
      <c r="AB702" s="67">
        <v>1.4243253975000002E-4</v>
      </c>
      <c r="AC702" s="67" t="s">
        <v>95</v>
      </c>
      <c r="AD702" s="39">
        <f>INDEX(Assumptions!E$120:E$141,MATCH(UserMade_Scenario!$B702,Assumptions!$A$120:$A$141,0))</f>
        <v>-10.36</v>
      </c>
      <c r="AE702" s="39">
        <f>INDEX(Assumptions!F$120:F$141,MATCH(UserMade_Scenario!$B702,Assumptions!$A$120:$A$141,0))</f>
        <v>-10.36</v>
      </c>
      <c r="AF702" s="39">
        <f>INDEX(Assumptions!G$120:G$141,MATCH(UserMade_Scenario!$B702,Assumptions!$A$120:$A$141,0))</f>
        <v>-32.86</v>
      </c>
      <c r="AG702" s="68">
        <f>IFERROR(INDEX(WaterUseH2[Average Direct Water Consumption (Gal/ kg h2)],MATCH(LEFT(D702,3),WaterUseH2[Key],0)),0)</f>
        <v>0</v>
      </c>
      <c r="AH702">
        <v>14</v>
      </c>
      <c r="AI702">
        <v>1.4</v>
      </c>
      <c r="AJ702">
        <v>250</v>
      </c>
      <c r="AK702">
        <v>0.31</v>
      </c>
      <c r="AL702" s="63">
        <f>IFERROR(INDEX(Job_Training[[Solar]:[Wind]],MATCH(AL$1,Job_Training[[`Typical Entry Level Education`]:[`Typical Entry Level Education`]],0),MATCH(LEFT($D702,5),Job_Training[[#Headers],[Solar]:[Wind]],0)),0)</f>
        <v>0</v>
      </c>
      <c r="AM702" s="63">
        <f>IFERROR(INDEX(Job_Training[[Solar]:[Wind]],MATCH(AM$1,Job_Training[[`Typical Entry Level Education`]:[`Typical Entry Level Education`]],0),MATCH(LEFT($D702,5),Job_Training[[#Headers],[Solar]:[Wind]],0)),0)</f>
        <v>0</v>
      </c>
      <c r="AN702" s="63">
        <f>IFERROR(INDEX(Job_Training[[Solar]:[Wind]],MATCH(AN$1,Job_Training[[`Typical Entry Level Education`]:[`Typical Entry Level Education`]],0),MATCH(LEFT($D702,5),Job_Training[[#Headers],[Solar]:[Wind]],0)),0)</f>
        <v>0</v>
      </c>
      <c r="AO702" s="63">
        <f>IFERROR(INDEX(Job_Training[[Solar]:[Wind]],MATCH(AO$1,Job_Training[[`Typical Entry Level Education`]:[`Typical Entry Level Education`]],0),MATCH(LEFT($D702,5),Job_Training[[#Headers],[Solar]:[Wind]],0)),0)</f>
        <v>0</v>
      </c>
      <c r="AP702">
        <f t="shared" si="197"/>
        <v>0</v>
      </c>
      <c r="AQ702" s="63">
        <f>IF(AP702&gt;0,IFERROR(INDEX(Assumptions!$C$165:$D$165,MATCH(LEFT($D702,5),Job_Training[[#Headers],[Solar]:[Wind]],0)),0),0)</f>
        <v>0</v>
      </c>
      <c r="AR702">
        <f>IF(AP702&gt;0,IFERROR(INDEX(Assumptions!$C$166:$D$166,MATCH(LEFT($D702,5),Job_Training[[#Headers],[Solar]:[Wind]],0)),0),0)</f>
        <v>0</v>
      </c>
    </row>
    <row r="703" spans="1:44" hidden="1" x14ac:dyDescent="0.35">
      <c r="A703" t="str">
        <f>UserInput!$B$56</f>
        <v>Max Buildout</v>
      </c>
      <c r="B703">
        <v>2033</v>
      </c>
      <c r="C703" t="s">
        <v>92</v>
      </c>
      <c r="D703" t="s">
        <v>93</v>
      </c>
      <c r="E703" s="66">
        <f>INDEX(UserInput!$C$56:$M$76,MATCH(UserMade_Scenario!B703,UserInput!$A$56:$A$76,0),MATCH(LEFT(IF(RIGHT(C703,2)="H2",UserMade_Scenario!C703,D703),3),UserInput!$C$25:$M$25,0))</f>
        <v>80</v>
      </c>
      <c r="F703" t="s">
        <v>94</v>
      </c>
      <c r="G703" s="14">
        <f t="shared" si="198"/>
        <v>1.1394603180000001E-2</v>
      </c>
      <c r="H703" s="63">
        <f t="shared" si="204"/>
        <v>0.1180480889448</v>
      </c>
      <c r="I703" s="63">
        <f t="shared" si="205"/>
        <v>0.1180480889448</v>
      </c>
      <c r="J703" s="63">
        <f t="shared" si="206"/>
        <v>0.3744266604948</v>
      </c>
      <c r="K703" s="30">
        <f>IF(OR(LEFT($D703,5)="Solar",$D703="Wind"),INDEX(Land_Use[AVG],MATCH(LEFT($D703,5),Land_Use[Tech],0)),0)*$E703</f>
        <v>0</v>
      </c>
      <c r="L703" s="30">
        <f>IF(OR(LEFT($D703,5)="Solar",$D703="Wind"),INDEX(Land_Use[MIN],MATCH(LEFT($D703,5),Land_Use[Tech],0)),0)*$E703</f>
        <v>0</v>
      </c>
      <c r="M703" s="30">
        <f>IF(OR(LEFT($D703,5)="Solar",$D703="Wind"),INDEX(Land_Use[MAX],MATCH(LEFT($D703,5),Land_Use[Tech],0)),0)*$E703</f>
        <v>0</v>
      </c>
      <c r="N703" s="15">
        <f t="shared" si="199"/>
        <v>0</v>
      </c>
      <c r="O703" s="11">
        <f t="shared" si="200"/>
        <v>0</v>
      </c>
      <c r="P703" s="11">
        <f t="shared" si="201"/>
        <v>0</v>
      </c>
      <c r="Q703" s="11">
        <f t="shared" si="202"/>
        <v>0</v>
      </c>
      <c r="R703" s="11">
        <f t="shared" si="203"/>
        <v>0</v>
      </c>
      <c r="S703" s="30">
        <f t="shared" si="191"/>
        <v>0</v>
      </c>
      <c r="T703" s="30">
        <f t="shared" si="192"/>
        <v>0</v>
      </c>
      <c r="U703" s="30">
        <f t="shared" si="193"/>
        <v>0</v>
      </c>
      <c r="V703" s="30">
        <f t="shared" si="194"/>
        <v>0</v>
      </c>
      <c r="W703" s="30">
        <f t="shared" si="195"/>
        <v>0</v>
      </c>
      <c r="X703" s="30">
        <f t="shared" si="196"/>
        <v>0</v>
      </c>
      <c r="Z703" s="23" t="s">
        <v>76</v>
      </c>
      <c r="AA703" s="40" t="str">
        <f>IF(C703="Electricity",E703*SUMIFS(Electricity!S:S,Electricity!P:P,UserMade_Scenario!B703,Electricity!M:M,UserMade_Scenario!Z703,Electricity!O:O,UserMade_Scenario!D703),"")</f>
        <v/>
      </c>
      <c r="AB703" s="67">
        <v>1.4243253975000002E-4</v>
      </c>
      <c r="AC703" s="67" t="s">
        <v>95</v>
      </c>
      <c r="AD703" s="39">
        <f>INDEX(Assumptions!E$120:E$141,MATCH(UserMade_Scenario!$B703,Assumptions!$A$120:$A$141,0))</f>
        <v>-10.36</v>
      </c>
      <c r="AE703" s="39">
        <f>INDEX(Assumptions!F$120:F$141,MATCH(UserMade_Scenario!$B703,Assumptions!$A$120:$A$141,0))</f>
        <v>-10.36</v>
      </c>
      <c r="AF703" s="39">
        <f>INDEX(Assumptions!G$120:G$141,MATCH(UserMade_Scenario!$B703,Assumptions!$A$120:$A$141,0))</f>
        <v>-32.86</v>
      </c>
      <c r="AG703" s="68">
        <f>IFERROR(INDEX(WaterUseH2[Average Direct Water Consumption (Gal/ kg h2)],MATCH(LEFT(D703,3),WaterUseH2[Key],0)),0)</f>
        <v>0</v>
      </c>
      <c r="AH703">
        <v>14</v>
      </c>
      <c r="AI703">
        <v>1.4</v>
      </c>
      <c r="AJ703">
        <v>250</v>
      </c>
      <c r="AK703">
        <v>0.31</v>
      </c>
      <c r="AL703" s="63">
        <f>IFERROR(INDEX(Job_Training[[Solar]:[Wind]],MATCH(AL$1,Job_Training[[`Typical Entry Level Education`]:[`Typical Entry Level Education`]],0),MATCH(LEFT($D703,5),Job_Training[[#Headers],[Solar]:[Wind]],0)),0)</f>
        <v>0</v>
      </c>
      <c r="AM703" s="63">
        <f>IFERROR(INDEX(Job_Training[[Solar]:[Wind]],MATCH(AM$1,Job_Training[[`Typical Entry Level Education`]:[`Typical Entry Level Education`]],0),MATCH(LEFT($D703,5),Job_Training[[#Headers],[Solar]:[Wind]],0)),0)</f>
        <v>0</v>
      </c>
      <c r="AN703" s="63">
        <f>IFERROR(INDEX(Job_Training[[Solar]:[Wind]],MATCH(AN$1,Job_Training[[`Typical Entry Level Education`]:[`Typical Entry Level Education`]],0),MATCH(LEFT($D703,5),Job_Training[[#Headers],[Solar]:[Wind]],0)),0)</f>
        <v>0</v>
      </c>
      <c r="AO703" s="63">
        <f>IFERROR(INDEX(Job_Training[[Solar]:[Wind]],MATCH(AO$1,Job_Training[[`Typical Entry Level Education`]:[`Typical Entry Level Education`]],0),MATCH(LEFT($D703,5),Job_Training[[#Headers],[Solar]:[Wind]],0)),0)</f>
        <v>0</v>
      </c>
      <c r="AP703">
        <f t="shared" si="197"/>
        <v>0</v>
      </c>
      <c r="AQ703" s="63">
        <f>IF(AP703&gt;0,IFERROR(INDEX(Assumptions!$C$165:$D$165,MATCH(LEFT($D703,5),Job_Training[[#Headers],[Solar]:[Wind]],0)),0),0)</f>
        <v>0</v>
      </c>
      <c r="AR703">
        <f>IF(AP703&gt;0,IFERROR(INDEX(Assumptions!$C$166:$D$166,MATCH(LEFT($D703,5),Job_Training[[#Headers],[Solar]:[Wind]],0)),0),0)</f>
        <v>0</v>
      </c>
    </row>
    <row r="704" spans="1:44" hidden="1" x14ac:dyDescent="0.35">
      <c r="A704" t="str">
        <f>UserInput!$B$56</f>
        <v>Max Buildout</v>
      </c>
      <c r="B704">
        <v>2034</v>
      </c>
      <c r="C704" t="s">
        <v>92</v>
      </c>
      <c r="D704" t="s">
        <v>93</v>
      </c>
      <c r="E704" s="66">
        <f>INDEX(UserInput!$C$56:$M$76,MATCH(UserMade_Scenario!B704,UserInput!$A$56:$A$76,0),MATCH(LEFT(IF(RIGHT(C704,2)="H2",UserMade_Scenario!C704,D704),3),UserInput!$C$25:$M$25,0))</f>
        <v>90</v>
      </c>
      <c r="F704" t="s">
        <v>94</v>
      </c>
      <c r="G704" s="14">
        <f t="shared" si="198"/>
        <v>1.2818928577500001E-2</v>
      </c>
      <c r="H704" s="63">
        <f t="shared" si="204"/>
        <v>0.1328041000629</v>
      </c>
      <c r="I704" s="63">
        <f t="shared" si="205"/>
        <v>0.1328041000629</v>
      </c>
      <c r="J704" s="63">
        <f t="shared" si="206"/>
        <v>0.42122999305665004</v>
      </c>
      <c r="K704" s="30">
        <f>IF(OR(LEFT($D704,5)="Solar",$D704="Wind"),INDEX(Land_Use[AVG],MATCH(LEFT($D704,5),Land_Use[Tech],0)),0)*$E704</f>
        <v>0</v>
      </c>
      <c r="L704" s="30">
        <f>IF(OR(LEFT($D704,5)="Solar",$D704="Wind"),INDEX(Land_Use[MIN],MATCH(LEFT($D704,5),Land_Use[Tech],0)),0)*$E704</f>
        <v>0</v>
      </c>
      <c r="M704" s="30">
        <f>IF(OR(LEFT($D704,5)="Solar",$D704="Wind"),INDEX(Land_Use[MAX],MATCH(LEFT($D704,5),Land_Use[Tech],0)),0)*$E704</f>
        <v>0</v>
      </c>
      <c r="N704" s="15">
        <f t="shared" si="199"/>
        <v>0</v>
      </c>
      <c r="O704" s="11">
        <f t="shared" si="200"/>
        <v>0</v>
      </c>
      <c r="P704" s="11">
        <f t="shared" si="201"/>
        <v>0</v>
      </c>
      <c r="Q704" s="11">
        <f t="shared" si="202"/>
        <v>0</v>
      </c>
      <c r="R704" s="11">
        <f t="shared" si="203"/>
        <v>0</v>
      </c>
      <c r="S704" s="30">
        <f t="shared" si="191"/>
        <v>0</v>
      </c>
      <c r="T704" s="30">
        <f t="shared" si="192"/>
        <v>0</v>
      </c>
      <c r="U704" s="30">
        <f t="shared" si="193"/>
        <v>0</v>
      </c>
      <c r="V704" s="30">
        <f t="shared" si="194"/>
        <v>0</v>
      </c>
      <c r="W704" s="30">
        <f t="shared" si="195"/>
        <v>0</v>
      </c>
      <c r="X704" s="30">
        <f t="shared" si="196"/>
        <v>0</v>
      </c>
      <c r="Z704" s="23" t="s">
        <v>76</v>
      </c>
      <c r="AA704" s="40" t="str">
        <f>IF(C704="Electricity",E704*SUMIFS(Electricity!S:S,Electricity!P:P,UserMade_Scenario!B704,Electricity!M:M,UserMade_Scenario!Z704,Electricity!O:O,UserMade_Scenario!D704),"")</f>
        <v/>
      </c>
      <c r="AB704" s="67">
        <v>1.4243253975000002E-4</v>
      </c>
      <c r="AC704" s="67" t="s">
        <v>95</v>
      </c>
      <c r="AD704" s="39">
        <f>INDEX(Assumptions!E$120:E$141,MATCH(UserMade_Scenario!$B704,Assumptions!$A$120:$A$141,0))</f>
        <v>-10.36</v>
      </c>
      <c r="AE704" s="39">
        <f>INDEX(Assumptions!F$120:F$141,MATCH(UserMade_Scenario!$B704,Assumptions!$A$120:$A$141,0))</f>
        <v>-10.36</v>
      </c>
      <c r="AF704" s="39">
        <f>INDEX(Assumptions!G$120:G$141,MATCH(UserMade_Scenario!$B704,Assumptions!$A$120:$A$141,0))</f>
        <v>-32.86</v>
      </c>
      <c r="AG704" s="68">
        <f>IFERROR(INDEX(WaterUseH2[Average Direct Water Consumption (Gal/ kg h2)],MATCH(LEFT(D704,3),WaterUseH2[Key],0)),0)</f>
        <v>0</v>
      </c>
      <c r="AH704">
        <v>14</v>
      </c>
      <c r="AI704">
        <v>1.4</v>
      </c>
      <c r="AJ704">
        <v>250</v>
      </c>
      <c r="AK704">
        <v>0.31</v>
      </c>
      <c r="AL704" s="63">
        <f>IFERROR(INDEX(Job_Training[[Solar]:[Wind]],MATCH(AL$1,Job_Training[[`Typical Entry Level Education`]:[`Typical Entry Level Education`]],0),MATCH(LEFT($D704,5),Job_Training[[#Headers],[Solar]:[Wind]],0)),0)</f>
        <v>0</v>
      </c>
      <c r="AM704" s="63">
        <f>IFERROR(INDEX(Job_Training[[Solar]:[Wind]],MATCH(AM$1,Job_Training[[`Typical Entry Level Education`]:[`Typical Entry Level Education`]],0),MATCH(LEFT($D704,5),Job_Training[[#Headers],[Solar]:[Wind]],0)),0)</f>
        <v>0</v>
      </c>
      <c r="AN704" s="63">
        <f>IFERROR(INDEX(Job_Training[[Solar]:[Wind]],MATCH(AN$1,Job_Training[[`Typical Entry Level Education`]:[`Typical Entry Level Education`]],0),MATCH(LEFT($D704,5),Job_Training[[#Headers],[Solar]:[Wind]],0)),0)</f>
        <v>0</v>
      </c>
      <c r="AO704" s="63">
        <f>IFERROR(INDEX(Job_Training[[Solar]:[Wind]],MATCH(AO$1,Job_Training[[`Typical Entry Level Education`]:[`Typical Entry Level Education`]],0),MATCH(LEFT($D704,5),Job_Training[[#Headers],[Solar]:[Wind]],0)),0)</f>
        <v>0</v>
      </c>
      <c r="AP704">
        <f t="shared" si="197"/>
        <v>0</v>
      </c>
      <c r="AQ704" s="63">
        <f>IF(AP704&gt;0,IFERROR(INDEX(Assumptions!$C$165:$D$165,MATCH(LEFT($D704,5),Job_Training[[#Headers],[Solar]:[Wind]],0)),0),0)</f>
        <v>0</v>
      </c>
      <c r="AR704">
        <f>IF(AP704&gt;0,IFERROR(INDEX(Assumptions!$C$166:$D$166,MATCH(LEFT($D704,5),Job_Training[[#Headers],[Solar]:[Wind]],0)),0),0)</f>
        <v>0</v>
      </c>
    </row>
    <row r="705" spans="1:44" hidden="1" x14ac:dyDescent="0.35">
      <c r="A705" t="str">
        <f>UserInput!$B$56</f>
        <v>Max Buildout</v>
      </c>
      <c r="B705">
        <v>2035</v>
      </c>
      <c r="C705" t="s">
        <v>92</v>
      </c>
      <c r="D705" t="s">
        <v>93</v>
      </c>
      <c r="E705" s="66">
        <f>INDEX(UserInput!$C$56:$M$76,MATCH(UserMade_Scenario!B705,UserInput!$A$56:$A$76,0),MATCH(LEFT(IF(RIGHT(C705,2)="H2",UserMade_Scenario!C705,D705),3),UserInput!$C$25:$M$25,0))</f>
        <v>100</v>
      </c>
      <c r="F705" t="s">
        <v>94</v>
      </c>
      <c r="G705" s="14">
        <f t="shared" si="198"/>
        <v>1.4243253975000002E-2</v>
      </c>
      <c r="H705" s="63">
        <f t="shared" si="204"/>
        <v>0.14756011118100001</v>
      </c>
      <c r="I705" s="63">
        <f t="shared" si="205"/>
        <v>0.14756011118100001</v>
      </c>
      <c r="J705" s="63">
        <f t="shared" si="206"/>
        <v>0.46803332561850003</v>
      </c>
      <c r="K705" s="30">
        <f>IF(OR(LEFT($D705,5)="Solar",$D705="Wind"),INDEX(Land_Use[AVG],MATCH(LEFT($D705,5),Land_Use[Tech],0)),0)*$E705</f>
        <v>0</v>
      </c>
      <c r="L705" s="30">
        <f>IF(OR(LEFT($D705,5)="Solar",$D705="Wind"),INDEX(Land_Use[MIN],MATCH(LEFT($D705,5),Land_Use[Tech],0)),0)*$E705</f>
        <v>0</v>
      </c>
      <c r="M705" s="30">
        <f>IF(OR(LEFT($D705,5)="Solar",$D705="Wind"),INDEX(Land_Use[MAX],MATCH(LEFT($D705,5),Land_Use[Tech],0)),0)*$E705</f>
        <v>0</v>
      </c>
      <c r="N705" s="15">
        <f t="shared" si="199"/>
        <v>0</v>
      </c>
      <c r="O705" s="11">
        <f t="shared" si="200"/>
        <v>0</v>
      </c>
      <c r="P705" s="11">
        <f t="shared" si="201"/>
        <v>0</v>
      </c>
      <c r="Q705" s="11">
        <f t="shared" si="202"/>
        <v>0</v>
      </c>
      <c r="R705" s="11">
        <f t="shared" si="203"/>
        <v>0</v>
      </c>
      <c r="S705" s="30">
        <f t="shared" si="191"/>
        <v>0</v>
      </c>
      <c r="T705" s="30">
        <f t="shared" si="192"/>
        <v>0</v>
      </c>
      <c r="U705" s="30">
        <f t="shared" si="193"/>
        <v>0</v>
      </c>
      <c r="V705" s="30">
        <f t="shared" si="194"/>
        <v>0</v>
      </c>
      <c r="W705" s="30">
        <f t="shared" si="195"/>
        <v>0</v>
      </c>
      <c r="X705" s="30">
        <f t="shared" si="196"/>
        <v>0</v>
      </c>
      <c r="Z705" s="23" t="s">
        <v>76</v>
      </c>
      <c r="AA705" s="40" t="str">
        <f>IF(C705="Electricity",E705*SUMIFS(Electricity!S:S,Electricity!P:P,UserMade_Scenario!B705,Electricity!M:M,UserMade_Scenario!Z705,Electricity!O:O,UserMade_Scenario!D705),"")</f>
        <v/>
      </c>
      <c r="AB705" s="67">
        <v>1.4243253975000002E-4</v>
      </c>
      <c r="AC705" s="67" t="s">
        <v>95</v>
      </c>
      <c r="AD705" s="39">
        <f>INDEX(Assumptions!E$120:E$141,MATCH(UserMade_Scenario!$B705,Assumptions!$A$120:$A$141,0))</f>
        <v>-10.36</v>
      </c>
      <c r="AE705" s="39">
        <f>INDEX(Assumptions!F$120:F$141,MATCH(UserMade_Scenario!$B705,Assumptions!$A$120:$A$141,0))</f>
        <v>-10.36</v>
      </c>
      <c r="AF705" s="39">
        <f>INDEX(Assumptions!G$120:G$141,MATCH(UserMade_Scenario!$B705,Assumptions!$A$120:$A$141,0))</f>
        <v>-32.86</v>
      </c>
      <c r="AG705" s="68">
        <f>IFERROR(INDEX(WaterUseH2[Average Direct Water Consumption (Gal/ kg h2)],MATCH(LEFT(D705,3),WaterUseH2[Key],0)),0)</f>
        <v>0</v>
      </c>
      <c r="AH705">
        <v>14</v>
      </c>
      <c r="AI705">
        <v>1.4</v>
      </c>
      <c r="AJ705">
        <v>250</v>
      </c>
      <c r="AK705">
        <v>0.31</v>
      </c>
      <c r="AL705" s="63">
        <f>IFERROR(INDEX(Job_Training[[Solar]:[Wind]],MATCH(AL$1,Job_Training[[`Typical Entry Level Education`]:[`Typical Entry Level Education`]],0),MATCH(LEFT($D705,5),Job_Training[[#Headers],[Solar]:[Wind]],0)),0)</f>
        <v>0</v>
      </c>
      <c r="AM705" s="63">
        <f>IFERROR(INDEX(Job_Training[[Solar]:[Wind]],MATCH(AM$1,Job_Training[[`Typical Entry Level Education`]:[`Typical Entry Level Education`]],0),MATCH(LEFT($D705,5),Job_Training[[#Headers],[Solar]:[Wind]],0)),0)</f>
        <v>0</v>
      </c>
      <c r="AN705" s="63">
        <f>IFERROR(INDEX(Job_Training[[Solar]:[Wind]],MATCH(AN$1,Job_Training[[`Typical Entry Level Education`]:[`Typical Entry Level Education`]],0),MATCH(LEFT($D705,5),Job_Training[[#Headers],[Solar]:[Wind]],0)),0)</f>
        <v>0</v>
      </c>
      <c r="AO705" s="63">
        <f>IFERROR(INDEX(Job_Training[[Solar]:[Wind]],MATCH(AO$1,Job_Training[[`Typical Entry Level Education`]:[`Typical Entry Level Education`]],0),MATCH(LEFT($D705,5),Job_Training[[#Headers],[Solar]:[Wind]],0)),0)</f>
        <v>0</v>
      </c>
      <c r="AP705">
        <f t="shared" si="197"/>
        <v>0</v>
      </c>
      <c r="AQ705" s="63">
        <f>IF(AP705&gt;0,IFERROR(INDEX(Assumptions!$C$165:$D$165,MATCH(LEFT($D705,5),Job_Training[[#Headers],[Solar]:[Wind]],0)),0),0)</f>
        <v>0</v>
      </c>
      <c r="AR705">
        <f>IF(AP705&gt;0,IFERROR(INDEX(Assumptions!$C$166:$D$166,MATCH(LEFT($D705,5),Job_Training[[#Headers],[Solar]:[Wind]],0)),0),0)</f>
        <v>0</v>
      </c>
    </row>
    <row r="706" spans="1:44" hidden="1" x14ac:dyDescent="0.35">
      <c r="A706" t="str">
        <f>UserInput!$B$56</f>
        <v>Max Buildout</v>
      </c>
      <c r="B706">
        <v>2036</v>
      </c>
      <c r="C706" t="s">
        <v>92</v>
      </c>
      <c r="D706" t="s">
        <v>93</v>
      </c>
      <c r="E706" s="66">
        <f>INDEX(UserInput!$C$56:$M$76,MATCH(UserMade_Scenario!B706,UserInput!$A$56:$A$76,0),MATCH(LEFT(IF(RIGHT(C706,2)="H2",UserMade_Scenario!C706,D706),3),UserInput!$C$25:$M$25,0))</f>
        <v>90</v>
      </c>
      <c r="F706" t="s">
        <v>94</v>
      </c>
      <c r="G706" s="14">
        <f t="shared" si="198"/>
        <v>1.2818928577500001E-2</v>
      </c>
      <c r="H706" s="63">
        <f t="shared" si="204"/>
        <v>0.1328041000629</v>
      </c>
      <c r="I706" s="63">
        <f t="shared" si="205"/>
        <v>0.1328041000629</v>
      </c>
      <c r="J706" s="63">
        <f t="shared" si="206"/>
        <v>0.42122999305665004</v>
      </c>
      <c r="K706" s="30">
        <f>IF(OR(LEFT($D706,5)="Solar",$D706="Wind"),INDEX(Land_Use[AVG],MATCH(LEFT($D706,5),Land_Use[Tech],0)),0)*$E706</f>
        <v>0</v>
      </c>
      <c r="L706" s="30">
        <f>IF(OR(LEFT($D706,5)="Solar",$D706="Wind"),INDEX(Land_Use[MIN],MATCH(LEFT($D706,5),Land_Use[Tech],0)),0)*$E706</f>
        <v>0</v>
      </c>
      <c r="M706" s="30">
        <f>IF(OR(LEFT($D706,5)="Solar",$D706="Wind"),INDEX(Land_Use[MAX],MATCH(LEFT($D706,5),Land_Use[Tech],0)),0)*$E706</f>
        <v>0</v>
      </c>
      <c r="N706" s="15">
        <f t="shared" si="199"/>
        <v>0</v>
      </c>
      <c r="O706" s="11">
        <f t="shared" si="200"/>
        <v>0</v>
      </c>
      <c r="P706" s="11">
        <f t="shared" si="201"/>
        <v>0</v>
      </c>
      <c r="Q706" s="11">
        <f t="shared" si="202"/>
        <v>0</v>
      </c>
      <c r="R706" s="11">
        <f t="shared" si="203"/>
        <v>0</v>
      </c>
      <c r="S706" s="30">
        <f t="shared" si="191"/>
        <v>0</v>
      </c>
      <c r="T706" s="30">
        <f t="shared" si="192"/>
        <v>0</v>
      </c>
      <c r="U706" s="30">
        <f t="shared" si="193"/>
        <v>0</v>
      </c>
      <c r="V706" s="30">
        <f t="shared" si="194"/>
        <v>0</v>
      </c>
      <c r="W706" s="30">
        <f t="shared" si="195"/>
        <v>0</v>
      </c>
      <c r="X706" s="30">
        <f t="shared" si="196"/>
        <v>0</v>
      </c>
      <c r="Z706" s="23" t="s">
        <v>76</v>
      </c>
      <c r="AA706" s="40" t="str">
        <f>IF(C706="Electricity",E706*SUMIFS(Electricity!S:S,Electricity!P:P,UserMade_Scenario!B706,Electricity!M:M,UserMade_Scenario!Z706,Electricity!O:O,UserMade_Scenario!D706),"")</f>
        <v/>
      </c>
      <c r="AB706" s="67">
        <v>1.4243253975000002E-4</v>
      </c>
      <c r="AC706" s="67" t="s">
        <v>95</v>
      </c>
      <c r="AD706" s="39">
        <f>INDEX(Assumptions!E$120:E$141,MATCH(UserMade_Scenario!$B706,Assumptions!$A$120:$A$141,0))</f>
        <v>-10.36</v>
      </c>
      <c r="AE706" s="39">
        <f>INDEX(Assumptions!F$120:F$141,MATCH(UserMade_Scenario!$B706,Assumptions!$A$120:$A$141,0))</f>
        <v>-10.36</v>
      </c>
      <c r="AF706" s="39">
        <f>INDEX(Assumptions!G$120:G$141,MATCH(UserMade_Scenario!$B706,Assumptions!$A$120:$A$141,0))</f>
        <v>-32.86</v>
      </c>
      <c r="AG706" s="68">
        <f>IFERROR(INDEX(WaterUseH2[Average Direct Water Consumption (Gal/ kg h2)],MATCH(LEFT(D706,3),WaterUseH2[Key],0)),0)</f>
        <v>0</v>
      </c>
      <c r="AH706">
        <v>14</v>
      </c>
      <c r="AI706">
        <v>1.4</v>
      </c>
      <c r="AJ706">
        <v>250</v>
      </c>
      <c r="AK706">
        <v>0.31</v>
      </c>
      <c r="AL706" s="63">
        <f>IFERROR(INDEX(Job_Training[[Solar]:[Wind]],MATCH(AL$1,Job_Training[[`Typical Entry Level Education`]:[`Typical Entry Level Education`]],0),MATCH(LEFT($D706,5),Job_Training[[#Headers],[Solar]:[Wind]],0)),0)</f>
        <v>0</v>
      </c>
      <c r="AM706" s="63">
        <f>IFERROR(INDEX(Job_Training[[Solar]:[Wind]],MATCH(AM$1,Job_Training[[`Typical Entry Level Education`]:[`Typical Entry Level Education`]],0),MATCH(LEFT($D706,5),Job_Training[[#Headers],[Solar]:[Wind]],0)),0)</f>
        <v>0</v>
      </c>
      <c r="AN706" s="63">
        <f>IFERROR(INDEX(Job_Training[[Solar]:[Wind]],MATCH(AN$1,Job_Training[[`Typical Entry Level Education`]:[`Typical Entry Level Education`]],0),MATCH(LEFT($D706,5),Job_Training[[#Headers],[Solar]:[Wind]],0)),0)</f>
        <v>0</v>
      </c>
      <c r="AO706" s="63">
        <f>IFERROR(INDEX(Job_Training[[Solar]:[Wind]],MATCH(AO$1,Job_Training[[`Typical Entry Level Education`]:[`Typical Entry Level Education`]],0),MATCH(LEFT($D706,5),Job_Training[[#Headers],[Solar]:[Wind]],0)),0)</f>
        <v>0</v>
      </c>
      <c r="AP706">
        <f t="shared" si="197"/>
        <v>0</v>
      </c>
      <c r="AQ706" s="63">
        <f>IF(AP706&gt;0,IFERROR(INDEX(Assumptions!$C$165:$D$165,MATCH(LEFT($D706,5),Job_Training[[#Headers],[Solar]:[Wind]],0)),0),0)</f>
        <v>0</v>
      </c>
      <c r="AR706">
        <f>IF(AP706&gt;0,IFERROR(INDEX(Assumptions!$C$166:$D$166,MATCH(LEFT($D706,5),Job_Training[[#Headers],[Solar]:[Wind]],0)),0),0)</f>
        <v>0</v>
      </c>
    </row>
    <row r="707" spans="1:44" hidden="1" x14ac:dyDescent="0.35">
      <c r="A707" t="str">
        <f>UserInput!$B$56</f>
        <v>Max Buildout</v>
      </c>
      <c r="B707">
        <v>2037</v>
      </c>
      <c r="C707" t="s">
        <v>92</v>
      </c>
      <c r="D707" t="s">
        <v>93</v>
      </c>
      <c r="E707" s="66">
        <f>INDEX(UserInput!$C$56:$M$76,MATCH(UserMade_Scenario!B707,UserInput!$A$56:$A$76,0),MATCH(LEFT(IF(RIGHT(C707,2)="H2",UserMade_Scenario!C707,D707),3),UserInput!$C$25:$M$25,0))</f>
        <v>80</v>
      </c>
      <c r="F707" t="s">
        <v>94</v>
      </c>
      <c r="G707" s="14">
        <f t="shared" si="198"/>
        <v>1.1394603180000001E-2</v>
      </c>
      <c r="H707" s="63">
        <f t="shared" si="204"/>
        <v>0.1180480889448</v>
      </c>
      <c r="I707" s="63">
        <f t="shared" si="205"/>
        <v>0.1180480889448</v>
      </c>
      <c r="J707" s="63">
        <f t="shared" si="206"/>
        <v>0.3744266604948</v>
      </c>
      <c r="K707" s="30">
        <f>IF(OR(LEFT($D707,5)="Solar",$D707="Wind"),INDEX(Land_Use[AVG],MATCH(LEFT($D707,5),Land_Use[Tech],0)),0)*$E707</f>
        <v>0</v>
      </c>
      <c r="L707" s="30">
        <f>IF(OR(LEFT($D707,5)="Solar",$D707="Wind"),INDEX(Land_Use[MIN],MATCH(LEFT($D707,5),Land_Use[Tech],0)),0)*$E707</f>
        <v>0</v>
      </c>
      <c r="M707" s="30">
        <f>IF(OR(LEFT($D707,5)="Solar",$D707="Wind"),INDEX(Land_Use[MAX],MATCH(LEFT($D707,5),Land_Use[Tech],0)),0)*$E707</f>
        <v>0</v>
      </c>
      <c r="N707" s="15">
        <f t="shared" si="199"/>
        <v>0</v>
      </c>
      <c r="O707" s="11">
        <f t="shared" si="200"/>
        <v>0</v>
      </c>
      <c r="P707" s="11">
        <f t="shared" si="201"/>
        <v>0</v>
      </c>
      <c r="Q707" s="11">
        <f t="shared" si="202"/>
        <v>0</v>
      </c>
      <c r="R707" s="11">
        <f t="shared" si="203"/>
        <v>0</v>
      </c>
      <c r="S707" s="30">
        <f t="shared" ref="S707:S770" si="207">MAX($AP707*AL707,0)</f>
        <v>0</v>
      </c>
      <c r="T707" s="30">
        <f t="shared" ref="T707:T770" si="208">MAX($AP707*AM707,0)</f>
        <v>0</v>
      </c>
      <c r="U707" s="30">
        <f t="shared" ref="U707:U770" si="209">MAX($AP707*AN707,0)</f>
        <v>0</v>
      </c>
      <c r="V707" s="30">
        <f t="shared" ref="V707:V770" si="210">MAX($AP707*AO707,0)</f>
        <v>0</v>
      </c>
      <c r="W707" s="30">
        <f t="shared" ref="W707:W770" si="211">$AP707*AQ707</f>
        <v>0</v>
      </c>
      <c r="X707" s="30">
        <f t="shared" ref="X707:X770" si="212">$AP707*AR707</f>
        <v>0</v>
      </c>
      <c r="Z707" s="23" t="s">
        <v>76</v>
      </c>
      <c r="AA707" s="40" t="str">
        <f>IF(C707="Electricity",E707*SUMIFS(Electricity!S:S,Electricity!P:P,UserMade_Scenario!B707,Electricity!M:M,UserMade_Scenario!Z707,Electricity!O:O,UserMade_Scenario!D707),"")</f>
        <v/>
      </c>
      <c r="AB707" s="67">
        <v>1.4243253975000002E-4</v>
      </c>
      <c r="AC707" s="67" t="s">
        <v>95</v>
      </c>
      <c r="AD707" s="39">
        <f>INDEX(Assumptions!E$120:E$141,MATCH(UserMade_Scenario!$B707,Assumptions!$A$120:$A$141,0))</f>
        <v>-10.36</v>
      </c>
      <c r="AE707" s="39">
        <f>INDEX(Assumptions!F$120:F$141,MATCH(UserMade_Scenario!$B707,Assumptions!$A$120:$A$141,0))</f>
        <v>-10.36</v>
      </c>
      <c r="AF707" s="39">
        <f>INDEX(Assumptions!G$120:G$141,MATCH(UserMade_Scenario!$B707,Assumptions!$A$120:$A$141,0))</f>
        <v>-32.86</v>
      </c>
      <c r="AG707" s="68">
        <f>IFERROR(INDEX(WaterUseH2[Average Direct Water Consumption (Gal/ kg h2)],MATCH(LEFT(D707,3),WaterUseH2[Key],0)),0)</f>
        <v>0</v>
      </c>
      <c r="AH707">
        <v>14</v>
      </c>
      <c r="AI707">
        <v>1.4</v>
      </c>
      <c r="AJ707">
        <v>250</v>
      </c>
      <c r="AK707">
        <v>0.31</v>
      </c>
      <c r="AL707" s="63">
        <f>IFERROR(INDEX(Job_Training[[Solar]:[Wind]],MATCH(AL$1,Job_Training[[`Typical Entry Level Education`]:[`Typical Entry Level Education`]],0),MATCH(LEFT($D707,5),Job_Training[[#Headers],[Solar]:[Wind]],0)),0)</f>
        <v>0</v>
      </c>
      <c r="AM707" s="63">
        <f>IFERROR(INDEX(Job_Training[[Solar]:[Wind]],MATCH(AM$1,Job_Training[[`Typical Entry Level Education`]:[`Typical Entry Level Education`]],0),MATCH(LEFT($D707,5),Job_Training[[#Headers],[Solar]:[Wind]],0)),0)</f>
        <v>0</v>
      </c>
      <c r="AN707" s="63">
        <f>IFERROR(INDEX(Job_Training[[Solar]:[Wind]],MATCH(AN$1,Job_Training[[`Typical Entry Level Education`]:[`Typical Entry Level Education`]],0),MATCH(LEFT($D707,5),Job_Training[[#Headers],[Solar]:[Wind]],0)),0)</f>
        <v>0</v>
      </c>
      <c r="AO707" s="63">
        <f>IFERROR(INDEX(Job_Training[[Solar]:[Wind]],MATCH(AO$1,Job_Training[[`Typical Entry Level Education`]:[`Typical Entry Level Education`]],0),MATCH(LEFT($D707,5),Job_Training[[#Headers],[Solar]:[Wind]],0)),0)</f>
        <v>0</v>
      </c>
      <c r="AP707">
        <f t="shared" ref="AP707:AP770" si="213">IF(OR($C707="Electricity",$D707="Solar (Off-Grid)"),IF($B707=2025,$E707,$E707-$E706),0)</f>
        <v>0</v>
      </c>
      <c r="AQ707" s="63">
        <f>IF(AP707&gt;0,IFERROR(INDEX(Assumptions!$C$165:$D$165,MATCH(LEFT($D707,5),Job_Training[[#Headers],[Solar]:[Wind]],0)),0),0)</f>
        <v>0</v>
      </c>
      <c r="AR707">
        <f>IF(AP707&gt;0,IFERROR(INDEX(Assumptions!$C$166:$D$166,MATCH(LEFT($D707,5),Job_Training[[#Headers],[Solar]:[Wind]],0)),0),0)</f>
        <v>0</v>
      </c>
    </row>
    <row r="708" spans="1:44" hidden="1" x14ac:dyDescent="0.35">
      <c r="A708" t="str">
        <f>UserInput!$B$56</f>
        <v>Max Buildout</v>
      </c>
      <c r="B708">
        <v>2038</v>
      </c>
      <c r="C708" t="s">
        <v>92</v>
      </c>
      <c r="D708" t="s">
        <v>93</v>
      </c>
      <c r="E708" s="66">
        <f>INDEX(UserInput!$C$56:$M$76,MATCH(UserMade_Scenario!B708,UserInput!$A$56:$A$76,0),MATCH(LEFT(IF(RIGHT(C708,2)="H2",UserMade_Scenario!C708,D708),3),UserInput!$C$25:$M$25,0))</f>
        <v>70</v>
      </c>
      <c r="F708" t="s">
        <v>94</v>
      </c>
      <c r="G708" s="14">
        <f t="shared" si="198"/>
        <v>9.9702777825000019E-3</v>
      </c>
      <c r="H708" s="63">
        <f t="shared" si="204"/>
        <v>0.10329207782670001</v>
      </c>
      <c r="I708" s="63">
        <f t="shared" si="205"/>
        <v>0.10329207782670001</v>
      </c>
      <c r="J708" s="63">
        <f t="shared" si="206"/>
        <v>0.32762332793295007</v>
      </c>
      <c r="K708" s="30">
        <f>IF(OR(LEFT($D708,5)="Solar",$D708="Wind"),INDEX(Land_Use[AVG],MATCH(LEFT($D708,5),Land_Use[Tech],0)),0)*$E708</f>
        <v>0</v>
      </c>
      <c r="L708" s="30">
        <f>IF(OR(LEFT($D708,5)="Solar",$D708="Wind"),INDEX(Land_Use[MIN],MATCH(LEFT($D708,5),Land_Use[Tech],0)),0)*$E708</f>
        <v>0</v>
      </c>
      <c r="M708" s="30">
        <f>IF(OR(LEFT($D708,5)="Solar",$D708="Wind"),INDEX(Land_Use[MAX],MATCH(LEFT($D708,5),Land_Use[Tech],0)),0)*$E708</f>
        <v>0</v>
      </c>
      <c r="N708" s="15">
        <f t="shared" si="199"/>
        <v>0</v>
      </c>
      <c r="O708" s="11">
        <f t="shared" si="200"/>
        <v>0</v>
      </c>
      <c r="P708" s="11">
        <f t="shared" si="201"/>
        <v>0</v>
      </c>
      <c r="Q708" s="11">
        <f t="shared" si="202"/>
        <v>0</v>
      </c>
      <c r="R708" s="11">
        <f t="shared" si="203"/>
        <v>0</v>
      </c>
      <c r="S708" s="30">
        <f t="shared" si="207"/>
        <v>0</v>
      </c>
      <c r="T708" s="30">
        <f t="shared" si="208"/>
        <v>0</v>
      </c>
      <c r="U708" s="30">
        <f t="shared" si="209"/>
        <v>0</v>
      </c>
      <c r="V708" s="30">
        <f t="shared" si="210"/>
        <v>0</v>
      </c>
      <c r="W708" s="30">
        <f t="shared" si="211"/>
        <v>0</v>
      </c>
      <c r="X708" s="30">
        <f t="shared" si="212"/>
        <v>0</v>
      </c>
      <c r="Z708" s="23" t="s">
        <v>76</v>
      </c>
      <c r="AA708" s="40" t="str">
        <f>IF(C708="Electricity",E708*SUMIFS(Electricity!S:S,Electricity!P:P,UserMade_Scenario!B708,Electricity!M:M,UserMade_Scenario!Z708,Electricity!O:O,UserMade_Scenario!D708),"")</f>
        <v/>
      </c>
      <c r="AB708" s="67">
        <v>1.4243253975000002E-4</v>
      </c>
      <c r="AC708" s="67" t="s">
        <v>95</v>
      </c>
      <c r="AD708" s="39">
        <f>INDEX(Assumptions!E$120:E$141,MATCH(UserMade_Scenario!$B708,Assumptions!$A$120:$A$141,0))</f>
        <v>-10.36</v>
      </c>
      <c r="AE708" s="39">
        <f>INDEX(Assumptions!F$120:F$141,MATCH(UserMade_Scenario!$B708,Assumptions!$A$120:$A$141,0))</f>
        <v>-10.36</v>
      </c>
      <c r="AF708" s="39">
        <f>INDEX(Assumptions!G$120:G$141,MATCH(UserMade_Scenario!$B708,Assumptions!$A$120:$A$141,0))</f>
        <v>-32.86</v>
      </c>
      <c r="AG708" s="68">
        <f>IFERROR(INDEX(WaterUseH2[Average Direct Water Consumption (Gal/ kg h2)],MATCH(LEFT(D708,3),WaterUseH2[Key],0)),0)</f>
        <v>0</v>
      </c>
      <c r="AH708">
        <v>14</v>
      </c>
      <c r="AI708">
        <v>1.4</v>
      </c>
      <c r="AJ708">
        <v>250</v>
      </c>
      <c r="AK708">
        <v>0.31</v>
      </c>
      <c r="AL708" s="63">
        <f>IFERROR(INDEX(Job_Training[[Solar]:[Wind]],MATCH(AL$1,Job_Training[[`Typical Entry Level Education`]:[`Typical Entry Level Education`]],0),MATCH(LEFT($D708,5),Job_Training[[#Headers],[Solar]:[Wind]],0)),0)</f>
        <v>0</v>
      </c>
      <c r="AM708" s="63">
        <f>IFERROR(INDEX(Job_Training[[Solar]:[Wind]],MATCH(AM$1,Job_Training[[`Typical Entry Level Education`]:[`Typical Entry Level Education`]],0),MATCH(LEFT($D708,5),Job_Training[[#Headers],[Solar]:[Wind]],0)),0)</f>
        <v>0</v>
      </c>
      <c r="AN708" s="63">
        <f>IFERROR(INDEX(Job_Training[[Solar]:[Wind]],MATCH(AN$1,Job_Training[[`Typical Entry Level Education`]:[`Typical Entry Level Education`]],0),MATCH(LEFT($D708,5),Job_Training[[#Headers],[Solar]:[Wind]],0)),0)</f>
        <v>0</v>
      </c>
      <c r="AO708" s="63">
        <f>IFERROR(INDEX(Job_Training[[Solar]:[Wind]],MATCH(AO$1,Job_Training[[`Typical Entry Level Education`]:[`Typical Entry Level Education`]],0),MATCH(LEFT($D708,5),Job_Training[[#Headers],[Solar]:[Wind]],0)),0)</f>
        <v>0</v>
      </c>
      <c r="AP708">
        <f t="shared" si="213"/>
        <v>0</v>
      </c>
      <c r="AQ708" s="63">
        <f>IF(AP708&gt;0,IFERROR(INDEX(Assumptions!$C$165:$D$165,MATCH(LEFT($D708,5),Job_Training[[#Headers],[Solar]:[Wind]],0)),0),0)</f>
        <v>0</v>
      </c>
      <c r="AR708">
        <f>IF(AP708&gt;0,IFERROR(INDEX(Assumptions!$C$166:$D$166,MATCH(LEFT($D708,5),Job_Training[[#Headers],[Solar]:[Wind]],0)),0),0)</f>
        <v>0</v>
      </c>
    </row>
    <row r="709" spans="1:44" hidden="1" x14ac:dyDescent="0.35">
      <c r="A709" t="str">
        <f>UserInput!$B$56</f>
        <v>Max Buildout</v>
      </c>
      <c r="B709">
        <v>2039</v>
      </c>
      <c r="C709" t="s">
        <v>92</v>
      </c>
      <c r="D709" t="s">
        <v>93</v>
      </c>
      <c r="E709" s="66">
        <f>INDEX(UserInput!$C$56:$M$76,MATCH(UserMade_Scenario!B709,UserInput!$A$56:$A$76,0),MATCH(LEFT(IF(RIGHT(C709,2)="H2",UserMade_Scenario!C709,D709),3),UserInput!$C$25:$M$25,0))</f>
        <v>60</v>
      </c>
      <c r="F709" t="s">
        <v>94</v>
      </c>
      <c r="G709" s="14">
        <f t="shared" si="198"/>
        <v>8.5459523850000014E-3</v>
      </c>
      <c r="H709" s="63">
        <f t="shared" si="204"/>
        <v>8.8536066708600009E-2</v>
      </c>
      <c r="I709" s="63">
        <f t="shared" si="205"/>
        <v>8.8536066708600009E-2</v>
      </c>
      <c r="J709" s="63">
        <f t="shared" si="206"/>
        <v>0.28081999537110003</v>
      </c>
      <c r="K709" s="30">
        <f>IF(OR(LEFT($D709,5)="Solar",$D709="Wind"),INDEX(Land_Use[AVG],MATCH(LEFT($D709,5),Land_Use[Tech],0)),0)*$E709</f>
        <v>0</v>
      </c>
      <c r="L709" s="30">
        <f>IF(OR(LEFT($D709,5)="Solar",$D709="Wind"),INDEX(Land_Use[MIN],MATCH(LEFT($D709,5),Land_Use[Tech],0)),0)*$E709</f>
        <v>0</v>
      </c>
      <c r="M709" s="30">
        <f>IF(OR(LEFT($D709,5)="Solar",$D709="Wind"),INDEX(Land_Use[MAX],MATCH(LEFT($D709,5),Land_Use[Tech],0)),0)*$E709</f>
        <v>0</v>
      </c>
      <c r="N709" s="15">
        <f t="shared" si="199"/>
        <v>0</v>
      </c>
      <c r="O709" s="11">
        <f t="shared" si="200"/>
        <v>0</v>
      </c>
      <c r="P709" s="11">
        <f t="shared" si="201"/>
        <v>0</v>
      </c>
      <c r="Q709" s="11">
        <f t="shared" si="202"/>
        <v>0</v>
      </c>
      <c r="R709" s="11">
        <f t="shared" si="203"/>
        <v>0</v>
      </c>
      <c r="S709" s="30">
        <f t="shared" si="207"/>
        <v>0</v>
      </c>
      <c r="T709" s="30">
        <f t="shared" si="208"/>
        <v>0</v>
      </c>
      <c r="U709" s="30">
        <f t="shared" si="209"/>
        <v>0</v>
      </c>
      <c r="V709" s="30">
        <f t="shared" si="210"/>
        <v>0</v>
      </c>
      <c r="W709" s="30">
        <f t="shared" si="211"/>
        <v>0</v>
      </c>
      <c r="X709" s="30">
        <f t="shared" si="212"/>
        <v>0</v>
      </c>
      <c r="Z709" s="23" t="s">
        <v>76</v>
      </c>
      <c r="AA709" s="40" t="str">
        <f>IF(C709="Electricity",E709*SUMIFS(Electricity!S:S,Electricity!P:P,UserMade_Scenario!B709,Electricity!M:M,UserMade_Scenario!Z709,Electricity!O:O,UserMade_Scenario!D709),"")</f>
        <v/>
      </c>
      <c r="AB709" s="67">
        <v>1.4243253975000002E-4</v>
      </c>
      <c r="AC709" s="67" t="s">
        <v>95</v>
      </c>
      <c r="AD709" s="39">
        <f>INDEX(Assumptions!E$120:E$141,MATCH(UserMade_Scenario!$B709,Assumptions!$A$120:$A$141,0))</f>
        <v>-10.36</v>
      </c>
      <c r="AE709" s="39">
        <f>INDEX(Assumptions!F$120:F$141,MATCH(UserMade_Scenario!$B709,Assumptions!$A$120:$A$141,0))</f>
        <v>-10.36</v>
      </c>
      <c r="AF709" s="39">
        <f>INDEX(Assumptions!G$120:G$141,MATCH(UserMade_Scenario!$B709,Assumptions!$A$120:$A$141,0))</f>
        <v>-32.86</v>
      </c>
      <c r="AG709" s="68">
        <f>IFERROR(INDEX(WaterUseH2[Average Direct Water Consumption (Gal/ kg h2)],MATCH(LEFT(D709,3),WaterUseH2[Key],0)),0)</f>
        <v>0</v>
      </c>
      <c r="AH709">
        <v>14</v>
      </c>
      <c r="AI709">
        <v>1.4</v>
      </c>
      <c r="AJ709">
        <v>250</v>
      </c>
      <c r="AK709">
        <v>0.31</v>
      </c>
      <c r="AL709" s="63">
        <f>IFERROR(INDEX(Job_Training[[Solar]:[Wind]],MATCH(AL$1,Job_Training[[`Typical Entry Level Education`]:[`Typical Entry Level Education`]],0),MATCH(LEFT($D709,5),Job_Training[[#Headers],[Solar]:[Wind]],0)),0)</f>
        <v>0</v>
      </c>
      <c r="AM709" s="63">
        <f>IFERROR(INDEX(Job_Training[[Solar]:[Wind]],MATCH(AM$1,Job_Training[[`Typical Entry Level Education`]:[`Typical Entry Level Education`]],0),MATCH(LEFT($D709,5),Job_Training[[#Headers],[Solar]:[Wind]],0)),0)</f>
        <v>0</v>
      </c>
      <c r="AN709" s="63">
        <f>IFERROR(INDEX(Job_Training[[Solar]:[Wind]],MATCH(AN$1,Job_Training[[`Typical Entry Level Education`]:[`Typical Entry Level Education`]],0),MATCH(LEFT($D709,5),Job_Training[[#Headers],[Solar]:[Wind]],0)),0)</f>
        <v>0</v>
      </c>
      <c r="AO709" s="63">
        <f>IFERROR(INDEX(Job_Training[[Solar]:[Wind]],MATCH(AO$1,Job_Training[[`Typical Entry Level Education`]:[`Typical Entry Level Education`]],0),MATCH(LEFT($D709,5),Job_Training[[#Headers],[Solar]:[Wind]],0)),0)</f>
        <v>0</v>
      </c>
      <c r="AP709">
        <f t="shared" si="213"/>
        <v>0</v>
      </c>
      <c r="AQ709" s="63">
        <f>IF(AP709&gt;0,IFERROR(INDEX(Assumptions!$C$165:$D$165,MATCH(LEFT($D709,5),Job_Training[[#Headers],[Solar]:[Wind]],0)),0),0)</f>
        <v>0</v>
      </c>
      <c r="AR709">
        <f>IF(AP709&gt;0,IFERROR(INDEX(Assumptions!$C$166:$D$166,MATCH(LEFT($D709,5),Job_Training[[#Headers],[Solar]:[Wind]],0)),0),0)</f>
        <v>0</v>
      </c>
    </row>
    <row r="710" spans="1:44" hidden="1" x14ac:dyDescent="0.35">
      <c r="A710" t="str">
        <f>UserInput!$B$56</f>
        <v>Max Buildout</v>
      </c>
      <c r="B710">
        <v>2040</v>
      </c>
      <c r="C710" t="s">
        <v>92</v>
      </c>
      <c r="D710" t="s">
        <v>93</v>
      </c>
      <c r="E710" s="66">
        <f>INDEX(UserInput!$C$56:$M$76,MATCH(UserMade_Scenario!B710,UserInput!$A$56:$A$76,0),MATCH(LEFT(IF(RIGHT(C710,2)="H2",UserMade_Scenario!C710,D710),3),UserInput!$C$25:$M$25,0))</f>
        <v>50</v>
      </c>
      <c r="F710" t="s">
        <v>94</v>
      </c>
      <c r="G710" s="14">
        <f t="shared" si="198"/>
        <v>7.1216269875000009E-3</v>
      </c>
      <c r="H710" s="63">
        <f t="shared" si="204"/>
        <v>7.3780055590500007E-2</v>
      </c>
      <c r="I710" s="63">
        <f t="shared" si="205"/>
        <v>7.3780055590500007E-2</v>
      </c>
      <c r="J710" s="63">
        <f t="shared" si="206"/>
        <v>0.23401666280925001</v>
      </c>
      <c r="K710" s="30">
        <f>IF(OR(LEFT($D710,5)="Solar",$D710="Wind"),INDEX(Land_Use[AVG],MATCH(LEFT($D710,5),Land_Use[Tech],0)),0)*$E710</f>
        <v>0</v>
      </c>
      <c r="L710" s="30">
        <f>IF(OR(LEFT($D710,5)="Solar",$D710="Wind"),INDEX(Land_Use[MIN],MATCH(LEFT($D710,5),Land_Use[Tech],0)),0)*$E710</f>
        <v>0</v>
      </c>
      <c r="M710" s="30">
        <f>IF(OR(LEFT($D710,5)="Solar",$D710="Wind"),INDEX(Land_Use[MAX],MATCH(LEFT($D710,5),Land_Use[Tech],0)),0)*$E710</f>
        <v>0</v>
      </c>
      <c r="N710" s="15">
        <f t="shared" si="199"/>
        <v>0</v>
      </c>
      <c r="O710" s="11">
        <f t="shared" si="200"/>
        <v>0</v>
      </c>
      <c r="P710" s="11">
        <f t="shared" si="201"/>
        <v>0</v>
      </c>
      <c r="Q710" s="11">
        <f t="shared" si="202"/>
        <v>0</v>
      </c>
      <c r="R710" s="11">
        <f t="shared" si="203"/>
        <v>0</v>
      </c>
      <c r="S710" s="30">
        <f t="shared" si="207"/>
        <v>0</v>
      </c>
      <c r="T710" s="30">
        <f t="shared" si="208"/>
        <v>0</v>
      </c>
      <c r="U710" s="30">
        <f t="shared" si="209"/>
        <v>0</v>
      </c>
      <c r="V710" s="30">
        <f t="shared" si="210"/>
        <v>0</v>
      </c>
      <c r="W710" s="30">
        <f t="shared" si="211"/>
        <v>0</v>
      </c>
      <c r="X710" s="30">
        <f t="shared" si="212"/>
        <v>0</v>
      </c>
      <c r="Z710" s="23" t="s">
        <v>76</v>
      </c>
      <c r="AA710" s="40" t="str">
        <f>IF(C710="Electricity",E710*SUMIFS(Electricity!S:S,Electricity!P:P,UserMade_Scenario!B710,Electricity!M:M,UserMade_Scenario!Z710,Electricity!O:O,UserMade_Scenario!D710),"")</f>
        <v/>
      </c>
      <c r="AB710" s="67">
        <v>1.4243253975000002E-4</v>
      </c>
      <c r="AC710" s="67" t="s">
        <v>95</v>
      </c>
      <c r="AD710" s="39">
        <f>INDEX(Assumptions!E$120:E$141,MATCH(UserMade_Scenario!$B710,Assumptions!$A$120:$A$141,0))</f>
        <v>-10.36</v>
      </c>
      <c r="AE710" s="39">
        <f>INDEX(Assumptions!F$120:F$141,MATCH(UserMade_Scenario!$B710,Assumptions!$A$120:$A$141,0))</f>
        <v>-10.36</v>
      </c>
      <c r="AF710" s="39">
        <f>INDEX(Assumptions!G$120:G$141,MATCH(UserMade_Scenario!$B710,Assumptions!$A$120:$A$141,0))</f>
        <v>-32.86</v>
      </c>
      <c r="AG710" s="68">
        <f>IFERROR(INDEX(WaterUseH2[Average Direct Water Consumption (Gal/ kg h2)],MATCH(LEFT(D710,3),WaterUseH2[Key],0)),0)</f>
        <v>0</v>
      </c>
      <c r="AH710">
        <v>14</v>
      </c>
      <c r="AI710">
        <v>1.4</v>
      </c>
      <c r="AJ710">
        <v>250</v>
      </c>
      <c r="AK710">
        <v>0.31</v>
      </c>
      <c r="AL710" s="63">
        <f>IFERROR(INDEX(Job_Training[[Solar]:[Wind]],MATCH(AL$1,Job_Training[[`Typical Entry Level Education`]:[`Typical Entry Level Education`]],0),MATCH(LEFT($D710,5),Job_Training[[#Headers],[Solar]:[Wind]],0)),0)</f>
        <v>0</v>
      </c>
      <c r="AM710" s="63">
        <f>IFERROR(INDEX(Job_Training[[Solar]:[Wind]],MATCH(AM$1,Job_Training[[`Typical Entry Level Education`]:[`Typical Entry Level Education`]],0),MATCH(LEFT($D710,5),Job_Training[[#Headers],[Solar]:[Wind]],0)),0)</f>
        <v>0</v>
      </c>
      <c r="AN710" s="63">
        <f>IFERROR(INDEX(Job_Training[[Solar]:[Wind]],MATCH(AN$1,Job_Training[[`Typical Entry Level Education`]:[`Typical Entry Level Education`]],0),MATCH(LEFT($D710,5),Job_Training[[#Headers],[Solar]:[Wind]],0)),0)</f>
        <v>0</v>
      </c>
      <c r="AO710" s="63">
        <f>IFERROR(INDEX(Job_Training[[Solar]:[Wind]],MATCH(AO$1,Job_Training[[`Typical Entry Level Education`]:[`Typical Entry Level Education`]],0),MATCH(LEFT($D710,5),Job_Training[[#Headers],[Solar]:[Wind]],0)),0)</f>
        <v>0</v>
      </c>
      <c r="AP710">
        <f t="shared" si="213"/>
        <v>0</v>
      </c>
      <c r="AQ710" s="63">
        <f>IF(AP710&gt;0,IFERROR(INDEX(Assumptions!$C$165:$D$165,MATCH(LEFT($D710,5),Job_Training[[#Headers],[Solar]:[Wind]],0)),0),0)</f>
        <v>0</v>
      </c>
      <c r="AR710">
        <f>IF(AP710&gt;0,IFERROR(INDEX(Assumptions!$C$166:$D$166,MATCH(LEFT($D710,5),Job_Training[[#Headers],[Solar]:[Wind]],0)),0),0)</f>
        <v>0</v>
      </c>
    </row>
    <row r="711" spans="1:44" hidden="1" x14ac:dyDescent="0.35">
      <c r="A711" t="str">
        <f>UserInput!$B$56</f>
        <v>Max Buildout</v>
      </c>
      <c r="B711">
        <v>2041</v>
      </c>
      <c r="C711" t="s">
        <v>92</v>
      </c>
      <c r="D711" t="s">
        <v>93</v>
      </c>
      <c r="E711" s="66">
        <f>INDEX(UserInput!$C$56:$M$76,MATCH(UserMade_Scenario!B711,UserInput!$A$56:$A$76,0),MATCH(LEFT(IF(RIGHT(C711,2)="H2",UserMade_Scenario!C711,D711),3),UserInput!$C$25:$M$25,0))</f>
        <v>40</v>
      </c>
      <c r="F711" t="s">
        <v>94</v>
      </c>
      <c r="G711" s="14">
        <f t="shared" si="198"/>
        <v>5.6973015900000003E-3</v>
      </c>
      <c r="H711" s="63">
        <f t="shared" si="204"/>
        <v>5.9024044472399999E-2</v>
      </c>
      <c r="I711" s="63">
        <f t="shared" si="205"/>
        <v>5.9024044472399999E-2</v>
      </c>
      <c r="J711" s="63">
        <f t="shared" si="206"/>
        <v>0.1872133302474</v>
      </c>
      <c r="K711" s="30">
        <f>IF(OR(LEFT($D711,5)="Solar",$D711="Wind"),INDEX(Land_Use[AVG],MATCH(LEFT($D711,5),Land_Use[Tech],0)),0)*$E711</f>
        <v>0</v>
      </c>
      <c r="L711" s="30">
        <f>IF(OR(LEFT($D711,5)="Solar",$D711="Wind"),INDEX(Land_Use[MIN],MATCH(LEFT($D711,5),Land_Use[Tech],0)),0)*$E711</f>
        <v>0</v>
      </c>
      <c r="M711" s="30">
        <f>IF(OR(LEFT($D711,5)="Solar",$D711="Wind"),INDEX(Land_Use[MAX],MATCH(LEFT($D711,5),Land_Use[Tech],0)),0)*$E711</f>
        <v>0</v>
      </c>
      <c r="N711" s="15">
        <f t="shared" si="199"/>
        <v>0</v>
      </c>
      <c r="O711" s="11">
        <f t="shared" si="200"/>
        <v>0</v>
      </c>
      <c r="P711" s="11">
        <f t="shared" si="201"/>
        <v>0</v>
      </c>
      <c r="Q711" s="11">
        <f t="shared" si="202"/>
        <v>0</v>
      </c>
      <c r="R711" s="11">
        <f t="shared" si="203"/>
        <v>0</v>
      </c>
      <c r="S711" s="30">
        <f t="shared" si="207"/>
        <v>0</v>
      </c>
      <c r="T711" s="30">
        <f t="shared" si="208"/>
        <v>0</v>
      </c>
      <c r="U711" s="30">
        <f t="shared" si="209"/>
        <v>0</v>
      </c>
      <c r="V711" s="30">
        <f t="shared" si="210"/>
        <v>0</v>
      </c>
      <c r="W711" s="30">
        <f t="shared" si="211"/>
        <v>0</v>
      </c>
      <c r="X711" s="30">
        <f t="shared" si="212"/>
        <v>0</v>
      </c>
      <c r="Z711" s="23" t="s">
        <v>76</v>
      </c>
      <c r="AA711" s="40" t="str">
        <f>IF(C711="Electricity",E711*SUMIFS(Electricity!S:S,Electricity!P:P,UserMade_Scenario!B711,Electricity!M:M,UserMade_Scenario!Z711,Electricity!O:O,UserMade_Scenario!D711),"")</f>
        <v/>
      </c>
      <c r="AB711" s="67">
        <v>1.4243253975000002E-4</v>
      </c>
      <c r="AC711" s="67" t="s">
        <v>95</v>
      </c>
      <c r="AD711" s="39">
        <f>INDEX(Assumptions!E$120:E$141,MATCH(UserMade_Scenario!$B711,Assumptions!$A$120:$A$141,0))</f>
        <v>-10.36</v>
      </c>
      <c r="AE711" s="39">
        <f>INDEX(Assumptions!F$120:F$141,MATCH(UserMade_Scenario!$B711,Assumptions!$A$120:$A$141,0))</f>
        <v>-10.36</v>
      </c>
      <c r="AF711" s="39">
        <f>INDEX(Assumptions!G$120:G$141,MATCH(UserMade_Scenario!$B711,Assumptions!$A$120:$A$141,0))</f>
        <v>-32.86</v>
      </c>
      <c r="AG711" s="68">
        <f>IFERROR(INDEX(WaterUseH2[Average Direct Water Consumption (Gal/ kg h2)],MATCH(LEFT(D711,3),WaterUseH2[Key],0)),0)</f>
        <v>0</v>
      </c>
      <c r="AH711">
        <v>14</v>
      </c>
      <c r="AI711">
        <v>1.4</v>
      </c>
      <c r="AJ711">
        <v>250</v>
      </c>
      <c r="AK711">
        <v>0.31</v>
      </c>
      <c r="AL711" s="63">
        <f>IFERROR(INDEX(Job_Training[[Solar]:[Wind]],MATCH(AL$1,Job_Training[[`Typical Entry Level Education`]:[`Typical Entry Level Education`]],0),MATCH(LEFT($D711,5),Job_Training[[#Headers],[Solar]:[Wind]],0)),0)</f>
        <v>0</v>
      </c>
      <c r="AM711" s="63">
        <f>IFERROR(INDEX(Job_Training[[Solar]:[Wind]],MATCH(AM$1,Job_Training[[`Typical Entry Level Education`]:[`Typical Entry Level Education`]],0),MATCH(LEFT($D711,5),Job_Training[[#Headers],[Solar]:[Wind]],0)),0)</f>
        <v>0</v>
      </c>
      <c r="AN711" s="63">
        <f>IFERROR(INDEX(Job_Training[[Solar]:[Wind]],MATCH(AN$1,Job_Training[[`Typical Entry Level Education`]:[`Typical Entry Level Education`]],0),MATCH(LEFT($D711,5),Job_Training[[#Headers],[Solar]:[Wind]],0)),0)</f>
        <v>0</v>
      </c>
      <c r="AO711" s="63">
        <f>IFERROR(INDEX(Job_Training[[Solar]:[Wind]],MATCH(AO$1,Job_Training[[`Typical Entry Level Education`]:[`Typical Entry Level Education`]],0),MATCH(LEFT($D711,5),Job_Training[[#Headers],[Solar]:[Wind]],0)),0)</f>
        <v>0</v>
      </c>
      <c r="AP711">
        <f t="shared" si="213"/>
        <v>0</v>
      </c>
      <c r="AQ711" s="63">
        <f>IF(AP711&gt;0,IFERROR(INDEX(Assumptions!$C$165:$D$165,MATCH(LEFT($D711,5),Job_Training[[#Headers],[Solar]:[Wind]],0)),0),0)</f>
        <v>0</v>
      </c>
      <c r="AR711">
        <f>IF(AP711&gt;0,IFERROR(INDEX(Assumptions!$C$166:$D$166,MATCH(LEFT($D711,5),Job_Training[[#Headers],[Solar]:[Wind]],0)),0),0)</f>
        <v>0</v>
      </c>
    </row>
    <row r="712" spans="1:44" hidden="1" x14ac:dyDescent="0.35">
      <c r="A712" t="str">
        <f>UserInput!$B$56</f>
        <v>Max Buildout</v>
      </c>
      <c r="B712">
        <v>2042</v>
      </c>
      <c r="C712" t="s">
        <v>92</v>
      </c>
      <c r="D712" t="s">
        <v>93</v>
      </c>
      <c r="E712" s="66">
        <f>INDEX(UserInput!$C$56:$M$76,MATCH(UserMade_Scenario!B712,UserInput!$A$56:$A$76,0),MATCH(LEFT(IF(RIGHT(C712,2)="H2",UserMade_Scenario!C712,D712),3),UserInput!$C$25:$M$25,0))</f>
        <v>30</v>
      </c>
      <c r="F712" t="s">
        <v>94</v>
      </c>
      <c r="G712" s="14">
        <f t="shared" si="198"/>
        <v>4.2729761925000007E-3</v>
      </c>
      <c r="H712" s="63">
        <f t="shared" si="204"/>
        <v>4.4268033354300004E-2</v>
      </c>
      <c r="I712" s="63">
        <f t="shared" si="205"/>
        <v>4.4268033354300004E-2</v>
      </c>
      <c r="J712" s="63">
        <f t="shared" si="206"/>
        <v>0.14040999768555001</v>
      </c>
      <c r="K712" s="30">
        <f>IF(OR(LEFT($D712,5)="Solar",$D712="Wind"),INDEX(Land_Use[AVG],MATCH(LEFT($D712,5),Land_Use[Tech],0)),0)*$E712</f>
        <v>0</v>
      </c>
      <c r="L712" s="30">
        <f>IF(OR(LEFT($D712,5)="Solar",$D712="Wind"),INDEX(Land_Use[MIN],MATCH(LEFT($D712,5),Land_Use[Tech],0)),0)*$E712</f>
        <v>0</v>
      </c>
      <c r="M712" s="30">
        <f>IF(OR(LEFT($D712,5)="Solar",$D712="Wind"),INDEX(Land_Use[MAX],MATCH(LEFT($D712,5),Land_Use[Tech],0)),0)*$E712</f>
        <v>0</v>
      </c>
      <c r="N712" s="15">
        <f t="shared" si="199"/>
        <v>0</v>
      </c>
      <c r="O712" s="11">
        <f t="shared" si="200"/>
        <v>0</v>
      </c>
      <c r="P712" s="11">
        <f t="shared" si="201"/>
        <v>0</v>
      </c>
      <c r="Q712" s="11">
        <f t="shared" si="202"/>
        <v>0</v>
      </c>
      <c r="R712" s="11">
        <f t="shared" si="203"/>
        <v>0</v>
      </c>
      <c r="S712" s="30">
        <f t="shared" si="207"/>
        <v>0</v>
      </c>
      <c r="T712" s="30">
        <f t="shared" si="208"/>
        <v>0</v>
      </c>
      <c r="U712" s="30">
        <f t="shared" si="209"/>
        <v>0</v>
      </c>
      <c r="V712" s="30">
        <f t="shared" si="210"/>
        <v>0</v>
      </c>
      <c r="W712" s="30">
        <f t="shared" si="211"/>
        <v>0</v>
      </c>
      <c r="X712" s="30">
        <f t="shared" si="212"/>
        <v>0</v>
      </c>
      <c r="Z712" s="23" t="s">
        <v>76</v>
      </c>
      <c r="AA712" s="40" t="str">
        <f>IF(C712="Electricity",E712*SUMIFS(Electricity!S:S,Electricity!P:P,UserMade_Scenario!B712,Electricity!M:M,UserMade_Scenario!Z712,Electricity!O:O,UserMade_Scenario!D712),"")</f>
        <v/>
      </c>
      <c r="AB712" s="67">
        <v>1.4243253975000002E-4</v>
      </c>
      <c r="AC712" s="67" t="s">
        <v>95</v>
      </c>
      <c r="AD712" s="39">
        <f>INDEX(Assumptions!E$120:E$141,MATCH(UserMade_Scenario!$B712,Assumptions!$A$120:$A$141,0))</f>
        <v>-10.36</v>
      </c>
      <c r="AE712" s="39">
        <f>INDEX(Assumptions!F$120:F$141,MATCH(UserMade_Scenario!$B712,Assumptions!$A$120:$A$141,0))</f>
        <v>-10.36</v>
      </c>
      <c r="AF712" s="39">
        <f>INDEX(Assumptions!G$120:G$141,MATCH(UserMade_Scenario!$B712,Assumptions!$A$120:$A$141,0))</f>
        <v>-32.86</v>
      </c>
      <c r="AG712" s="68">
        <f>IFERROR(INDEX(WaterUseH2[Average Direct Water Consumption (Gal/ kg h2)],MATCH(LEFT(D712,3),WaterUseH2[Key],0)),0)</f>
        <v>0</v>
      </c>
      <c r="AH712">
        <v>14</v>
      </c>
      <c r="AI712">
        <v>1.4</v>
      </c>
      <c r="AJ712">
        <v>250</v>
      </c>
      <c r="AK712">
        <v>0.31</v>
      </c>
      <c r="AL712" s="63">
        <f>IFERROR(INDEX(Job_Training[[Solar]:[Wind]],MATCH(AL$1,Job_Training[[`Typical Entry Level Education`]:[`Typical Entry Level Education`]],0),MATCH(LEFT($D712,5),Job_Training[[#Headers],[Solar]:[Wind]],0)),0)</f>
        <v>0</v>
      </c>
      <c r="AM712" s="63">
        <f>IFERROR(INDEX(Job_Training[[Solar]:[Wind]],MATCH(AM$1,Job_Training[[`Typical Entry Level Education`]:[`Typical Entry Level Education`]],0),MATCH(LEFT($D712,5),Job_Training[[#Headers],[Solar]:[Wind]],0)),0)</f>
        <v>0</v>
      </c>
      <c r="AN712" s="63">
        <f>IFERROR(INDEX(Job_Training[[Solar]:[Wind]],MATCH(AN$1,Job_Training[[`Typical Entry Level Education`]:[`Typical Entry Level Education`]],0),MATCH(LEFT($D712,5),Job_Training[[#Headers],[Solar]:[Wind]],0)),0)</f>
        <v>0</v>
      </c>
      <c r="AO712" s="63">
        <f>IFERROR(INDEX(Job_Training[[Solar]:[Wind]],MATCH(AO$1,Job_Training[[`Typical Entry Level Education`]:[`Typical Entry Level Education`]],0),MATCH(LEFT($D712,5),Job_Training[[#Headers],[Solar]:[Wind]],0)),0)</f>
        <v>0</v>
      </c>
      <c r="AP712">
        <f t="shared" si="213"/>
        <v>0</v>
      </c>
      <c r="AQ712" s="63">
        <f>IF(AP712&gt;0,IFERROR(INDEX(Assumptions!$C$165:$D$165,MATCH(LEFT($D712,5),Job_Training[[#Headers],[Solar]:[Wind]],0)),0),0)</f>
        <v>0</v>
      </c>
      <c r="AR712">
        <f>IF(AP712&gt;0,IFERROR(INDEX(Assumptions!$C$166:$D$166,MATCH(LEFT($D712,5),Job_Training[[#Headers],[Solar]:[Wind]],0)),0),0)</f>
        <v>0</v>
      </c>
    </row>
    <row r="713" spans="1:44" hidden="1" x14ac:dyDescent="0.35">
      <c r="A713" t="str">
        <f>UserInput!$B$56</f>
        <v>Max Buildout</v>
      </c>
      <c r="B713">
        <v>2043</v>
      </c>
      <c r="C713" t="s">
        <v>92</v>
      </c>
      <c r="D713" t="s">
        <v>93</v>
      </c>
      <c r="E713" s="66">
        <f>INDEX(UserInput!$C$56:$M$76,MATCH(UserMade_Scenario!B713,UserInput!$A$56:$A$76,0),MATCH(LEFT(IF(RIGHT(C713,2)="H2",UserMade_Scenario!C713,D713),3),UserInput!$C$25:$M$25,0))</f>
        <v>20</v>
      </c>
      <c r="F713" t="s">
        <v>94</v>
      </c>
      <c r="G713" s="14">
        <f t="shared" si="198"/>
        <v>2.8486507950000002E-3</v>
      </c>
      <c r="H713" s="63">
        <f t="shared" si="204"/>
        <v>2.9512022236199999E-2</v>
      </c>
      <c r="I713" s="63">
        <f t="shared" si="205"/>
        <v>2.9512022236199999E-2</v>
      </c>
      <c r="J713" s="63">
        <f t="shared" si="206"/>
        <v>9.36066651237E-2</v>
      </c>
      <c r="K713" s="30">
        <f>IF(OR(LEFT($D713,5)="Solar",$D713="Wind"),INDEX(Land_Use[AVG],MATCH(LEFT($D713,5),Land_Use[Tech],0)),0)*$E713</f>
        <v>0</v>
      </c>
      <c r="L713" s="30">
        <f>IF(OR(LEFT($D713,5)="Solar",$D713="Wind"),INDEX(Land_Use[MIN],MATCH(LEFT($D713,5),Land_Use[Tech],0)),0)*$E713</f>
        <v>0</v>
      </c>
      <c r="M713" s="30">
        <f>IF(OR(LEFT($D713,5)="Solar",$D713="Wind"),INDEX(Land_Use[MAX],MATCH(LEFT($D713,5),Land_Use[Tech],0)),0)*$E713</f>
        <v>0</v>
      </c>
      <c r="N713" s="15">
        <f t="shared" si="199"/>
        <v>0</v>
      </c>
      <c r="O713" s="11">
        <f t="shared" si="200"/>
        <v>0</v>
      </c>
      <c r="P713" s="11">
        <f t="shared" si="201"/>
        <v>0</v>
      </c>
      <c r="Q713" s="11">
        <f t="shared" si="202"/>
        <v>0</v>
      </c>
      <c r="R713" s="11">
        <f t="shared" si="203"/>
        <v>0</v>
      </c>
      <c r="S713" s="30">
        <f t="shared" si="207"/>
        <v>0</v>
      </c>
      <c r="T713" s="30">
        <f t="shared" si="208"/>
        <v>0</v>
      </c>
      <c r="U713" s="30">
        <f t="shared" si="209"/>
        <v>0</v>
      </c>
      <c r="V713" s="30">
        <f t="shared" si="210"/>
        <v>0</v>
      </c>
      <c r="W713" s="30">
        <f t="shared" si="211"/>
        <v>0</v>
      </c>
      <c r="X713" s="30">
        <f t="shared" si="212"/>
        <v>0</v>
      </c>
      <c r="Z713" s="23" t="s">
        <v>76</v>
      </c>
      <c r="AA713" s="40" t="str">
        <f>IF(C713="Electricity",E713*SUMIFS(Electricity!S:S,Electricity!P:P,UserMade_Scenario!B713,Electricity!M:M,UserMade_Scenario!Z713,Electricity!O:O,UserMade_Scenario!D713),"")</f>
        <v/>
      </c>
      <c r="AB713" s="67">
        <v>1.4243253975000002E-4</v>
      </c>
      <c r="AC713" s="67" t="s">
        <v>95</v>
      </c>
      <c r="AD713" s="39">
        <f>INDEX(Assumptions!E$120:E$141,MATCH(UserMade_Scenario!$B713,Assumptions!$A$120:$A$141,0))</f>
        <v>-10.36</v>
      </c>
      <c r="AE713" s="39">
        <f>INDEX(Assumptions!F$120:F$141,MATCH(UserMade_Scenario!$B713,Assumptions!$A$120:$A$141,0))</f>
        <v>-10.36</v>
      </c>
      <c r="AF713" s="39">
        <f>INDEX(Assumptions!G$120:G$141,MATCH(UserMade_Scenario!$B713,Assumptions!$A$120:$A$141,0))</f>
        <v>-32.86</v>
      </c>
      <c r="AG713" s="68">
        <f>IFERROR(INDEX(WaterUseH2[Average Direct Water Consumption (Gal/ kg h2)],MATCH(LEFT(D713,3),WaterUseH2[Key],0)),0)</f>
        <v>0</v>
      </c>
      <c r="AH713">
        <v>14</v>
      </c>
      <c r="AI713">
        <v>1.4</v>
      </c>
      <c r="AJ713">
        <v>250</v>
      </c>
      <c r="AK713">
        <v>0.31</v>
      </c>
      <c r="AL713" s="63">
        <f>IFERROR(INDEX(Job_Training[[Solar]:[Wind]],MATCH(AL$1,Job_Training[[`Typical Entry Level Education`]:[`Typical Entry Level Education`]],0),MATCH(LEFT($D713,5),Job_Training[[#Headers],[Solar]:[Wind]],0)),0)</f>
        <v>0</v>
      </c>
      <c r="AM713" s="63">
        <f>IFERROR(INDEX(Job_Training[[Solar]:[Wind]],MATCH(AM$1,Job_Training[[`Typical Entry Level Education`]:[`Typical Entry Level Education`]],0),MATCH(LEFT($D713,5),Job_Training[[#Headers],[Solar]:[Wind]],0)),0)</f>
        <v>0</v>
      </c>
      <c r="AN713" s="63">
        <f>IFERROR(INDEX(Job_Training[[Solar]:[Wind]],MATCH(AN$1,Job_Training[[`Typical Entry Level Education`]:[`Typical Entry Level Education`]],0),MATCH(LEFT($D713,5),Job_Training[[#Headers],[Solar]:[Wind]],0)),0)</f>
        <v>0</v>
      </c>
      <c r="AO713" s="63">
        <f>IFERROR(INDEX(Job_Training[[Solar]:[Wind]],MATCH(AO$1,Job_Training[[`Typical Entry Level Education`]:[`Typical Entry Level Education`]],0),MATCH(LEFT($D713,5),Job_Training[[#Headers],[Solar]:[Wind]],0)),0)</f>
        <v>0</v>
      </c>
      <c r="AP713">
        <f t="shared" si="213"/>
        <v>0</v>
      </c>
      <c r="AQ713" s="63">
        <f>IF(AP713&gt;0,IFERROR(INDEX(Assumptions!$C$165:$D$165,MATCH(LEFT($D713,5),Job_Training[[#Headers],[Solar]:[Wind]],0)),0),0)</f>
        <v>0</v>
      </c>
      <c r="AR713">
        <f>IF(AP713&gt;0,IFERROR(INDEX(Assumptions!$C$166:$D$166,MATCH(LEFT($D713,5),Job_Training[[#Headers],[Solar]:[Wind]],0)),0),0)</f>
        <v>0</v>
      </c>
    </row>
    <row r="714" spans="1:44" hidden="1" x14ac:dyDescent="0.35">
      <c r="A714" t="str">
        <f>UserInput!$B$56</f>
        <v>Max Buildout</v>
      </c>
      <c r="B714">
        <v>2044</v>
      </c>
      <c r="C714" t="s">
        <v>92</v>
      </c>
      <c r="D714" t="s">
        <v>93</v>
      </c>
      <c r="E714" s="66">
        <f>INDEX(UserInput!$C$56:$M$76,MATCH(UserMade_Scenario!B714,UserInput!$A$56:$A$76,0),MATCH(LEFT(IF(RIGHT(C714,2)="H2",UserMade_Scenario!C714,D714),3),UserInput!$C$25:$M$25,0))</f>
        <v>10</v>
      </c>
      <c r="F714" t="s">
        <v>94</v>
      </c>
      <c r="G714" s="14">
        <f t="shared" si="198"/>
        <v>1.4243253975000001E-3</v>
      </c>
      <c r="H714" s="63">
        <f t="shared" si="204"/>
        <v>1.47560111181E-2</v>
      </c>
      <c r="I714" s="63">
        <f t="shared" si="205"/>
        <v>1.47560111181E-2</v>
      </c>
      <c r="J714" s="63">
        <f t="shared" si="206"/>
        <v>4.680333256185E-2</v>
      </c>
      <c r="K714" s="30">
        <f>IF(OR(LEFT($D714,5)="Solar",$D714="Wind"),INDEX(Land_Use[AVG],MATCH(LEFT($D714,5),Land_Use[Tech],0)),0)*$E714</f>
        <v>0</v>
      </c>
      <c r="L714" s="30">
        <f>IF(OR(LEFT($D714,5)="Solar",$D714="Wind"),INDEX(Land_Use[MIN],MATCH(LEFT($D714,5),Land_Use[Tech],0)),0)*$E714</f>
        <v>0</v>
      </c>
      <c r="M714" s="30">
        <f>IF(OR(LEFT($D714,5)="Solar",$D714="Wind"),INDEX(Land_Use[MAX],MATCH(LEFT($D714,5),Land_Use[Tech],0)),0)*$E714</f>
        <v>0</v>
      </c>
      <c r="N714" s="15">
        <f t="shared" si="199"/>
        <v>0</v>
      </c>
      <c r="O714" s="11">
        <f t="shared" si="200"/>
        <v>0</v>
      </c>
      <c r="P714" s="11">
        <f t="shared" si="201"/>
        <v>0</v>
      </c>
      <c r="Q714" s="11">
        <f t="shared" si="202"/>
        <v>0</v>
      </c>
      <c r="R714" s="11">
        <f t="shared" si="203"/>
        <v>0</v>
      </c>
      <c r="S714" s="30">
        <f t="shared" si="207"/>
        <v>0</v>
      </c>
      <c r="T714" s="30">
        <f t="shared" si="208"/>
        <v>0</v>
      </c>
      <c r="U714" s="30">
        <f t="shared" si="209"/>
        <v>0</v>
      </c>
      <c r="V714" s="30">
        <f t="shared" si="210"/>
        <v>0</v>
      </c>
      <c r="W714" s="30">
        <f t="shared" si="211"/>
        <v>0</v>
      </c>
      <c r="X714" s="30">
        <f t="shared" si="212"/>
        <v>0</v>
      </c>
      <c r="Z714" s="23" t="s">
        <v>76</v>
      </c>
      <c r="AA714" s="40" t="str">
        <f>IF(C714="Electricity",E714*SUMIFS(Electricity!S:S,Electricity!P:P,UserMade_Scenario!B714,Electricity!M:M,UserMade_Scenario!Z714,Electricity!O:O,UserMade_Scenario!D714),"")</f>
        <v/>
      </c>
      <c r="AB714" s="67">
        <v>1.4243253975000002E-4</v>
      </c>
      <c r="AC714" s="67" t="s">
        <v>95</v>
      </c>
      <c r="AD714" s="39">
        <f>INDEX(Assumptions!E$120:E$141,MATCH(UserMade_Scenario!$B714,Assumptions!$A$120:$A$141,0))</f>
        <v>-10.36</v>
      </c>
      <c r="AE714" s="39">
        <f>INDEX(Assumptions!F$120:F$141,MATCH(UserMade_Scenario!$B714,Assumptions!$A$120:$A$141,0))</f>
        <v>-10.36</v>
      </c>
      <c r="AF714" s="39">
        <f>INDEX(Assumptions!G$120:G$141,MATCH(UserMade_Scenario!$B714,Assumptions!$A$120:$A$141,0))</f>
        <v>-32.86</v>
      </c>
      <c r="AG714" s="68">
        <f>IFERROR(INDEX(WaterUseH2[Average Direct Water Consumption (Gal/ kg h2)],MATCH(LEFT(D714,3),WaterUseH2[Key],0)),0)</f>
        <v>0</v>
      </c>
      <c r="AH714">
        <v>14</v>
      </c>
      <c r="AI714">
        <v>1.4</v>
      </c>
      <c r="AJ714">
        <v>250</v>
      </c>
      <c r="AK714">
        <v>0.31</v>
      </c>
      <c r="AL714" s="63">
        <f>IFERROR(INDEX(Job_Training[[Solar]:[Wind]],MATCH(AL$1,Job_Training[[`Typical Entry Level Education`]:[`Typical Entry Level Education`]],0),MATCH(LEFT($D714,5),Job_Training[[#Headers],[Solar]:[Wind]],0)),0)</f>
        <v>0</v>
      </c>
      <c r="AM714" s="63">
        <f>IFERROR(INDEX(Job_Training[[Solar]:[Wind]],MATCH(AM$1,Job_Training[[`Typical Entry Level Education`]:[`Typical Entry Level Education`]],0),MATCH(LEFT($D714,5),Job_Training[[#Headers],[Solar]:[Wind]],0)),0)</f>
        <v>0</v>
      </c>
      <c r="AN714" s="63">
        <f>IFERROR(INDEX(Job_Training[[Solar]:[Wind]],MATCH(AN$1,Job_Training[[`Typical Entry Level Education`]:[`Typical Entry Level Education`]],0),MATCH(LEFT($D714,5),Job_Training[[#Headers],[Solar]:[Wind]],0)),0)</f>
        <v>0</v>
      </c>
      <c r="AO714" s="63">
        <f>IFERROR(INDEX(Job_Training[[Solar]:[Wind]],MATCH(AO$1,Job_Training[[`Typical Entry Level Education`]:[`Typical Entry Level Education`]],0),MATCH(LEFT($D714,5),Job_Training[[#Headers],[Solar]:[Wind]],0)),0)</f>
        <v>0</v>
      </c>
      <c r="AP714">
        <f t="shared" si="213"/>
        <v>0</v>
      </c>
      <c r="AQ714" s="63">
        <f>IF(AP714&gt;0,IFERROR(INDEX(Assumptions!$C$165:$D$165,MATCH(LEFT($D714,5),Job_Training[[#Headers],[Solar]:[Wind]],0)),0),0)</f>
        <v>0</v>
      </c>
      <c r="AR714">
        <f>IF(AP714&gt;0,IFERROR(INDEX(Assumptions!$C$166:$D$166,MATCH(LEFT($D714,5),Job_Training[[#Headers],[Solar]:[Wind]],0)),0),0)</f>
        <v>0</v>
      </c>
    </row>
    <row r="715" spans="1:44" hidden="1" x14ac:dyDescent="0.35">
      <c r="A715" t="str">
        <f>UserInput!$B$56</f>
        <v>Max Buildout</v>
      </c>
      <c r="B715">
        <v>2045</v>
      </c>
      <c r="C715" t="s">
        <v>92</v>
      </c>
      <c r="D715" t="s">
        <v>93</v>
      </c>
      <c r="E715" s="66">
        <f>INDEX(UserInput!$C$56:$M$76,MATCH(UserMade_Scenario!B715,UserInput!$A$56:$A$76,0),MATCH(LEFT(IF(RIGHT(C715,2)="H2",UserMade_Scenario!C715,D715),3),UserInput!$C$25:$M$25,0))</f>
        <v>0</v>
      </c>
      <c r="F715" t="s">
        <v>94</v>
      </c>
      <c r="G715" s="14">
        <f t="shared" si="198"/>
        <v>0</v>
      </c>
      <c r="H715" s="63">
        <f t="shared" si="204"/>
        <v>0</v>
      </c>
      <c r="I715" s="63">
        <f t="shared" si="205"/>
        <v>0</v>
      </c>
      <c r="J715" s="63">
        <f t="shared" si="206"/>
        <v>0</v>
      </c>
      <c r="K715" s="30">
        <f>IF(OR(LEFT($D715,5)="Solar",$D715="Wind"),INDEX(Land_Use[AVG],MATCH(LEFT($D715,5),Land_Use[Tech],0)),0)*$E715</f>
        <v>0</v>
      </c>
      <c r="L715" s="30">
        <f>IF(OR(LEFT($D715,5)="Solar",$D715="Wind"),INDEX(Land_Use[MIN],MATCH(LEFT($D715,5),Land_Use[Tech],0)),0)*$E715</f>
        <v>0</v>
      </c>
      <c r="M715" s="30">
        <f>IF(OR(LEFT($D715,5)="Solar",$D715="Wind"),INDEX(Land_Use[MAX],MATCH(LEFT($D715,5),Land_Use[Tech],0)),0)*$E715</f>
        <v>0</v>
      </c>
      <c r="N715" s="15">
        <f t="shared" si="199"/>
        <v>0</v>
      </c>
      <c r="O715" s="11">
        <f t="shared" si="200"/>
        <v>0</v>
      </c>
      <c r="P715" s="11">
        <f t="shared" si="201"/>
        <v>0</v>
      </c>
      <c r="Q715" s="11">
        <f t="shared" si="202"/>
        <v>0</v>
      </c>
      <c r="R715" s="11">
        <f t="shared" si="203"/>
        <v>0</v>
      </c>
      <c r="S715" s="30">
        <f t="shared" si="207"/>
        <v>0</v>
      </c>
      <c r="T715" s="30">
        <f t="shared" si="208"/>
        <v>0</v>
      </c>
      <c r="U715" s="30">
        <f t="shared" si="209"/>
        <v>0</v>
      </c>
      <c r="V715" s="30">
        <f t="shared" si="210"/>
        <v>0</v>
      </c>
      <c r="W715" s="30">
        <f t="shared" si="211"/>
        <v>0</v>
      </c>
      <c r="X715" s="30">
        <f t="shared" si="212"/>
        <v>0</v>
      </c>
      <c r="Z715" s="23" t="s">
        <v>76</v>
      </c>
      <c r="AA715" s="40" t="str">
        <f>IF(C715="Electricity",E715*SUMIFS(Electricity!S:S,Electricity!P:P,UserMade_Scenario!B715,Electricity!M:M,UserMade_Scenario!Z715,Electricity!O:O,UserMade_Scenario!D715),"")</f>
        <v/>
      </c>
      <c r="AB715" s="67">
        <v>1.4243253975000002E-4</v>
      </c>
      <c r="AC715" s="67" t="s">
        <v>95</v>
      </c>
      <c r="AD715" s="39">
        <f>INDEX(Assumptions!E$120:E$141,MATCH(UserMade_Scenario!$B715,Assumptions!$A$120:$A$141,0))</f>
        <v>-10.36</v>
      </c>
      <c r="AE715" s="39">
        <f>INDEX(Assumptions!F$120:F$141,MATCH(UserMade_Scenario!$B715,Assumptions!$A$120:$A$141,0))</f>
        <v>-10.36</v>
      </c>
      <c r="AF715" s="39">
        <f>INDEX(Assumptions!G$120:G$141,MATCH(UserMade_Scenario!$B715,Assumptions!$A$120:$A$141,0))</f>
        <v>-32.86</v>
      </c>
      <c r="AG715" s="68">
        <f>IFERROR(INDEX(WaterUseH2[Average Direct Water Consumption (Gal/ kg h2)],MATCH(LEFT(D715,3),WaterUseH2[Key],0)),0)</f>
        <v>0</v>
      </c>
      <c r="AH715">
        <v>14</v>
      </c>
      <c r="AI715">
        <v>1.4</v>
      </c>
      <c r="AJ715">
        <v>250</v>
      </c>
      <c r="AK715">
        <v>0.31</v>
      </c>
      <c r="AL715" s="63">
        <f>IFERROR(INDEX(Job_Training[[Solar]:[Wind]],MATCH(AL$1,Job_Training[[`Typical Entry Level Education`]:[`Typical Entry Level Education`]],0),MATCH(LEFT($D715,5),Job_Training[[#Headers],[Solar]:[Wind]],0)),0)</f>
        <v>0</v>
      </c>
      <c r="AM715" s="63">
        <f>IFERROR(INDEX(Job_Training[[Solar]:[Wind]],MATCH(AM$1,Job_Training[[`Typical Entry Level Education`]:[`Typical Entry Level Education`]],0),MATCH(LEFT($D715,5),Job_Training[[#Headers],[Solar]:[Wind]],0)),0)</f>
        <v>0</v>
      </c>
      <c r="AN715" s="63">
        <f>IFERROR(INDEX(Job_Training[[Solar]:[Wind]],MATCH(AN$1,Job_Training[[`Typical Entry Level Education`]:[`Typical Entry Level Education`]],0),MATCH(LEFT($D715,5),Job_Training[[#Headers],[Solar]:[Wind]],0)),0)</f>
        <v>0</v>
      </c>
      <c r="AO715" s="63">
        <f>IFERROR(INDEX(Job_Training[[Solar]:[Wind]],MATCH(AO$1,Job_Training[[`Typical Entry Level Education`]:[`Typical Entry Level Education`]],0),MATCH(LEFT($D715,5),Job_Training[[#Headers],[Solar]:[Wind]],0)),0)</f>
        <v>0</v>
      </c>
      <c r="AP715">
        <f t="shared" si="213"/>
        <v>0</v>
      </c>
      <c r="AQ715" s="63">
        <f>IF(AP715&gt;0,IFERROR(INDEX(Assumptions!$C$165:$D$165,MATCH(LEFT($D715,5),Job_Training[[#Headers],[Solar]:[Wind]],0)),0),0)</f>
        <v>0</v>
      </c>
      <c r="AR715">
        <f>IF(AP715&gt;0,IFERROR(INDEX(Assumptions!$C$166:$D$166,MATCH(LEFT($D715,5),Job_Training[[#Headers],[Solar]:[Wind]],0)),0),0)</f>
        <v>0</v>
      </c>
    </row>
    <row r="716" spans="1:44" hidden="1" x14ac:dyDescent="0.35">
      <c r="A716" t="str">
        <f>UserInput!$B$56</f>
        <v>Max Buildout</v>
      </c>
      <c r="B716">
        <v>2025</v>
      </c>
      <c r="C716" t="s">
        <v>92</v>
      </c>
      <c r="D716" t="s">
        <v>96</v>
      </c>
      <c r="E716" s="66">
        <f>INDEX(UserInput!$C$56:$M$76,MATCH(UserMade_Scenario!B716,UserInput!$A$56:$A$76,0),MATCH(LEFT(IF(RIGHT(C716,2)="H2",UserMade_Scenario!C716,D716),3),UserInput!$C$25:$M$25,0))</f>
        <v>0</v>
      </c>
      <c r="F716" t="s">
        <v>94</v>
      </c>
      <c r="G716" s="14">
        <f t="shared" si="198"/>
        <v>0</v>
      </c>
      <c r="H716" s="63">
        <f t="shared" si="204"/>
        <v>0</v>
      </c>
      <c r="I716" s="63">
        <f t="shared" si="205"/>
        <v>0</v>
      </c>
      <c r="J716" s="63">
        <f t="shared" si="206"/>
        <v>0</v>
      </c>
      <c r="K716" s="30">
        <f>IF(OR(LEFT($D716,5)="Solar",$D716="Wind"),INDEX(Land_Use[AVG],MATCH(LEFT($D716,5),Land_Use[Tech],0)),0)*$E716</f>
        <v>0</v>
      </c>
      <c r="L716" s="30">
        <f>IF(OR(LEFT($D716,5)="Solar",$D716="Wind"),INDEX(Land_Use[MIN],MATCH(LEFT($D716,5),Land_Use[Tech],0)),0)*$E716</f>
        <v>0</v>
      </c>
      <c r="M716" s="30">
        <f>IF(OR(LEFT($D716,5)="Solar",$D716="Wind"),INDEX(Land_Use[MAX],MATCH(LEFT($D716,5),Land_Use[Tech],0)),0)*$E716</f>
        <v>0</v>
      </c>
      <c r="N716" s="15">
        <f t="shared" si="199"/>
        <v>0</v>
      </c>
      <c r="O716" s="11">
        <f t="shared" si="200"/>
        <v>0</v>
      </c>
      <c r="P716" s="11">
        <f t="shared" si="201"/>
        <v>0</v>
      </c>
      <c r="Q716" s="11">
        <f t="shared" si="202"/>
        <v>0</v>
      </c>
      <c r="R716" s="11">
        <f t="shared" si="203"/>
        <v>0</v>
      </c>
      <c r="S716" s="30">
        <f t="shared" si="207"/>
        <v>0</v>
      </c>
      <c r="T716" s="30">
        <f t="shared" si="208"/>
        <v>0</v>
      </c>
      <c r="U716" s="30">
        <f t="shared" si="209"/>
        <v>0</v>
      </c>
      <c r="V716" s="30">
        <f t="shared" si="210"/>
        <v>0</v>
      </c>
      <c r="W716" s="30">
        <f t="shared" si="211"/>
        <v>0</v>
      </c>
      <c r="X716" s="30">
        <f t="shared" si="212"/>
        <v>0</v>
      </c>
      <c r="Z716" s="23" t="s">
        <v>76</v>
      </c>
      <c r="AA716" s="40" t="str">
        <f>IF(C716="Electricity",E716*SUMIFS(Electricity!S:S,Electricity!P:P,UserMade_Scenario!B716,Electricity!M:M,UserMade_Scenario!Z716,Electricity!O:O,UserMade_Scenario!D716),"")</f>
        <v/>
      </c>
      <c r="AB716" s="67">
        <v>1.4243253975000002E-4</v>
      </c>
      <c r="AC716" s="67" t="s">
        <v>95</v>
      </c>
      <c r="AD716" s="39">
        <f>INDEX(Assumptions!E$120:E$141,MATCH(UserMade_Scenario!$B716,Assumptions!$A$120:$A$141,0))</f>
        <v>-16.64</v>
      </c>
      <c r="AE716" s="39">
        <f>INDEX(Assumptions!F$120:F$141,MATCH(UserMade_Scenario!$B716,Assumptions!$A$120:$A$141,0))</f>
        <v>-16.64</v>
      </c>
      <c r="AF716" s="39">
        <f>INDEX(Assumptions!G$120:G$141,MATCH(UserMade_Scenario!$B716,Assumptions!$A$120:$A$141,0))</f>
        <v>-39.14</v>
      </c>
      <c r="AG716" s="68">
        <f>IFERROR(INDEX(WaterUseH2[Average Direct Water Consumption (Gal/ kg h2)],MATCH(LEFT(D716,3),WaterUseH2[Key],0)),0)</f>
        <v>0</v>
      </c>
      <c r="AH716">
        <v>14</v>
      </c>
      <c r="AI716">
        <v>1.4</v>
      </c>
      <c r="AJ716">
        <v>250</v>
      </c>
      <c r="AK716">
        <v>0.31</v>
      </c>
      <c r="AL716" s="63">
        <f>IFERROR(INDEX(Job_Training[[Solar]:[Wind]],MATCH(AL$1,Job_Training[[`Typical Entry Level Education`]:[`Typical Entry Level Education`]],0),MATCH(LEFT($D716,5),Job_Training[[#Headers],[Solar]:[Wind]],0)),0)</f>
        <v>0</v>
      </c>
      <c r="AM716" s="63">
        <f>IFERROR(INDEX(Job_Training[[Solar]:[Wind]],MATCH(AM$1,Job_Training[[`Typical Entry Level Education`]:[`Typical Entry Level Education`]],0),MATCH(LEFT($D716,5),Job_Training[[#Headers],[Solar]:[Wind]],0)),0)</f>
        <v>0</v>
      </c>
      <c r="AN716" s="63">
        <f>IFERROR(INDEX(Job_Training[[Solar]:[Wind]],MATCH(AN$1,Job_Training[[`Typical Entry Level Education`]:[`Typical Entry Level Education`]],0),MATCH(LEFT($D716,5),Job_Training[[#Headers],[Solar]:[Wind]],0)),0)</f>
        <v>0</v>
      </c>
      <c r="AO716" s="63">
        <f>IFERROR(INDEX(Job_Training[[Solar]:[Wind]],MATCH(AO$1,Job_Training[[`Typical Entry Level Education`]:[`Typical Entry Level Education`]],0),MATCH(LEFT($D716,5),Job_Training[[#Headers],[Solar]:[Wind]],0)),0)</f>
        <v>0</v>
      </c>
      <c r="AP716">
        <f t="shared" si="213"/>
        <v>0</v>
      </c>
      <c r="AQ716" s="63">
        <f>IF(AP716&gt;0,IFERROR(INDEX(Assumptions!$C$165:$D$165,MATCH(LEFT($D716,5),Job_Training[[#Headers],[Solar]:[Wind]],0)),0),0)</f>
        <v>0</v>
      </c>
      <c r="AR716">
        <f>IF(AP716&gt;0,IFERROR(INDEX(Assumptions!$C$166:$D$166,MATCH(LEFT($D716,5),Job_Training[[#Headers],[Solar]:[Wind]],0)),0),0)</f>
        <v>0</v>
      </c>
    </row>
    <row r="717" spans="1:44" ht="14.25" hidden="1" customHeight="1" x14ac:dyDescent="0.35">
      <c r="A717" t="str">
        <f>UserInput!$B$56</f>
        <v>Max Buildout</v>
      </c>
      <c r="B717">
        <v>2026</v>
      </c>
      <c r="C717" t="s">
        <v>92</v>
      </c>
      <c r="D717" t="s">
        <v>96</v>
      </c>
      <c r="E717" s="66">
        <f>INDEX(UserInput!$C$56:$M$76,MATCH(UserMade_Scenario!B717,UserInput!$A$56:$A$76,0),MATCH(LEFT(IF(RIGHT(C717,2)="H2",UserMade_Scenario!C717,D717),3),UserInput!$C$25:$M$25,0))</f>
        <v>0</v>
      </c>
      <c r="F717" t="s">
        <v>94</v>
      </c>
      <c r="G717" s="14">
        <f t="shared" ref="G717:G736" si="214">E717*AB717</f>
        <v>0</v>
      </c>
      <c r="H717" s="63">
        <f t="shared" si="204"/>
        <v>0</v>
      </c>
      <c r="I717" s="63">
        <f t="shared" si="205"/>
        <v>0</v>
      </c>
      <c r="J717" s="63">
        <f t="shared" si="206"/>
        <v>0</v>
      </c>
      <c r="K717" s="30">
        <f>IF(OR(LEFT($D717,5)="Solar",$D717="Wind"),INDEX(Land_Use[AVG],MATCH(LEFT($D717,5),Land_Use[Tech],0)),0)*$E717</f>
        <v>0</v>
      </c>
      <c r="L717" s="30">
        <f>IF(OR(LEFT($D717,5)="Solar",$D717="Wind"),INDEX(Land_Use[MIN],MATCH(LEFT($D717,5),Land_Use[Tech],0)),0)*$E717</f>
        <v>0</v>
      </c>
      <c r="M717" s="30">
        <f>IF(OR(LEFT($D717,5)="Solar",$D717="Wind"),INDEX(Land_Use[MAX],MATCH(LEFT($D717,5),Land_Use[Tech],0)),0)*$E717</f>
        <v>0</v>
      </c>
      <c r="N717" s="15">
        <f t="shared" si="199"/>
        <v>0</v>
      </c>
      <c r="O717" s="11">
        <f t="shared" si="200"/>
        <v>0</v>
      </c>
      <c r="P717" s="11">
        <f t="shared" si="201"/>
        <v>0</v>
      </c>
      <c r="Q717" s="11">
        <f t="shared" si="202"/>
        <v>0</v>
      </c>
      <c r="R717" s="11">
        <f t="shared" si="203"/>
        <v>0</v>
      </c>
      <c r="S717" s="30">
        <f t="shared" si="207"/>
        <v>0</v>
      </c>
      <c r="T717" s="30">
        <f t="shared" si="208"/>
        <v>0</v>
      </c>
      <c r="U717" s="30">
        <f t="shared" si="209"/>
        <v>0</v>
      </c>
      <c r="V717" s="30">
        <f t="shared" si="210"/>
        <v>0</v>
      </c>
      <c r="W717" s="30">
        <f t="shared" si="211"/>
        <v>0</v>
      </c>
      <c r="X717" s="30">
        <f t="shared" si="212"/>
        <v>0</v>
      </c>
      <c r="Z717" s="23" t="s">
        <v>76</v>
      </c>
      <c r="AA717" s="40" t="str">
        <f>IF(C717="Electricity",E717*SUMIFS(Electricity!S:S,Electricity!P:P,UserMade_Scenario!B717,Electricity!M:M,UserMade_Scenario!Z717,Electricity!O:O,UserMade_Scenario!D717),"")</f>
        <v/>
      </c>
      <c r="AB717" s="67">
        <v>1.4243253975000002E-4</v>
      </c>
      <c r="AC717" s="67" t="s">
        <v>95</v>
      </c>
      <c r="AD717" s="39">
        <f>INDEX(Assumptions!B$120:B$141,MATCH(UserMade_Scenario!$B716,Assumptions!$A$120:$A$141,0))</f>
        <v>-36.64</v>
      </c>
      <c r="AE717" s="39">
        <f>INDEX(Assumptions!C$120:C$141,MATCH(UserMade_Scenario!$B716,Assumptions!$A$120:$A$141,0))</f>
        <v>-36.64</v>
      </c>
      <c r="AF717" s="39">
        <f>INDEX(Assumptions!D$120:D$141,MATCH(UserMade_Scenario!$B716,Assumptions!$A$120:$A$141,0))</f>
        <v>-53.84</v>
      </c>
      <c r="AG717" s="68">
        <f>IFERROR(INDEX(WaterUseH2[Average Direct Water Consumption (Gal/ kg h2)],MATCH(LEFT(D717,3),WaterUseH2[Key],0)),0)</f>
        <v>0</v>
      </c>
      <c r="AH717">
        <v>14</v>
      </c>
      <c r="AI717">
        <v>1.4</v>
      </c>
      <c r="AJ717">
        <v>250</v>
      </c>
      <c r="AK717">
        <v>0.31</v>
      </c>
      <c r="AL717" s="63">
        <f>IFERROR(INDEX(Job_Training[[Solar]:[Wind]],MATCH(AL$1,Job_Training[[`Typical Entry Level Education`]:[`Typical Entry Level Education`]],0),MATCH(LEFT($D717,5),Job_Training[[#Headers],[Solar]:[Wind]],0)),0)</f>
        <v>0</v>
      </c>
      <c r="AM717" s="63">
        <f>IFERROR(INDEX(Job_Training[[Solar]:[Wind]],MATCH(AM$1,Job_Training[[`Typical Entry Level Education`]:[`Typical Entry Level Education`]],0),MATCH(LEFT($D717,5),Job_Training[[#Headers],[Solar]:[Wind]],0)),0)</f>
        <v>0</v>
      </c>
      <c r="AN717" s="63">
        <f>IFERROR(INDEX(Job_Training[[Solar]:[Wind]],MATCH(AN$1,Job_Training[[`Typical Entry Level Education`]:[`Typical Entry Level Education`]],0),MATCH(LEFT($D717,5),Job_Training[[#Headers],[Solar]:[Wind]],0)),0)</f>
        <v>0</v>
      </c>
      <c r="AO717" s="63">
        <f>IFERROR(INDEX(Job_Training[[Solar]:[Wind]],MATCH(AO$1,Job_Training[[`Typical Entry Level Education`]:[`Typical Entry Level Education`]],0),MATCH(LEFT($D717,5),Job_Training[[#Headers],[Solar]:[Wind]],0)),0)</f>
        <v>0</v>
      </c>
      <c r="AP717">
        <f t="shared" si="213"/>
        <v>0</v>
      </c>
      <c r="AQ717" s="63">
        <f>IF(AP717&gt;0,IFERROR(INDEX(Assumptions!$C$165:$D$165,MATCH(LEFT($D717,5),Job_Training[[#Headers],[Solar]:[Wind]],0)),0),0)</f>
        <v>0</v>
      </c>
      <c r="AR717">
        <f>IF(AP717&gt;0,IFERROR(INDEX(Assumptions!$C$166:$D$166,MATCH(LEFT($D717,5),Job_Training[[#Headers],[Solar]:[Wind]],0)),0),0)</f>
        <v>0</v>
      </c>
    </row>
    <row r="718" spans="1:44" hidden="1" x14ac:dyDescent="0.35">
      <c r="A718" t="str">
        <f>UserInput!$B$56</f>
        <v>Max Buildout</v>
      </c>
      <c r="B718">
        <v>2027</v>
      </c>
      <c r="C718" t="s">
        <v>92</v>
      </c>
      <c r="D718" t="s">
        <v>96</v>
      </c>
      <c r="E718" s="66">
        <f>INDEX(UserInput!$C$56:$M$76,MATCH(UserMade_Scenario!B718,UserInput!$A$56:$A$76,0),MATCH(LEFT(IF(RIGHT(C718,2)="H2",UserMade_Scenario!C718,D718),3),UserInput!$C$25:$M$25,0))</f>
        <v>0</v>
      </c>
      <c r="F718" t="s">
        <v>94</v>
      </c>
      <c r="G718" s="14">
        <f t="shared" si="214"/>
        <v>0</v>
      </c>
      <c r="H718" s="63">
        <f t="shared" si="204"/>
        <v>0</v>
      </c>
      <c r="I718" s="63">
        <f t="shared" si="205"/>
        <v>0</v>
      </c>
      <c r="J718" s="63">
        <f t="shared" si="206"/>
        <v>0</v>
      </c>
      <c r="K718" s="30">
        <f>IF(OR(LEFT($D718,5)="Solar",$D718="Wind"),INDEX(Land_Use[AVG],MATCH(LEFT($D718,5),Land_Use[Tech],0)),0)*$E718</f>
        <v>0</v>
      </c>
      <c r="L718" s="30">
        <f>IF(OR(LEFT($D718,5)="Solar",$D718="Wind"),INDEX(Land_Use[MIN],MATCH(LEFT($D718,5),Land_Use[Tech],0)),0)*$E718</f>
        <v>0</v>
      </c>
      <c r="M718" s="30">
        <f>IF(OR(LEFT($D718,5)="Solar",$D718="Wind"),INDEX(Land_Use[MAX],MATCH(LEFT($D718,5),Land_Use[Tech],0)),0)*$E718</f>
        <v>0</v>
      </c>
      <c r="N718" s="15">
        <f t="shared" si="199"/>
        <v>0</v>
      </c>
      <c r="O718" s="11">
        <f t="shared" si="200"/>
        <v>0</v>
      </c>
      <c r="P718" s="11">
        <f t="shared" si="201"/>
        <v>0</v>
      </c>
      <c r="Q718" s="11">
        <f t="shared" si="202"/>
        <v>0</v>
      </c>
      <c r="R718" s="11">
        <f t="shared" si="203"/>
        <v>0</v>
      </c>
      <c r="S718" s="30">
        <f t="shared" si="207"/>
        <v>0</v>
      </c>
      <c r="T718" s="30">
        <f t="shared" si="208"/>
        <v>0</v>
      </c>
      <c r="U718" s="30">
        <f t="shared" si="209"/>
        <v>0</v>
      </c>
      <c r="V718" s="30">
        <f t="shared" si="210"/>
        <v>0</v>
      </c>
      <c r="W718" s="30">
        <f t="shared" si="211"/>
        <v>0</v>
      </c>
      <c r="X718" s="30">
        <f t="shared" si="212"/>
        <v>0</v>
      </c>
      <c r="Z718" s="23" t="s">
        <v>76</v>
      </c>
      <c r="AA718" s="40" t="str">
        <f>IF(C718="Electricity",E718*SUMIFS(Electricity!S:S,Electricity!P:P,UserMade_Scenario!B718,Electricity!M:M,UserMade_Scenario!Z718,Electricity!O:O,UserMade_Scenario!D718),"")</f>
        <v/>
      </c>
      <c r="AB718" s="67">
        <v>1.4243253975000002E-4</v>
      </c>
      <c r="AC718" s="67" t="s">
        <v>95</v>
      </c>
      <c r="AD718" s="39">
        <f>INDEX(Assumptions!B$120:B$141,MATCH(UserMade_Scenario!$B717,Assumptions!$A$120:$A$141,0))</f>
        <v>-35.379999999999995</v>
      </c>
      <c r="AE718" s="39">
        <f>INDEX(Assumptions!C$120:C$141,MATCH(UserMade_Scenario!$B717,Assumptions!$A$120:$A$141,0))</f>
        <v>-35.379999999999995</v>
      </c>
      <c r="AF718" s="39">
        <f>INDEX(Assumptions!D$120:D$141,MATCH(UserMade_Scenario!$B717,Assumptions!$A$120:$A$141,0))</f>
        <v>-52.58</v>
      </c>
      <c r="AG718" s="68">
        <f>IFERROR(INDEX(WaterUseH2[Average Direct Water Consumption (Gal/ kg h2)],MATCH(LEFT(D718,3),WaterUseH2[Key],0)),0)</f>
        <v>0</v>
      </c>
      <c r="AH718">
        <v>14</v>
      </c>
      <c r="AI718">
        <v>1.4</v>
      </c>
      <c r="AJ718">
        <v>250</v>
      </c>
      <c r="AK718">
        <v>0.31</v>
      </c>
      <c r="AL718" s="63">
        <f>IFERROR(INDEX(Job_Training[[Solar]:[Wind]],MATCH(AL$1,Job_Training[[`Typical Entry Level Education`]:[`Typical Entry Level Education`]],0),MATCH(LEFT($D718,5),Job_Training[[#Headers],[Solar]:[Wind]],0)),0)</f>
        <v>0</v>
      </c>
      <c r="AM718" s="63">
        <f>IFERROR(INDEX(Job_Training[[Solar]:[Wind]],MATCH(AM$1,Job_Training[[`Typical Entry Level Education`]:[`Typical Entry Level Education`]],0),MATCH(LEFT($D718,5),Job_Training[[#Headers],[Solar]:[Wind]],0)),0)</f>
        <v>0</v>
      </c>
      <c r="AN718" s="63">
        <f>IFERROR(INDEX(Job_Training[[Solar]:[Wind]],MATCH(AN$1,Job_Training[[`Typical Entry Level Education`]:[`Typical Entry Level Education`]],0),MATCH(LEFT($D718,5),Job_Training[[#Headers],[Solar]:[Wind]],0)),0)</f>
        <v>0</v>
      </c>
      <c r="AO718" s="63">
        <f>IFERROR(INDEX(Job_Training[[Solar]:[Wind]],MATCH(AO$1,Job_Training[[`Typical Entry Level Education`]:[`Typical Entry Level Education`]],0),MATCH(LEFT($D718,5),Job_Training[[#Headers],[Solar]:[Wind]],0)),0)</f>
        <v>0</v>
      </c>
      <c r="AP718">
        <f t="shared" si="213"/>
        <v>0</v>
      </c>
      <c r="AQ718" s="63">
        <f>IF(AP718&gt;0,IFERROR(INDEX(Assumptions!$C$165:$D$165,MATCH(LEFT($D718,5),Job_Training[[#Headers],[Solar]:[Wind]],0)),0),0)</f>
        <v>0</v>
      </c>
      <c r="AR718">
        <f>IF(AP718&gt;0,IFERROR(INDEX(Assumptions!$C$166:$D$166,MATCH(LEFT($D718,5),Job_Training[[#Headers],[Solar]:[Wind]],0)),0),0)</f>
        <v>0</v>
      </c>
    </row>
    <row r="719" spans="1:44" hidden="1" x14ac:dyDescent="0.35">
      <c r="A719" t="str">
        <f>UserInput!$B$56</f>
        <v>Max Buildout</v>
      </c>
      <c r="B719">
        <v>2028</v>
      </c>
      <c r="C719" t="s">
        <v>92</v>
      </c>
      <c r="D719" t="s">
        <v>96</v>
      </c>
      <c r="E719" s="66">
        <f>INDEX(UserInput!$C$56:$M$76,MATCH(UserMade_Scenario!B719,UserInput!$A$56:$A$76,0),MATCH(LEFT(IF(RIGHT(C719,2)="H2",UserMade_Scenario!C719,D719),3),UserInput!$C$25:$M$25,0))</f>
        <v>0</v>
      </c>
      <c r="F719" t="s">
        <v>94</v>
      </c>
      <c r="G719" s="14">
        <f t="shared" si="214"/>
        <v>0</v>
      </c>
      <c r="H719" s="63">
        <f t="shared" si="204"/>
        <v>0</v>
      </c>
      <c r="I719" s="63">
        <f t="shared" si="205"/>
        <v>0</v>
      </c>
      <c r="J719" s="63">
        <f t="shared" si="206"/>
        <v>0</v>
      </c>
      <c r="K719" s="30">
        <f>IF(OR(LEFT($D719,5)="Solar",$D719="Wind"),INDEX(Land_Use[AVG],MATCH(LEFT($D719,5),Land_Use[Tech],0)),0)*$E719</f>
        <v>0</v>
      </c>
      <c r="L719" s="30">
        <f>IF(OR(LEFT($D719,5)="Solar",$D719="Wind"),INDEX(Land_Use[MIN],MATCH(LEFT($D719,5),Land_Use[Tech],0)),0)*$E719</f>
        <v>0</v>
      </c>
      <c r="M719" s="30">
        <f>IF(OR(LEFT($D719,5)="Solar",$D719="Wind"),INDEX(Land_Use[MAX],MATCH(LEFT($D719,5),Land_Use[Tech],0)),0)*$E719</f>
        <v>0</v>
      </c>
      <c r="N719" s="15">
        <f t="shared" si="199"/>
        <v>0</v>
      </c>
      <c r="O719" s="11">
        <f t="shared" si="200"/>
        <v>0</v>
      </c>
      <c r="P719" s="11">
        <f t="shared" si="201"/>
        <v>0</v>
      </c>
      <c r="Q719" s="11">
        <f t="shared" si="202"/>
        <v>0</v>
      </c>
      <c r="R719" s="11">
        <f t="shared" si="203"/>
        <v>0</v>
      </c>
      <c r="S719" s="30">
        <f t="shared" si="207"/>
        <v>0</v>
      </c>
      <c r="T719" s="30">
        <f t="shared" si="208"/>
        <v>0</v>
      </c>
      <c r="U719" s="30">
        <f t="shared" si="209"/>
        <v>0</v>
      </c>
      <c r="V719" s="30">
        <f t="shared" si="210"/>
        <v>0</v>
      </c>
      <c r="W719" s="30">
        <f t="shared" si="211"/>
        <v>0</v>
      </c>
      <c r="X719" s="30">
        <f t="shared" si="212"/>
        <v>0</v>
      </c>
      <c r="Z719" s="23" t="s">
        <v>76</v>
      </c>
      <c r="AA719" s="40" t="str">
        <f>IF(C719="Electricity",E719*SUMIFS(Electricity!S:S,Electricity!P:P,UserMade_Scenario!B719,Electricity!M:M,UserMade_Scenario!Z719,Electricity!O:O,UserMade_Scenario!D719),"")</f>
        <v/>
      </c>
      <c r="AB719" s="67">
        <v>1.4243253975000002E-4</v>
      </c>
      <c r="AC719" s="67" t="s">
        <v>95</v>
      </c>
      <c r="AD719" s="39">
        <f>INDEX(Assumptions!B$120:B$141,MATCH(UserMade_Scenario!$B718,Assumptions!$A$120:$A$141,0))</f>
        <v>-34.129999999999995</v>
      </c>
      <c r="AE719" s="39">
        <f>INDEX(Assumptions!C$120:C$141,MATCH(UserMade_Scenario!$B718,Assumptions!$A$120:$A$141,0))</f>
        <v>-34.129999999999995</v>
      </c>
      <c r="AF719" s="39">
        <f>INDEX(Assumptions!D$120:D$141,MATCH(UserMade_Scenario!$B718,Assumptions!$A$120:$A$141,0))</f>
        <v>-51.33</v>
      </c>
      <c r="AG719" s="68">
        <f>IFERROR(INDEX(WaterUseH2[Average Direct Water Consumption (Gal/ kg h2)],MATCH(LEFT(D719,3),WaterUseH2[Key],0)),0)</f>
        <v>0</v>
      </c>
      <c r="AH719">
        <v>14</v>
      </c>
      <c r="AI719">
        <v>1.4</v>
      </c>
      <c r="AJ719">
        <v>250</v>
      </c>
      <c r="AK719">
        <v>0.31</v>
      </c>
      <c r="AL719" s="63">
        <f>IFERROR(INDEX(Job_Training[[Solar]:[Wind]],MATCH(AL$1,Job_Training[[`Typical Entry Level Education`]:[`Typical Entry Level Education`]],0),MATCH(LEFT($D719,5),Job_Training[[#Headers],[Solar]:[Wind]],0)),0)</f>
        <v>0</v>
      </c>
      <c r="AM719" s="63">
        <f>IFERROR(INDEX(Job_Training[[Solar]:[Wind]],MATCH(AM$1,Job_Training[[`Typical Entry Level Education`]:[`Typical Entry Level Education`]],0),MATCH(LEFT($D719,5),Job_Training[[#Headers],[Solar]:[Wind]],0)),0)</f>
        <v>0</v>
      </c>
      <c r="AN719" s="63">
        <f>IFERROR(INDEX(Job_Training[[Solar]:[Wind]],MATCH(AN$1,Job_Training[[`Typical Entry Level Education`]:[`Typical Entry Level Education`]],0),MATCH(LEFT($D719,5),Job_Training[[#Headers],[Solar]:[Wind]],0)),0)</f>
        <v>0</v>
      </c>
      <c r="AO719" s="63">
        <f>IFERROR(INDEX(Job_Training[[Solar]:[Wind]],MATCH(AO$1,Job_Training[[`Typical Entry Level Education`]:[`Typical Entry Level Education`]],0),MATCH(LEFT($D719,5),Job_Training[[#Headers],[Solar]:[Wind]],0)),0)</f>
        <v>0</v>
      </c>
      <c r="AP719">
        <f t="shared" si="213"/>
        <v>0</v>
      </c>
      <c r="AQ719" s="63">
        <f>IF(AP719&gt;0,IFERROR(INDEX(Assumptions!$C$165:$D$165,MATCH(LEFT($D719,5),Job_Training[[#Headers],[Solar]:[Wind]],0)),0),0)</f>
        <v>0</v>
      </c>
      <c r="AR719">
        <f>IF(AP719&gt;0,IFERROR(INDEX(Assumptions!$C$166:$D$166,MATCH(LEFT($D719,5),Job_Training[[#Headers],[Solar]:[Wind]],0)),0),0)</f>
        <v>0</v>
      </c>
    </row>
    <row r="720" spans="1:44" hidden="1" x14ac:dyDescent="0.35">
      <c r="A720" t="str">
        <f>UserInput!$B$56</f>
        <v>Max Buildout</v>
      </c>
      <c r="B720">
        <v>2029</v>
      </c>
      <c r="C720" t="s">
        <v>92</v>
      </c>
      <c r="D720" t="s">
        <v>96</v>
      </c>
      <c r="E720" s="66">
        <f>INDEX(UserInput!$C$56:$M$76,MATCH(UserMade_Scenario!B720,UserInput!$A$56:$A$76,0),MATCH(LEFT(IF(RIGHT(C720,2)="H2",UserMade_Scenario!C720,D720),3),UserInput!$C$25:$M$25,0))</f>
        <v>0</v>
      </c>
      <c r="F720" t="s">
        <v>94</v>
      </c>
      <c r="G720" s="14">
        <f t="shared" si="214"/>
        <v>0</v>
      </c>
      <c r="H720" s="63">
        <f t="shared" si="204"/>
        <v>0</v>
      </c>
      <c r="I720" s="63">
        <f t="shared" si="205"/>
        <v>0</v>
      </c>
      <c r="J720" s="63">
        <f t="shared" si="206"/>
        <v>0</v>
      </c>
      <c r="K720" s="30">
        <f>IF(OR(LEFT($D720,5)="Solar",$D720="Wind"),INDEX(Land_Use[AVG],MATCH(LEFT($D720,5),Land_Use[Tech],0)),0)*$E720</f>
        <v>0</v>
      </c>
      <c r="L720" s="30">
        <f>IF(OR(LEFT($D720,5)="Solar",$D720="Wind"),INDEX(Land_Use[MIN],MATCH(LEFT($D720,5),Land_Use[Tech],0)),0)*$E720</f>
        <v>0</v>
      </c>
      <c r="M720" s="30">
        <f>IF(OR(LEFT($D720,5)="Solar",$D720="Wind"),INDEX(Land_Use[MAX],MATCH(LEFT($D720,5),Land_Use[Tech],0)),0)*$E720</f>
        <v>0</v>
      </c>
      <c r="N720" s="15">
        <f t="shared" si="199"/>
        <v>0</v>
      </c>
      <c r="O720" s="11">
        <f t="shared" si="200"/>
        <v>0</v>
      </c>
      <c r="P720" s="11">
        <f t="shared" si="201"/>
        <v>0</v>
      </c>
      <c r="Q720" s="11">
        <f t="shared" si="202"/>
        <v>0</v>
      </c>
      <c r="R720" s="11">
        <f t="shared" si="203"/>
        <v>0</v>
      </c>
      <c r="S720" s="30">
        <f t="shared" si="207"/>
        <v>0</v>
      </c>
      <c r="T720" s="30">
        <f t="shared" si="208"/>
        <v>0</v>
      </c>
      <c r="U720" s="30">
        <f t="shared" si="209"/>
        <v>0</v>
      </c>
      <c r="V720" s="30">
        <f t="shared" si="210"/>
        <v>0</v>
      </c>
      <c r="W720" s="30">
        <f t="shared" si="211"/>
        <v>0</v>
      </c>
      <c r="X720" s="30">
        <f t="shared" si="212"/>
        <v>0</v>
      </c>
      <c r="Z720" s="23" t="s">
        <v>76</v>
      </c>
      <c r="AA720" s="40" t="str">
        <f>IF(C720="Electricity",E720*SUMIFS(Electricity!S:S,Electricity!P:P,UserMade_Scenario!B720,Electricity!M:M,UserMade_Scenario!Z720,Electricity!O:O,UserMade_Scenario!D720),"")</f>
        <v/>
      </c>
      <c r="AB720" s="67">
        <v>1.4243253975000002E-4</v>
      </c>
      <c r="AC720" s="67" t="s">
        <v>95</v>
      </c>
      <c r="AD720" s="39">
        <f>INDEX(Assumptions!B$120:B$141,MATCH(UserMade_Scenario!$B719,Assumptions!$A$120:$A$141,0))</f>
        <v>-32.870000000000005</v>
      </c>
      <c r="AE720" s="39">
        <f>INDEX(Assumptions!C$120:C$141,MATCH(UserMade_Scenario!$B719,Assumptions!$A$120:$A$141,0))</f>
        <v>-32.870000000000005</v>
      </c>
      <c r="AF720" s="39">
        <f>INDEX(Assumptions!D$120:D$141,MATCH(UserMade_Scenario!$B719,Assumptions!$A$120:$A$141,0))</f>
        <v>-50.070000000000007</v>
      </c>
      <c r="AG720" s="68">
        <f>IFERROR(INDEX(WaterUseH2[Average Direct Water Consumption (Gal/ kg h2)],MATCH(LEFT(D720,3),WaterUseH2[Key],0)),0)</f>
        <v>0</v>
      </c>
      <c r="AH720">
        <v>14</v>
      </c>
      <c r="AI720">
        <v>1.4</v>
      </c>
      <c r="AJ720">
        <v>250</v>
      </c>
      <c r="AK720">
        <v>0.31</v>
      </c>
      <c r="AL720" s="63">
        <f>IFERROR(INDEX(Job_Training[[Solar]:[Wind]],MATCH(AL$1,Job_Training[[`Typical Entry Level Education`]:[`Typical Entry Level Education`]],0),MATCH(LEFT($D720,5),Job_Training[[#Headers],[Solar]:[Wind]],0)),0)</f>
        <v>0</v>
      </c>
      <c r="AM720" s="63">
        <f>IFERROR(INDEX(Job_Training[[Solar]:[Wind]],MATCH(AM$1,Job_Training[[`Typical Entry Level Education`]:[`Typical Entry Level Education`]],0),MATCH(LEFT($D720,5),Job_Training[[#Headers],[Solar]:[Wind]],0)),0)</f>
        <v>0</v>
      </c>
      <c r="AN720" s="63">
        <f>IFERROR(INDEX(Job_Training[[Solar]:[Wind]],MATCH(AN$1,Job_Training[[`Typical Entry Level Education`]:[`Typical Entry Level Education`]],0),MATCH(LEFT($D720,5),Job_Training[[#Headers],[Solar]:[Wind]],0)),0)</f>
        <v>0</v>
      </c>
      <c r="AO720" s="63">
        <f>IFERROR(INDEX(Job_Training[[Solar]:[Wind]],MATCH(AO$1,Job_Training[[`Typical Entry Level Education`]:[`Typical Entry Level Education`]],0),MATCH(LEFT($D720,5),Job_Training[[#Headers],[Solar]:[Wind]],0)),0)</f>
        <v>0</v>
      </c>
      <c r="AP720">
        <f t="shared" si="213"/>
        <v>0</v>
      </c>
      <c r="AQ720" s="63">
        <f>IF(AP720&gt;0,IFERROR(INDEX(Assumptions!$C$165:$D$165,MATCH(LEFT($D720,5),Job_Training[[#Headers],[Solar]:[Wind]],0)),0),0)</f>
        <v>0</v>
      </c>
      <c r="AR720">
        <f>IF(AP720&gt;0,IFERROR(INDEX(Assumptions!$C$166:$D$166,MATCH(LEFT($D720,5),Job_Training[[#Headers],[Solar]:[Wind]],0)),0),0)</f>
        <v>0</v>
      </c>
    </row>
    <row r="721" spans="1:44" hidden="1" x14ac:dyDescent="0.35">
      <c r="A721" t="str">
        <f>UserInput!$B$56</f>
        <v>Max Buildout</v>
      </c>
      <c r="B721">
        <v>2030</v>
      </c>
      <c r="C721" t="s">
        <v>92</v>
      </c>
      <c r="D721" t="s">
        <v>96</v>
      </c>
      <c r="E721" s="66">
        <f>INDEX(UserInput!$C$56:$M$76,MATCH(UserMade_Scenario!B721,UserInput!$A$56:$A$76,0),MATCH(LEFT(IF(RIGHT(C721,2)="H2",UserMade_Scenario!C721,D721),3),UserInput!$C$25:$M$25,0))</f>
        <v>10</v>
      </c>
      <c r="F721" t="s">
        <v>94</v>
      </c>
      <c r="G721" s="14">
        <f t="shared" si="214"/>
        <v>1.4243253975000001E-3</v>
      </c>
      <c r="H721" s="63">
        <f t="shared" si="204"/>
        <v>4.5037169068950007E-2</v>
      </c>
      <c r="I721" s="63">
        <f t="shared" si="205"/>
        <v>4.5037169068950007E-2</v>
      </c>
      <c r="J721" s="63">
        <f t="shared" si="206"/>
        <v>6.9535565905950017E-2</v>
      </c>
      <c r="K721" s="30">
        <f>IF(OR(LEFT($D721,5)="Solar",$D721="Wind"),INDEX(Land_Use[AVG],MATCH(LEFT($D721,5),Land_Use[Tech],0)),0)*$E721</f>
        <v>0</v>
      </c>
      <c r="L721" s="30">
        <f>IF(OR(LEFT($D721,5)="Solar",$D721="Wind"),INDEX(Land_Use[MIN],MATCH(LEFT($D721,5),Land_Use[Tech],0)),0)*$E721</f>
        <v>0</v>
      </c>
      <c r="M721" s="30">
        <f>IF(OR(LEFT($D721,5)="Solar",$D721="Wind"),INDEX(Land_Use[MAX],MATCH(LEFT($D721,5),Land_Use[Tech],0)),0)*$E721</f>
        <v>0</v>
      </c>
      <c r="N721" s="15">
        <f t="shared" si="199"/>
        <v>0</v>
      </c>
      <c r="O721" s="11">
        <f t="shared" si="200"/>
        <v>0</v>
      </c>
      <c r="P721" s="11">
        <f t="shared" si="201"/>
        <v>0</v>
      </c>
      <c r="Q721" s="11">
        <f t="shared" si="202"/>
        <v>0</v>
      </c>
      <c r="R721" s="11">
        <f t="shared" si="203"/>
        <v>0</v>
      </c>
      <c r="S721" s="30">
        <f t="shared" si="207"/>
        <v>0</v>
      </c>
      <c r="T721" s="30">
        <f t="shared" si="208"/>
        <v>0</v>
      </c>
      <c r="U721" s="30">
        <f t="shared" si="209"/>
        <v>0</v>
      </c>
      <c r="V721" s="30">
        <f t="shared" si="210"/>
        <v>0</v>
      </c>
      <c r="W721" s="30">
        <f t="shared" si="211"/>
        <v>0</v>
      </c>
      <c r="X721" s="30">
        <f t="shared" si="212"/>
        <v>0</v>
      </c>
      <c r="Z721" s="23" t="s">
        <v>76</v>
      </c>
      <c r="AA721" s="40" t="str">
        <f>IF(C721="Electricity",E721*SUMIFS(Electricity!S:S,Electricity!P:P,UserMade_Scenario!B721,Electricity!M:M,UserMade_Scenario!Z721,Electricity!O:O,UserMade_Scenario!D721),"")</f>
        <v/>
      </c>
      <c r="AB721" s="67">
        <v>1.4243253975000002E-4</v>
      </c>
      <c r="AC721" s="67" t="s">
        <v>95</v>
      </c>
      <c r="AD721" s="39">
        <f>INDEX(Assumptions!B$120:B$141,MATCH(UserMade_Scenario!$B720,Assumptions!$A$120:$A$141,0))</f>
        <v>-31.620000000000005</v>
      </c>
      <c r="AE721" s="39">
        <f>INDEX(Assumptions!C$120:C$141,MATCH(UserMade_Scenario!$B720,Assumptions!$A$120:$A$141,0))</f>
        <v>-31.620000000000005</v>
      </c>
      <c r="AF721" s="39">
        <f>INDEX(Assumptions!D$120:D$141,MATCH(UserMade_Scenario!$B720,Assumptions!$A$120:$A$141,0))</f>
        <v>-48.820000000000007</v>
      </c>
      <c r="AG721" s="68">
        <f>IFERROR(INDEX(WaterUseH2[Average Direct Water Consumption (Gal/ kg h2)],MATCH(LEFT(D721,3),WaterUseH2[Key],0)),0)</f>
        <v>0</v>
      </c>
      <c r="AH721">
        <v>14</v>
      </c>
      <c r="AI721">
        <v>1.4</v>
      </c>
      <c r="AJ721">
        <v>250</v>
      </c>
      <c r="AK721">
        <v>0.31</v>
      </c>
      <c r="AL721" s="63">
        <f>IFERROR(INDEX(Job_Training[[Solar]:[Wind]],MATCH(AL$1,Job_Training[[`Typical Entry Level Education`]:[`Typical Entry Level Education`]],0),MATCH(LEFT($D721,5),Job_Training[[#Headers],[Solar]:[Wind]],0)),0)</f>
        <v>0</v>
      </c>
      <c r="AM721" s="63">
        <f>IFERROR(INDEX(Job_Training[[Solar]:[Wind]],MATCH(AM$1,Job_Training[[`Typical Entry Level Education`]:[`Typical Entry Level Education`]],0),MATCH(LEFT($D721,5),Job_Training[[#Headers],[Solar]:[Wind]],0)),0)</f>
        <v>0</v>
      </c>
      <c r="AN721" s="63">
        <f>IFERROR(INDEX(Job_Training[[Solar]:[Wind]],MATCH(AN$1,Job_Training[[`Typical Entry Level Education`]:[`Typical Entry Level Education`]],0),MATCH(LEFT($D721,5),Job_Training[[#Headers],[Solar]:[Wind]],0)),0)</f>
        <v>0</v>
      </c>
      <c r="AO721" s="63">
        <f>IFERROR(INDEX(Job_Training[[Solar]:[Wind]],MATCH(AO$1,Job_Training[[`Typical Entry Level Education`]:[`Typical Entry Level Education`]],0),MATCH(LEFT($D721,5),Job_Training[[#Headers],[Solar]:[Wind]],0)),0)</f>
        <v>0</v>
      </c>
      <c r="AP721">
        <f t="shared" si="213"/>
        <v>0</v>
      </c>
      <c r="AQ721" s="63">
        <f>IF(AP721&gt;0,IFERROR(INDEX(Assumptions!$C$165:$D$165,MATCH(LEFT($D721,5),Job_Training[[#Headers],[Solar]:[Wind]],0)),0),0)</f>
        <v>0</v>
      </c>
      <c r="AR721">
        <f>IF(AP721&gt;0,IFERROR(INDEX(Assumptions!$C$166:$D$166,MATCH(LEFT($D721,5),Job_Training[[#Headers],[Solar]:[Wind]],0)),0),0)</f>
        <v>0</v>
      </c>
    </row>
    <row r="722" spans="1:44" hidden="1" x14ac:dyDescent="0.35">
      <c r="A722" t="str">
        <f>UserInput!$B$56</f>
        <v>Max Buildout</v>
      </c>
      <c r="B722">
        <v>2031</v>
      </c>
      <c r="C722" t="s">
        <v>92</v>
      </c>
      <c r="D722" t="s">
        <v>96</v>
      </c>
      <c r="E722" s="66">
        <f>INDEX(UserInput!$C$56:$M$76,MATCH(UserMade_Scenario!B722,UserInput!$A$56:$A$76,0),MATCH(LEFT(IF(RIGHT(C722,2)="H2",UserMade_Scenario!C722,D722),3),UserInput!$C$25:$M$25,0))</f>
        <v>16</v>
      </c>
      <c r="F722" t="s">
        <v>94</v>
      </c>
      <c r="G722" s="14">
        <f t="shared" si="214"/>
        <v>2.2789206360000003E-3</v>
      </c>
      <c r="H722" s="63">
        <f t="shared" si="204"/>
        <v>6.9188030508960011E-2</v>
      </c>
      <c r="I722" s="63">
        <f t="shared" si="205"/>
        <v>6.9188030508960011E-2</v>
      </c>
      <c r="J722" s="63">
        <f t="shared" si="206"/>
        <v>0.10838546544816002</v>
      </c>
      <c r="K722" s="30">
        <f>IF(OR(LEFT($D722,5)="Solar",$D722="Wind"),INDEX(Land_Use[AVG],MATCH(LEFT($D722,5),Land_Use[Tech],0)),0)*$E722</f>
        <v>0</v>
      </c>
      <c r="L722" s="30">
        <f>IF(OR(LEFT($D722,5)="Solar",$D722="Wind"),INDEX(Land_Use[MIN],MATCH(LEFT($D722,5),Land_Use[Tech],0)),0)*$E722</f>
        <v>0</v>
      </c>
      <c r="M722" s="30">
        <f>IF(OR(LEFT($D722,5)="Solar",$D722="Wind"),INDEX(Land_Use[MAX],MATCH(LEFT($D722,5),Land_Use[Tech],0)),0)*$E722</f>
        <v>0</v>
      </c>
      <c r="N722" s="15">
        <f t="shared" si="199"/>
        <v>0</v>
      </c>
      <c r="O722" s="11">
        <f t="shared" si="200"/>
        <v>0</v>
      </c>
      <c r="P722" s="11">
        <f t="shared" si="201"/>
        <v>0</v>
      </c>
      <c r="Q722" s="11">
        <f t="shared" si="202"/>
        <v>0</v>
      </c>
      <c r="R722" s="11">
        <f t="shared" si="203"/>
        <v>0</v>
      </c>
      <c r="S722" s="30">
        <f t="shared" si="207"/>
        <v>0</v>
      </c>
      <c r="T722" s="30">
        <f t="shared" si="208"/>
        <v>0</v>
      </c>
      <c r="U722" s="30">
        <f t="shared" si="209"/>
        <v>0</v>
      </c>
      <c r="V722" s="30">
        <f t="shared" si="210"/>
        <v>0</v>
      </c>
      <c r="W722" s="30">
        <f t="shared" si="211"/>
        <v>0</v>
      </c>
      <c r="X722" s="30">
        <f t="shared" si="212"/>
        <v>0</v>
      </c>
      <c r="Z722" s="23" t="s">
        <v>76</v>
      </c>
      <c r="AA722" s="40" t="str">
        <f>IF(C722="Electricity",E722*SUMIFS(Electricity!S:S,Electricity!P:P,UserMade_Scenario!B722,Electricity!M:M,UserMade_Scenario!Z722,Electricity!O:O,UserMade_Scenario!D722),"")</f>
        <v/>
      </c>
      <c r="AB722" s="67">
        <v>1.4243253975000002E-4</v>
      </c>
      <c r="AC722" s="67" t="s">
        <v>95</v>
      </c>
      <c r="AD722" s="39">
        <f>INDEX(Assumptions!B$120:B$141,MATCH(UserMade_Scenario!$B721,Assumptions!$A$120:$A$141,0))</f>
        <v>-30.36</v>
      </c>
      <c r="AE722" s="39">
        <f>INDEX(Assumptions!C$120:C$141,MATCH(UserMade_Scenario!$B721,Assumptions!$A$120:$A$141,0))</f>
        <v>-30.36</v>
      </c>
      <c r="AF722" s="39">
        <f>INDEX(Assumptions!D$120:D$141,MATCH(UserMade_Scenario!$B721,Assumptions!$A$120:$A$141,0))</f>
        <v>-47.56</v>
      </c>
      <c r="AG722" s="68">
        <f>IFERROR(INDEX(WaterUseH2[Average Direct Water Consumption (Gal/ kg h2)],MATCH(LEFT(D722,3),WaterUseH2[Key],0)),0)</f>
        <v>0</v>
      </c>
      <c r="AH722">
        <v>14</v>
      </c>
      <c r="AI722">
        <v>1.4</v>
      </c>
      <c r="AJ722">
        <v>250</v>
      </c>
      <c r="AK722">
        <v>0.31</v>
      </c>
      <c r="AL722" s="63">
        <f>IFERROR(INDEX(Job_Training[[Solar]:[Wind]],MATCH(AL$1,Job_Training[[`Typical Entry Level Education`]:[`Typical Entry Level Education`]],0),MATCH(LEFT($D722,5),Job_Training[[#Headers],[Solar]:[Wind]],0)),0)</f>
        <v>0</v>
      </c>
      <c r="AM722" s="63">
        <f>IFERROR(INDEX(Job_Training[[Solar]:[Wind]],MATCH(AM$1,Job_Training[[`Typical Entry Level Education`]:[`Typical Entry Level Education`]],0),MATCH(LEFT($D722,5),Job_Training[[#Headers],[Solar]:[Wind]],0)),0)</f>
        <v>0</v>
      </c>
      <c r="AN722" s="63">
        <f>IFERROR(INDEX(Job_Training[[Solar]:[Wind]],MATCH(AN$1,Job_Training[[`Typical Entry Level Education`]:[`Typical Entry Level Education`]],0),MATCH(LEFT($D722,5),Job_Training[[#Headers],[Solar]:[Wind]],0)),0)</f>
        <v>0</v>
      </c>
      <c r="AO722" s="63">
        <f>IFERROR(INDEX(Job_Training[[Solar]:[Wind]],MATCH(AO$1,Job_Training[[`Typical Entry Level Education`]:[`Typical Entry Level Education`]],0),MATCH(LEFT($D722,5),Job_Training[[#Headers],[Solar]:[Wind]],0)),0)</f>
        <v>0</v>
      </c>
      <c r="AP722">
        <f t="shared" si="213"/>
        <v>0</v>
      </c>
      <c r="AQ722" s="63">
        <f>IF(AP722&gt;0,IFERROR(INDEX(Assumptions!$C$165:$D$165,MATCH(LEFT($D722,5),Job_Training[[#Headers],[Solar]:[Wind]],0)),0),0)</f>
        <v>0</v>
      </c>
      <c r="AR722">
        <f>IF(AP722&gt;0,IFERROR(INDEX(Assumptions!$C$166:$D$166,MATCH(LEFT($D722,5),Job_Training[[#Headers],[Solar]:[Wind]],0)),0),0)</f>
        <v>0</v>
      </c>
    </row>
    <row r="723" spans="1:44" hidden="1" x14ac:dyDescent="0.35">
      <c r="A723" t="str">
        <f>UserInput!$B$56</f>
        <v>Max Buildout</v>
      </c>
      <c r="B723">
        <v>2032</v>
      </c>
      <c r="C723" t="s">
        <v>92</v>
      </c>
      <c r="D723" t="s">
        <v>96</v>
      </c>
      <c r="E723" s="66">
        <f>INDEX(UserInput!$C$56:$M$76,MATCH(UserMade_Scenario!B723,UserInput!$A$56:$A$76,0),MATCH(LEFT(IF(RIGHT(C723,2)="H2",UserMade_Scenario!C723,D723),3),UserInput!$C$25:$M$25,0))</f>
        <v>22</v>
      </c>
      <c r="F723" t="s">
        <v>94</v>
      </c>
      <c r="G723" s="14">
        <f t="shared" si="214"/>
        <v>3.1335158745000005E-3</v>
      </c>
      <c r="H723" s="63">
        <f t="shared" si="204"/>
        <v>9.5133541949820016E-2</v>
      </c>
      <c r="I723" s="63">
        <f t="shared" si="205"/>
        <v>9.5133541949820016E-2</v>
      </c>
      <c r="J723" s="63">
        <f t="shared" si="206"/>
        <v>0.14903001499122004</v>
      </c>
      <c r="K723" s="30">
        <f>IF(OR(LEFT($D723,5)="Solar",$D723="Wind"),INDEX(Land_Use[AVG],MATCH(LEFT($D723,5),Land_Use[Tech],0)),0)*$E723</f>
        <v>0</v>
      </c>
      <c r="L723" s="30">
        <f>IF(OR(LEFT($D723,5)="Solar",$D723="Wind"),INDEX(Land_Use[MIN],MATCH(LEFT($D723,5),Land_Use[Tech],0)),0)*$E723</f>
        <v>0</v>
      </c>
      <c r="M723" s="30">
        <f>IF(OR(LEFT($D723,5)="Solar",$D723="Wind"),INDEX(Land_Use[MAX],MATCH(LEFT($D723,5),Land_Use[Tech],0)),0)*$E723</f>
        <v>0</v>
      </c>
      <c r="N723" s="15">
        <f t="shared" si="199"/>
        <v>0</v>
      </c>
      <c r="O723" s="11">
        <f t="shared" si="200"/>
        <v>0</v>
      </c>
      <c r="P723" s="11">
        <f t="shared" si="201"/>
        <v>0</v>
      </c>
      <c r="Q723" s="11">
        <f t="shared" si="202"/>
        <v>0</v>
      </c>
      <c r="R723" s="11">
        <f t="shared" si="203"/>
        <v>0</v>
      </c>
      <c r="S723" s="30">
        <f t="shared" si="207"/>
        <v>0</v>
      </c>
      <c r="T723" s="30">
        <f t="shared" si="208"/>
        <v>0</v>
      </c>
      <c r="U723" s="30">
        <f t="shared" si="209"/>
        <v>0</v>
      </c>
      <c r="V723" s="30">
        <f t="shared" si="210"/>
        <v>0</v>
      </c>
      <c r="W723" s="30">
        <f t="shared" si="211"/>
        <v>0</v>
      </c>
      <c r="X723" s="30">
        <f t="shared" si="212"/>
        <v>0</v>
      </c>
      <c r="Z723" s="23" t="s">
        <v>76</v>
      </c>
      <c r="AA723" s="40" t="str">
        <f>IF(C723="Electricity",E723*SUMIFS(Electricity!S:S,Electricity!P:P,UserMade_Scenario!B723,Electricity!M:M,UserMade_Scenario!Z723,Electricity!O:O,UserMade_Scenario!D723),"")</f>
        <v/>
      </c>
      <c r="AB723" s="67">
        <v>1.4243253975000002E-4</v>
      </c>
      <c r="AC723" s="67" t="s">
        <v>95</v>
      </c>
      <c r="AD723" s="39">
        <f>INDEX(Assumptions!B$120:B$141,MATCH(UserMade_Scenario!$B722,Assumptions!$A$120:$A$141,0))</f>
        <v>-30.36</v>
      </c>
      <c r="AE723" s="39">
        <f>INDEX(Assumptions!C$120:C$141,MATCH(UserMade_Scenario!$B722,Assumptions!$A$120:$A$141,0))</f>
        <v>-30.36</v>
      </c>
      <c r="AF723" s="39">
        <f>INDEX(Assumptions!D$120:D$141,MATCH(UserMade_Scenario!$B722,Assumptions!$A$120:$A$141,0))</f>
        <v>-47.56</v>
      </c>
      <c r="AG723" s="68">
        <f>IFERROR(INDEX(WaterUseH2[Average Direct Water Consumption (Gal/ kg h2)],MATCH(LEFT(D723,3),WaterUseH2[Key],0)),0)</f>
        <v>0</v>
      </c>
      <c r="AH723">
        <v>14</v>
      </c>
      <c r="AI723">
        <v>1.4</v>
      </c>
      <c r="AJ723">
        <v>250</v>
      </c>
      <c r="AK723">
        <v>0.31</v>
      </c>
      <c r="AL723" s="63">
        <f>IFERROR(INDEX(Job_Training[[Solar]:[Wind]],MATCH(AL$1,Job_Training[[`Typical Entry Level Education`]:[`Typical Entry Level Education`]],0),MATCH(LEFT($D723,5),Job_Training[[#Headers],[Solar]:[Wind]],0)),0)</f>
        <v>0</v>
      </c>
      <c r="AM723" s="63">
        <f>IFERROR(INDEX(Job_Training[[Solar]:[Wind]],MATCH(AM$1,Job_Training[[`Typical Entry Level Education`]:[`Typical Entry Level Education`]],0),MATCH(LEFT($D723,5),Job_Training[[#Headers],[Solar]:[Wind]],0)),0)</f>
        <v>0</v>
      </c>
      <c r="AN723" s="63">
        <f>IFERROR(INDEX(Job_Training[[Solar]:[Wind]],MATCH(AN$1,Job_Training[[`Typical Entry Level Education`]:[`Typical Entry Level Education`]],0),MATCH(LEFT($D723,5),Job_Training[[#Headers],[Solar]:[Wind]],0)),0)</f>
        <v>0</v>
      </c>
      <c r="AO723" s="63">
        <f>IFERROR(INDEX(Job_Training[[Solar]:[Wind]],MATCH(AO$1,Job_Training[[`Typical Entry Level Education`]:[`Typical Entry Level Education`]],0),MATCH(LEFT($D723,5),Job_Training[[#Headers],[Solar]:[Wind]],0)),0)</f>
        <v>0</v>
      </c>
      <c r="AP723">
        <f t="shared" si="213"/>
        <v>0</v>
      </c>
      <c r="AQ723" s="63">
        <f>IF(AP723&gt;0,IFERROR(INDEX(Assumptions!$C$165:$D$165,MATCH(LEFT($D723,5),Job_Training[[#Headers],[Solar]:[Wind]],0)),0),0)</f>
        <v>0</v>
      </c>
      <c r="AR723">
        <f>IF(AP723&gt;0,IFERROR(INDEX(Assumptions!$C$166:$D$166,MATCH(LEFT($D723,5),Job_Training[[#Headers],[Solar]:[Wind]],0)),0),0)</f>
        <v>0</v>
      </c>
    </row>
    <row r="724" spans="1:44" hidden="1" x14ac:dyDescent="0.35">
      <c r="A724" t="str">
        <f>UserInput!$B$56</f>
        <v>Max Buildout</v>
      </c>
      <c r="B724">
        <v>2033</v>
      </c>
      <c r="C724" t="s">
        <v>92</v>
      </c>
      <c r="D724" t="s">
        <v>96</v>
      </c>
      <c r="E724" s="66">
        <f>INDEX(UserInput!$C$56:$M$76,MATCH(UserMade_Scenario!B724,UserInput!$A$56:$A$76,0),MATCH(LEFT(IF(RIGHT(C724,2)="H2",UserMade_Scenario!C724,D724),3),UserInput!$C$25:$M$25,0))</f>
        <v>28</v>
      </c>
      <c r="F724" t="s">
        <v>94</v>
      </c>
      <c r="G724" s="14">
        <f t="shared" si="214"/>
        <v>3.9881111130000008E-3</v>
      </c>
      <c r="H724" s="63">
        <f t="shared" si="204"/>
        <v>0.12107905339068002</v>
      </c>
      <c r="I724" s="63">
        <f t="shared" si="205"/>
        <v>0.12107905339068002</v>
      </c>
      <c r="J724" s="63">
        <f t="shared" si="206"/>
        <v>0.18967456453428005</v>
      </c>
      <c r="K724" s="30">
        <f>IF(OR(LEFT($D724,5)="Solar",$D724="Wind"),INDEX(Land_Use[AVG],MATCH(LEFT($D724,5),Land_Use[Tech],0)),0)*$E724</f>
        <v>0</v>
      </c>
      <c r="L724" s="30">
        <f>IF(OR(LEFT($D724,5)="Solar",$D724="Wind"),INDEX(Land_Use[MIN],MATCH(LEFT($D724,5),Land_Use[Tech],0)),0)*$E724</f>
        <v>0</v>
      </c>
      <c r="M724" s="30">
        <f>IF(OR(LEFT($D724,5)="Solar",$D724="Wind"),INDEX(Land_Use[MAX],MATCH(LEFT($D724,5),Land_Use[Tech],0)),0)*$E724</f>
        <v>0</v>
      </c>
      <c r="N724" s="15">
        <f t="shared" si="199"/>
        <v>0</v>
      </c>
      <c r="O724" s="11">
        <f t="shared" si="200"/>
        <v>0</v>
      </c>
      <c r="P724" s="11">
        <f t="shared" si="201"/>
        <v>0</v>
      </c>
      <c r="Q724" s="11">
        <f t="shared" si="202"/>
        <v>0</v>
      </c>
      <c r="R724" s="11">
        <f t="shared" si="203"/>
        <v>0</v>
      </c>
      <c r="S724" s="30">
        <f t="shared" si="207"/>
        <v>0</v>
      </c>
      <c r="T724" s="30">
        <f t="shared" si="208"/>
        <v>0</v>
      </c>
      <c r="U724" s="30">
        <f t="shared" si="209"/>
        <v>0</v>
      </c>
      <c r="V724" s="30">
        <f t="shared" si="210"/>
        <v>0</v>
      </c>
      <c r="W724" s="30">
        <f t="shared" si="211"/>
        <v>0</v>
      </c>
      <c r="X724" s="30">
        <f t="shared" si="212"/>
        <v>0</v>
      </c>
      <c r="Z724" s="23" t="s">
        <v>76</v>
      </c>
      <c r="AA724" s="40" t="str">
        <f>IF(C724="Electricity",E724*SUMIFS(Electricity!S:S,Electricity!P:P,UserMade_Scenario!B724,Electricity!M:M,UserMade_Scenario!Z724,Electricity!O:O,UserMade_Scenario!D724),"")</f>
        <v/>
      </c>
      <c r="AB724" s="67">
        <v>1.4243253975000002E-4</v>
      </c>
      <c r="AC724" s="67" t="s">
        <v>95</v>
      </c>
      <c r="AD724" s="39">
        <f>INDEX(Assumptions!B$120:B$141,MATCH(UserMade_Scenario!$B723,Assumptions!$A$120:$A$141,0))</f>
        <v>-30.36</v>
      </c>
      <c r="AE724" s="39">
        <f>INDEX(Assumptions!C$120:C$141,MATCH(UserMade_Scenario!$B723,Assumptions!$A$120:$A$141,0))</f>
        <v>-30.36</v>
      </c>
      <c r="AF724" s="39">
        <f>INDEX(Assumptions!D$120:D$141,MATCH(UserMade_Scenario!$B723,Assumptions!$A$120:$A$141,0))</f>
        <v>-47.56</v>
      </c>
      <c r="AG724" s="68">
        <f>IFERROR(INDEX(WaterUseH2[Average Direct Water Consumption (Gal/ kg h2)],MATCH(LEFT(D724,3),WaterUseH2[Key],0)),0)</f>
        <v>0</v>
      </c>
      <c r="AH724">
        <v>14</v>
      </c>
      <c r="AI724">
        <v>1.4</v>
      </c>
      <c r="AJ724">
        <v>250</v>
      </c>
      <c r="AK724">
        <v>0.31</v>
      </c>
      <c r="AL724" s="63">
        <f>IFERROR(INDEX(Job_Training[[Solar]:[Wind]],MATCH(AL$1,Job_Training[[`Typical Entry Level Education`]:[`Typical Entry Level Education`]],0),MATCH(LEFT($D724,5),Job_Training[[#Headers],[Solar]:[Wind]],0)),0)</f>
        <v>0</v>
      </c>
      <c r="AM724" s="63">
        <f>IFERROR(INDEX(Job_Training[[Solar]:[Wind]],MATCH(AM$1,Job_Training[[`Typical Entry Level Education`]:[`Typical Entry Level Education`]],0),MATCH(LEFT($D724,5),Job_Training[[#Headers],[Solar]:[Wind]],0)),0)</f>
        <v>0</v>
      </c>
      <c r="AN724" s="63">
        <f>IFERROR(INDEX(Job_Training[[Solar]:[Wind]],MATCH(AN$1,Job_Training[[`Typical Entry Level Education`]:[`Typical Entry Level Education`]],0),MATCH(LEFT($D724,5),Job_Training[[#Headers],[Solar]:[Wind]],0)),0)</f>
        <v>0</v>
      </c>
      <c r="AO724" s="63">
        <f>IFERROR(INDEX(Job_Training[[Solar]:[Wind]],MATCH(AO$1,Job_Training[[`Typical Entry Level Education`]:[`Typical Entry Level Education`]],0),MATCH(LEFT($D724,5),Job_Training[[#Headers],[Solar]:[Wind]],0)),0)</f>
        <v>0</v>
      </c>
      <c r="AP724">
        <f t="shared" si="213"/>
        <v>0</v>
      </c>
      <c r="AQ724" s="63">
        <f>IF(AP724&gt;0,IFERROR(INDEX(Assumptions!$C$165:$D$165,MATCH(LEFT($D724,5),Job_Training[[#Headers],[Solar]:[Wind]],0)),0),0)</f>
        <v>0</v>
      </c>
      <c r="AR724">
        <f>IF(AP724&gt;0,IFERROR(INDEX(Assumptions!$C$166:$D$166,MATCH(LEFT($D724,5),Job_Training[[#Headers],[Solar]:[Wind]],0)),0),0)</f>
        <v>0</v>
      </c>
    </row>
    <row r="725" spans="1:44" hidden="1" x14ac:dyDescent="0.35">
      <c r="A725" t="str">
        <f>UserInput!$B$56</f>
        <v>Max Buildout</v>
      </c>
      <c r="B725">
        <v>2034</v>
      </c>
      <c r="C725" t="s">
        <v>92</v>
      </c>
      <c r="D725" t="s">
        <v>96</v>
      </c>
      <c r="E725" s="66">
        <f>INDEX(UserInput!$C$56:$M$76,MATCH(UserMade_Scenario!B725,UserInput!$A$56:$A$76,0),MATCH(LEFT(IF(RIGHT(C725,2)="H2",UserMade_Scenario!C725,D725),3),UserInput!$C$25:$M$25,0))</f>
        <v>34</v>
      </c>
      <c r="F725" t="s">
        <v>94</v>
      </c>
      <c r="G725" s="14">
        <f t="shared" si="214"/>
        <v>4.8427063515000006E-3</v>
      </c>
      <c r="H725" s="63">
        <f t="shared" si="204"/>
        <v>0.14702456483154003</v>
      </c>
      <c r="I725" s="63">
        <f t="shared" si="205"/>
        <v>0.14702456483154003</v>
      </c>
      <c r="J725" s="63">
        <f t="shared" si="206"/>
        <v>0.23031911407734004</v>
      </c>
      <c r="K725" s="30">
        <f>IF(OR(LEFT($D725,5)="Solar",$D725="Wind"),INDEX(Land_Use[AVG],MATCH(LEFT($D725,5),Land_Use[Tech],0)),0)*$E725</f>
        <v>0</v>
      </c>
      <c r="L725" s="30">
        <f>IF(OR(LEFT($D725,5)="Solar",$D725="Wind"),INDEX(Land_Use[MIN],MATCH(LEFT($D725,5),Land_Use[Tech],0)),0)*$E725</f>
        <v>0</v>
      </c>
      <c r="M725" s="30">
        <f>IF(OR(LEFT($D725,5)="Solar",$D725="Wind"),INDEX(Land_Use[MAX],MATCH(LEFT($D725,5),Land_Use[Tech],0)),0)*$E725</f>
        <v>0</v>
      </c>
      <c r="N725" s="15">
        <f t="shared" si="199"/>
        <v>0</v>
      </c>
      <c r="O725" s="11">
        <f t="shared" si="200"/>
        <v>0</v>
      </c>
      <c r="P725" s="11">
        <f t="shared" si="201"/>
        <v>0</v>
      </c>
      <c r="Q725" s="11">
        <f t="shared" si="202"/>
        <v>0</v>
      </c>
      <c r="R725" s="11">
        <f t="shared" si="203"/>
        <v>0</v>
      </c>
      <c r="S725" s="30">
        <f t="shared" si="207"/>
        <v>0</v>
      </c>
      <c r="T725" s="30">
        <f t="shared" si="208"/>
        <v>0</v>
      </c>
      <c r="U725" s="30">
        <f t="shared" si="209"/>
        <v>0</v>
      </c>
      <c r="V725" s="30">
        <f t="shared" si="210"/>
        <v>0</v>
      </c>
      <c r="W725" s="30">
        <f t="shared" si="211"/>
        <v>0</v>
      </c>
      <c r="X725" s="30">
        <f t="shared" si="212"/>
        <v>0</v>
      </c>
      <c r="Z725" s="23" t="s">
        <v>76</v>
      </c>
      <c r="AA725" s="40" t="str">
        <f>IF(C725="Electricity",E725*SUMIFS(Electricity!S:S,Electricity!P:P,UserMade_Scenario!B725,Electricity!M:M,UserMade_Scenario!Z725,Electricity!O:O,UserMade_Scenario!D725),"")</f>
        <v/>
      </c>
      <c r="AB725" s="67">
        <v>1.4243253975000002E-4</v>
      </c>
      <c r="AC725" s="67" t="s">
        <v>95</v>
      </c>
      <c r="AD725" s="39">
        <f>INDEX(Assumptions!B$120:B$141,MATCH(UserMade_Scenario!$B724,Assumptions!$A$120:$A$141,0))</f>
        <v>-30.36</v>
      </c>
      <c r="AE725" s="39">
        <f>INDEX(Assumptions!C$120:C$141,MATCH(UserMade_Scenario!$B724,Assumptions!$A$120:$A$141,0))</f>
        <v>-30.36</v>
      </c>
      <c r="AF725" s="39">
        <f>INDEX(Assumptions!D$120:D$141,MATCH(UserMade_Scenario!$B724,Assumptions!$A$120:$A$141,0))</f>
        <v>-47.56</v>
      </c>
      <c r="AG725" s="68">
        <f>IFERROR(INDEX(WaterUseH2[Average Direct Water Consumption (Gal/ kg h2)],MATCH(LEFT(D725,3),WaterUseH2[Key],0)),0)</f>
        <v>0</v>
      </c>
      <c r="AH725">
        <v>14</v>
      </c>
      <c r="AI725">
        <v>1.4</v>
      </c>
      <c r="AJ725">
        <v>250</v>
      </c>
      <c r="AK725">
        <v>0.31</v>
      </c>
      <c r="AL725" s="63">
        <f>IFERROR(INDEX(Job_Training[[Solar]:[Wind]],MATCH(AL$1,Job_Training[[`Typical Entry Level Education`]:[`Typical Entry Level Education`]],0),MATCH(LEFT($D725,5),Job_Training[[#Headers],[Solar]:[Wind]],0)),0)</f>
        <v>0</v>
      </c>
      <c r="AM725" s="63">
        <f>IFERROR(INDEX(Job_Training[[Solar]:[Wind]],MATCH(AM$1,Job_Training[[`Typical Entry Level Education`]:[`Typical Entry Level Education`]],0),MATCH(LEFT($D725,5),Job_Training[[#Headers],[Solar]:[Wind]],0)),0)</f>
        <v>0</v>
      </c>
      <c r="AN725" s="63">
        <f>IFERROR(INDEX(Job_Training[[Solar]:[Wind]],MATCH(AN$1,Job_Training[[`Typical Entry Level Education`]:[`Typical Entry Level Education`]],0),MATCH(LEFT($D725,5),Job_Training[[#Headers],[Solar]:[Wind]],0)),0)</f>
        <v>0</v>
      </c>
      <c r="AO725" s="63">
        <f>IFERROR(INDEX(Job_Training[[Solar]:[Wind]],MATCH(AO$1,Job_Training[[`Typical Entry Level Education`]:[`Typical Entry Level Education`]],0),MATCH(LEFT($D725,5),Job_Training[[#Headers],[Solar]:[Wind]],0)),0)</f>
        <v>0</v>
      </c>
      <c r="AP725">
        <f t="shared" si="213"/>
        <v>0</v>
      </c>
      <c r="AQ725" s="63">
        <f>IF(AP725&gt;0,IFERROR(INDEX(Assumptions!$C$165:$D$165,MATCH(LEFT($D725,5),Job_Training[[#Headers],[Solar]:[Wind]],0)),0),0)</f>
        <v>0</v>
      </c>
      <c r="AR725">
        <f>IF(AP725&gt;0,IFERROR(INDEX(Assumptions!$C$166:$D$166,MATCH(LEFT($D725,5),Job_Training[[#Headers],[Solar]:[Wind]],0)),0),0)</f>
        <v>0</v>
      </c>
    </row>
    <row r="726" spans="1:44" hidden="1" x14ac:dyDescent="0.35">
      <c r="A726" t="str">
        <f>UserInput!$B$56</f>
        <v>Max Buildout</v>
      </c>
      <c r="B726">
        <v>2035</v>
      </c>
      <c r="C726" t="s">
        <v>92</v>
      </c>
      <c r="D726" t="s">
        <v>96</v>
      </c>
      <c r="E726" s="66">
        <f>INDEX(UserInput!$C$56:$M$76,MATCH(UserMade_Scenario!B726,UserInput!$A$56:$A$76,0),MATCH(LEFT(IF(RIGHT(C726,2)="H2",UserMade_Scenario!C726,D726),3),UserInput!$C$25:$M$25,0))</f>
        <v>40</v>
      </c>
      <c r="F726" t="s">
        <v>94</v>
      </c>
      <c r="G726" s="14">
        <f t="shared" si="214"/>
        <v>5.6973015900000003E-3</v>
      </c>
      <c r="H726" s="63">
        <f t="shared" si="204"/>
        <v>0.17297007627240002</v>
      </c>
      <c r="I726" s="63">
        <f t="shared" si="205"/>
        <v>0.17297007627240002</v>
      </c>
      <c r="J726" s="63">
        <f t="shared" si="206"/>
        <v>0.27096366362040003</v>
      </c>
      <c r="K726" s="30">
        <f>IF(OR(LEFT($D726,5)="Solar",$D726="Wind"),INDEX(Land_Use[AVG],MATCH(LEFT($D726,5),Land_Use[Tech],0)),0)*$E726</f>
        <v>0</v>
      </c>
      <c r="L726" s="30">
        <f>IF(OR(LEFT($D726,5)="Solar",$D726="Wind"),INDEX(Land_Use[MIN],MATCH(LEFT($D726,5),Land_Use[Tech],0)),0)*$E726</f>
        <v>0</v>
      </c>
      <c r="M726" s="30">
        <f>IF(OR(LEFT($D726,5)="Solar",$D726="Wind"),INDEX(Land_Use[MAX],MATCH(LEFT($D726,5),Land_Use[Tech],0)),0)*$E726</f>
        <v>0</v>
      </c>
      <c r="N726" s="15">
        <f t="shared" si="199"/>
        <v>0</v>
      </c>
      <c r="O726" s="11">
        <f t="shared" si="200"/>
        <v>0</v>
      </c>
      <c r="P726" s="11">
        <f t="shared" si="201"/>
        <v>0</v>
      </c>
      <c r="Q726" s="11">
        <f t="shared" si="202"/>
        <v>0</v>
      </c>
      <c r="R726" s="11">
        <f t="shared" si="203"/>
        <v>0</v>
      </c>
      <c r="S726" s="30">
        <f t="shared" si="207"/>
        <v>0</v>
      </c>
      <c r="T726" s="30">
        <f t="shared" si="208"/>
        <v>0</v>
      </c>
      <c r="U726" s="30">
        <f t="shared" si="209"/>
        <v>0</v>
      </c>
      <c r="V726" s="30">
        <f t="shared" si="210"/>
        <v>0</v>
      </c>
      <c r="W726" s="30">
        <f t="shared" si="211"/>
        <v>0</v>
      </c>
      <c r="X726" s="30">
        <f t="shared" si="212"/>
        <v>0</v>
      </c>
      <c r="Z726" s="23" t="s">
        <v>76</v>
      </c>
      <c r="AA726" s="40" t="str">
        <f>IF(C726="Electricity",E726*SUMIFS(Electricity!S:S,Electricity!P:P,UserMade_Scenario!B726,Electricity!M:M,UserMade_Scenario!Z726,Electricity!O:O,UserMade_Scenario!D726),"")</f>
        <v/>
      </c>
      <c r="AB726" s="67">
        <v>1.4243253975000002E-4</v>
      </c>
      <c r="AC726" s="67" t="s">
        <v>95</v>
      </c>
      <c r="AD726" s="39">
        <f>INDEX(Assumptions!B$120:B$141,MATCH(UserMade_Scenario!$B725,Assumptions!$A$120:$A$141,0))</f>
        <v>-30.36</v>
      </c>
      <c r="AE726" s="39">
        <f>INDEX(Assumptions!C$120:C$141,MATCH(UserMade_Scenario!$B725,Assumptions!$A$120:$A$141,0))</f>
        <v>-30.36</v>
      </c>
      <c r="AF726" s="39">
        <f>INDEX(Assumptions!D$120:D$141,MATCH(UserMade_Scenario!$B725,Assumptions!$A$120:$A$141,0))</f>
        <v>-47.56</v>
      </c>
      <c r="AG726" s="68">
        <f>IFERROR(INDEX(WaterUseH2[Average Direct Water Consumption (Gal/ kg h2)],MATCH(LEFT(D726,3),WaterUseH2[Key],0)),0)</f>
        <v>0</v>
      </c>
      <c r="AH726">
        <v>14</v>
      </c>
      <c r="AI726">
        <v>1.4</v>
      </c>
      <c r="AJ726">
        <v>250</v>
      </c>
      <c r="AK726">
        <v>0.31</v>
      </c>
      <c r="AL726" s="63">
        <f>IFERROR(INDEX(Job_Training[[Solar]:[Wind]],MATCH(AL$1,Job_Training[[`Typical Entry Level Education`]:[`Typical Entry Level Education`]],0),MATCH(LEFT($D726,5),Job_Training[[#Headers],[Solar]:[Wind]],0)),0)</f>
        <v>0</v>
      </c>
      <c r="AM726" s="63">
        <f>IFERROR(INDEX(Job_Training[[Solar]:[Wind]],MATCH(AM$1,Job_Training[[`Typical Entry Level Education`]:[`Typical Entry Level Education`]],0),MATCH(LEFT($D726,5),Job_Training[[#Headers],[Solar]:[Wind]],0)),0)</f>
        <v>0</v>
      </c>
      <c r="AN726" s="63">
        <f>IFERROR(INDEX(Job_Training[[Solar]:[Wind]],MATCH(AN$1,Job_Training[[`Typical Entry Level Education`]:[`Typical Entry Level Education`]],0),MATCH(LEFT($D726,5),Job_Training[[#Headers],[Solar]:[Wind]],0)),0)</f>
        <v>0</v>
      </c>
      <c r="AO726" s="63">
        <f>IFERROR(INDEX(Job_Training[[Solar]:[Wind]],MATCH(AO$1,Job_Training[[`Typical Entry Level Education`]:[`Typical Entry Level Education`]],0),MATCH(LEFT($D726,5),Job_Training[[#Headers],[Solar]:[Wind]],0)),0)</f>
        <v>0</v>
      </c>
      <c r="AP726">
        <f t="shared" si="213"/>
        <v>0</v>
      </c>
      <c r="AQ726" s="63">
        <f>IF(AP726&gt;0,IFERROR(INDEX(Assumptions!$C$165:$D$165,MATCH(LEFT($D726,5),Job_Training[[#Headers],[Solar]:[Wind]],0)),0),0)</f>
        <v>0</v>
      </c>
      <c r="AR726">
        <f>IF(AP726&gt;0,IFERROR(INDEX(Assumptions!$C$166:$D$166,MATCH(LEFT($D726,5),Job_Training[[#Headers],[Solar]:[Wind]],0)),0),0)</f>
        <v>0</v>
      </c>
    </row>
    <row r="727" spans="1:44" hidden="1" x14ac:dyDescent="0.35">
      <c r="A727" t="str">
        <f>UserInput!$B$56</f>
        <v>Max Buildout</v>
      </c>
      <c r="B727">
        <v>2036</v>
      </c>
      <c r="C727" t="s">
        <v>92</v>
      </c>
      <c r="D727" t="s">
        <v>96</v>
      </c>
      <c r="E727" s="66">
        <f>INDEX(UserInput!$C$56:$M$76,MATCH(UserMade_Scenario!B727,UserInput!$A$56:$A$76,0),MATCH(LEFT(IF(RIGHT(C727,2)="H2",UserMade_Scenario!C727,D727),3),UserInput!$C$25:$M$25,0))</f>
        <v>46</v>
      </c>
      <c r="F727" t="s">
        <v>94</v>
      </c>
      <c r="G727" s="14">
        <f t="shared" si="214"/>
        <v>6.551896828500001E-3</v>
      </c>
      <c r="H727" s="63">
        <f t="shared" si="204"/>
        <v>0.19891558771326004</v>
      </c>
      <c r="I727" s="63">
        <f t="shared" si="205"/>
        <v>0.19891558771326004</v>
      </c>
      <c r="J727" s="63">
        <f t="shared" si="206"/>
        <v>0.31160821316346005</v>
      </c>
      <c r="K727" s="30">
        <f>IF(OR(LEFT($D727,5)="Solar",$D727="Wind"),INDEX(Land_Use[AVG],MATCH(LEFT($D727,5),Land_Use[Tech],0)),0)*$E727</f>
        <v>0</v>
      </c>
      <c r="L727" s="30">
        <f>IF(OR(LEFT($D727,5)="Solar",$D727="Wind"),INDEX(Land_Use[MIN],MATCH(LEFT($D727,5),Land_Use[Tech],0)),0)*$E727</f>
        <v>0</v>
      </c>
      <c r="M727" s="30">
        <f>IF(OR(LEFT($D727,5)="Solar",$D727="Wind"),INDEX(Land_Use[MAX],MATCH(LEFT($D727,5),Land_Use[Tech],0)),0)*$E727</f>
        <v>0</v>
      </c>
      <c r="N727" s="15">
        <f t="shared" si="199"/>
        <v>0</v>
      </c>
      <c r="O727" s="11">
        <f t="shared" si="200"/>
        <v>0</v>
      </c>
      <c r="P727" s="11">
        <f t="shared" si="201"/>
        <v>0</v>
      </c>
      <c r="Q727" s="11">
        <f t="shared" si="202"/>
        <v>0</v>
      </c>
      <c r="R727" s="11">
        <f t="shared" si="203"/>
        <v>0</v>
      </c>
      <c r="S727" s="30">
        <f t="shared" si="207"/>
        <v>0</v>
      </c>
      <c r="T727" s="30">
        <f t="shared" si="208"/>
        <v>0</v>
      </c>
      <c r="U727" s="30">
        <f t="shared" si="209"/>
        <v>0</v>
      </c>
      <c r="V727" s="30">
        <f t="shared" si="210"/>
        <v>0</v>
      </c>
      <c r="W727" s="30">
        <f t="shared" si="211"/>
        <v>0</v>
      </c>
      <c r="X727" s="30">
        <f t="shared" si="212"/>
        <v>0</v>
      </c>
      <c r="Z727" s="23" t="s">
        <v>76</v>
      </c>
      <c r="AA727" s="40" t="str">
        <f>IF(C727="Electricity",E727*SUMIFS(Electricity!S:S,Electricity!P:P,UserMade_Scenario!B727,Electricity!M:M,UserMade_Scenario!Z727,Electricity!O:O,UserMade_Scenario!D727),"")</f>
        <v/>
      </c>
      <c r="AB727" s="67">
        <v>1.4243253975000002E-4</v>
      </c>
      <c r="AC727" s="67" t="s">
        <v>95</v>
      </c>
      <c r="AD727" s="39">
        <f>INDEX(Assumptions!B$120:B$141,MATCH(UserMade_Scenario!$B726,Assumptions!$A$120:$A$141,0))</f>
        <v>-30.36</v>
      </c>
      <c r="AE727" s="39">
        <f>INDEX(Assumptions!C$120:C$141,MATCH(UserMade_Scenario!$B726,Assumptions!$A$120:$A$141,0))</f>
        <v>-30.36</v>
      </c>
      <c r="AF727" s="39">
        <f>INDEX(Assumptions!D$120:D$141,MATCH(UserMade_Scenario!$B726,Assumptions!$A$120:$A$141,0))</f>
        <v>-47.56</v>
      </c>
      <c r="AG727" s="68">
        <f>IFERROR(INDEX(WaterUseH2[Average Direct Water Consumption (Gal/ kg h2)],MATCH(LEFT(D727,3),WaterUseH2[Key],0)),0)</f>
        <v>0</v>
      </c>
      <c r="AH727">
        <v>14</v>
      </c>
      <c r="AI727">
        <v>1.4</v>
      </c>
      <c r="AJ727">
        <v>250</v>
      </c>
      <c r="AK727">
        <v>0.31</v>
      </c>
      <c r="AL727" s="63">
        <f>IFERROR(INDEX(Job_Training[[Solar]:[Wind]],MATCH(AL$1,Job_Training[[`Typical Entry Level Education`]:[`Typical Entry Level Education`]],0),MATCH(LEFT($D727,5),Job_Training[[#Headers],[Solar]:[Wind]],0)),0)</f>
        <v>0</v>
      </c>
      <c r="AM727" s="63">
        <f>IFERROR(INDEX(Job_Training[[Solar]:[Wind]],MATCH(AM$1,Job_Training[[`Typical Entry Level Education`]:[`Typical Entry Level Education`]],0),MATCH(LEFT($D727,5),Job_Training[[#Headers],[Solar]:[Wind]],0)),0)</f>
        <v>0</v>
      </c>
      <c r="AN727" s="63">
        <f>IFERROR(INDEX(Job_Training[[Solar]:[Wind]],MATCH(AN$1,Job_Training[[`Typical Entry Level Education`]:[`Typical Entry Level Education`]],0),MATCH(LEFT($D727,5),Job_Training[[#Headers],[Solar]:[Wind]],0)),0)</f>
        <v>0</v>
      </c>
      <c r="AO727" s="63">
        <f>IFERROR(INDEX(Job_Training[[Solar]:[Wind]],MATCH(AO$1,Job_Training[[`Typical Entry Level Education`]:[`Typical Entry Level Education`]],0),MATCH(LEFT($D727,5),Job_Training[[#Headers],[Solar]:[Wind]],0)),0)</f>
        <v>0</v>
      </c>
      <c r="AP727">
        <f t="shared" si="213"/>
        <v>0</v>
      </c>
      <c r="AQ727" s="63">
        <f>IF(AP727&gt;0,IFERROR(INDEX(Assumptions!$C$165:$D$165,MATCH(LEFT($D727,5),Job_Training[[#Headers],[Solar]:[Wind]],0)),0),0)</f>
        <v>0</v>
      </c>
      <c r="AR727">
        <f>IF(AP727&gt;0,IFERROR(INDEX(Assumptions!$C$166:$D$166,MATCH(LEFT($D727,5),Job_Training[[#Headers],[Solar]:[Wind]],0)),0),0)</f>
        <v>0</v>
      </c>
    </row>
    <row r="728" spans="1:44" hidden="1" x14ac:dyDescent="0.35">
      <c r="A728" t="str">
        <f>UserInput!$B$56</f>
        <v>Max Buildout</v>
      </c>
      <c r="B728">
        <v>2037</v>
      </c>
      <c r="C728" t="s">
        <v>92</v>
      </c>
      <c r="D728" t="s">
        <v>96</v>
      </c>
      <c r="E728" s="66">
        <f>INDEX(UserInput!$C$56:$M$76,MATCH(UserMade_Scenario!B728,UserInput!$A$56:$A$76,0),MATCH(LEFT(IF(RIGHT(C728,2)="H2",UserMade_Scenario!C728,D728),3),UserInput!$C$25:$M$25,0))</f>
        <v>52</v>
      </c>
      <c r="F728" t="s">
        <v>94</v>
      </c>
      <c r="G728" s="14">
        <f t="shared" si="214"/>
        <v>7.4064920670000008E-3</v>
      </c>
      <c r="H728" s="63">
        <f t="shared" si="204"/>
        <v>0.22486109915412003</v>
      </c>
      <c r="I728" s="63">
        <f t="shared" si="205"/>
        <v>0.22486109915412003</v>
      </c>
      <c r="J728" s="63">
        <f t="shared" si="206"/>
        <v>0.35225276270652006</v>
      </c>
      <c r="K728" s="30">
        <f>IF(OR(LEFT($D728,5)="Solar",$D728="Wind"),INDEX(Land_Use[AVG],MATCH(LEFT($D728,5),Land_Use[Tech],0)),0)*$E728</f>
        <v>0</v>
      </c>
      <c r="L728" s="30">
        <f>IF(OR(LEFT($D728,5)="Solar",$D728="Wind"),INDEX(Land_Use[MIN],MATCH(LEFT($D728,5),Land_Use[Tech],0)),0)*$E728</f>
        <v>0</v>
      </c>
      <c r="M728" s="30">
        <f>IF(OR(LEFT($D728,5)="Solar",$D728="Wind"),INDEX(Land_Use[MAX],MATCH(LEFT($D728,5),Land_Use[Tech],0)),0)*$E728</f>
        <v>0</v>
      </c>
      <c r="N728" s="15">
        <f t="shared" si="199"/>
        <v>0</v>
      </c>
      <c r="O728" s="11">
        <f t="shared" si="200"/>
        <v>0</v>
      </c>
      <c r="P728" s="11">
        <f t="shared" si="201"/>
        <v>0</v>
      </c>
      <c r="Q728" s="11">
        <f t="shared" si="202"/>
        <v>0</v>
      </c>
      <c r="R728" s="11">
        <f t="shared" si="203"/>
        <v>0</v>
      </c>
      <c r="S728" s="30">
        <f t="shared" si="207"/>
        <v>0</v>
      </c>
      <c r="T728" s="30">
        <f t="shared" si="208"/>
        <v>0</v>
      </c>
      <c r="U728" s="30">
        <f t="shared" si="209"/>
        <v>0</v>
      </c>
      <c r="V728" s="30">
        <f t="shared" si="210"/>
        <v>0</v>
      </c>
      <c r="W728" s="30">
        <f t="shared" si="211"/>
        <v>0</v>
      </c>
      <c r="X728" s="30">
        <f t="shared" si="212"/>
        <v>0</v>
      </c>
      <c r="Z728" s="23" t="s">
        <v>76</v>
      </c>
      <c r="AA728" s="40" t="str">
        <f>IF(C728="Electricity",E728*SUMIFS(Electricity!S:S,Electricity!P:P,UserMade_Scenario!B728,Electricity!M:M,UserMade_Scenario!Z728,Electricity!O:O,UserMade_Scenario!D728),"")</f>
        <v/>
      </c>
      <c r="AB728" s="67">
        <v>1.4243253975000002E-4</v>
      </c>
      <c r="AC728" s="67" t="s">
        <v>95</v>
      </c>
      <c r="AD728" s="39">
        <f>INDEX(Assumptions!B$120:B$141,MATCH(UserMade_Scenario!$B727,Assumptions!$A$120:$A$141,0))</f>
        <v>-30.36</v>
      </c>
      <c r="AE728" s="39">
        <f>INDEX(Assumptions!C$120:C$141,MATCH(UserMade_Scenario!$B727,Assumptions!$A$120:$A$141,0))</f>
        <v>-30.36</v>
      </c>
      <c r="AF728" s="39">
        <f>INDEX(Assumptions!D$120:D$141,MATCH(UserMade_Scenario!$B727,Assumptions!$A$120:$A$141,0))</f>
        <v>-47.56</v>
      </c>
      <c r="AG728" s="68">
        <f>IFERROR(INDEX(WaterUseH2[Average Direct Water Consumption (Gal/ kg h2)],MATCH(LEFT(D728,3),WaterUseH2[Key],0)),0)</f>
        <v>0</v>
      </c>
      <c r="AH728">
        <v>14</v>
      </c>
      <c r="AI728">
        <v>1.4</v>
      </c>
      <c r="AJ728">
        <v>250</v>
      </c>
      <c r="AK728">
        <v>0.31</v>
      </c>
      <c r="AL728" s="63">
        <f>IFERROR(INDEX(Job_Training[[Solar]:[Wind]],MATCH(AL$1,Job_Training[[`Typical Entry Level Education`]:[`Typical Entry Level Education`]],0),MATCH(LEFT($D728,5),Job_Training[[#Headers],[Solar]:[Wind]],0)),0)</f>
        <v>0</v>
      </c>
      <c r="AM728" s="63">
        <f>IFERROR(INDEX(Job_Training[[Solar]:[Wind]],MATCH(AM$1,Job_Training[[`Typical Entry Level Education`]:[`Typical Entry Level Education`]],0),MATCH(LEFT($D728,5),Job_Training[[#Headers],[Solar]:[Wind]],0)),0)</f>
        <v>0</v>
      </c>
      <c r="AN728" s="63">
        <f>IFERROR(INDEX(Job_Training[[Solar]:[Wind]],MATCH(AN$1,Job_Training[[`Typical Entry Level Education`]:[`Typical Entry Level Education`]],0),MATCH(LEFT($D728,5),Job_Training[[#Headers],[Solar]:[Wind]],0)),0)</f>
        <v>0</v>
      </c>
      <c r="AO728" s="63">
        <f>IFERROR(INDEX(Job_Training[[Solar]:[Wind]],MATCH(AO$1,Job_Training[[`Typical Entry Level Education`]:[`Typical Entry Level Education`]],0),MATCH(LEFT($D728,5),Job_Training[[#Headers],[Solar]:[Wind]],0)),0)</f>
        <v>0</v>
      </c>
      <c r="AP728">
        <f t="shared" si="213"/>
        <v>0</v>
      </c>
      <c r="AQ728" s="63">
        <f>IF(AP728&gt;0,IFERROR(INDEX(Assumptions!$C$165:$D$165,MATCH(LEFT($D728,5),Job_Training[[#Headers],[Solar]:[Wind]],0)),0),0)</f>
        <v>0</v>
      </c>
      <c r="AR728">
        <f>IF(AP728&gt;0,IFERROR(INDEX(Assumptions!$C$166:$D$166,MATCH(LEFT($D728,5),Job_Training[[#Headers],[Solar]:[Wind]],0)),0),0)</f>
        <v>0</v>
      </c>
    </row>
    <row r="729" spans="1:44" hidden="1" x14ac:dyDescent="0.35">
      <c r="A729" t="str">
        <f>UserInput!$B$56</f>
        <v>Max Buildout</v>
      </c>
      <c r="B729">
        <v>2038</v>
      </c>
      <c r="C729" t="s">
        <v>92</v>
      </c>
      <c r="D729" t="s">
        <v>96</v>
      </c>
      <c r="E729" s="66">
        <f>INDEX(UserInput!$C$56:$M$76,MATCH(UserMade_Scenario!B729,UserInput!$A$56:$A$76,0),MATCH(LEFT(IF(RIGHT(C729,2)="H2",UserMade_Scenario!C729,D729),3),UserInput!$C$25:$M$25,0))</f>
        <v>58</v>
      </c>
      <c r="F729" t="s">
        <v>94</v>
      </c>
      <c r="G729" s="14">
        <f t="shared" si="214"/>
        <v>8.2610873055000006E-3</v>
      </c>
      <c r="H729" s="63">
        <f t="shared" si="204"/>
        <v>0.25080661059498</v>
      </c>
      <c r="I729" s="63">
        <f t="shared" si="205"/>
        <v>0.25080661059498</v>
      </c>
      <c r="J729" s="63">
        <f t="shared" si="206"/>
        <v>0.39289731224958002</v>
      </c>
      <c r="K729" s="30">
        <f>IF(OR(LEFT($D729,5)="Solar",$D729="Wind"),INDEX(Land_Use[AVG],MATCH(LEFT($D729,5),Land_Use[Tech],0)),0)*$E729</f>
        <v>0</v>
      </c>
      <c r="L729" s="30">
        <f>IF(OR(LEFT($D729,5)="Solar",$D729="Wind"),INDEX(Land_Use[MIN],MATCH(LEFT($D729,5),Land_Use[Tech],0)),0)*$E729</f>
        <v>0</v>
      </c>
      <c r="M729" s="30">
        <f>IF(OR(LEFT($D729,5)="Solar",$D729="Wind"),INDEX(Land_Use[MAX],MATCH(LEFT($D729,5),Land_Use[Tech],0)),0)*$E729</f>
        <v>0</v>
      </c>
      <c r="N729" s="15">
        <f t="shared" si="199"/>
        <v>0</v>
      </c>
      <c r="O729" s="11">
        <f t="shared" si="200"/>
        <v>0</v>
      </c>
      <c r="P729" s="11">
        <f t="shared" si="201"/>
        <v>0</v>
      </c>
      <c r="Q729" s="11">
        <f t="shared" si="202"/>
        <v>0</v>
      </c>
      <c r="R729" s="11">
        <f t="shared" si="203"/>
        <v>0</v>
      </c>
      <c r="S729" s="30">
        <f t="shared" si="207"/>
        <v>0</v>
      </c>
      <c r="T729" s="30">
        <f t="shared" si="208"/>
        <v>0</v>
      </c>
      <c r="U729" s="30">
        <f t="shared" si="209"/>
        <v>0</v>
      </c>
      <c r="V729" s="30">
        <f t="shared" si="210"/>
        <v>0</v>
      </c>
      <c r="W729" s="30">
        <f t="shared" si="211"/>
        <v>0</v>
      </c>
      <c r="X729" s="30">
        <f t="shared" si="212"/>
        <v>0</v>
      </c>
      <c r="Z729" s="23" t="s">
        <v>76</v>
      </c>
      <c r="AA729" s="40" t="str">
        <f>IF(C729="Electricity",E729*SUMIFS(Electricity!S:S,Electricity!P:P,UserMade_Scenario!B729,Electricity!M:M,UserMade_Scenario!Z729,Electricity!O:O,UserMade_Scenario!D729),"")</f>
        <v/>
      </c>
      <c r="AB729" s="67">
        <v>1.4243253975000002E-4</v>
      </c>
      <c r="AC729" s="67" t="s">
        <v>95</v>
      </c>
      <c r="AD729" s="39">
        <f>INDEX(Assumptions!B$120:B$141,MATCH(UserMade_Scenario!$B728,Assumptions!$A$120:$A$141,0))</f>
        <v>-30.36</v>
      </c>
      <c r="AE729" s="39">
        <f>INDEX(Assumptions!C$120:C$141,MATCH(UserMade_Scenario!$B728,Assumptions!$A$120:$A$141,0))</f>
        <v>-30.36</v>
      </c>
      <c r="AF729" s="39">
        <f>INDEX(Assumptions!D$120:D$141,MATCH(UserMade_Scenario!$B728,Assumptions!$A$120:$A$141,0))</f>
        <v>-47.56</v>
      </c>
      <c r="AG729" s="68">
        <f>IFERROR(INDEX(WaterUseH2[Average Direct Water Consumption (Gal/ kg h2)],MATCH(LEFT(D729,3),WaterUseH2[Key],0)),0)</f>
        <v>0</v>
      </c>
      <c r="AH729">
        <v>14</v>
      </c>
      <c r="AI729">
        <v>1.4</v>
      </c>
      <c r="AJ729">
        <v>250</v>
      </c>
      <c r="AK729">
        <v>0.31</v>
      </c>
      <c r="AL729" s="63">
        <f>IFERROR(INDEX(Job_Training[[Solar]:[Wind]],MATCH(AL$1,Job_Training[[`Typical Entry Level Education`]:[`Typical Entry Level Education`]],0),MATCH(LEFT($D729,5),Job_Training[[#Headers],[Solar]:[Wind]],0)),0)</f>
        <v>0</v>
      </c>
      <c r="AM729" s="63">
        <f>IFERROR(INDEX(Job_Training[[Solar]:[Wind]],MATCH(AM$1,Job_Training[[`Typical Entry Level Education`]:[`Typical Entry Level Education`]],0),MATCH(LEFT($D729,5),Job_Training[[#Headers],[Solar]:[Wind]],0)),0)</f>
        <v>0</v>
      </c>
      <c r="AN729" s="63">
        <f>IFERROR(INDEX(Job_Training[[Solar]:[Wind]],MATCH(AN$1,Job_Training[[`Typical Entry Level Education`]:[`Typical Entry Level Education`]],0),MATCH(LEFT($D729,5),Job_Training[[#Headers],[Solar]:[Wind]],0)),0)</f>
        <v>0</v>
      </c>
      <c r="AO729" s="63">
        <f>IFERROR(INDEX(Job_Training[[Solar]:[Wind]],MATCH(AO$1,Job_Training[[`Typical Entry Level Education`]:[`Typical Entry Level Education`]],0),MATCH(LEFT($D729,5),Job_Training[[#Headers],[Solar]:[Wind]],0)),0)</f>
        <v>0</v>
      </c>
      <c r="AP729">
        <f t="shared" si="213"/>
        <v>0</v>
      </c>
      <c r="AQ729" s="63">
        <f>IF(AP729&gt;0,IFERROR(INDEX(Assumptions!$C$165:$D$165,MATCH(LEFT($D729,5),Job_Training[[#Headers],[Solar]:[Wind]],0)),0),0)</f>
        <v>0</v>
      </c>
      <c r="AR729">
        <f>IF(AP729&gt;0,IFERROR(INDEX(Assumptions!$C$166:$D$166,MATCH(LEFT($D729,5),Job_Training[[#Headers],[Solar]:[Wind]],0)),0),0)</f>
        <v>0</v>
      </c>
    </row>
    <row r="730" spans="1:44" hidden="1" x14ac:dyDescent="0.35">
      <c r="A730" t="str">
        <f>UserInput!$B$56</f>
        <v>Max Buildout</v>
      </c>
      <c r="B730">
        <v>2039</v>
      </c>
      <c r="C730" t="s">
        <v>92</v>
      </c>
      <c r="D730" t="s">
        <v>96</v>
      </c>
      <c r="E730" s="66">
        <f>INDEX(UserInput!$C$56:$M$76,MATCH(UserMade_Scenario!B730,UserInput!$A$56:$A$76,0),MATCH(LEFT(IF(RIGHT(C730,2)="H2",UserMade_Scenario!C730,D730),3),UserInput!$C$25:$M$25,0))</f>
        <v>64</v>
      </c>
      <c r="F730" t="s">
        <v>94</v>
      </c>
      <c r="G730" s="14">
        <f t="shared" si="214"/>
        <v>9.1156825440000012E-3</v>
      </c>
      <c r="H730" s="63">
        <f t="shared" si="204"/>
        <v>0.27675212203584004</v>
      </c>
      <c r="I730" s="63">
        <f t="shared" si="205"/>
        <v>0.27675212203584004</v>
      </c>
      <c r="J730" s="63">
        <f t="shared" si="206"/>
        <v>0.43354186179264009</v>
      </c>
      <c r="K730" s="30">
        <f>IF(OR(LEFT($D730,5)="Solar",$D730="Wind"),INDEX(Land_Use[AVG],MATCH(LEFT($D730,5),Land_Use[Tech],0)),0)*$E730</f>
        <v>0</v>
      </c>
      <c r="L730" s="30">
        <f>IF(OR(LEFT($D730,5)="Solar",$D730="Wind"),INDEX(Land_Use[MIN],MATCH(LEFT($D730,5),Land_Use[Tech],0)),0)*$E730</f>
        <v>0</v>
      </c>
      <c r="M730" s="30">
        <f>IF(OR(LEFT($D730,5)="Solar",$D730="Wind"),INDEX(Land_Use[MAX],MATCH(LEFT($D730,5),Land_Use[Tech],0)),0)*$E730</f>
        <v>0</v>
      </c>
      <c r="N730" s="15">
        <f t="shared" si="199"/>
        <v>0</v>
      </c>
      <c r="O730" s="11">
        <f t="shared" si="200"/>
        <v>0</v>
      </c>
      <c r="P730" s="11">
        <f t="shared" si="201"/>
        <v>0</v>
      </c>
      <c r="Q730" s="11">
        <f t="shared" si="202"/>
        <v>0</v>
      </c>
      <c r="R730" s="11">
        <f t="shared" si="203"/>
        <v>0</v>
      </c>
      <c r="S730" s="30">
        <f t="shared" si="207"/>
        <v>0</v>
      </c>
      <c r="T730" s="30">
        <f t="shared" si="208"/>
        <v>0</v>
      </c>
      <c r="U730" s="30">
        <f t="shared" si="209"/>
        <v>0</v>
      </c>
      <c r="V730" s="30">
        <f t="shared" si="210"/>
        <v>0</v>
      </c>
      <c r="W730" s="30">
        <f t="shared" si="211"/>
        <v>0</v>
      </c>
      <c r="X730" s="30">
        <f t="shared" si="212"/>
        <v>0</v>
      </c>
      <c r="Z730" s="23" t="s">
        <v>76</v>
      </c>
      <c r="AA730" s="40" t="str">
        <f>IF(C730="Electricity",E730*SUMIFS(Electricity!S:S,Electricity!P:P,UserMade_Scenario!B730,Electricity!M:M,UserMade_Scenario!Z730,Electricity!O:O,UserMade_Scenario!D730),"")</f>
        <v/>
      </c>
      <c r="AB730" s="67">
        <v>1.4243253975000002E-4</v>
      </c>
      <c r="AC730" s="67" t="s">
        <v>95</v>
      </c>
      <c r="AD730" s="39">
        <f>INDEX(Assumptions!B$120:B$141,MATCH(UserMade_Scenario!$B729,Assumptions!$A$120:$A$141,0))</f>
        <v>-30.36</v>
      </c>
      <c r="AE730" s="39">
        <f>INDEX(Assumptions!C$120:C$141,MATCH(UserMade_Scenario!$B729,Assumptions!$A$120:$A$141,0))</f>
        <v>-30.36</v>
      </c>
      <c r="AF730" s="39">
        <f>INDEX(Assumptions!D$120:D$141,MATCH(UserMade_Scenario!$B729,Assumptions!$A$120:$A$141,0))</f>
        <v>-47.56</v>
      </c>
      <c r="AG730" s="68">
        <f>IFERROR(INDEX(WaterUseH2[Average Direct Water Consumption (Gal/ kg h2)],MATCH(LEFT(D730,3),WaterUseH2[Key],0)),0)</f>
        <v>0</v>
      </c>
      <c r="AH730">
        <v>14</v>
      </c>
      <c r="AI730">
        <v>1.4</v>
      </c>
      <c r="AJ730">
        <v>250</v>
      </c>
      <c r="AK730">
        <v>0.31</v>
      </c>
      <c r="AL730" s="63">
        <f>IFERROR(INDEX(Job_Training[[Solar]:[Wind]],MATCH(AL$1,Job_Training[[`Typical Entry Level Education`]:[`Typical Entry Level Education`]],0),MATCH(LEFT($D730,5),Job_Training[[#Headers],[Solar]:[Wind]],0)),0)</f>
        <v>0</v>
      </c>
      <c r="AM730" s="63">
        <f>IFERROR(INDEX(Job_Training[[Solar]:[Wind]],MATCH(AM$1,Job_Training[[`Typical Entry Level Education`]:[`Typical Entry Level Education`]],0),MATCH(LEFT($D730,5),Job_Training[[#Headers],[Solar]:[Wind]],0)),0)</f>
        <v>0</v>
      </c>
      <c r="AN730" s="63">
        <f>IFERROR(INDEX(Job_Training[[Solar]:[Wind]],MATCH(AN$1,Job_Training[[`Typical Entry Level Education`]:[`Typical Entry Level Education`]],0),MATCH(LEFT($D730,5),Job_Training[[#Headers],[Solar]:[Wind]],0)),0)</f>
        <v>0</v>
      </c>
      <c r="AO730" s="63">
        <f>IFERROR(INDEX(Job_Training[[Solar]:[Wind]],MATCH(AO$1,Job_Training[[`Typical Entry Level Education`]:[`Typical Entry Level Education`]],0),MATCH(LEFT($D730,5),Job_Training[[#Headers],[Solar]:[Wind]],0)),0)</f>
        <v>0</v>
      </c>
      <c r="AP730">
        <f t="shared" si="213"/>
        <v>0</v>
      </c>
      <c r="AQ730" s="63">
        <f>IF(AP730&gt;0,IFERROR(INDEX(Assumptions!$C$165:$D$165,MATCH(LEFT($D730,5),Job_Training[[#Headers],[Solar]:[Wind]],0)),0),0)</f>
        <v>0</v>
      </c>
      <c r="AR730">
        <f>IF(AP730&gt;0,IFERROR(INDEX(Assumptions!$C$166:$D$166,MATCH(LEFT($D730,5),Job_Training[[#Headers],[Solar]:[Wind]],0)),0),0)</f>
        <v>0</v>
      </c>
    </row>
    <row r="731" spans="1:44" hidden="1" x14ac:dyDescent="0.35">
      <c r="A731" t="str">
        <f>UserInput!$B$56</f>
        <v>Max Buildout</v>
      </c>
      <c r="B731">
        <v>2040</v>
      </c>
      <c r="C731" t="s">
        <v>92</v>
      </c>
      <c r="D731" t="s">
        <v>96</v>
      </c>
      <c r="E731" s="66">
        <f>INDEX(UserInput!$C$56:$M$76,MATCH(UserMade_Scenario!B731,UserInput!$A$56:$A$76,0),MATCH(LEFT(IF(RIGHT(C731,2)="H2",UserMade_Scenario!C731,D731),3),UserInput!$C$25:$M$25,0))</f>
        <v>70</v>
      </c>
      <c r="F731" t="s">
        <v>94</v>
      </c>
      <c r="G731" s="14">
        <f t="shared" si="214"/>
        <v>9.9702777825000019E-3</v>
      </c>
      <c r="H731" s="63">
        <f t="shared" si="204"/>
        <v>0.30269763347670003</v>
      </c>
      <c r="I731" s="63">
        <f t="shared" si="205"/>
        <v>0.30269763347670003</v>
      </c>
      <c r="J731" s="63">
        <f t="shared" si="206"/>
        <v>0.47418641133570011</v>
      </c>
      <c r="K731" s="30">
        <f>IF(OR(LEFT($D731,5)="Solar",$D731="Wind"),INDEX(Land_Use[AVG],MATCH(LEFT($D731,5),Land_Use[Tech],0)),0)*$E731</f>
        <v>0</v>
      </c>
      <c r="L731" s="30">
        <f>IF(OR(LEFT($D731,5)="Solar",$D731="Wind"),INDEX(Land_Use[MIN],MATCH(LEFT($D731,5),Land_Use[Tech],0)),0)*$E731</f>
        <v>0</v>
      </c>
      <c r="M731" s="30">
        <f>IF(OR(LEFT($D731,5)="Solar",$D731="Wind"),INDEX(Land_Use[MAX],MATCH(LEFT($D731,5),Land_Use[Tech],0)),0)*$E731</f>
        <v>0</v>
      </c>
      <c r="N731" s="15">
        <f t="shared" si="199"/>
        <v>0</v>
      </c>
      <c r="O731" s="11">
        <f t="shared" si="200"/>
        <v>0</v>
      </c>
      <c r="P731" s="11">
        <f t="shared" si="201"/>
        <v>0</v>
      </c>
      <c r="Q731" s="11">
        <f t="shared" si="202"/>
        <v>0</v>
      </c>
      <c r="R731" s="11">
        <f t="shared" si="203"/>
        <v>0</v>
      </c>
      <c r="S731" s="30">
        <f t="shared" si="207"/>
        <v>0</v>
      </c>
      <c r="T731" s="30">
        <f t="shared" si="208"/>
        <v>0</v>
      </c>
      <c r="U731" s="30">
        <f t="shared" si="209"/>
        <v>0</v>
      </c>
      <c r="V731" s="30">
        <f t="shared" si="210"/>
        <v>0</v>
      </c>
      <c r="W731" s="30">
        <f t="shared" si="211"/>
        <v>0</v>
      </c>
      <c r="X731" s="30">
        <f t="shared" si="212"/>
        <v>0</v>
      </c>
      <c r="Z731" s="23" t="s">
        <v>76</v>
      </c>
      <c r="AA731" s="40" t="str">
        <f>IF(C731="Electricity",E731*SUMIFS(Electricity!S:S,Electricity!P:P,UserMade_Scenario!B731,Electricity!M:M,UserMade_Scenario!Z731,Electricity!O:O,UserMade_Scenario!D731),"")</f>
        <v/>
      </c>
      <c r="AB731" s="67">
        <v>1.4243253975000002E-4</v>
      </c>
      <c r="AC731" s="67" t="s">
        <v>95</v>
      </c>
      <c r="AD731" s="39">
        <f>INDEX(Assumptions!B$120:B$141,MATCH(UserMade_Scenario!$B730,Assumptions!$A$120:$A$141,0))</f>
        <v>-30.36</v>
      </c>
      <c r="AE731" s="39">
        <f>INDEX(Assumptions!C$120:C$141,MATCH(UserMade_Scenario!$B730,Assumptions!$A$120:$A$141,0))</f>
        <v>-30.36</v>
      </c>
      <c r="AF731" s="39">
        <f>INDEX(Assumptions!D$120:D$141,MATCH(UserMade_Scenario!$B730,Assumptions!$A$120:$A$141,0))</f>
        <v>-47.56</v>
      </c>
      <c r="AG731" s="68">
        <f>IFERROR(INDEX(WaterUseH2[Average Direct Water Consumption (Gal/ kg h2)],MATCH(LEFT(D731,3),WaterUseH2[Key],0)),0)</f>
        <v>0</v>
      </c>
      <c r="AH731">
        <v>14</v>
      </c>
      <c r="AI731">
        <v>1.4</v>
      </c>
      <c r="AJ731">
        <v>250</v>
      </c>
      <c r="AK731">
        <v>0.31</v>
      </c>
      <c r="AL731" s="63">
        <f>IFERROR(INDEX(Job_Training[[Solar]:[Wind]],MATCH(AL$1,Job_Training[[`Typical Entry Level Education`]:[`Typical Entry Level Education`]],0),MATCH(LEFT($D731,5),Job_Training[[#Headers],[Solar]:[Wind]],0)),0)</f>
        <v>0</v>
      </c>
      <c r="AM731" s="63">
        <f>IFERROR(INDEX(Job_Training[[Solar]:[Wind]],MATCH(AM$1,Job_Training[[`Typical Entry Level Education`]:[`Typical Entry Level Education`]],0),MATCH(LEFT($D731,5),Job_Training[[#Headers],[Solar]:[Wind]],0)),0)</f>
        <v>0</v>
      </c>
      <c r="AN731" s="63">
        <f>IFERROR(INDEX(Job_Training[[Solar]:[Wind]],MATCH(AN$1,Job_Training[[`Typical Entry Level Education`]:[`Typical Entry Level Education`]],0),MATCH(LEFT($D731,5),Job_Training[[#Headers],[Solar]:[Wind]],0)),0)</f>
        <v>0</v>
      </c>
      <c r="AO731" s="63">
        <f>IFERROR(INDEX(Job_Training[[Solar]:[Wind]],MATCH(AO$1,Job_Training[[`Typical Entry Level Education`]:[`Typical Entry Level Education`]],0),MATCH(LEFT($D731,5),Job_Training[[#Headers],[Solar]:[Wind]],0)),0)</f>
        <v>0</v>
      </c>
      <c r="AP731">
        <f t="shared" si="213"/>
        <v>0</v>
      </c>
      <c r="AQ731" s="63">
        <f>IF(AP731&gt;0,IFERROR(INDEX(Assumptions!$C$165:$D$165,MATCH(LEFT($D731,5),Job_Training[[#Headers],[Solar]:[Wind]],0)),0),0)</f>
        <v>0</v>
      </c>
      <c r="AR731">
        <f>IF(AP731&gt;0,IFERROR(INDEX(Assumptions!$C$166:$D$166,MATCH(LEFT($D731,5),Job_Training[[#Headers],[Solar]:[Wind]],0)),0),0)</f>
        <v>0</v>
      </c>
    </row>
    <row r="732" spans="1:44" hidden="1" x14ac:dyDescent="0.35">
      <c r="A732" t="str">
        <f>UserInput!$B$56</f>
        <v>Max Buildout</v>
      </c>
      <c r="B732">
        <v>2041</v>
      </c>
      <c r="C732" t="s">
        <v>92</v>
      </c>
      <c r="D732" t="s">
        <v>96</v>
      </c>
      <c r="E732" s="66">
        <f>INDEX(UserInput!$C$56:$M$76,MATCH(UserMade_Scenario!B732,UserInput!$A$56:$A$76,0),MATCH(LEFT(IF(RIGHT(C732,2)="H2",UserMade_Scenario!C732,D732),3),UserInput!$C$25:$M$25,0))</f>
        <v>76</v>
      </c>
      <c r="F732" t="s">
        <v>94</v>
      </c>
      <c r="G732" s="14">
        <f t="shared" si="214"/>
        <v>1.0824873021000001E-2</v>
      </c>
      <c r="H732" s="63">
        <f t="shared" si="204"/>
        <v>0.32864314491756003</v>
      </c>
      <c r="I732" s="63">
        <f t="shared" si="205"/>
        <v>0.32864314491756003</v>
      </c>
      <c r="J732" s="63">
        <f t="shared" si="206"/>
        <v>0.51483096087876001</v>
      </c>
      <c r="K732" s="30">
        <f>IF(OR(LEFT($D732,5)="Solar",$D732="Wind"),INDEX(Land_Use[AVG],MATCH(LEFT($D732,5),Land_Use[Tech],0)),0)*$E732</f>
        <v>0</v>
      </c>
      <c r="L732" s="30">
        <f>IF(OR(LEFT($D732,5)="Solar",$D732="Wind"),INDEX(Land_Use[MIN],MATCH(LEFT($D732,5),Land_Use[Tech],0)),0)*$E732</f>
        <v>0</v>
      </c>
      <c r="M732" s="30">
        <f>IF(OR(LEFT($D732,5)="Solar",$D732="Wind"),INDEX(Land_Use[MAX],MATCH(LEFT($D732,5),Land_Use[Tech],0)),0)*$E732</f>
        <v>0</v>
      </c>
      <c r="N732" s="15">
        <f t="shared" si="199"/>
        <v>0</v>
      </c>
      <c r="O732" s="11">
        <f t="shared" si="200"/>
        <v>0</v>
      </c>
      <c r="P732" s="11">
        <f t="shared" si="201"/>
        <v>0</v>
      </c>
      <c r="Q732" s="11">
        <f t="shared" si="202"/>
        <v>0</v>
      </c>
      <c r="R732" s="11">
        <f t="shared" si="203"/>
        <v>0</v>
      </c>
      <c r="S732" s="30">
        <f t="shared" si="207"/>
        <v>0</v>
      </c>
      <c r="T732" s="30">
        <f t="shared" si="208"/>
        <v>0</v>
      </c>
      <c r="U732" s="30">
        <f t="shared" si="209"/>
        <v>0</v>
      </c>
      <c r="V732" s="30">
        <f t="shared" si="210"/>
        <v>0</v>
      </c>
      <c r="W732" s="30">
        <f t="shared" si="211"/>
        <v>0</v>
      </c>
      <c r="X732" s="30">
        <f t="shared" si="212"/>
        <v>0</v>
      </c>
      <c r="Z732" s="23" t="s">
        <v>76</v>
      </c>
      <c r="AA732" s="40" t="str">
        <f>IF(C732="Electricity",E732*SUMIFS(Electricity!S:S,Electricity!P:P,UserMade_Scenario!B732,Electricity!M:M,UserMade_Scenario!Z732,Electricity!O:O,UserMade_Scenario!D732),"")</f>
        <v/>
      </c>
      <c r="AB732" s="67">
        <v>1.4243253975000002E-4</v>
      </c>
      <c r="AC732" s="67" t="s">
        <v>95</v>
      </c>
      <c r="AD732" s="39">
        <f>INDEX(Assumptions!B$120:B$141,MATCH(UserMade_Scenario!$B731,Assumptions!$A$120:$A$141,0))</f>
        <v>-30.36</v>
      </c>
      <c r="AE732" s="39">
        <f>INDEX(Assumptions!C$120:C$141,MATCH(UserMade_Scenario!$B731,Assumptions!$A$120:$A$141,0))</f>
        <v>-30.36</v>
      </c>
      <c r="AF732" s="39">
        <f>INDEX(Assumptions!D$120:D$141,MATCH(UserMade_Scenario!$B731,Assumptions!$A$120:$A$141,0))</f>
        <v>-47.56</v>
      </c>
      <c r="AG732" s="68">
        <f>IFERROR(INDEX(WaterUseH2[Average Direct Water Consumption (Gal/ kg h2)],MATCH(LEFT(D732,3),WaterUseH2[Key],0)),0)</f>
        <v>0</v>
      </c>
      <c r="AH732">
        <v>14</v>
      </c>
      <c r="AI732">
        <v>1.4</v>
      </c>
      <c r="AJ732">
        <v>250</v>
      </c>
      <c r="AK732">
        <v>0.31</v>
      </c>
      <c r="AL732" s="63">
        <f>IFERROR(INDEX(Job_Training[[Solar]:[Wind]],MATCH(AL$1,Job_Training[[`Typical Entry Level Education`]:[`Typical Entry Level Education`]],0),MATCH(LEFT($D732,5),Job_Training[[#Headers],[Solar]:[Wind]],0)),0)</f>
        <v>0</v>
      </c>
      <c r="AM732" s="63">
        <f>IFERROR(INDEX(Job_Training[[Solar]:[Wind]],MATCH(AM$1,Job_Training[[`Typical Entry Level Education`]:[`Typical Entry Level Education`]],0),MATCH(LEFT($D732,5),Job_Training[[#Headers],[Solar]:[Wind]],0)),0)</f>
        <v>0</v>
      </c>
      <c r="AN732" s="63">
        <f>IFERROR(INDEX(Job_Training[[Solar]:[Wind]],MATCH(AN$1,Job_Training[[`Typical Entry Level Education`]:[`Typical Entry Level Education`]],0),MATCH(LEFT($D732,5),Job_Training[[#Headers],[Solar]:[Wind]],0)),0)</f>
        <v>0</v>
      </c>
      <c r="AO732" s="63">
        <f>IFERROR(INDEX(Job_Training[[Solar]:[Wind]],MATCH(AO$1,Job_Training[[`Typical Entry Level Education`]:[`Typical Entry Level Education`]],0),MATCH(LEFT($D732,5),Job_Training[[#Headers],[Solar]:[Wind]],0)),0)</f>
        <v>0</v>
      </c>
      <c r="AP732">
        <f t="shared" si="213"/>
        <v>0</v>
      </c>
      <c r="AQ732" s="63">
        <f>IF(AP732&gt;0,IFERROR(INDEX(Assumptions!$C$165:$D$165,MATCH(LEFT($D732,5),Job_Training[[#Headers],[Solar]:[Wind]],0)),0),0)</f>
        <v>0</v>
      </c>
      <c r="AR732">
        <f>IF(AP732&gt;0,IFERROR(INDEX(Assumptions!$C$166:$D$166,MATCH(LEFT($D732,5),Job_Training[[#Headers],[Solar]:[Wind]],0)),0),0)</f>
        <v>0</v>
      </c>
    </row>
    <row r="733" spans="1:44" hidden="1" x14ac:dyDescent="0.35">
      <c r="A733" t="str">
        <f>UserInput!$B$56</f>
        <v>Max Buildout</v>
      </c>
      <c r="B733">
        <v>2042</v>
      </c>
      <c r="C733" t="s">
        <v>92</v>
      </c>
      <c r="D733" t="s">
        <v>96</v>
      </c>
      <c r="E733" s="66">
        <f>INDEX(UserInput!$C$56:$M$76,MATCH(UserMade_Scenario!B733,UserInput!$A$56:$A$76,0),MATCH(LEFT(IF(RIGHT(C733,2)="H2",UserMade_Scenario!C733,D733),3),UserInput!$C$25:$M$25,0))</f>
        <v>82</v>
      </c>
      <c r="F733" t="s">
        <v>94</v>
      </c>
      <c r="G733" s="14">
        <f t="shared" si="214"/>
        <v>1.1679468259500001E-2</v>
      </c>
      <c r="H733" s="63">
        <f t="shared" si="204"/>
        <v>0.35458865635842002</v>
      </c>
      <c r="I733" s="63">
        <f t="shared" si="205"/>
        <v>0.35458865635842002</v>
      </c>
      <c r="J733" s="63">
        <f t="shared" si="206"/>
        <v>0.55547551042182008</v>
      </c>
      <c r="K733" s="30">
        <f>IF(OR(LEFT($D733,5)="Solar",$D733="Wind"),INDEX(Land_Use[AVG],MATCH(LEFT($D733,5),Land_Use[Tech],0)),0)*$E733</f>
        <v>0</v>
      </c>
      <c r="L733" s="30">
        <f>IF(OR(LEFT($D733,5)="Solar",$D733="Wind"),INDEX(Land_Use[MIN],MATCH(LEFT($D733,5),Land_Use[Tech],0)),0)*$E733</f>
        <v>0</v>
      </c>
      <c r="M733" s="30">
        <f>IF(OR(LEFT($D733,5)="Solar",$D733="Wind"),INDEX(Land_Use[MAX],MATCH(LEFT($D733,5),Land_Use[Tech],0)),0)*$E733</f>
        <v>0</v>
      </c>
      <c r="N733" s="15">
        <f t="shared" si="199"/>
        <v>0</v>
      </c>
      <c r="O733" s="11">
        <f t="shared" si="200"/>
        <v>0</v>
      </c>
      <c r="P733" s="11">
        <f t="shared" si="201"/>
        <v>0</v>
      </c>
      <c r="Q733" s="11">
        <f t="shared" si="202"/>
        <v>0</v>
      </c>
      <c r="R733" s="11">
        <f t="shared" si="203"/>
        <v>0</v>
      </c>
      <c r="S733" s="30">
        <f t="shared" si="207"/>
        <v>0</v>
      </c>
      <c r="T733" s="30">
        <f t="shared" si="208"/>
        <v>0</v>
      </c>
      <c r="U733" s="30">
        <f t="shared" si="209"/>
        <v>0</v>
      </c>
      <c r="V733" s="30">
        <f t="shared" si="210"/>
        <v>0</v>
      </c>
      <c r="W733" s="30">
        <f t="shared" si="211"/>
        <v>0</v>
      </c>
      <c r="X733" s="30">
        <f t="shared" si="212"/>
        <v>0</v>
      </c>
      <c r="Z733" s="23" t="s">
        <v>76</v>
      </c>
      <c r="AA733" s="40" t="str">
        <f>IF(C733="Electricity",E733*SUMIFS(Electricity!S:S,Electricity!P:P,UserMade_Scenario!B733,Electricity!M:M,UserMade_Scenario!Z733,Electricity!O:O,UserMade_Scenario!D733),"")</f>
        <v/>
      </c>
      <c r="AB733" s="67">
        <v>1.4243253975000002E-4</v>
      </c>
      <c r="AC733" s="67" t="s">
        <v>95</v>
      </c>
      <c r="AD733" s="39">
        <f>INDEX(Assumptions!B$120:B$141,MATCH(UserMade_Scenario!$B732,Assumptions!$A$120:$A$141,0))</f>
        <v>-30.36</v>
      </c>
      <c r="AE733" s="39">
        <f>INDEX(Assumptions!C$120:C$141,MATCH(UserMade_Scenario!$B732,Assumptions!$A$120:$A$141,0))</f>
        <v>-30.36</v>
      </c>
      <c r="AF733" s="39">
        <f>INDEX(Assumptions!D$120:D$141,MATCH(UserMade_Scenario!$B732,Assumptions!$A$120:$A$141,0))</f>
        <v>-47.56</v>
      </c>
      <c r="AG733" s="68">
        <f>IFERROR(INDEX(WaterUseH2[Average Direct Water Consumption (Gal/ kg h2)],MATCH(LEFT(D733,3),WaterUseH2[Key],0)),0)</f>
        <v>0</v>
      </c>
      <c r="AH733">
        <v>14</v>
      </c>
      <c r="AI733">
        <v>1.4</v>
      </c>
      <c r="AJ733">
        <v>250</v>
      </c>
      <c r="AK733">
        <v>0.31</v>
      </c>
      <c r="AL733" s="63">
        <f>IFERROR(INDEX(Job_Training[[Solar]:[Wind]],MATCH(AL$1,Job_Training[[`Typical Entry Level Education`]:[`Typical Entry Level Education`]],0),MATCH(LEFT($D733,5),Job_Training[[#Headers],[Solar]:[Wind]],0)),0)</f>
        <v>0</v>
      </c>
      <c r="AM733" s="63">
        <f>IFERROR(INDEX(Job_Training[[Solar]:[Wind]],MATCH(AM$1,Job_Training[[`Typical Entry Level Education`]:[`Typical Entry Level Education`]],0),MATCH(LEFT($D733,5),Job_Training[[#Headers],[Solar]:[Wind]],0)),0)</f>
        <v>0</v>
      </c>
      <c r="AN733" s="63">
        <f>IFERROR(INDEX(Job_Training[[Solar]:[Wind]],MATCH(AN$1,Job_Training[[`Typical Entry Level Education`]:[`Typical Entry Level Education`]],0),MATCH(LEFT($D733,5),Job_Training[[#Headers],[Solar]:[Wind]],0)),0)</f>
        <v>0</v>
      </c>
      <c r="AO733" s="63">
        <f>IFERROR(INDEX(Job_Training[[Solar]:[Wind]],MATCH(AO$1,Job_Training[[`Typical Entry Level Education`]:[`Typical Entry Level Education`]],0),MATCH(LEFT($D733,5),Job_Training[[#Headers],[Solar]:[Wind]],0)),0)</f>
        <v>0</v>
      </c>
      <c r="AP733">
        <f t="shared" si="213"/>
        <v>0</v>
      </c>
      <c r="AQ733" s="63">
        <f>IF(AP733&gt;0,IFERROR(INDEX(Assumptions!$C$165:$D$165,MATCH(LEFT($D733,5),Job_Training[[#Headers],[Solar]:[Wind]],0)),0),0)</f>
        <v>0</v>
      </c>
      <c r="AR733">
        <f>IF(AP733&gt;0,IFERROR(INDEX(Assumptions!$C$166:$D$166,MATCH(LEFT($D733,5),Job_Training[[#Headers],[Solar]:[Wind]],0)),0),0)</f>
        <v>0</v>
      </c>
    </row>
    <row r="734" spans="1:44" hidden="1" x14ac:dyDescent="0.35">
      <c r="A734" t="str">
        <f>UserInput!$B$56</f>
        <v>Max Buildout</v>
      </c>
      <c r="B734">
        <v>2043</v>
      </c>
      <c r="C734" t="s">
        <v>92</v>
      </c>
      <c r="D734" t="s">
        <v>96</v>
      </c>
      <c r="E734" s="66">
        <f>INDEX(UserInput!$C$56:$M$76,MATCH(UserMade_Scenario!B734,UserInput!$A$56:$A$76,0),MATCH(LEFT(IF(RIGHT(C734,2)="H2",UserMade_Scenario!C734,D734),3),UserInput!$C$25:$M$25,0))</f>
        <v>88</v>
      </c>
      <c r="F734" t="s">
        <v>94</v>
      </c>
      <c r="G734" s="14">
        <f t="shared" si="214"/>
        <v>1.2534063498000002E-2</v>
      </c>
      <c r="H734" s="63">
        <f t="shared" si="204"/>
        <v>0.38053416779928007</v>
      </c>
      <c r="I734" s="63">
        <f t="shared" si="205"/>
        <v>0.38053416779928007</v>
      </c>
      <c r="J734" s="63">
        <f t="shared" si="206"/>
        <v>0.59612005996488016</v>
      </c>
      <c r="K734" s="30">
        <f>IF(OR(LEFT($D734,5)="Solar",$D734="Wind"),INDEX(Land_Use[AVG],MATCH(LEFT($D734,5),Land_Use[Tech],0)),0)*$E734</f>
        <v>0</v>
      </c>
      <c r="L734" s="30">
        <f>IF(OR(LEFT($D734,5)="Solar",$D734="Wind"),INDEX(Land_Use[MIN],MATCH(LEFT($D734,5),Land_Use[Tech],0)),0)*$E734</f>
        <v>0</v>
      </c>
      <c r="M734" s="30">
        <f>IF(OR(LEFT($D734,5)="Solar",$D734="Wind"),INDEX(Land_Use[MAX],MATCH(LEFT($D734,5),Land_Use[Tech],0)),0)*$E734</f>
        <v>0</v>
      </c>
      <c r="N734" s="15">
        <f t="shared" si="199"/>
        <v>0</v>
      </c>
      <c r="O734" s="11">
        <f t="shared" si="200"/>
        <v>0</v>
      </c>
      <c r="P734" s="11">
        <f t="shared" si="201"/>
        <v>0</v>
      </c>
      <c r="Q734" s="11">
        <f t="shared" si="202"/>
        <v>0</v>
      </c>
      <c r="R734" s="11">
        <f t="shared" si="203"/>
        <v>0</v>
      </c>
      <c r="S734" s="30">
        <f t="shared" si="207"/>
        <v>0</v>
      </c>
      <c r="T734" s="30">
        <f t="shared" si="208"/>
        <v>0</v>
      </c>
      <c r="U734" s="30">
        <f t="shared" si="209"/>
        <v>0</v>
      </c>
      <c r="V734" s="30">
        <f t="shared" si="210"/>
        <v>0</v>
      </c>
      <c r="W734" s="30">
        <f t="shared" si="211"/>
        <v>0</v>
      </c>
      <c r="X734" s="30">
        <f t="shared" si="212"/>
        <v>0</v>
      </c>
      <c r="Z734" s="23" t="s">
        <v>76</v>
      </c>
      <c r="AA734" s="40" t="str">
        <f>IF(C734="Electricity",E734*SUMIFS(Electricity!S:S,Electricity!P:P,UserMade_Scenario!B734,Electricity!M:M,UserMade_Scenario!Z734,Electricity!O:O,UserMade_Scenario!D734),"")</f>
        <v/>
      </c>
      <c r="AB734" s="67">
        <v>1.4243253975000002E-4</v>
      </c>
      <c r="AC734" s="67" t="s">
        <v>95</v>
      </c>
      <c r="AD734" s="39">
        <f>INDEX(Assumptions!B$120:B$141,MATCH(UserMade_Scenario!$B733,Assumptions!$A$120:$A$141,0))</f>
        <v>-30.36</v>
      </c>
      <c r="AE734" s="39">
        <f>INDEX(Assumptions!C$120:C$141,MATCH(UserMade_Scenario!$B733,Assumptions!$A$120:$A$141,0))</f>
        <v>-30.36</v>
      </c>
      <c r="AF734" s="39">
        <f>INDEX(Assumptions!D$120:D$141,MATCH(UserMade_Scenario!$B733,Assumptions!$A$120:$A$141,0))</f>
        <v>-47.56</v>
      </c>
      <c r="AG734" s="68">
        <f>IFERROR(INDEX(WaterUseH2[Average Direct Water Consumption (Gal/ kg h2)],MATCH(LEFT(D734,3),WaterUseH2[Key],0)),0)</f>
        <v>0</v>
      </c>
      <c r="AH734">
        <v>14</v>
      </c>
      <c r="AI734">
        <v>1.4</v>
      </c>
      <c r="AJ734">
        <v>250</v>
      </c>
      <c r="AK734">
        <v>0.31</v>
      </c>
      <c r="AL734" s="63">
        <f>IFERROR(INDEX(Job_Training[[Solar]:[Wind]],MATCH(AL$1,Job_Training[[`Typical Entry Level Education`]:[`Typical Entry Level Education`]],0),MATCH(LEFT($D734,5),Job_Training[[#Headers],[Solar]:[Wind]],0)),0)</f>
        <v>0</v>
      </c>
      <c r="AM734" s="63">
        <f>IFERROR(INDEX(Job_Training[[Solar]:[Wind]],MATCH(AM$1,Job_Training[[`Typical Entry Level Education`]:[`Typical Entry Level Education`]],0),MATCH(LEFT($D734,5),Job_Training[[#Headers],[Solar]:[Wind]],0)),0)</f>
        <v>0</v>
      </c>
      <c r="AN734" s="63">
        <f>IFERROR(INDEX(Job_Training[[Solar]:[Wind]],MATCH(AN$1,Job_Training[[`Typical Entry Level Education`]:[`Typical Entry Level Education`]],0),MATCH(LEFT($D734,5),Job_Training[[#Headers],[Solar]:[Wind]],0)),0)</f>
        <v>0</v>
      </c>
      <c r="AO734" s="63">
        <f>IFERROR(INDEX(Job_Training[[Solar]:[Wind]],MATCH(AO$1,Job_Training[[`Typical Entry Level Education`]:[`Typical Entry Level Education`]],0),MATCH(LEFT($D734,5),Job_Training[[#Headers],[Solar]:[Wind]],0)),0)</f>
        <v>0</v>
      </c>
      <c r="AP734">
        <f t="shared" si="213"/>
        <v>0</v>
      </c>
      <c r="AQ734" s="63">
        <f>IF(AP734&gt;0,IFERROR(INDEX(Assumptions!$C$165:$D$165,MATCH(LEFT($D734,5),Job_Training[[#Headers],[Solar]:[Wind]],0)),0),0)</f>
        <v>0</v>
      </c>
      <c r="AR734">
        <f>IF(AP734&gt;0,IFERROR(INDEX(Assumptions!$C$166:$D$166,MATCH(LEFT($D734,5),Job_Training[[#Headers],[Solar]:[Wind]],0)),0),0)</f>
        <v>0</v>
      </c>
    </row>
    <row r="735" spans="1:44" hidden="1" x14ac:dyDescent="0.35">
      <c r="A735" t="str">
        <f>UserInput!$B$56</f>
        <v>Max Buildout</v>
      </c>
      <c r="B735">
        <v>2044</v>
      </c>
      <c r="C735" t="s">
        <v>92</v>
      </c>
      <c r="D735" t="s">
        <v>96</v>
      </c>
      <c r="E735" s="66">
        <f>INDEX(UserInput!$C$56:$M$76,MATCH(UserMade_Scenario!B735,UserInput!$A$56:$A$76,0),MATCH(LEFT(IF(RIGHT(C735,2)="H2",UserMade_Scenario!C735,D735),3),UserInput!$C$25:$M$25,0))</f>
        <v>94</v>
      </c>
      <c r="F735" t="s">
        <v>94</v>
      </c>
      <c r="G735" s="14">
        <f t="shared" si="214"/>
        <v>1.3388658736500001E-2</v>
      </c>
      <c r="H735" s="63">
        <f t="shared" si="204"/>
        <v>0.40647967924014</v>
      </c>
      <c r="I735" s="63">
        <f t="shared" si="205"/>
        <v>0.40647967924014</v>
      </c>
      <c r="J735" s="63">
        <f t="shared" si="206"/>
        <v>0.63676460950794012</v>
      </c>
      <c r="K735" s="30">
        <f>IF(OR(LEFT($D735,5)="Solar",$D735="Wind"),INDEX(Land_Use[AVG],MATCH(LEFT($D735,5),Land_Use[Tech],0)),0)*$E735</f>
        <v>0</v>
      </c>
      <c r="L735" s="30">
        <f>IF(OR(LEFT($D735,5)="Solar",$D735="Wind"),INDEX(Land_Use[MIN],MATCH(LEFT($D735,5),Land_Use[Tech],0)),0)*$E735</f>
        <v>0</v>
      </c>
      <c r="M735" s="30">
        <f>IF(OR(LEFT($D735,5)="Solar",$D735="Wind"),INDEX(Land_Use[MAX],MATCH(LEFT($D735,5),Land_Use[Tech],0)),0)*$E735</f>
        <v>0</v>
      </c>
      <c r="N735" s="15">
        <f t="shared" si="199"/>
        <v>0</v>
      </c>
      <c r="O735" s="11">
        <f t="shared" si="200"/>
        <v>0</v>
      </c>
      <c r="P735" s="11">
        <f t="shared" si="201"/>
        <v>0</v>
      </c>
      <c r="Q735" s="11">
        <f t="shared" si="202"/>
        <v>0</v>
      </c>
      <c r="R735" s="11">
        <f t="shared" si="203"/>
        <v>0</v>
      </c>
      <c r="S735" s="30">
        <f t="shared" si="207"/>
        <v>0</v>
      </c>
      <c r="T735" s="30">
        <f t="shared" si="208"/>
        <v>0</v>
      </c>
      <c r="U735" s="30">
        <f t="shared" si="209"/>
        <v>0</v>
      </c>
      <c r="V735" s="30">
        <f t="shared" si="210"/>
        <v>0</v>
      </c>
      <c r="W735" s="30">
        <f t="shared" si="211"/>
        <v>0</v>
      </c>
      <c r="X735" s="30">
        <f t="shared" si="212"/>
        <v>0</v>
      </c>
      <c r="Z735" s="23" t="s">
        <v>76</v>
      </c>
      <c r="AA735" s="40" t="str">
        <f>IF(C735="Electricity",E735*SUMIFS(Electricity!S:S,Electricity!P:P,UserMade_Scenario!B735,Electricity!M:M,UserMade_Scenario!Z735,Electricity!O:O,UserMade_Scenario!D735),"")</f>
        <v/>
      </c>
      <c r="AB735" s="67">
        <v>1.4243253975000002E-4</v>
      </c>
      <c r="AC735" s="67" t="s">
        <v>95</v>
      </c>
      <c r="AD735" s="39">
        <f>INDEX(Assumptions!B$120:B$141,MATCH(UserMade_Scenario!$B734,Assumptions!$A$120:$A$141,0))</f>
        <v>-30.36</v>
      </c>
      <c r="AE735" s="39">
        <f>INDEX(Assumptions!C$120:C$141,MATCH(UserMade_Scenario!$B734,Assumptions!$A$120:$A$141,0))</f>
        <v>-30.36</v>
      </c>
      <c r="AF735" s="39">
        <f>INDEX(Assumptions!D$120:D$141,MATCH(UserMade_Scenario!$B734,Assumptions!$A$120:$A$141,0))</f>
        <v>-47.56</v>
      </c>
      <c r="AG735" s="68">
        <f>IFERROR(INDEX(WaterUseH2[Average Direct Water Consumption (Gal/ kg h2)],MATCH(LEFT(D735,3),WaterUseH2[Key],0)),0)</f>
        <v>0</v>
      </c>
      <c r="AH735">
        <v>14</v>
      </c>
      <c r="AI735">
        <v>1.4</v>
      </c>
      <c r="AJ735">
        <v>250</v>
      </c>
      <c r="AK735">
        <v>0.31</v>
      </c>
      <c r="AL735" s="63">
        <f>IFERROR(INDEX(Job_Training[[Solar]:[Wind]],MATCH(AL$1,Job_Training[[`Typical Entry Level Education`]:[`Typical Entry Level Education`]],0),MATCH(LEFT($D735,5),Job_Training[[#Headers],[Solar]:[Wind]],0)),0)</f>
        <v>0</v>
      </c>
      <c r="AM735" s="63">
        <f>IFERROR(INDEX(Job_Training[[Solar]:[Wind]],MATCH(AM$1,Job_Training[[`Typical Entry Level Education`]:[`Typical Entry Level Education`]],0),MATCH(LEFT($D735,5),Job_Training[[#Headers],[Solar]:[Wind]],0)),0)</f>
        <v>0</v>
      </c>
      <c r="AN735" s="63">
        <f>IFERROR(INDEX(Job_Training[[Solar]:[Wind]],MATCH(AN$1,Job_Training[[`Typical Entry Level Education`]:[`Typical Entry Level Education`]],0),MATCH(LEFT($D735,5),Job_Training[[#Headers],[Solar]:[Wind]],0)),0)</f>
        <v>0</v>
      </c>
      <c r="AO735" s="63">
        <f>IFERROR(INDEX(Job_Training[[Solar]:[Wind]],MATCH(AO$1,Job_Training[[`Typical Entry Level Education`]:[`Typical Entry Level Education`]],0),MATCH(LEFT($D735,5),Job_Training[[#Headers],[Solar]:[Wind]],0)),0)</f>
        <v>0</v>
      </c>
      <c r="AP735">
        <f t="shared" si="213"/>
        <v>0</v>
      </c>
      <c r="AQ735" s="63">
        <f>IF(AP735&gt;0,IFERROR(INDEX(Assumptions!$C$165:$D$165,MATCH(LEFT($D735,5),Job_Training[[#Headers],[Solar]:[Wind]],0)),0),0)</f>
        <v>0</v>
      </c>
      <c r="AR735">
        <f>IF(AP735&gt;0,IFERROR(INDEX(Assumptions!$C$166:$D$166,MATCH(LEFT($D735,5),Job_Training[[#Headers],[Solar]:[Wind]],0)),0),0)</f>
        <v>0</v>
      </c>
    </row>
    <row r="736" spans="1:44" hidden="1" x14ac:dyDescent="0.35">
      <c r="A736" t="str">
        <f>UserInput!$B$56</f>
        <v>Max Buildout</v>
      </c>
      <c r="B736">
        <v>2045</v>
      </c>
      <c r="C736" t="s">
        <v>92</v>
      </c>
      <c r="D736" t="s">
        <v>96</v>
      </c>
      <c r="E736" s="66">
        <f>INDEX(UserInput!$C$56:$M$76,MATCH(UserMade_Scenario!B736,UserInput!$A$56:$A$76,0),MATCH(LEFT(IF(RIGHT(C736,2)="H2",UserMade_Scenario!C736,D736),3),UserInput!$C$25:$M$25,0))</f>
        <v>100</v>
      </c>
      <c r="F736" t="s">
        <v>94</v>
      </c>
      <c r="G736" s="14">
        <f t="shared" si="214"/>
        <v>1.4243253975000002E-2</v>
      </c>
      <c r="H736" s="63">
        <f t="shared" si="204"/>
        <v>0.43242519068100005</v>
      </c>
      <c r="I736" s="63">
        <f t="shared" si="205"/>
        <v>0.43242519068100005</v>
      </c>
      <c r="J736" s="63">
        <f t="shared" si="206"/>
        <v>0.67740915905100008</v>
      </c>
      <c r="K736" s="30">
        <f>IF(OR(LEFT($D736,5)="Solar",$D736="Wind"),INDEX(Land_Use[AVG],MATCH(LEFT($D736,5),Land_Use[Tech],0)),0)*$E736</f>
        <v>0</v>
      </c>
      <c r="L736" s="30">
        <f>IF(OR(LEFT($D736,5)="Solar",$D736="Wind"),INDEX(Land_Use[MIN],MATCH(LEFT($D736,5),Land_Use[Tech],0)),0)*$E736</f>
        <v>0</v>
      </c>
      <c r="M736" s="30">
        <f>IF(OR(LEFT($D736,5)="Solar",$D736="Wind"),INDEX(Land_Use[MAX],MATCH(LEFT($D736,5),Land_Use[Tech],0)),0)*$E736</f>
        <v>0</v>
      </c>
      <c r="N736" s="15">
        <f t="shared" si="199"/>
        <v>0</v>
      </c>
      <c r="O736" s="11">
        <f t="shared" si="200"/>
        <v>0</v>
      </c>
      <c r="P736" s="11">
        <f t="shared" si="201"/>
        <v>0</v>
      </c>
      <c r="Q736" s="11">
        <f t="shared" si="202"/>
        <v>0</v>
      </c>
      <c r="R736" s="11">
        <f t="shared" si="203"/>
        <v>0</v>
      </c>
      <c r="S736" s="30">
        <f t="shared" si="207"/>
        <v>0</v>
      </c>
      <c r="T736" s="30">
        <f t="shared" si="208"/>
        <v>0</v>
      </c>
      <c r="U736" s="30">
        <f t="shared" si="209"/>
        <v>0</v>
      </c>
      <c r="V736" s="30">
        <f t="shared" si="210"/>
        <v>0</v>
      </c>
      <c r="W736" s="30">
        <f t="shared" si="211"/>
        <v>0</v>
      </c>
      <c r="X736" s="30">
        <f t="shared" si="212"/>
        <v>0</v>
      </c>
      <c r="Z736" s="23" t="s">
        <v>76</v>
      </c>
      <c r="AA736" s="40" t="str">
        <f>IF(C736="Electricity",E736*SUMIFS(Electricity!S:S,Electricity!P:P,UserMade_Scenario!B736,Electricity!M:M,UserMade_Scenario!Z736,Electricity!O:O,UserMade_Scenario!D736),"")</f>
        <v/>
      </c>
      <c r="AB736" s="67">
        <v>1.4243253975000002E-4</v>
      </c>
      <c r="AC736" s="67" t="s">
        <v>95</v>
      </c>
      <c r="AD736" s="39">
        <f>INDEX(Assumptions!B$120:B$141,MATCH(UserMade_Scenario!$B735,Assumptions!$A$120:$A$141,0))</f>
        <v>-30.36</v>
      </c>
      <c r="AE736" s="39">
        <f>INDEX(Assumptions!C$120:C$141,MATCH(UserMade_Scenario!$B735,Assumptions!$A$120:$A$141,0))</f>
        <v>-30.36</v>
      </c>
      <c r="AF736" s="39">
        <f>INDEX(Assumptions!D$120:D$141,MATCH(UserMade_Scenario!$B735,Assumptions!$A$120:$A$141,0))</f>
        <v>-47.56</v>
      </c>
      <c r="AG736" s="68">
        <f>IFERROR(INDEX(WaterUseH2[Average Direct Water Consumption (Gal/ kg h2)],MATCH(LEFT(D736,3),WaterUseH2[Key],0)),0)</f>
        <v>0</v>
      </c>
      <c r="AH736">
        <v>14</v>
      </c>
      <c r="AI736">
        <v>1.4</v>
      </c>
      <c r="AJ736">
        <v>250</v>
      </c>
      <c r="AK736">
        <v>0.31</v>
      </c>
      <c r="AL736" s="63">
        <f>IFERROR(INDEX(Job_Training[[Solar]:[Wind]],MATCH(AL$1,Job_Training[[`Typical Entry Level Education`]:[`Typical Entry Level Education`]],0),MATCH(LEFT($D736,5),Job_Training[[#Headers],[Solar]:[Wind]],0)),0)</f>
        <v>0</v>
      </c>
      <c r="AM736" s="63">
        <f>IFERROR(INDEX(Job_Training[[Solar]:[Wind]],MATCH(AM$1,Job_Training[[`Typical Entry Level Education`]:[`Typical Entry Level Education`]],0),MATCH(LEFT($D736,5),Job_Training[[#Headers],[Solar]:[Wind]],0)),0)</f>
        <v>0</v>
      </c>
      <c r="AN736" s="63">
        <f>IFERROR(INDEX(Job_Training[[Solar]:[Wind]],MATCH(AN$1,Job_Training[[`Typical Entry Level Education`]:[`Typical Entry Level Education`]],0),MATCH(LEFT($D736,5),Job_Training[[#Headers],[Solar]:[Wind]],0)),0)</f>
        <v>0</v>
      </c>
      <c r="AO736" s="63">
        <f>IFERROR(INDEX(Job_Training[[Solar]:[Wind]],MATCH(AO$1,Job_Training[[`Typical Entry Level Education`]:[`Typical Entry Level Education`]],0),MATCH(LEFT($D736,5),Job_Training[[#Headers],[Solar]:[Wind]],0)),0)</f>
        <v>0</v>
      </c>
      <c r="AP736">
        <f t="shared" si="213"/>
        <v>0</v>
      </c>
      <c r="AQ736" s="63">
        <f>IF(AP736&gt;0,IFERROR(INDEX(Assumptions!$C$165:$D$165,MATCH(LEFT($D736,5),Job_Training[[#Headers],[Solar]:[Wind]],0)),0),0)</f>
        <v>0</v>
      </c>
      <c r="AR736">
        <f>IF(AP736&gt;0,IFERROR(INDEX(Assumptions!$C$166:$D$166,MATCH(LEFT($D736,5),Job_Training[[#Headers],[Solar]:[Wind]],0)),0),0)</f>
        <v>0</v>
      </c>
    </row>
    <row r="737" spans="1:44" hidden="1" x14ac:dyDescent="0.35">
      <c r="A737" t="str">
        <f>UserInput!$B$56</f>
        <v>Max Buildout</v>
      </c>
      <c r="B737" s="23">
        <v>2025</v>
      </c>
      <c r="C737" s="23" t="s">
        <v>78</v>
      </c>
      <c r="D737" s="23" t="s">
        <v>97</v>
      </c>
      <c r="E737" s="40">
        <f>SUMIFS($E$506:$E$736,$B$506:$B$736,B737,$C$506:$C$736,C737)*1000*Assumptions!$C$8/1000/8760/0.3</f>
        <v>0</v>
      </c>
      <c r="F737" s="23" t="s">
        <v>81</v>
      </c>
      <c r="H737" s="63"/>
      <c r="I737" s="63"/>
      <c r="J737" s="63"/>
      <c r="K737" s="30">
        <f>IF(OR(LEFT($D737,5)="Solar",$D737="Wind"),INDEX(Land_Use[AVG],MATCH(LEFT($D737,5),Land_Use[Tech],0)),0)*$E737</f>
        <v>0</v>
      </c>
      <c r="L737" s="30">
        <f>IF(OR(LEFT($D737,5)="Solar",$D737="Wind"),INDEX(Land_Use[MIN],MATCH(LEFT($D737,5),Land_Use[Tech],0)),0)*$E737</f>
        <v>0</v>
      </c>
      <c r="M737" s="30">
        <f>IF(OR(LEFT($D737,5)="Solar",$D737="Wind"),INDEX(Land_Use[MAX],MATCH(LEFT($D737,5),Land_Use[Tech],0)),0)*$E737</f>
        <v>0</v>
      </c>
      <c r="N737" s="13">
        <f t="shared" si="199"/>
        <v>0</v>
      </c>
      <c r="O737" s="13">
        <f t="shared" si="200"/>
        <v>0</v>
      </c>
      <c r="P737" s="13">
        <f t="shared" si="201"/>
        <v>0</v>
      </c>
      <c r="Q737" s="13">
        <f t="shared" si="202"/>
        <v>0</v>
      </c>
      <c r="R737" s="13">
        <f t="shared" si="203"/>
        <v>0</v>
      </c>
      <c r="S737" s="30">
        <f t="shared" si="207"/>
        <v>0</v>
      </c>
      <c r="T737" s="30">
        <f t="shared" si="208"/>
        <v>0</v>
      </c>
      <c r="U737" s="30">
        <f t="shared" si="209"/>
        <v>0</v>
      </c>
      <c r="V737" s="30">
        <f t="shared" si="210"/>
        <v>0</v>
      </c>
      <c r="W737" s="30">
        <f t="shared" si="211"/>
        <v>0</v>
      </c>
      <c r="X737" s="30">
        <f t="shared" si="212"/>
        <v>0</v>
      </c>
      <c r="Z737" s="23" t="s">
        <v>76</v>
      </c>
      <c r="AA737" s="40"/>
      <c r="AB737" s="67"/>
      <c r="AC737" s="67"/>
      <c r="AD737" s="39"/>
      <c r="AE737" s="39"/>
      <c r="AF737" s="39"/>
      <c r="AG737" s="68"/>
      <c r="AH737">
        <v>14</v>
      </c>
      <c r="AI737">
        <v>1.4</v>
      </c>
      <c r="AJ737">
        <v>250</v>
      </c>
      <c r="AK737">
        <v>0.31</v>
      </c>
      <c r="AL737" s="63">
        <f>IFERROR(INDEX(Job_Training[[Solar]:[Wind]],MATCH(AL$1,Job_Training[[`Typical Entry Level Education`]:[`Typical Entry Level Education`]],0),MATCH(LEFT($D737,5),Job_Training[[#Headers],[Solar]:[Wind]],0)),0)</f>
        <v>3.4599999999999999E-2</v>
      </c>
      <c r="AM737" s="63">
        <f>IFERROR(INDEX(Job_Training[[Solar]:[Wind]],MATCH(AM$1,Job_Training[[`Typical Entry Level Education`]:[`Typical Entry Level Education`]],0),MATCH(LEFT($D737,5),Job_Training[[#Headers],[Solar]:[Wind]],0)),0)</f>
        <v>2.8199999999999999E-2</v>
      </c>
      <c r="AN737" s="63">
        <f>IFERROR(INDEX(Job_Training[[Solar]:[Wind]],MATCH(AN$1,Job_Training[[`Typical Entry Level Education`]:[`Typical Entry Level Education`]],0),MATCH(LEFT($D737,5),Job_Training[[#Headers],[Solar]:[Wind]],0)),0)</f>
        <v>3.3399999999999999E-2</v>
      </c>
      <c r="AO737" s="63">
        <f>IFERROR(INDEX(Job_Training[[Solar]:[Wind]],MATCH(AO$1,Job_Training[[`Typical Entry Level Education`]:[`Typical Entry Level Education`]],0),MATCH(LEFT($D737,5),Job_Training[[#Headers],[Solar]:[Wind]],0)),0)</f>
        <v>5.62E-3</v>
      </c>
      <c r="AP737">
        <f t="shared" si="213"/>
        <v>0</v>
      </c>
      <c r="AQ737" s="63">
        <f>IF(AP737&gt;0,IFERROR(INDEX(Assumptions!$C$165:$D$165,MATCH(LEFT($D737,5),Job_Training[[#Headers],[Solar]:[Wind]],0)),0),0)</f>
        <v>0</v>
      </c>
      <c r="AR737">
        <f>IF(AP737&gt;0,IFERROR(INDEX(Assumptions!$C$166:$D$166,MATCH(LEFT($D737,5),Job_Training[[#Headers],[Solar]:[Wind]],0)),0),0)</f>
        <v>0</v>
      </c>
    </row>
    <row r="738" spans="1:44" hidden="1" x14ac:dyDescent="0.35">
      <c r="A738" t="str">
        <f>UserInput!$B$56</f>
        <v>Max Buildout</v>
      </c>
      <c r="B738" s="23">
        <v>2026</v>
      </c>
      <c r="C738" s="23" t="s">
        <v>78</v>
      </c>
      <c r="D738" s="23" t="s">
        <v>97</v>
      </c>
      <c r="E738" s="40">
        <f>SUMIFS($E$506:$E$736,$B$506:$B$736,B738,$C$506:$C$736,C738)*1000*Assumptions!$C$8/1000/8760/0.3</f>
        <v>0</v>
      </c>
      <c r="F738" s="23" t="s">
        <v>81</v>
      </c>
      <c r="H738" s="63"/>
      <c r="I738" s="63"/>
      <c r="J738" s="63"/>
      <c r="K738" s="30">
        <f>IF(OR(LEFT($D738,5)="Solar",$D738="Wind"),INDEX(Land_Use[AVG],MATCH(LEFT($D738,5),Land_Use[Tech],0)),0)*$E738</f>
        <v>0</v>
      </c>
      <c r="L738" s="30">
        <f>IF(OR(LEFT($D738,5)="Solar",$D738="Wind"),INDEX(Land_Use[MIN],MATCH(LEFT($D738,5),Land_Use[Tech],0)),0)*$E738</f>
        <v>0</v>
      </c>
      <c r="M738" s="30">
        <f>IF(OR(LEFT($D738,5)="Solar",$D738="Wind"),INDEX(Land_Use[MAX],MATCH(LEFT($D738,5),Land_Use[Tech],0)),0)*$E738</f>
        <v>0</v>
      </c>
      <c r="N738" s="13">
        <f t="shared" si="199"/>
        <v>0</v>
      </c>
      <c r="O738" s="13">
        <f t="shared" si="200"/>
        <v>0</v>
      </c>
      <c r="P738" s="13">
        <f t="shared" si="201"/>
        <v>0</v>
      </c>
      <c r="Q738" s="13">
        <f t="shared" si="202"/>
        <v>0</v>
      </c>
      <c r="R738" s="13">
        <f t="shared" si="203"/>
        <v>0</v>
      </c>
      <c r="S738" s="30">
        <f t="shared" si="207"/>
        <v>0</v>
      </c>
      <c r="T738" s="30">
        <f t="shared" si="208"/>
        <v>0</v>
      </c>
      <c r="U738" s="30">
        <f t="shared" si="209"/>
        <v>0</v>
      </c>
      <c r="V738" s="30">
        <f t="shared" si="210"/>
        <v>0</v>
      </c>
      <c r="W738" s="30">
        <f t="shared" si="211"/>
        <v>0</v>
      </c>
      <c r="X738" s="30">
        <f t="shared" si="212"/>
        <v>0</v>
      </c>
      <c r="Z738" s="23" t="s">
        <v>76</v>
      </c>
      <c r="AA738" s="40"/>
      <c r="AB738" s="67"/>
      <c r="AC738" s="67"/>
      <c r="AD738" s="39"/>
      <c r="AE738" s="39"/>
      <c r="AF738" s="39"/>
      <c r="AG738" s="68"/>
      <c r="AH738">
        <v>14</v>
      </c>
      <c r="AI738">
        <v>1.4</v>
      </c>
      <c r="AJ738">
        <v>250</v>
      </c>
      <c r="AK738">
        <v>0.31</v>
      </c>
      <c r="AL738" s="63">
        <f>IFERROR(INDEX(Job_Training[[Solar]:[Wind]],MATCH(AL$1,Job_Training[[`Typical Entry Level Education`]:[`Typical Entry Level Education`]],0),MATCH(LEFT($D738,5),Job_Training[[#Headers],[Solar]:[Wind]],0)),0)</f>
        <v>3.4599999999999999E-2</v>
      </c>
      <c r="AM738" s="63">
        <f>IFERROR(INDEX(Job_Training[[Solar]:[Wind]],MATCH(AM$1,Job_Training[[`Typical Entry Level Education`]:[`Typical Entry Level Education`]],0),MATCH(LEFT($D738,5),Job_Training[[#Headers],[Solar]:[Wind]],0)),0)</f>
        <v>2.8199999999999999E-2</v>
      </c>
      <c r="AN738" s="63">
        <f>IFERROR(INDEX(Job_Training[[Solar]:[Wind]],MATCH(AN$1,Job_Training[[`Typical Entry Level Education`]:[`Typical Entry Level Education`]],0),MATCH(LEFT($D738,5),Job_Training[[#Headers],[Solar]:[Wind]],0)),0)</f>
        <v>3.3399999999999999E-2</v>
      </c>
      <c r="AO738" s="63">
        <f>IFERROR(INDEX(Job_Training[[Solar]:[Wind]],MATCH(AO$1,Job_Training[[`Typical Entry Level Education`]:[`Typical Entry Level Education`]],0),MATCH(LEFT($D738,5),Job_Training[[#Headers],[Solar]:[Wind]],0)),0)</f>
        <v>5.62E-3</v>
      </c>
      <c r="AP738">
        <f t="shared" si="213"/>
        <v>0</v>
      </c>
      <c r="AQ738" s="63">
        <f>IF(AP738&gt;0,IFERROR(INDEX(Assumptions!$C$165:$D$165,MATCH(LEFT($D738,5),Job_Training[[#Headers],[Solar]:[Wind]],0)),0),0)</f>
        <v>0</v>
      </c>
      <c r="AR738">
        <f>IF(AP738&gt;0,IFERROR(INDEX(Assumptions!$C$166:$D$166,MATCH(LEFT($D738,5),Job_Training[[#Headers],[Solar]:[Wind]],0)),0),0)</f>
        <v>0</v>
      </c>
    </row>
    <row r="739" spans="1:44" hidden="1" x14ac:dyDescent="0.35">
      <c r="A739" t="str">
        <f>UserInput!$B$56</f>
        <v>Max Buildout</v>
      </c>
      <c r="B739" s="23">
        <v>2027</v>
      </c>
      <c r="C739" s="23" t="s">
        <v>78</v>
      </c>
      <c r="D739" s="23" t="s">
        <v>97</v>
      </c>
      <c r="E739" s="40">
        <f>SUMIFS($E$506:$E$736,$B$506:$B$736,B739,$C$506:$C$736,C739)*1000*Assumptions!$C$8/1000/8760/0.3</f>
        <v>0</v>
      </c>
      <c r="F739" s="23" t="s">
        <v>81</v>
      </c>
      <c r="H739" s="63"/>
      <c r="I739" s="63"/>
      <c r="J739" s="63"/>
      <c r="K739" s="30">
        <f>IF(OR(LEFT($D739,5)="Solar",$D739="Wind"),INDEX(Land_Use[AVG],MATCH(LEFT($D739,5),Land_Use[Tech],0)),0)*$E739</f>
        <v>0</v>
      </c>
      <c r="L739" s="30">
        <f>IF(OR(LEFT($D739,5)="Solar",$D739="Wind"),INDEX(Land_Use[MIN],MATCH(LEFT($D739,5),Land_Use[Tech],0)),0)*$E739</f>
        <v>0</v>
      </c>
      <c r="M739" s="30">
        <f>IF(OR(LEFT($D739,5)="Solar",$D739="Wind"),INDEX(Land_Use[MAX],MATCH(LEFT($D739,5),Land_Use[Tech],0)),0)*$E739</f>
        <v>0</v>
      </c>
      <c r="N739" s="13">
        <f t="shared" si="199"/>
        <v>0</v>
      </c>
      <c r="O739" s="13">
        <f t="shared" si="200"/>
        <v>0</v>
      </c>
      <c r="P739" s="13">
        <f t="shared" si="201"/>
        <v>0</v>
      </c>
      <c r="Q739" s="13">
        <f t="shared" si="202"/>
        <v>0</v>
      </c>
      <c r="R739" s="13">
        <f t="shared" si="203"/>
        <v>0</v>
      </c>
      <c r="S739" s="30">
        <f t="shared" si="207"/>
        <v>0</v>
      </c>
      <c r="T739" s="30">
        <f t="shared" si="208"/>
        <v>0</v>
      </c>
      <c r="U739" s="30">
        <f t="shared" si="209"/>
        <v>0</v>
      </c>
      <c r="V739" s="30">
        <f t="shared" si="210"/>
        <v>0</v>
      </c>
      <c r="W739" s="30">
        <f t="shared" si="211"/>
        <v>0</v>
      </c>
      <c r="X739" s="30">
        <f t="shared" si="212"/>
        <v>0</v>
      </c>
      <c r="Z739" s="23" t="s">
        <v>76</v>
      </c>
      <c r="AA739" s="40"/>
      <c r="AB739" s="67"/>
      <c r="AC739" s="67"/>
      <c r="AD739" s="39"/>
      <c r="AE739" s="39"/>
      <c r="AF739" s="39"/>
      <c r="AG739" s="68"/>
      <c r="AH739">
        <v>14</v>
      </c>
      <c r="AI739">
        <v>1.4</v>
      </c>
      <c r="AJ739">
        <v>250</v>
      </c>
      <c r="AK739">
        <v>0.31</v>
      </c>
      <c r="AL739" s="63">
        <f>IFERROR(INDEX(Job_Training[[Solar]:[Wind]],MATCH(AL$1,Job_Training[[`Typical Entry Level Education`]:[`Typical Entry Level Education`]],0),MATCH(LEFT($D739,5),Job_Training[[#Headers],[Solar]:[Wind]],0)),0)</f>
        <v>3.4599999999999999E-2</v>
      </c>
      <c r="AM739" s="63">
        <f>IFERROR(INDEX(Job_Training[[Solar]:[Wind]],MATCH(AM$1,Job_Training[[`Typical Entry Level Education`]:[`Typical Entry Level Education`]],0),MATCH(LEFT($D739,5),Job_Training[[#Headers],[Solar]:[Wind]],0)),0)</f>
        <v>2.8199999999999999E-2</v>
      </c>
      <c r="AN739" s="63">
        <f>IFERROR(INDEX(Job_Training[[Solar]:[Wind]],MATCH(AN$1,Job_Training[[`Typical Entry Level Education`]:[`Typical Entry Level Education`]],0),MATCH(LEFT($D739,5),Job_Training[[#Headers],[Solar]:[Wind]],0)),0)</f>
        <v>3.3399999999999999E-2</v>
      </c>
      <c r="AO739" s="63">
        <f>IFERROR(INDEX(Job_Training[[Solar]:[Wind]],MATCH(AO$1,Job_Training[[`Typical Entry Level Education`]:[`Typical Entry Level Education`]],0),MATCH(LEFT($D739,5),Job_Training[[#Headers],[Solar]:[Wind]],0)),0)</f>
        <v>5.62E-3</v>
      </c>
      <c r="AP739">
        <f t="shared" si="213"/>
        <v>0</v>
      </c>
      <c r="AQ739" s="63">
        <f>IF(AP739&gt;0,IFERROR(INDEX(Assumptions!$C$165:$D$165,MATCH(LEFT($D739,5),Job_Training[[#Headers],[Solar]:[Wind]],0)),0),0)</f>
        <v>0</v>
      </c>
      <c r="AR739">
        <f>IF(AP739&gt;0,IFERROR(INDEX(Assumptions!$C$166:$D$166,MATCH(LEFT($D739,5),Job_Training[[#Headers],[Solar]:[Wind]],0)),0),0)</f>
        <v>0</v>
      </c>
    </row>
    <row r="740" spans="1:44" hidden="1" x14ac:dyDescent="0.35">
      <c r="A740" t="str">
        <f>UserInput!$B$56</f>
        <v>Max Buildout</v>
      </c>
      <c r="B740" s="23">
        <v>2028</v>
      </c>
      <c r="C740" s="23" t="s">
        <v>78</v>
      </c>
      <c r="D740" s="23" t="s">
        <v>97</v>
      </c>
      <c r="E740" s="40">
        <f>SUMIFS($E$506:$E$736,$B$506:$B$736,B740,$C$506:$C$736,C740)*1000*Assumptions!$C$8/1000/8760/0.3</f>
        <v>0</v>
      </c>
      <c r="F740" s="23" t="s">
        <v>81</v>
      </c>
      <c r="H740" s="63"/>
      <c r="I740" s="63"/>
      <c r="J740" s="63"/>
      <c r="K740" s="30">
        <f>IF(OR(LEFT($D740,5)="Solar",$D740="Wind"),INDEX(Land_Use[AVG],MATCH(LEFT($D740,5),Land_Use[Tech],0)),0)*$E740</f>
        <v>0</v>
      </c>
      <c r="L740" s="30">
        <f>IF(OR(LEFT($D740,5)="Solar",$D740="Wind"),INDEX(Land_Use[MIN],MATCH(LEFT($D740,5),Land_Use[Tech],0)),0)*$E740</f>
        <v>0</v>
      </c>
      <c r="M740" s="30">
        <f>IF(OR(LEFT($D740,5)="Solar",$D740="Wind"),INDEX(Land_Use[MAX],MATCH(LEFT($D740,5),Land_Use[Tech],0)),0)*$E740</f>
        <v>0</v>
      </c>
      <c r="N740" s="13">
        <f t="shared" si="199"/>
        <v>0</v>
      </c>
      <c r="O740" s="13">
        <f t="shared" si="200"/>
        <v>0</v>
      </c>
      <c r="P740" s="13">
        <f t="shared" si="201"/>
        <v>0</v>
      </c>
      <c r="Q740" s="13">
        <f t="shared" si="202"/>
        <v>0</v>
      </c>
      <c r="R740" s="13">
        <f t="shared" si="203"/>
        <v>0</v>
      </c>
      <c r="S740" s="30">
        <f t="shared" si="207"/>
        <v>0</v>
      </c>
      <c r="T740" s="30">
        <f t="shared" si="208"/>
        <v>0</v>
      </c>
      <c r="U740" s="30">
        <f t="shared" si="209"/>
        <v>0</v>
      </c>
      <c r="V740" s="30">
        <f t="shared" si="210"/>
        <v>0</v>
      </c>
      <c r="W740" s="30">
        <f t="shared" si="211"/>
        <v>0</v>
      </c>
      <c r="X740" s="30">
        <f t="shared" si="212"/>
        <v>0</v>
      </c>
      <c r="Z740" s="23" t="s">
        <v>76</v>
      </c>
      <c r="AA740" s="40"/>
      <c r="AB740" s="67"/>
      <c r="AC740" s="67"/>
      <c r="AD740" s="39"/>
      <c r="AE740" s="39"/>
      <c r="AF740" s="39"/>
      <c r="AG740" s="68"/>
      <c r="AH740">
        <v>14</v>
      </c>
      <c r="AI740">
        <v>1.4</v>
      </c>
      <c r="AJ740">
        <v>250</v>
      </c>
      <c r="AK740">
        <v>0.31</v>
      </c>
      <c r="AL740" s="63">
        <f>IFERROR(INDEX(Job_Training[[Solar]:[Wind]],MATCH(AL$1,Job_Training[[`Typical Entry Level Education`]:[`Typical Entry Level Education`]],0),MATCH(LEFT($D740,5),Job_Training[[#Headers],[Solar]:[Wind]],0)),0)</f>
        <v>3.4599999999999999E-2</v>
      </c>
      <c r="AM740" s="63">
        <f>IFERROR(INDEX(Job_Training[[Solar]:[Wind]],MATCH(AM$1,Job_Training[[`Typical Entry Level Education`]:[`Typical Entry Level Education`]],0),MATCH(LEFT($D740,5),Job_Training[[#Headers],[Solar]:[Wind]],0)),0)</f>
        <v>2.8199999999999999E-2</v>
      </c>
      <c r="AN740" s="63">
        <f>IFERROR(INDEX(Job_Training[[Solar]:[Wind]],MATCH(AN$1,Job_Training[[`Typical Entry Level Education`]:[`Typical Entry Level Education`]],0),MATCH(LEFT($D740,5),Job_Training[[#Headers],[Solar]:[Wind]],0)),0)</f>
        <v>3.3399999999999999E-2</v>
      </c>
      <c r="AO740" s="63">
        <f>IFERROR(INDEX(Job_Training[[Solar]:[Wind]],MATCH(AO$1,Job_Training[[`Typical Entry Level Education`]:[`Typical Entry Level Education`]],0),MATCH(LEFT($D740,5),Job_Training[[#Headers],[Solar]:[Wind]],0)),0)</f>
        <v>5.62E-3</v>
      </c>
      <c r="AP740">
        <f t="shared" si="213"/>
        <v>0</v>
      </c>
      <c r="AQ740" s="63">
        <f>IF(AP740&gt;0,IFERROR(INDEX(Assumptions!$C$165:$D$165,MATCH(LEFT($D740,5),Job_Training[[#Headers],[Solar]:[Wind]],0)),0),0)</f>
        <v>0</v>
      </c>
      <c r="AR740">
        <f>IF(AP740&gt;0,IFERROR(INDEX(Assumptions!$C$166:$D$166,MATCH(LEFT($D740,5),Job_Training[[#Headers],[Solar]:[Wind]],0)),0),0)</f>
        <v>0</v>
      </c>
    </row>
    <row r="741" spans="1:44" hidden="1" x14ac:dyDescent="0.35">
      <c r="A741" t="str">
        <f>UserInput!$B$56</f>
        <v>Max Buildout</v>
      </c>
      <c r="B741" s="23">
        <v>2029</v>
      </c>
      <c r="C741" s="23" t="s">
        <v>78</v>
      </c>
      <c r="D741" s="23" t="s">
        <v>97</v>
      </c>
      <c r="E741" s="40">
        <f>SUMIFS($E$506:$E$736,$B$506:$B$736,B741,$C$506:$C$736,C741)*1000*Assumptions!$C$8/1000/8760/0.3</f>
        <v>0</v>
      </c>
      <c r="F741" s="23" t="s">
        <v>81</v>
      </c>
      <c r="H741" s="63"/>
      <c r="I741" s="63"/>
      <c r="J741" s="63"/>
      <c r="K741" s="30">
        <f>IF(OR(LEFT($D741,5)="Solar",$D741="Wind"),INDEX(Land_Use[AVG],MATCH(LEFT($D741,5),Land_Use[Tech],0)),0)*$E741</f>
        <v>0</v>
      </c>
      <c r="L741" s="30">
        <f>IF(OR(LEFT($D741,5)="Solar",$D741="Wind"),INDEX(Land_Use[MIN],MATCH(LEFT($D741,5),Land_Use[Tech],0)),0)*$E741</f>
        <v>0</v>
      </c>
      <c r="M741" s="30">
        <f>IF(OR(LEFT($D741,5)="Solar",$D741="Wind"),INDEX(Land_Use[MAX],MATCH(LEFT($D741,5),Land_Use[Tech],0)),0)*$E741</f>
        <v>0</v>
      </c>
      <c r="N741" s="13">
        <f t="shared" si="199"/>
        <v>0</v>
      </c>
      <c r="O741" s="13">
        <f t="shared" si="200"/>
        <v>0</v>
      </c>
      <c r="P741" s="13">
        <f t="shared" si="201"/>
        <v>0</v>
      </c>
      <c r="Q741" s="13">
        <f t="shared" si="202"/>
        <v>0</v>
      </c>
      <c r="R741" s="13">
        <f t="shared" si="203"/>
        <v>0</v>
      </c>
      <c r="S741" s="30">
        <f t="shared" si="207"/>
        <v>0</v>
      </c>
      <c r="T741" s="30">
        <f t="shared" si="208"/>
        <v>0</v>
      </c>
      <c r="U741" s="30">
        <f t="shared" si="209"/>
        <v>0</v>
      </c>
      <c r="V741" s="30">
        <f t="shared" si="210"/>
        <v>0</v>
      </c>
      <c r="W741" s="30">
        <f t="shared" si="211"/>
        <v>0</v>
      </c>
      <c r="X741" s="30">
        <f t="shared" si="212"/>
        <v>0</v>
      </c>
      <c r="Z741" s="23" t="s">
        <v>76</v>
      </c>
      <c r="AA741" s="40"/>
      <c r="AB741" s="67"/>
      <c r="AC741" s="67"/>
      <c r="AD741" s="39"/>
      <c r="AE741" s="39"/>
      <c r="AF741" s="39"/>
      <c r="AG741" s="68"/>
      <c r="AH741">
        <v>14</v>
      </c>
      <c r="AI741">
        <v>1.4</v>
      </c>
      <c r="AJ741">
        <v>250</v>
      </c>
      <c r="AK741">
        <v>0.31</v>
      </c>
      <c r="AL741" s="63">
        <f>IFERROR(INDEX(Job_Training[[Solar]:[Wind]],MATCH(AL$1,Job_Training[[`Typical Entry Level Education`]:[`Typical Entry Level Education`]],0),MATCH(LEFT($D741,5),Job_Training[[#Headers],[Solar]:[Wind]],0)),0)</f>
        <v>3.4599999999999999E-2</v>
      </c>
      <c r="AM741" s="63">
        <f>IFERROR(INDEX(Job_Training[[Solar]:[Wind]],MATCH(AM$1,Job_Training[[`Typical Entry Level Education`]:[`Typical Entry Level Education`]],0),MATCH(LEFT($D741,5),Job_Training[[#Headers],[Solar]:[Wind]],0)),0)</f>
        <v>2.8199999999999999E-2</v>
      </c>
      <c r="AN741" s="63">
        <f>IFERROR(INDEX(Job_Training[[Solar]:[Wind]],MATCH(AN$1,Job_Training[[`Typical Entry Level Education`]:[`Typical Entry Level Education`]],0),MATCH(LEFT($D741,5),Job_Training[[#Headers],[Solar]:[Wind]],0)),0)</f>
        <v>3.3399999999999999E-2</v>
      </c>
      <c r="AO741" s="63">
        <f>IFERROR(INDEX(Job_Training[[Solar]:[Wind]],MATCH(AO$1,Job_Training[[`Typical Entry Level Education`]:[`Typical Entry Level Education`]],0),MATCH(LEFT($D741,5),Job_Training[[#Headers],[Solar]:[Wind]],0)),0)</f>
        <v>5.62E-3</v>
      </c>
      <c r="AP741">
        <f t="shared" si="213"/>
        <v>0</v>
      </c>
      <c r="AQ741" s="63">
        <f>IF(AP741&gt;0,IFERROR(INDEX(Assumptions!$C$165:$D$165,MATCH(LEFT($D741,5),Job_Training[[#Headers],[Solar]:[Wind]],0)),0),0)</f>
        <v>0</v>
      </c>
      <c r="AR741">
        <f>IF(AP741&gt;0,IFERROR(INDEX(Assumptions!$C$166:$D$166,MATCH(LEFT($D741,5),Job_Training[[#Headers],[Solar]:[Wind]],0)),0),0)</f>
        <v>0</v>
      </c>
    </row>
    <row r="742" spans="1:44" hidden="1" x14ac:dyDescent="0.35">
      <c r="A742" t="str">
        <f>UserInput!$B$56</f>
        <v>Max Buildout</v>
      </c>
      <c r="B742" s="23">
        <v>2030</v>
      </c>
      <c r="C742" s="23" t="s">
        <v>78</v>
      </c>
      <c r="D742" s="23" t="s">
        <v>97</v>
      </c>
      <c r="E742" s="40">
        <f>SUMIFS($E$506:$E$736,$B$506:$B$736,B742,$C$506:$C$736,C742)*1000*Assumptions!$C$8/1000/8760/0.3</f>
        <v>320.625</v>
      </c>
      <c r="F742" s="23" t="s">
        <v>81</v>
      </c>
      <c r="H742" s="63"/>
      <c r="I742" s="63"/>
      <c r="J742" s="63"/>
      <c r="K742" s="30">
        <f>IF(OR(LEFT($D742,5)="Solar",$D742="Wind"),INDEX(Land_Use[AVG],MATCH(LEFT($D742,5),Land_Use[Tech],0)),0)*$E742</f>
        <v>1122.1875</v>
      </c>
      <c r="L742" s="30">
        <f>IF(OR(LEFT($D742,5)="Solar",$D742="Wind"),INDEX(Land_Use[MIN],MATCH(LEFT($D742,5),Land_Use[Tech],0)),0)*$E742</f>
        <v>897.74999999999989</v>
      </c>
      <c r="M742" s="30">
        <f>IF(OR(LEFT($D742,5)="Solar",$D742="Wind"),INDEX(Land_Use[MAX],MATCH(LEFT($D742,5),Land_Use[Tech],0)),0)*$E742</f>
        <v>1346.625</v>
      </c>
      <c r="N742" s="13">
        <f t="shared" si="199"/>
        <v>0</v>
      </c>
      <c r="O742" s="13">
        <f t="shared" si="200"/>
        <v>15710.625</v>
      </c>
      <c r="P742" s="13">
        <f t="shared" si="201"/>
        <v>1571.0625</v>
      </c>
      <c r="Q742" s="13">
        <f t="shared" si="202"/>
        <v>280546.875</v>
      </c>
      <c r="R742" s="13">
        <f t="shared" si="203"/>
        <v>347.87812500000001</v>
      </c>
      <c r="S742" s="30">
        <f t="shared" si="207"/>
        <v>11.093624999999999</v>
      </c>
      <c r="T742" s="30">
        <f t="shared" si="208"/>
        <v>9.0416249999999998</v>
      </c>
      <c r="U742" s="30">
        <f t="shared" si="209"/>
        <v>10.708874999999999</v>
      </c>
      <c r="V742" s="30">
        <f t="shared" si="210"/>
        <v>1.8019125</v>
      </c>
      <c r="W742" s="30">
        <f t="shared" si="211"/>
        <v>32.646037499999998</v>
      </c>
      <c r="X742" s="30">
        <f t="shared" si="212"/>
        <v>1958.7622499999998</v>
      </c>
      <c r="Z742" s="23" t="s">
        <v>76</v>
      </c>
      <c r="AA742" s="40"/>
      <c r="AB742" s="67"/>
      <c r="AC742" s="67"/>
      <c r="AD742" s="39"/>
      <c r="AE742" s="39"/>
      <c r="AF742" s="39"/>
      <c r="AG742" s="68"/>
      <c r="AH742">
        <v>14</v>
      </c>
      <c r="AI742">
        <v>1.4</v>
      </c>
      <c r="AJ742">
        <v>250</v>
      </c>
      <c r="AK742">
        <v>0.31</v>
      </c>
      <c r="AL742" s="63">
        <f>IFERROR(INDEX(Job_Training[[Solar]:[Wind]],MATCH(AL$1,Job_Training[[`Typical Entry Level Education`]:[`Typical Entry Level Education`]],0),MATCH(LEFT($D742,5),Job_Training[[#Headers],[Solar]:[Wind]],0)),0)</f>
        <v>3.4599999999999999E-2</v>
      </c>
      <c r="AM742" s="63">
        <f>IFERROR(INDEX(Job_Training[[Solar]:[Wind]],MATCH(AM$1,Job_Training[[`Typical Entry Level Education`]:[`Typical Entry Level Education`]],0),MATCH(LEFT($D742,5),Job_Training[[#Headers],[Solar]:[Wind]],0)),0)</f>
        <v>2.8199999999999999E-2</v>
      </c>
      <c r="AN742" s="63">
        <f>IFERROR(INDEX(Job_Training[[Solar]:[Wind]],MATCH(AN$1,Job_Training[[`Typical Entry Level Education`]:[`Typical Entry Level Education`]],0),MATCH(LEFT($D742,5),Job_Training[[#Headers],[Solar]:[Wind]],0)),0)</f>
        <v>3.3399999999999999E-2</v>
      </c>
      <c r="AO742" s="63">
        <f>IFERROR(INDEX(Job_Training[[Solar]:[Wind]],MATCH(AO$1,Job_Training[[`Typical Entry Level Education`]:[`Typical Entry Level Education`]],0),MATCH(LEFT($D742,5),Job_Training[[#Headers],[Solar]:[Wind]],0)),0)</f>
        <v>5.62E-3</v>
      </c>
      <c r="AP742">
        <f t="shared" si="213"/>
        <v>320.625</v>
      </c>
      <c r="AQ742" s="63">
        <f>IF(AP742&gt;0,IFERROR(INDEX(Assumptions!$C$165:$D$165,MATCH(LEFT($D742,5),Job_Training[[#Headers],[Solar]:[Wind]],0)),0),0)</f>
        <v>0.10181999999999999</v>
      </c>
      <c r="AR742">
        <f>IF(AP742&gt;0,IFERROR(INDEX(Assumptions!$C$166:$D$166,MATCH(LEFT($D742,5),Job_Training[[#Headers],[Solar]:[Wind]],0)),0),0)</f>
        <v>6.1091999999999995</v>
      </c>
    </row>
    <row r="743" spans="1:44" hidden="1" x14ac:dyDescent="0.35">
      <c r="A743" t="str">
        <f>UserInput!$B$56</f>
        <v>Max Buildout</v>
      </c>
      <c r="B743" s="23">
        <v>2031</v>
      </c>
      <c r="C743" s="23" t="s">
        <v>78</v>
      </c>
      <c r="D743" s="23" t="s">
        <v>97</v>
      </c>
      <c r="E743" s="40">
        <f>SUMIFS($E$506:$E$736,$B$506:$B$736,B743,$C$506:$C$736,C743)*1000*Assumptions!$C$8/1000/8760/0.3</f>
        <v>641.25</v>
      </c>
      <c r="F743" s="23" t="s">
        <v>81</v>
      </c>
      <c r="H743" s="63"/>
      <c r="I743" s="63"/>
      <c r="J743" s="63"/>
      <c r="K743" s="30">
        <f>IF(OR(LEFT($D743,5)="Solar",$D743="Wind"),INDEX(Land_Use[AVG],MATCH(LEFT($D743,5),Land_Use[Tech],0)),0)*$E743</f>
        <v>2244.375</v>
      </c>
      <c r="L743" s="30">
        <f>IF(OR(LEFT($D743,5)="Solar",$D743="Wind"),INDEX(Land_Use[MIN],MATCH(LEFT($D743,5),Land_Use[Tech],0)),0)*$E743</f>
        <v>1795.4999999999998</v>
      </c>
      <c r="M743" s="30">
        <f>IF(OR(LEFT($D743,5)="Solar",$D743="Wind"),INDEX(Land_Use[MAX],MATCH(LEFT($D743,5),Land_Use[Tech],0)),0)*$E743</f>
        <v>2693.25</v>
      </c>
      <c r="N743" s="13">
        <f t="shared" si="199"/>
        <v>0</v>
      </c>
      <c r="O743" s="13">
        <f t="shared" si="200"/>
        <v>31421.25</v>
      </c>
      <c r="P743" s="13">
        <f t="shared" si="201"/>
        <v>3142.125</v>
      </c>
      <c r="Q743" s="13">
        <f t="shared" si="202"/>
        <v>561093.75</v>
      </c>
      <c r="R743" s="13">
        <f t="shared" si="203"/>
        <v>695.75625000000002</v>
      </c>
      <c r="S743" s="30">
        <f t="shared" si="207"/>
        <v>11.093624999999999</v>
      </c>
      <c r="T743" s="30">
        <f t="shared" si="208"/>
        <v>9.0416249999999998</v>
      </c>
      <c r="U743" s="30">
        <f t="shared" si="209"/>
        <v>10.708874999999999</v>
      </c>
      <c r="V743" s="30">
        <f t="shared" si="210"/>
        <v>1.8019125</v>
      </c>
      <c r="W743" s="30">
        <f t="shared" si="211"/>
        <v>32.646037499999998</v>
      </c>
      <c r="X743" s="30">
        <f t="shared" si="212"/>
        <v>1958.7622499999998</v>
      </c>
      <c r="Z743" s="23" t="s">
        <v>76</v>
      </c>
      <c r="AA743" s="40"/>
      <c r="AB743" s="67"/>
      <c r="AC743" s="67"/>
      <c r="AD743" s="39"/>
      <c r="AE743" s="39"/>
      <c r="AF743" s="39"/>
      <c r="AG743" s="68"/>
      <c r="AH743">
        <v>14</v>
      </c>
      <c r="AI743">
        <v>1.4</v>
      </c>
      <c r="AJ743">
        <v>250</v>
      </c>
      <c r="AK743">
        <v>0.31</v>
      </c>
      <c r="AL743" s="63">
        <f>IFERROR(INDEX(Job_Training[[Solar]:[Wind]],MATCH(AL$1,Job_Training[[`Typical Entry Level Education`]:[`Typical Entry Level Education`]],0),MATCH(LEFT($D743,5),Job_Training[[#Headers],[Solar]:[Wind]],0)),0)</f>
        <v>3.4599999999999999E-2</v>
      </c>
      <c r="AM743" s="63">
        <f>IFERROR(INDEX(Job_Training[[Solar]:[Wind]],MATCH(AM$1,Job_Training[[`Typical Entry Level Education`]:[`Typical Entry Level Education`]],0),MATCH(LEFT($D743,5),Job_Training[[#Headers],[Solar]:[Wind]],0)),0)</f>
        <v>2.8199999999999999E-2</v>
      </c>
      <c r="AN743" s="63">
        <f>IFERROR(INDEX(Job_Training[[Solar]:[Wind]],MATCH(AN$1,Job_Training[[`Typical Entry Level Education`]:[`Typical Entry Level Education`]],0),MATCH(LEFT($D743,5),Job_Training[[#Headers],[Solar]:[Wind]],0)),0)</f>
        <v>3.3399999999999999E-2</v>
      </c>
      <c r="AO743" s="63">
        <f>IFERROR(INDEX(Job_Training[[Solar]:[Wind]],MATCH(AO$1,Job_Training[[`Typical Entry Level Education`]:[`Typical Entry Level Education`]],0),MATCH(LEFT($D743,5),Job_Training[[#Headers],[Solar]:[Wind]],0)),0)</f>
        <v>5.62E-3</v>
      </c>
      <c r="AP743">
        <f t="shared" si="213"/>
        <v>320.625</v>
      </c>
      <c r="AQ743" s="63">
        <f>IF(AP743&gt;0,IFERROR(INDEX(Assumptions!$C$165:$D$165,MATCH(LEFT($D743,5),Job_Training[[#Headers],[Solar]:[Wind]],0)),0),0)</f>
        <v>0.10181999999999999</v>
      </c>
      <c r="AR743">
        <f>IF(AP743&gt;0,IFERROR(INDEX(Assumptions!$C$166:$D$166,MATCH(LEFT($D743,5),Job_Training[[#Headers],[Solar]:[Wind]],0)),0),0)</f>
        <v>6.1091999999999995</v>
      </c>
    </row>
    <row r="744" spans="1:44" hidden="1" x14ac:dyDescent="0.35">
      <c r="A744" t="str">
        <f>UserInput!$B$56</f>
        <v>Max Buildout</v>
      </c>
      <c r="B744" s="23">
        <v>2032</v>
      </c>
      <c r="C744" s="23" t="s">
        <v>78</v>
      </c>
      <c r="D744" s="23" t="s">
        <v>97</v>
      </c>
      <c r="E744" s="40">
        <f>SUMIFS($E$506:$E$736,$B$506:$B$736,B744,$C$506:$C$736,C744)*1000*Assumptions!$C$8/1000/8760/0.3</f>
        <v>961.875</v>
      </c>
      <c r="F744" s="23" t="s">
        <v>81</v>
      </c>
      <c r="H744" s="63"/>
      <c r="I744" s="63"/>
      <c r="J744" s="63"/>
      <c r="K744" s="30">
        <f>IF(OR(LEFT($D744,5)="Solar",$D744="Wind"),INDEX(Land_Use[AVG],MATCH(LEFT($D744,5),Land_Use[Tech],0)),0)*$E744</f>
        <v>3366.5625</v>
      </c>
      <c r="L744" s="30">
        <f>IF(OR(LEFT($D744,5)="Solar",$D744="Wind"),INDEX(Land_Use[MIN],MATCH(LEFT($D744,5),Land_Use[Tech],0)),0)*$E744</f>
        <v>2693.25</v>
      </c>
      <c r="M744" s="30">
        <f>IF(OR(LEFT($D744,5)="Solar",$D744="Wind"),INDEX(Land_Use[MAX],MATCH(LEFT($D744,5),Land_Use[Tech],0)),0)*$E744</f>
        <v>4039.875</v>
      </c>
      <c r="N744" s="13">
        <f t="shared" si="199"/>
        <v>0</v>
      </c>
      <c r="O744" s="13">
        <f t="shared" si="200"/>
        <v>47131.875</v>
      </c>
      <c r="P744" s="13">
        <f t="shared" si="201"/>
        <v>4713.1875</v>
      </c>
      <c r="Q744" s="13">
        <f t="shared" si="202"/>
        <v>841640.625</v>
      </c>
      <c r="R744" s="13">
        <f t="shared" si="203"/>
        <v>1043.6343750000001</v>
      </c>
      <c r="S744" s="30">
        <f t="shared" si="207"/>
        <v>11.093624999999999</v>
      </c>
      <c r="T744" s="30">
        <f t="shared" si="208"/>
        <v>9.0416249999999998</v>
      </c>
      <c r="U744" s="30">
        <f t="shared" si="209"/>
        <v>10.708874999999999</v>
      </c>
      <c r="V744" s="30">
        <f t="shared" si="210"/>
        <v>1.8019125</v>
      </c>
      <c r="W744" s="30">
        <f t="shared" si="211"/>
        <v>32.646037499999998</v>
      </c>
      <c r="X744" s="30">
        <f t="shared" si="212"/>
        <v>1958.7622499999998</v>
      </c>
      <c r="Z744" s="23" t="s">
        <v>76</v>
      </c>
      <c r="AA744" s="40"/>
      <c r="AB744" s="67"/>
      <c r="AC744" s="67"/>
      <c r="AD744" s="39"/>
      <c r="AE744" s="39"/>
      <c r="AF744" s="39"/>
      <c r="AG744" s="68"/>
      <c r="AH744">
        <v>14</v>
      </c>
      <c r="AI744">
        <v>1.4</v>
      </c>
      <c r="AJ744">
        <v>250</v>
      </c>
      <c r="AK744">
        <v>0.31</v>
      </c>
      <c r="AL744" s="63">
        <f>IFERROR(INDEX(Job_Training[[Solar]:[Wind]],MATCH(AL$1,Job_Training[[`Typical Entry Level Education`]:[`Typical Entry Level Education`]],0),MATCH(LEFT($D744,5),Job_Training[[#Headers],[Solar]:[Wind]],0)),0)</f>
        <v>3.4599999999999999E-2</v>
      </c>
      <c r="AM744" s="63">
        <f>IFERROR(INDEX(Job_Training[[Solar]:[Wind]],MATCH(AM$1,Job_Training[[`Typical Entry Level Education`]:[`Typical Entry Level Education`]],0),MATCH(LEFT($D744,5),Job_Training[[#Headers],[Solar]:[Wind]],0)),0)</f>
        <v>2.8199999999999999E-2</v>
      </c>
      <c r="AN744" s="63">
        <f>IFERROR(INDEX(Job_Training[[Solar]:[Wind]],MATCH(AN$1,Job_Training[[`Typical Entry Level Education`]:[`Typical Entry Level Education`]],0),MATCH(LEFT($D744,5),Job_Training[[#Headers],[Solar]:[Wind]],0)),0)</f>
        <v>3.3399999999999999E-2</v>
      </c>
      <c r="AO744" s="63">
        <f>IFERROR(INDEX(Job_Training[[Solar]:[Wind]],MATCH(AO$1,Job_Training[[`Typical Entry Level Education`]:[`Typical Entry Level Education`]],0),MATCH(LEFT($D744,5),Job_Training[[#Headers],[Solar]:[Wind]],0)),0)</f>
        <v>5.62E-3</v>
      </c>
      <c r="AP744">
        <f t="shared" si="213"/>
        <v>320.625</v>
      </c>
      <c r="AQ744" s="63">
        <f>IF(AP744&gt;0,IFERROR(INDEX(Assumptions!$C$165:$D$165,MATCH(LEFT($D744,5),Job_Training[[#Headers],[Solar]:[Wind]],0)),0),0)</f>
        <v>0.10181999999999999</v>
      </c>
      <c r="AR744">
        <f>IF(AP744&gt;0,IFERROR(INDEX(Assumptions!$C$166:$D$166,MATCH(LEFT($D744,5),Job_Training[[#Headers],[Solar]:[Wind]],0)),0),0)</f>
        <v>6.1091999999999995</v>
      </c>
    </row>
    <row r="745" spans="1:44" hidden="1" x14ac:dyDescent="0.35">
      <c r="A745" t="str">
        <f>UserInput!$B$56</f>
        <v>Max Buildout</v>
      </c>
      <c r="B745" s="23">
        <v>2033</v>
      </c>
      <c r="C745" s="23" t="s">
        <v>78</v>
      </c>
      <c r="D745" s="23" t="s">
        <v>97</v>
      </c>
      <c r="E745" s="40">
        <f>SUMIFS($E$506:$E$736,$B$506:$B$736,B745,$C$506:$C$736,C745)*1000*Assumptions!$C$8/1000/8760/0.3</f>
        <v>1282.5</v>
      </c>
      <c r="F745" s="23" t="s">
        <v>81</v>
      </c>
      <c r="H745" s="63"/>
      <c r="I745" s="63"/>
      <c r="J745" s="63"/>
      <c r="K745" s="30">
        <f>IF(OR(LEFT($D745,5)="Solar",$D745="Wind"),INDEX(Land_Use[AVG],MATCH(LEFT($D745,5),Land_Use[Tech],0)),0)*$E745</f>
        <v>4488.75</v>
      </c>
      <c r="L745" s="30">
        <f>IF(OR(LEFT($D745,5)="Solar",$D745="Wind"),INDEX(Land_Use[MIN],MATCH(LEFT($D745,5),Land_Use[Tech],0)),0)*$E745</f>
        <v>3590.9999999999995</v>
      </c>
      <c r="M745" s="30">
        <f>IF(OR(LEFT($D745,5)="Solar",$D745="Wind"),INDEX(Land_Use[MAX],MATCH(LEFT($D745,5),Land_Use[Tech],0)),0)*$E745</f>
        <v>5386.5</v>
      </c>
      <c r="N745" s="13">
        <f t="shared" si="199"/>
        <v>0</v>
      </c>
      <c r="O745" s="13">
        <f t="shared" si="200"/>
        <v>62842.5</v>
      </c>
      <c r="P745" s="13">
        <f t="shared" si="201"/>
        <v>6284.25</v>
      </c>
      <c r="Q745" s="13">
        <f t="shared" si="202"/>
        <v>1122187.5</v>
      </c>
      <c r="R745" s="13">
        <f t="shared" si="203"/>
        <v>1391.5125</v>
      </c>
      <c r="S745" s="30">
        <f t="shared" si="207"/>
        <v>11.093624999999999</v>
      </c>
      <c r="T745" s="30">
        <f t="shared" si="208"/>
        <v>9.0416249999999998</v>
      </c>
      <c r="U745" s="30">
        <f t="shared" si="209"/>
        <v>10.708874999999999</v>
      </c>
      <c r="V745" s="30">
        <f t="shared" si="210"/>
        <v>1.8019125</v>
      </c>
      <c r="W745" s="30">
        <f t="shared" si="211"/>
        <v>32.646037499999998</v>
      </c>
      <c r="X745" s="30">
        <f t="shared" si="212"/>
        <v>1958.7622499999998</v>
      </c>
      <c r="Z745" s="23" t="s">
        <v>76</v>
      </c>
      <c r="AA745" s="40"/>
      <c r="AB745" s="67"/>
      <c r="AC745" s="67"/>
      <c r="AD745" s="39"/>
      <c r="AE745" s="39"/>
      <c r="AF745" s="39"/>
      <c r="AG745" s="68"/>
      <c r="AH745">
        <v>14</v>
      </c>
      <c r="AI745">
        <v>1.4</v>
      </c>
      <c r="AJ745">
        <v>250</v>
      </c>
      <c r="AK745">
        <v>0.31</v>
      </c>
      <c r="AL745" s="63">
        <f>IFERROR(INDEX(Job_Training[[Solar]:[Wind]],MATCH(AL$1,Job_Training[[`Typical Entry Level Education`]:[`Typical Entry Level Education`]],0),MATCH(LEFT($D745,5),Job_Training[[#Headers],[Solar]:[Wind]],0)),0)</f>
        <v>3.4599999999999999E-2</v>
      </c>
      <c r="AM745" s="63">
        <f>IFERROR(INDEX(Job_Training[[Solar]:[Wind]],MATCH(AM$1,Job_Training[[`Typical Entry Level Education`]:[`Typical Entry Level Education`]],0),MATCH(LEFT($D745,5),Job_Training[[#Headers],[Solar]:[Wind]],0)),0)</f>
        <v>2.8199999999999999E-2</v>
      </c>
      <c r="AN745" s="63">
        <f>IFERROR(INDEX(Job_Training[[Solar]:[Wind]],MATCH(AN$1,Job_Training[[`Typical Entry Level Education`]:[`Typical Entry Level Education`]],0),MATCH(LEFT($D745,5),Job_Training[[#Headers],[Solar]:[Wind]],0)),0)</f>
        <v>3.3399999999999999E-2</v>
      </c>
      <c r="AO745" s="63">
        <f>IFERROR(INDEX(Job_Training[[Solar]:[Wind]],MATCH(AO$1,Job_Training[[`Typical Entry Level Education`]:[`Typical Entry Level Education`]],0),MATCH(LEFT($D745,5),Job_Training[[#Headers],[Solar]:[Wind]],0)),0)</f>
        <v>5.62E-3</v>
      </c>
      <c r="AP745">
        <f t="shared" si="213"/>
        <v>320.625</v>
      </c>
      <c r="AQ745" s="63">
        <f>IF(AP745&gt;0,IFERROR(INDEX(Assumptions!$C$165:$D$165,MATCH(LEFT($D745,5),Job_Training[[#Headers],[Solar]:[Wind]],0)),0),0)</f>
        <v>0.10181999999999999</v>
      </c>
      <c r="AR745">
        <f>IF(AP745&gt;0,IFERROR(INDEX(Assumptions!$C$166:$D$166,MATCH(LEFT($D745,5),Job_Training[[#Headers],[Solar]:[Wind]],0)),0),0)</f>
        <v>6.1091999999999995</v>
      </c>
    </row>
    <row r="746" spans="1:44" hidden="1" x14ac:dyDescent="0.35">
      <c r="A746" t="str">
        <f>UserInput!$B$56</f>
        <v>Max Buildout</v>
      </c>
      <c r="B746" s="23">
        <v>2034</v>
      </c>
      <c r="C746" s="23" t="s">
        <v>78</v>
      </c>
      <c r="D746" s="23" t="s">
        <v>97</v>
      </c>
      <c r="E746" s="40">
        <f>SUMIFS($E$506:$E$736,$B$506:$B$736,B746,$C$506:$C$736,C746)*1000*Assumptions!$C$8/1000/8760/0.3</f>
        <v>1603.125</v>
      </c>
      <c r="F746" s="23" t="s">
        <v>81</v>
      </c>
      <c r="H746" s="63"/>
      <c r="I746" s="63"/>
      <c r="J746" s="63"/>
      <c r="K746" s="30">
        <f>IF(OR(LEFT($D746,5)="Solar",$D746="Wind"),INDEX(Land_Use[AVG],MATCH(LEFT($D746,5),Land_Use[Tech],0)),0)*$E746</f>
        <v>5610.9375</v>
      </c>
      <c r="L746" s="30">
        <f>IF(OR(LEFT($D746,5)="Solar",$D746="Wind"),INDEX(Land_Use[MIN],MATCH(LEFT($D746,5),Land_Use[Tech],0)),0)*$E746</f>
        <v>4488.75</v>
      </c>
      <c r="M746" s="30">
        <f>IF(OR(LEFT($D746,5)="Solar",$D746="Wind"),INDEX(Land_Use[MAX],MATCH(LEFT($D746,5),Land_Use[Tech],0)),0)*$E746</f>
        <v>6733.125</v>
      </c>
      <c r="N746" s="13">
        <f t="shared" si="199"/>
        <v>0</v>
      </c>
      <c r="O746" s="13">
        <f t="shared" si="200"/>
        <v>78553.125</v>
      </c>
      <c r="P746" s="13">
        <f t="shared" si="201"/>
        <v>7855.3124999999991</v>
      </c>
      <c r="Q746" s="13">
        <f t="shared" si="202"/>
        <v>1402734.375</v>
      </c>
      <c r="R746" s="13">
        <f t="shared" si="203"/>
        <v>1739.390625</v>
      </c>
      <c r="S746" s="30">
        <f t="shared" si="207"/>
        <v>11.093624999999999</v>
      </c>
      <c r="T746" s="30">
        <f t="shared" si="208"/>
        <v>9.0416249999999998</v>
      </c>
      <c r="U746" s="30">
        <f t="shared" si="209"/>
        <v>10.708874999999999</v>
      </c>
      <c r="V746" s="30">
        <f t="shared" si="210"/>
        <v>1.8019125</v>
      </c>
      <c r="W746" s="30">
        <f t="shared" si="211"/>
        <v>32.646037499999998</v>
      </c>
      <c r="X746" s="30">
        <f t="shared" si="212"/>
        <v>1958.7622499999998</v>
      </c>
      <c r="Z746" s="23" t="s">
        <v>76</v>
      </c>
      <c r="AA746" s="40"/>
      <c r="AB746" s="67"/>
      <c r="AC746" s="67"/>
      <c r="AD746" s="39"/>
      <c r="AE746" s="39"/>
      <c r="AF746" s="39"/>
      <c r="AG746" s="68"/>
      <c r="AH746">
        <v>14</v>
      </c>
      <c r="AI746">
        <v>1.4</v>
      </c>
      <c r="AJ746">
        <v>250</v>
      </c>
      <c r="AK746">
        <v>0.31</v>
      </c>
      <c r="AL746" s="63">
        <f>IFERROR(INDEX(Job_Training[[Solar]:[Wind]],MATCH(AL$1,Job_Training[[`Typical Entry Level Education`]:[`Typical Entry Level Education`]],0),MATCH(LEFT($D746,5),Job_Training[[#Headers],[Solar]:[Wind]],0)),0)</f>
        <v>3.4599999999999999E-2</v>
      </c>
      <c r="AM746" s="63">
        <f>IFERROR(INDEX(Job_Training[[Solar]:[Wind]],MATCH(AM$1,Job_Training[[`Typical Entry Level Education`]:[`Typical Entry Level Education`]],0),MATCH(LEFT($D746,5),Job_Training[[#Headers],[Solar]:[Wind]],0)),0)</f>
        <v>2.8199999999999999E-2</v>
      </c>
      <c r="AN746" s="63">
        <f>IFERROR(INDEX(Job_Training[[Solar]:[Wind]],MATCH(AN$1,Job_Training[[`Typical Entry Level Education`]:[`Typical Entry Level Education`]],0),MATCH(LEFT($D746,5),Job_Training[[#Headers],[Solar]:[Wind]],0)),0)</f>
        <v>3.3399999999999999E-2</v>
      </c>
      <c r="AO746" s="63">
        <f>IFERROR(INDEX(Job_Training[[Solar]:[Wind]],MATCH(AO$1,Job_Training[[`Typical Entry Level Education`]:[`Typical Entry Level Education`]],0),MATCH(LEFT($D746,5),Job_Training[[#Headers],[Solar]:[Wind]],0)),0)</f>
        <v>5.62E-3</v>
      </c>
      <c r="AP746">
        <f t="shared" si="213"/>
        <v>320.625</v>
      </c>
      <c r="AQ746" s="63">
        <f>IF(AP746&gt;0,IFERROR(INDEX(Assumptions!$C$165:$D$165,MATCH(LEFT($D746,5),Job_Training[[#Headers],[Solar]:[Wind]],0)),0),0)</f>
        <v>0.10181999999999999</v>
      </c>
      <c r="AR746">
        <f>IF(AP746&gt;0,IFERROR(INDEX(Assumptions!$C$166:$D$166,MATCH(LEFT($D746,5),Job_Training[[#Headers],[Solar]:[Wind]],0)),0),0)</f>
        <v>6.1091999999999995</v>
      </c>
    </row>
    <row r="747" spans="1:44" hidden="1" x14ac:dyDescent="0.35">
      <c r="A747" t="str">
        <f>UserInput!$B$56</f>
        <v>Max Buildout</v>
      </c>
      <c r="B747" s="23">
        <v>2035</v>
      </c>
      <c r="C747" s="23" t="s">
        <v>78</v>
      </c>
      <c r="D747" s="23" t="s">
        <v>97</v>
      </c>
      <c r="E747" s="40">
        <f>SUMIFS($E$506:$E$736,$B$506:$B$736,B747,$C$506:$C$736,C747)*1000*Assumptions!$C$8/1000/8760/0.3</f>
        <v>1923.75</v>
      </c>
      <c r="F747" s="23" t="s">
        <v>81</v>
      </c>
      <c r="H747" s="63"/>
      <c r="I747" s="63"/>
      <c r="J747" s="63"/>
      <c r="K747" s="30">
        <f>IF(OR(LEFT($D747,5)="Solar",$D747="Wind"),INDEX(Land_Use[AVG],MATCH(LEFT($D747,5),Land_Use[Tech],0)),0)*$E747</f>
        <v>6733.125</v>
      </c>
      <c r="L747" s="30">
        <f>IF(OR(LEFT($D747,5)="Solar",$D747="Wind"),INDEX(Land_Use[MIN],MATCH(LEFT($D747,5),Land_Use[Tech],0)),0)*$E747</f>
        <v>5386.5</v>
      </c>
      <c r="M747" s="30">
        <f>IF(OR(LEFT($D747,5)="Solar",$D747="Wind"),INDEX(Land_Use[MAX],MATCH(LEFT($D747,5),Land_Use[Tech],0)),0)*$E747</f>
        <v>8079.75</v>
      </c>
      <c r="N747" s="13">
        <f t="shared" si="199"/>
        <v>0</v>
      </c>
      <c r="O747" s="13">
        <f t="shared" si="200"/>
        <v>94263.75</v>
      </c>
      <c r="P747" s="13">
        <f t="shared" si="201"/>
        <v>9426.375</v>
      </c>
      <c r="Q747" s="13">
        <f t="shared" si="202"/>
        <v>1683281.25</v>
      </c>
      <c r="R747" s="13">
        <f t="shared" si="203"/>
        <v>2087.2687500000002</v>
      </c>
      <c r="S747" s="30">
        <f t="shared" si="207"/>
        <v>11.093624999999999</v>
      </c>
      <c r="T747" s="30">
        <f t="shared" si="208"/>
        <v>9.0416249999999998</v>
      </c>
      <c r="U747" s="30">
        <f t="shared" si="209"/>
        <v>10.708874999999999</v>
      </c>
      <c r="V747" s="30">
        <f t="shared" si="210"/>
        <v>1.8019125</v>
      </c>
      <c r="W747" s="30">
        <f t="shared" si="211"/>
        <v>32.646037499999998</v>
      </c>
      <c r="X747" s="30">
        <f t="shared" si="212"/>
        <v>1958.7622499999998</v>
      </c>
      <c r="Z747" s="23" t="s">
        <v>76</v>
      </c>
      <c r="AA747" s="40"/>
      <c r="AB747" s="67"/>
      <c r="AC747" s="67"/>
      <c r="AD747" s="39"/>
      <c r="AE747" s="39"/>
      <c r="AF747" s="39"/>
      <c r="AG747" s="68"/>
      <c r="AH747">
        <v>14</v>
      </c>
      <c r="AI747">
        <v>1.4</v>
      </c>
      <c r="AJ747">
        <v>250</v>
      </c>
      <c r="AK747">
        <v>0.31</v>
      </c>
      <c r="AL747" s="63">
        <f>IFERROR(INDEX(Job_Training[[Solar]:[Wind]],MATCH(AL$1,Job_Training[[`Typical Entry Level Education`]:[`Typical Entry Level Education`]],0),MATCH(LEFT($D747,5),Job_Training[[#Headers],[Solar]:[Wind]],0)),0)</f>
        <v>3.4599999999999999E-2</v>
      </c>
      <c r="AM747" s="63">
        <f>IFERROR(INDEX(Job_Training[[Solar]:[Wind]],MATCH(AM$1,Job_Training[[`Typical Entry Level Education`]:[`Typical Entry Level Education`]],0),MATCH(LEFT($D747,5),Job_Training[[#Headers],[Solar]:[Wind]],0)),0)</f>
        <v>2.8199999999999999E-2</v>
      </c>
      <c r="AN747" s="63">
        <f>IFERROR(INDEX(Job_Training[[Solar]:[Wind]],MATCH(AN$1,Job_Training[[`Typical Entry Level Education`]:[`Typical Entry Level Education`]],0),MATCH(LEFT($D747,5),Job_Training[[#Headers],[Solar]:[Wind]],0)),0)</f>
        <v>3.3399999999999999E-2</v>
      </c>
      <c r="AO747" s="63">
        <f>IFERROR(INDEX(Job_Training[[Solar]:[Wind]],MATCH(AO$1,Job_Training[[`Typical Entry Level Education`]:[`Typical Entry Level Education`]],0),MATCH(LEFT($D747,5),Job_Training[[#Headers],[Solar]:[Wind]],0)),0)</f>
        <v>5.62E-3</v>
      </c>
      <c r="AP747">
        <f t="shared" si="213"/>
        <v>320.625</v>
      </c>
      <c r="AQ747" s="63">
        <f>IF(AP747&gt;0,IFERROR(INDEX(Assumptions!$C$165:$D$165,MATCH(LEFT($D747,5),Job_Training[[#Headers],[Solar]:[Wind]],0)),0),0)</f>
        <v>0.10181999999999999</v>
      </c>
      <c r="AR747">
        <f>IF(AP747&gt;0,IFERROR(INDEX(Assumptions!$C$166:$D$166,MATCH(LEFT($D747,5),Job_Training[[#Headers],[Solar]:[Wind]],0)),0),0)</f>
        <v>6.1091999999999995</v>
      </c>
    </row>
    <row r="748" spans="1:44" hidden="1" x14ac:dyDescent="0.35">
      <c r="A748" t="str">
        <f>UserInput!$B$56</f>
        <v>Max Buildout</v>
      </c>
      <c r="B748" s="23">
        <v>2036</v>
      </c>
      <c r="C748" s="23" t="s">
        <v>78</v>
      </c>
      <c r="D748" s="23" t="s">
        <v>97</v>
      </c>
      <c r="E748" s="40">
        <f>SUMIFS($E$506:$E$736,$B$506:$B$736,B748,$C$506:$C$736,C748)*1000*Assumptions!$C$8/1000/8760/0.3</f>
        <v>2244.375</v>
      </c>
      <c r="F748" s="23" t="s">
        <v>81</v>
      </c>
      <c r="H748" s="63"/>
      <c r="I748" s="63"/>
      <c r="J748" s="63"/>
      <c r="K748" s="30">
        <f>IF(OR(LEFT($D748,5)="Solar",$D748="Wind"),INDEX(Land_Use[AVG],MATCH(LEFT($D748,5),Land_Use[Tech],0)),0)*$E748</f>
        <v>7855.3125</v>
      </c>
      <c r="L748" s="30">
        <f>IF(OR(LEFT($D748,5)="Solar",$D748="Wind"),INDEX(Land_Use[MIN],MATCH(LEFT($D748,5),Land_Use[Tech],0)),0)*$E748</f>
        <v>6284.25</v>
      </c>
      <c r="M748" s="30">
        <f>IF(OR(LEFT($D748,5)="Solar",$D748="Wind"),INDEX(Land_Use[MAX],MATCH(LEFT($D748,5),Land_Use[Tech],0)),0)*$E748</f>
        <v>9426.375</v>
      </c>
      <c r="N748" s="13">
        <f t="shared" si="199"/>
        <v>0</v>
      </c>
      <c r="O748" s="13">
        <f t="shared" si="200"/>
        <v>109974.375</v>
      </c>
      <c r="P748" s="13">
        <f t="shared" si="201"/>
        <v>10997.4375</v>
      </c>
      <c r="Q748" s="13">
        <f t="shared" si="202"/>
        <v>1963828.125</v>
      </c>
      <c r="R748" s="13">
        <f t="shared" si="203"/>
        <v>2435.1468749999999</v>
      </c>
      <c r="S748" s="30">
        <f t="shared" si="207"/>
        <v>11.093624999999999</v>
      </c>
      <c r="T748" s="30">
        <f t="shared" si="208"/>
        <v>9.0416249999999998</v>
      </c>
      <c r="U748" s="30">
        <f t="shared" si="209"/>
        <v>10.708874999999999</v>
      </c>
      <c r="V748" s="30">
        <f t="shared" si="210"/>
        <v>1.8019125</v>
      </c>
      <c r="W748" s="30">
        <f t="shared" si="211"/>
        <v>32.646037499999998</v>
      </c>
      <c r="X748" s="30">
        <f t="shared" si="212"/>
        <v>1958.7622499999998</v>
      </c>
      <c r="Z748" s="23" t="s">
        <v>76</v>
      </c>
      <c r="AA748" s="40"/>
      <c r="AB748" s="67"/>
      <c r="AC748" s="67"/>
      <c r="AD748" s="39"/>
      <c r="AE748" s="39"/>
      <c r="AF748" s="39"/>
      <c r="AG748" s="68"/>
      <c r="AH748">
        <v>14</v>
      </c>
      <c r="AI748">
        <v>1.4</v>
      </c>
      <c r="AJ748">
        <v>250</v>
      </c>
      <c r="AK748">
        <v>0.31</v>
      </c>
      <c r="AL748" s="63">
        <f>IFERROR(INDEX(Job_Training[[Solar]:[Wind]],MATCH(AL$1,Job_Training[[`Typical Entry Level Education`]:[`Typical Entry Level Education`]],0),MATCH(LEFT($D748,5),Job_Training[[#Headers],[Solar]:[Wind]],0)),0)</f>
        <v>3.4599999999999999E-2</v>
      </c>
      <c r="AM748" s="63">
        <f>IFERROR(INDEX(Job_Training[[Solar]:[Wind]],MATCH(AM$1,Job_Training[[`Typical Entry Level Education`]:[`Typical Entry Level Education`]],0),MATCH(LEFT($D748,5),Job_Training[[#Headers],[Solar]:[Wind]],0)),0)</f>
        <v>2.8199999999999999E-2</v>
      </c>
      <c r="AN748" s="63">
        <f>IFERROR(INDEX(Job_Training[[Solar]:[Wind]],MATCH(AN$1,Job_Training[[`Typical Entry Level Education`]:[`Typical Entry Level Education`]],0),MATCH(LEFT($D748,5),Job_Training[[#Headers],[Solar]:[Wind]],0)),0)</f>
        <v>3.3399999999999999E-2</v>
      </c>
      <c r="AO748" s="63">
        <f>IFERROR(INDEX(Job_Training[[Solar]:[Wind]],MATCH(AO$1,Job_Training[[`Typical Entry Level Education`]:[`Typical Entry Level Education`]],0),MATCH(LEFT($D748,5),Job_Training[[#Headers],[Solar]:[Wind]],0)),0)</f>
        <v>5.62E-3</v>
      </c>
      <c r="AP748">
        <f t="shared" si="213"/>
        <v>320.625</v>
      </c>
      <c r="AQ748" s="63">
        <f>IF(AP748&gt;0,IFERROR(INDEX(Assumptions!$C$165:$D$165,MATCH(LEFT($D748,5),Job_Training[[#Headers],[Solar]:[Wind]],0)),0),0)</f>
        <v>0.10181999999999999</v>
      </c>
      <c r="AR748">
        <f>IF(AP748&gt;0,IFERROR(INDEX(Assumptions!$C$166:$D$166,MATCH(LEFT($D748,5),Job_Training[[#Headers],[Solar]:[Wind]],0)),0),0)</f>
        <v>6.1091999999999995</v>
      </c>
    </row>
    <row r="749" spans="1:44" hidden="1" x14ac:dyDescent="0.35">
      <c r="A749" t="str">
        <f>UserInput!$B$56</f>
        <v>Max Buildout</v>
      </c>
      <c r="B749" s="23">
        <v>2037</v>
      </c>
      <c r="C749" s="23" t="s">
        <v>78</v>
      </c>
      <c r="D749" s="23" t="s">
        <v>97</v>
      </c>
      <c r="E749" s="40">
        <f>SUMIFS($E$506:$E$736,$B$506:$B$736,B749,$C$506:$C$736,C749)*1000*Assumptions!$C$8/1000/8760/0.3</f>
        <v>2565</v>
      </c>
      <c r="F749" s="23" t="s">
        <v>81</v>
      </c>
      <c r="H749" s="63"/>
      <c r="I749" s="63"/>
      <c r="J749" s="63"/>
      <c r="K749" s="30">
        <f>IF(OR(LEFT($D749,5)="Solar",$D749="Wind"),INDEX(Land_Use[AVG],MATCH(LEFT($D749,5),Land_Use[Tech],0)),0)*$E749</f>
        <v>8977.5</v>
      </c>
      <c r="L749" s="30">
        <f>IF(OR(LEFT($D749,5)="Solar",$D749="Wind"),INDEX(Land_Use[MIN],MATCH(LEFT($D749,5),Land_Use[Tech],0)),0)*$E749</f>
        <v>7181.9999999999991</v>
      </c>
      <c r="M749" s="30">
        <f>IF(OR(LEFT($D749,5)="Solar",$D749="Wind"),INDEX(Land_Use[MAX],MATCH(LEFT($D749,5),Land_Use[Tech],0)),0)*$E749</f>
        <v>10773</v>
      </c>
      <c r="N749" s="13">
        <f t="shared" si="199"/>
        <v>0</v>
      </c>
      <c r="O749" s="13">
        <f t="shared" si="200"/>
        <v>125685</v>
      </c>
      <c r="P749" s="13">
        <f t="shared" si="201"/>
        <v>12568.5</v>
      </c>
      <c r="Q749" s="13">
        <f t="shared" si="202"/>
        <v>2244375</v>
      </c>
      <c r="R749" s="13">
        <f t="shared" si="203"/>
        <v>2783.0250000000001</v>
      </c>
      <c r="S749" s="30">
        <f t="shared" si="207"/>
        <v>11.093624999999999</v>
      </c>
      <c r="T749" s="30">
        <f t="shared" si="208"/>
        <v>9.0416249999999998</v>
      </c>
      <c r="U749" s="30">
        <f t="shared" si="209"/>
        <v>10.708874999999999</v>
      </c>
      <c r="V749" s="30">
        <f t="shared" si="210"/>
        <v>1.8019125</v>
      </c>
      <c r="W749" s="30">
        <f t="shared" si="211"/>
        <v>32.646037499999998</v>
      </c>
      <c r="X749" s="30">
        <f t="shared" si="212"/>
        <v>1958.7622499999998</v>
      </c>
      <c r="Z749" s="23" t="s">
        <v>76</v>
      </c>
      <c r="AA749" s="40"/>
      <c r="AB749" s="67"/>
      <c r="AC749" s="67"/>
      <c r="AD749" s="39"/>
      <c r="AE749" s="39"/>
      <c r="AF749" s="39"/>
      <c r="AG749" s="68"/>
      <c r="AH749">
        <v>14</v>
      </c>
      <c r="AI749">
        <v>1.4</v>
      </c>
      <c r="AJ749">
        <v>250</v>
      </c>
      <c r="AK749">
        <v>0.31</v>
      </c>
      <c r="AL749" s="63">
        <f>IFERROR(INDEX(Job_Training[[Solar]:[Wind]],MATCH(AL$1,Job_Training[[`Typical Entry Level Education`]:[`Typical Entry Level Education`]],0),MATCH(LEFT($D749,5),Job_Training[[#Headers],[Solar]:[Wind]],0)),0)</f>
        <v>3.4599999999999999E-2</v>
      </c>
      <c r="AM749" s="63">
        <f>IFERROR(INDEX(Job_Training[[Solar]:[Wind]],MATCH(AM$1,Job_Training[[`Typical Entry Level Education`]:[`Typical Entry Level Education`]],0),MATCH(LEFT($D749,5),Job_Training[[#Headers],[Solar]:[Wind]],0)),0)</f>
        <v>2.8199999999999999E-2</v>
      </c>
      <c r="AN749" s="63">
        <f>IFERROR(INDEX(Job_Training[[Solar]:[Wind]],MATCH(AN$1,Job_Training[[`Typical Entry Level Education`]:[`Typical Entry Level Education`]],0),MATCH(LEFT($D749,5),Job_Training[[#Headers],[Solar]:[Wind]],0)),0)</f>
        <v>3.3399999999999999E-2</v>
      </c>
      <c r="AO749" s="63">
        <f>IFERROR(INDEX(Job_Training[[Solar]:[Wind]],MATCH(AO$1,Job_Training[[`Typical Entry Level Education`]:[`Typical Entry Level Education`]],0),MATCH(LEFT($D749,5),Job_Training[[#Headers],[Solar]:[Wind]],0)),0)</f>
        <v>5.62E-3</v>
      </c>
      <c r="AP749">
        <f t="shared" si="213"/>
        <v>320.625</v>
      </c>
      <c r="AQ749" s="63">
        <f>IF(AP749&gt;0,IFERROR(INDEX(Assumptions!$C$165:$D$165,MATCH(LEFT($D749,5),Job_Training[[#Headers],[Solar]:[Wind]],0)),0),0)</f>
        <v>0.10181999999999999</v>
      </c>
      <c r="AR749">
        <f>IF(AP749&gt;0,IFERROR(INDEX(Assumptions!$C$166:$D$166,MATCH(LEFT($D749,5),Job_Training[[#Headers],[Solar]:[Wind]],0)),0),0)</f>
        <v>6.1091999999999995</v>
      </c>
    </row>
    <row r="750" spans="1:44" hidden="1" x14ac:dyDescent="0.35">
      <c r="A750" t="str">
        <f>UserInput!$B$56</f>
        <v>Max Buildout</v>
      </c>
      <c r="B750" s="23">
        <v>2038</v>
      </c>
      <c r="C750" s="23" t="s">
        <v>78</v>
      </c>
      <c r="D750" s="23" t="s">
        <v>97</v>
      </c>
      <c r="E750" s="40">
        <f>SUMIFS($E$506:$E$736,$B$506:$B$736,B750,$C$506:$C$736,C750)*1000*Assumptions!$C$8/1000/8760/0.3</f>
        <v>2885.625</v>
      </c>
      <c r="F750" s="23" t="s">
        <v>81</v>
      </c>
      <c r="H750" s="63"/>
      <c r="I750" s="63"/>
      <c r="J750" s="63"/>
      <c r="K750" s="30">
        <f>IF(OR(LEFT($D750,5)="Solar",$D750="Wind"),INDEX(Land_Use[AVG],MATCH(LEFT($D750,5),Land_Use[Tech],0)),0)*$E750</f>
        <v>10099.6875</v>
      </c>
      <c r="L750" s="30">
        <f>IF(OR(LEFT($D750,5)="Solar",$D750="Wind"),INDEX(Land_Use[MIN],MATCH(LEFT($D750,5),Land_Use[Tech],0)),0)*$E750</f>
        <v>8079.7499999999991</v>
      </c>
      <c r="M750" s="30">
        <f>IF(OR(LEFT($D750,5)="Solar",$D750="Wind"),INDEX(Land_Use[MAX],MATCH(LEFT($D750,5),Land_Use[Tech],0)),0)*$E750</f>
        <v>12119.625</v>
      </c>
      <c r="N750" s="13">
        <f t="shared" si="199"/>
        <v>0</v>
      </c>
      <c r="O750" s="13">
        <f t="shared" si="200"/>
        <v>141395.625</v>
      </c>
      <c r="P750" s="13">
        <f t="shared" si="201"/>
        <v>14139.5625</v>
      </c>
      <c r="Q750" s="13">
        <f t="shared" si="202"/>
        <v>2524921.875</v>
      </c>
      <c r="R750" s="13">
        <f t="shared" si="203"/>
        <v>3130.9031249999998</v>
      </c>
      <c r="S750" s="30">
        <f t="shared" si="207"/>
        <v>11.093624999999999</v>
      </c>
      <c r="T750" s="30">
        <f t="shared" si="208"/>
        <v>9.0416249999999998</v>
      </c>
      <c r="U750" s="30">
        <f t="shared" si="209"/>
        <v>10.708874999999999</v>
      </c>
      <c r="V750" s="30">
        <f t="shared" si="210"/>
        <v>1.8019125</v>
      </c>
      <c r="W750" s="30">
        <f t="shared" si="211"/>
        <v>32.646037499999998</v>
      </c>
      <c r="X750" s="30">
        <f t="shared" si="212"/>
        <v>1958.7622499999998</v>
      </c>
      <c r="Z750" s="23" t="s">
        <v>76</v>
      </c>
      <c r="AA750" s="40"/>
      <c r="AB750" s="67"/>
      <c r="AC750" s="67"/>
      <c r="AD750" s="39"/>
      <c r="AE750" s="39"/>
      <c r="AF750" s="39"/>
      <c r="AG750" s="68"/>
      <c r="AH750">
        <v>14</v>
      </c>
      <c r="AI750">
        <v>1.4</v>
      </c>
      <c r="AJ750">
        <v>250</v>
      </c>
      <c r="AK750">
        <v>0.31</v>
      </c>
      <c r="AL750" s="63">
        <f>IFERROR(INDEX(Job_Training[[Solar]:[Wind]],MATCH(AL$1,Job_Training[[`Typical Entry Level Education`]:[`Typical Entry Level Education`]],0),MATCH(LEFT($D750,5),Job_Training[[#Headers],[Solar]:[Wind]],0)),0)</f>
        <v>3.4599999999999999E-2</v>
      </c>
      <c r="AM750" s="63">
        <f>IFERROR(INDEX(Job_Training[[Solar]:[Wind]],MATCH(AM$1,Job_Training[[`Typical Entry Level Education`]:[`Typical Entry Level Education`]],0),MATCH(LEFT($D750,5),Job_Training[[#Headers],[Solar]:[Wind]],0)),0)</f>
        <v>2.8199999999999999E-2</v>
      </c>
      <c r="AN750" s="63">
        <f>IFERROR(INDEX(Job_Training[[Solar]:[Wind]],MATCH(AN$1,Job_Training[[`Typical Entry Level Education`]:[`Typical Entry Level Education`]],0),MATCH(LEFT($D750,5),Job_Training[[#Headers],[Solar]:[Wind]],0)),0)</f>
        <v>3.3399999999999999E-2</v>
      </c>
      <c r="AO750" s="63">
        <f>IFERROR(INDEX(Job_Training[[Solar]:[Wind]],MATCH(AO$1,Job_Training[[`Typical Entry Level Education`]:[`Typical Entry Level Education`]],0),MATCH(LEFT($D750,5),Job_Training[[#Headers],[Solar]:[Wind]],0)),0)</f>
        <v>5.62E-3</v>
      </c>
      <c r="AP750">
        <f t="shared" si="213"/>
        <v>320.625</v>
      </c>
      <c r="AQ750" s="63">
        <f>IF(AP750&gt;0,IFERROR(INDEX(Assumptions!$C$165:$D$165,MATCH(LEFT($D750,5),Job_Training[[#Headers],[Solar]:[Wind]],0)),0),0)</f>
        <v>0.10181999999999999</v>
      </c>
      <c r="AR750">
        <f>IF(AP750&gt;0,IFERROR(INDEX(Assumptions!$C$166:$D$166,MATCH(LEFT($D750,5),Job_Training[[#Headers],[Solar]:[Wind]],0)),0),0)</f>
        <v>6.1091999999999995</v>
      </c>
    </row>
    <row r="751" spans="1:44" hidden="1" x14ac:dyDescent="0.35">
      <c r="A751" t="str">
        <f>UserInput!$B$56</f>
        <v>Max Buildout</v>
      </c>
      <c r="B751" s="23">
        <v>2039</v>
      </c>
      <c r="C751" s="23" t="s">
        <v>78</v>
      </c>
      <c r="D751" s="23" t="s">
        <v>97</v>
      </c>
      <c r="E751" s="40">
        <f>SUMIFS($E$506:$E$736,$B$506:$B$736,B751,$C$506:$C$736,C751)*1000*Assumptions!$C$8/1000/8760/0.3</f>
        <v>3206.25</v>
      </c>
      <c r="F751" s="23" t="s">
        <v>81</v>
      </c>
      <c r="H751" s="63"/>
      <c r="I751" s="63"/>
      <c r="J751" s="63"/>
      <c r="K751" s="30">
        <f>IF(OR(LEFT($D751,5)="Solar",$D751="Wind"),INDEX(Land_Use[AVG],MATCH(LEFT($D751,5),Land_Use[Tech],0)),0)*$E751</f>
        <v>11221.875</v>
      </c>
      <c r="L751" s="30">
        <f>IF(OR(LEFT($D751,5)="Solar",$D751="Wind"),INDEX(Land_Use[MIN],MATCH(LEFT($D751,5),Land_Use[Tech],0)),0)*$E751</f>
        <v>8977.5</v>
      </c>
      <c r="M751" s="30">
        <f>IF(OR(LEFT($D751,5)="Solar",$D751="Wind"),INDEX(Land_Use[MAX],MATCH(LEFT($D751,5),Land_Use[Tech],0)),0)*$E751</f>
        <v>13466.25</v>
      </c>
      <c r="N751" s="13">
        <f t="shared" si="199"/>
        <v>0</v>
      </c>
      <c r="O751" s="13">
        <f t="shared" si="200"/>
        <v>157106.25</v>
      </c>
      <c r="P751" s="13">
        <f t="shared" si="201"/>
        <v>15710.624999999998</v>
      </c>
      <c r="Q751" s="13">
        <f t="shared" si="202"/>
        <v>2805468.75</v>
      </c>
      <c r="R751" s="13">
        <f t="shared" si="203"/>
        <v>3478.78125</v>
      </c>
      <c r="S751" s="30">
        <f t="shared" si="207"/>
        <v>11.093624999999999</v>
      </c>
      <c r="T751" s="30">
        <f t="shared" si="208"/>
        <v>9.0416249999999998</v>
      </c>
      <c r="U751" s="30">
        <f t="shared" si="209"/>
        <v>10.708874999999999</v>
      </c>
      <c r="V751" s="30">
        <f t="shared" si="210"/>
        <v>1.8019125</v>
      </c>
      <c r="W751" s="30">
        <f t="shared" si="211"/>
        <v>32.646037499999998</v>
      </c>
      <c r="X751" s="30">
        <f t="shared" si="212"/>
        <v>1958.7622499999998</v>
      </c>
      <c r="Z751" s="23" t="s">
        <v>76</v>
      </c>
      <c r="AA751" s="40"/>
      <c r="AB751" s="67"/>
      <c r="AC751" s="67"/>
      <c r="AD751" s="39"/>
      <c r="AE751" s="39"/>
      <c r="AF751" s="39"/>
      <c r="AG751" s="68"/>
      <c r="AH751">
        <v>14</v>
      </c>
      <c r="AI751">
        <v>1.4</v>
      </c>
      <c r="AJ751">
        <v>250</v>
      </c>
      <c r="AK751">
        <v>0.31</v>
      </c>
      <c r="AL751" s="63">
        <f>IFERROR(INDEX(Job_Training[[Solar]:[Wind]],MATCH(AL$1,Job_Training[[`Typical Entry Level Education`]:[`Typical Entry Level Education`]],0),MATCH(LEFT($D751,5),Job_Training[[#Headers],[Solar]:[Wind]],0)),0)</f>
        <v>3.4599999999999999E-2</v>
      </c>
      <c r="AM751" s="63">
        <f>IFERROR(INDEX(Job_Training[[Solar]:[Wind]],MATCH(AM$1,Job_Training[[`Typical Entry Level Education`]:[`Typical Entry Level Education`]],0),MATCH(LEFT($D751,5),Job_Training[[#Headers],[Solar]:[Wind]],0)),0)</f>
        <v>2.8199999999999999E-2</v>
      </c>
      <c r="AN751" s="63">
        <f>IFERROR(INDEX(Job_Training[[Solar]:[Wind]],MATCH(AN$1,Job_Training[[`Typical Entry Level Education`]:[`Typical Entry Level Education`]],0),MATCH(LEFT($D751,5),Job_Training[[#Headers],[Solar]:[Wind]],0)),0)</f>
        <v>3.3399999999999999E-2</v>
      </c>
      <c r="AO751" s="63">
        <f>IFERROR(INDEX(Job_Training[[Solar]:[Wind]],MATCH(AO$1,Job_Training[[`Typical Entry Level Education`]:[`Typical Entry Level Education`]],0),MATCH(LEFT($D751,5),Job_Training[[#Headers],[Solar]:[Wind]],0)),0)</f>
        <v>5.62E-3</v>
      </c>
      <c r="AP751">
        <f t="shared" si="213"/>
        <v>320.625</v>
      </c>
      <c r="AQ751" s="63">
        <f>IF(AP751&gt;0,IFERROR(INDEX(Assumptions!$C$165:$D$165,MATCH(LEFT($D751,5),Job_Training[[#Headers],[Solar]:[Wind]],0)),0),0)</f>
        <v>0.10181999999999999</v>
      </c>
      <c r="AR751">
        <f>IF(AP751&gt;0,IFERROR(INDEX(Assumptions!$C$166:$D$166,MATCH(LEFT($D751,5),Job_Training[[#Headers],[Solar]:[Wind]],0)),0),0)</f>
        <v>6.1091999999999995</v>
      </c>
    </row>
    <row r="752" spans="1:44" hidden="1" x14ac:dyDescent="0.35">
      <c r="A752" t="str">
        <f>UserInput!$B$56</f>
        <v>Max Buildout</v>
      </c>
      <c r="B752" s="23">
        <v>2040</v>
      </c>
      <c r="C752" s="23" t="s">
        <v>78</v>
      </c>
      <c r="D752" s="23" t="s">
        <v>97</v>
      </c>
      <c r="E752" s="40">
        <f>SUMIFS($E$506:$E$736,$B$506:$B$736,B752,$C$506:$C$736,C752)*1000*Assumptions!$C$8/1000/8760/0.3</f>
        <v>3526.875</v>
      </c>
      <c r="F752" s="23" t="s">
        <v>81</v>
      </c>
      <c r="H752" s="63"/>
      <c r="I752" s="63"/>
      <c r="J752" s="63"/>
      <c r="K752" s="30">
        <f>IF(OR(LEFT($D752,5)="Solar",$D752="Wind"),INDEX(Land_Use[AVG],MATCH(LEFT($D752,5),Land_Use[Tech],0)),0)*$E752</f>
        <v>12344.0625</v>
      </c>
      <c r="L752" s="30">
        <f>IF(OR(LEFT($D752,5)="Solar",$D752="Wind"),INDEX(Land_Use[MIN],MATCH(LEFT($D752,5),Land_Use[Tech],0)),0)*$E752</f>
        <v>9875.25</v>
      </c>
      <c r="M752" s="30">
        <f>IF(OR(LEFT($D752,5)="Solar",$D752="Wind"),INDEX(Land_Use[MAX],MATCH(LEFT($D752,5),Land_Use[Tech],0)),0)*$E752</f>
        <v>14812.875</v>
      </c>
      <c r="N752" s="13">
        <f t="shared" si="199"/>
        <v>0</v>
      </c>
      <c r="O752" s="13">
        <f t="shared" si="200"/>
        <v>172816.875</v>
      </c>
      <c r="P752" s="13">
        <f t="shared" si="201"/>
        <v>17281.6875</v>
      </c>
      <c r="Q752" s="13">
        <f t="shared" si="202"/>
        <v>3086015.625</v>
      </c>
      <c r="R752" s="13">
        <f t="shared" si="203"/>
        <v>3826.6593750000002</v>
      </c>
      <c r="S752" s="30">
        <f t="shared" si="207"/>
        <v>11.093624999999999</v>
      </c>
      <c r="T752" s="30">
        <f t="shared" si="208"/>
        <v>9.0416249999999998</v>
      </c>
      <c r="U752" s="30">
        <f t="shared" si="209"/>
        <v>10.708874999999999</v>
      </c>
      <c r="V752" s="30">
        <f t="shared" si="210"/>
        <v>1.8019125</v>
      </c>
      <c r="W752" s="30">
        <f t="shared" si="211"/>
        <v>32.646037499999998</v>
      </c>
      <c r="X752" s="30">
        <f t="shared" si="212"/>
        <v>1958.7622499999998</v>
      </c>
      <c r="Z752" s="23" t="s">
        <v>76</v>
      </c>
      <c r="AA752" s="40"/>
      <c r="AB752" s="67"/>
      <c r="AC752" s="67"/>
      <c r="AD752" s="39"/>
      <c r="AE752" s="39"/>
      <c r="AF752" s="39"/>
      <c r="AG752" s="68"/>
      <c r="AH752">
        <v>14</v>
      </c>
      <c r="AI752">
        <v>1.4</v>
      </c>
      <c r="AJ752">
        <v>250</v>
      </c>
      <c r="AK752">
        <v>0.31</v>
      </c>
      <c r="AL752" s="63">
        <f>IFERROR(INDEX(Job_Training[[Solar]:[Wind]],MATCH(AL$1,Job_Training[[`Typical Entry Level Education`]:[`Typical Entry Level Education`]],0),MATCH(LEFT($D752,5),Job_Training[[#Headers],[Solar]:[Wind]],0)),0)</f>
        <v>3.4599999999999999E-2</v>
      </c>
      <c r="AM752" s="63">
        <f>IFERROR(INDEX(Job_Training[[Solar]:[Wind]],MATCH(AM$1,Job_Training[[`Typical Entry Level Education`]:[`Typical Entry Level Education`]],0),MATCH(LEFT($D752,5),Job_Training[[#Headers],[Solar]:[Wind]],0)),0)</f>
        <v>2.8199999999999999E-2</v>
      </c>
      <c r="AN752" s="63">
        <f>IFERROR(INDEX(Job_Training[[Solar]:[Wind]],MATCH(AN$1,Job_Training[[`Typical Entry Level Education`]:[`Typical Entry Level Education`]],0),MATCH(LEFT($D752,5),Job_Training[[#Headers],[Solar]:[Wind]],0)),0)</f>
        <v>3.3399999999999999E-2</v>
      </c>
      <c r="AO752" s="63">
        <f>IFERROR(INDEX(Job_Training[[Solar]:[Wind]],MATCH(AO$1,Job_Training[[`Typical Entry Level Education`]:[`Typical Entry Level Education`]],0),MATCH(LEFT($D752,5),Job_Training[[#Headers],[Solar]:[Wind]],0)),0)</f>
        <v>5.62E-3</v>
      </c>
      <c r="AP752">
        <f t="shared" si="213"/>
        <v>320.625</v>
      </c>
      <c r="AQ752" s="63">
        <f>IF(AP752&gt;0,IFERROR(INDEX(Assumptions!$C$165:$D$165,MATCH(LEFT($D752,5),Job_Training[[#Headers],[Solar]:[Wind]],0)),0),0)</f>
        <v>0.10181999999999999</v>
      </c>
      <c r="AR752">
        <f>IF(AP752&gt;0,IFERROR(INDEX(Assumptions!$C$166:$D$166,MATCH(LEFT($D752,5),Job_Training[[#Headers],[Solar]:[Wind]],0)),0),0)</f>
        <v>6.1091999999999995</v>
      </c>
    </row>
    <row r="753" spans="1:44" hidden="1" x14ac:dyDescent="0.35">
      <c r="A753" t="str">
        <f>UserInput!$B$56</f>
        <v>Max Buildout</v>
      </c>
      <c r="B753" s="23">
        <v>2041</v>
      </c>
      <c r="C753" s="23" t="s">
        <v>78</v>
      </c>
      <c r="D753" s="23" t="s">
        <v>97</v>
      </c>
      <c r="E753" s="40">
        <f>SUMIFS($E$506:$E$736,$B$506:$B$736,B753,$C$506:$C$736,C753)*1000*Assumptions!$C$8/1000/8760/0.3</f>
        <v>3847.5</v>
      </c>
      <c r="F753" s="23" t="s">
        <v>81</v>
      </c>
      <c r="H753" s="63"/>
      <c r="I753" s="63"/>
      <c r="J753" s="63"/>
      <c r="K753" s="30">
        <f>IF(OR(LEFT($D753,5)="Solar",$D753="Wind"),INDEX(Land_Use[AVG],MATCH(LEFT($D753,5),Land_Use[Tech],0)),0)*$E753</f>
        <v>13466.25</v>
      </c>
      <c r="L753" s="30">
        <f>IF(OR(LEFT($D753,5)="Solar",$D753="Wind"),INDEX(Land_Use[MIN],MATCH(LEFT($D753,5),Land_Use[Tech],0)),0)*$E753</f>
        <v>10773</v>
      </c>
      <c r="M753" s="30">
        <f>IF(OR(LEFT($D753,5)="Solar",$D753="Wind"),INDEX(Land_Use[MAX],MATCH(LEFT($D753,5),Land_Use[Tech],0)),0)*$E753</f>
        <v>16159.5</v>
      </c>
      <c r="N753" s="13">
        <f t="shared" si="199"/>
        <v>0</v>
      </c>
      <c r="O753" s="13">
        <f t="shared" si="200"/>
        <v>188527.5</v>
      </c>
      <c r="P753" s="13">
        <f t="shared" si="201"/>
        <v>18852.75</v>
      </c>
      <c r="Q753" s="13">
        <f t="shared" si="202"/>
        <v>3366562.5</v>
      </c>
      <c r="R753" s="13">
        <f t="shared" si="203"/>
        <v>4174.5375000000004</v>
      </c>
      <c r="S753" s="30">
        <f t="shared" si="207"/>
        <v>11.093624999999999</v>
      </c>
      <c r="T753" s="30">
        <f t="shared" si="208"/>
        <v>9.0416249999999998</v>
      </c>
      <c r="U753" s="30">
        <f t="shared" si="209"/>
        <v>10.708874999999999</v>
      </c>
      <c r="V753" s="30">
        <f t="shared" si="210"/>
        <v>1.8019125</v>
      </c>
      <c r="W753" s="30">
        <f t="shared" si="211"/>
        <v>32.646037499999998</v>
      </c>
      <c r="X753" s="30">
        <f t="shared" si="212"/>
        <v>1958.7622499999998</v>
      </c>
      <c r="Z753" s="23" t="s">
        <v>76</v>
      </c>
      <c r="AA753" s="40"/>
      <c r="AB753" s="67"/>
      <c r="AC753" s="67"/>
      <c r="AD753" s="39"/>
      <c r="AE753" s="39"/>
      <c r="AF753" s="39"/>
      <c r="AG753" s="68"/>
      <c r="AH753">
        <v>14</v>
      </c>
      <c r="AI753">
        <v>1.4</v>
      </c>
      <c r="AJ753">
        <v>250</v>
      </c>
      <c r="AK753">
        <v>0.31</v>
      </c>
      <c r="AL753" s="63">
        <f>IFERROR(INDEX(Job_Training[[Solar]:[Wind]],MATCH(AL$1,Job_Training[[`Typical Entry Level Education`]:[`Typical Entry Level Education`]],0),MATCH(LEFT($D753,5),Job_Training[[#Headers],[Solar]:[Wind]],0)),0)</f>
        <v>3.4599999999999999E-2</v>
      </c>
      <c r="AM753" s="63">
        <f>IFERROR(INDEX(Job_Training[[Solar]:[Wind]],MATCH(AM$1,Job_Training[[`Typical Entry Level Education`]:[`Typical Entry Level Education`]],0),MATCH(LEFT($D753,5),Job_Training[[#Headers],[Solar]:[Wind]],0)),0)</f>
        <v>2.8199999999999999E-2</v>
      </c>
      <c r="AN753" s="63">
        <f>IFERROR(INDEX(Job_Training[[Solar]:[Wind]],MATCH(AN$1,Job_Training[[`Typical Entry Level Education`]:[`Typical Entry Level Education`]],0),MATCH(LEFT($D753,5),Job_Training[[#Headers],[Solar]:[Wind]],0)),0)</f>
        <v>3.3399999999999999E-2</v>
      </c>
      <c r="AO753" s="63">
        <f>IFERROR(INDEX(Job_Training[[Solar]:[Wind]],MATCH(AO$1,Job_Training[[`Typical Entry Level Education`]:[`Typical Entry Level Education`]],0),MATCH(LEFT($D753,5),Job_Training[[#Headers],[Solar]:[Wind]],0)),0)</f>
        <v>5.62E-3</v>
      </c>
      <c r="AP753">
        <f t="shared" si="213"/>
        <v>320.625</v>
      </c>
      <c r="AQ753" s="63">
        <f>IF(AP753&gt;0,IFERROR(INDEX(Assumptions!$C$165:$D$165,MATCH(LEFT($D753,5),Job_Training[[#Headers],[Solar]:[Wind]],0)),0),0)</f>
        <v>0.10181999999999999</v>
      </c>
      <c r="AR753">
        <f>IF(AP753&gt;0,IFERROR(INDEX(Assumptions!$C$166:$D$166,MATCH(LEFT($D753,5),Job_Training[[#Headers],[Solar]:[Wind]],0)),0),0)</f>
        <v>6.1091999999999995</v>
      </c>
    </row>
    <row r="754" spans="1:44" hidden="1" x14ac:dyDescent="0.35">
      <c r="A754" t="str">
        <f>UserInput!$B$56</f>
        <v>Max Buildout</v>
      </c>
      <c r="B754" s="23">
        <v>2042</v>
      </c>
      <c r="C754" s="23" t="s">
        <v>78</v>
      </c>
      <c r="D754" s="23" t="s">
        <v>97</v>
      </c>
      <c r="E754" s="40">
        <f>SUMIFS($E$506:$E$736,$B$506:$B$736,B754,$C$506:$C$736,C754)*1000*Assumptions!$C$8/1000/8760/0.3</f>
        <v>4168.125</v>
      </c>
      <c r="F754" s="23" t="s">
        <v>81</v>
      </c>
      <c r="H754" s="63"/>
      <c r="I754" s="63"/>
      <c r="J754" s="63"/>
      <c r="K754" s="30">
        <f>IF(OR(LEFT($D754,5)="Solar",$D754="Wind"),INDEX(Land_Use[AVG],MATCH(LEFT($D754,5),Land_Use[Tech],0)),0)*$E754</f>
        <v>14588.4375</v>
      </c>
      <c r="L754" s="30">
        <f>IF(OR(LEFT($D754,5)="Solar",$D754="Wind"),INDEX(Land_Use[MIN],MATCH(LEFT($D754,5),Land_Use[Tech],0)),0)*$E754</f>
        <v>11670.75</v>
      </c>
      <c r="M754" s="30">
        <f>IF(OR(LEFT($D754,5)="Solar",$D754="Wind"),INDEX(Land_Use[MAX],MATCH(LEFT($D754,5),Land_Use[Tech],0)),0)*$E754</f>
        <v>17506.125</v>
      </c>
      <c r="N754" s="13">
        <f t="shared" si="199"/>
        <v>0</v>
      </c>
      <c r="O754" s="13">
        <f t="shared" si="200"/>
        <v>204238.125</v>
      </c>
      <c r="P754" s="13">
        <f t="shared" si="201"/>
        <v>20423.8125</v>
      </c>
      <c r="Q754" s="13">
        <f t="shared" si="202"/>
        <v>3647109.375</v>
      </c>
      <c r="R754" s="13">
        <f t="shared" si="203"/>
        <v>4522.4156249999996</v>
      </c>
      <c r="S754" s="30">
        <f t="shared" si="207"/>
        <v>11.093624999999999</v>
      </c>
      <c r="T754" s="30">
        <f t="shared" si="208"/>
        <v>9.0416249999999998</v>
      </c>
      <c r="U754" s="30">
        <f t="shared" si="209"/>
        <v>10.708874999999999</v>
      </c>
      <c r="V754" s="30">
        <f t="shared" si="210"/>
        <v>1.8019125</v>
      </c>
      <c r="W754" s="30">
        <f t="shared" si="211"/>
        <v>32.646037499999998</v>
      </c>
      <c r="X754" s="30">
        <f t="shared" si="212"/>
        <v>1958.7622499999998</v>
      </c>
      <c r="Z754" s="23" t="s">
        <v>76</v>
      </c>
      <c r="AA754" s="40"/>
      <c r="AB754" s="67"/>
      <c r="AC754" s="67"/>
      <c r="AD754" s="39"/>
      <c r="AE754" s="39"/>
      <c r="AF754" s="39"/>
      <c r="AG754" s="68"/>
      <c r="AH754">
        <v>14</v>
      </c>
      <c r="AI754">
        <v>1.4</v>
      </c>
      <c r="AJ754">
        <v>250</v>
      </c>
      <c r="AK754">
        <v>0.31</v>
      </c>
      <c r="AL754" s="63">
        <f>IFERROR(INDEX(Job_Training[[Solar]:[Wind]],MATCH(AL$1,Job_Training[[`Typical Entry Level Education`]:[`Typical Entry Level Education`]],0),MATCH(LEFT($D754,5),Job_Training[[#Headers],[Solar]:[Wind]],0)),0)</f>
        <v>3.4599999999999999E-2</v>
      </c>
      <c r="AM754" s="63">
        <f>IFERROR(INDEX(Job_Training[[Solar]:[Wind]],MATCH(AM$1,Job_Training[[`Typical Entry Level Education`]:[`Typical Entry Level Education`]],0),MATCH(LEFT($D754,5),Job_Training[[#Headers],[Solar]:[Wind]],0)),0)</f>
        <v>2.8199999999999999E-2</v>
      </c>
      <c r="AN754" s="63">
        <f>IFERROR(INDEX(Job_Training[[Solar]:[Wind]],MATCH(AN$1,Job_Training[[`Typical Entry Level Education`]:[`Typical Entry Level Education`]],0),MATCH(LEFT($D754,5),Job_Training[[#Headers],[Solar]:[Wind]],0)),0)</f>
        <v>3.3399999999999999E-2</v>
      </c>
      <c r="AO754" s="63">
        <f>IFERROR(INDEX(Job_Training[[Solar]:[Wind]],MATCH(AO$1,Job_Training[[`Typical Entry Level Education`]:[`Typical Entry Level Education`]],0),MATCH(LEFT($D754,5),Job_Training[[#Headers],[Solar]:[Wind]],0)),0)</f>
        <v>5.62E-3</v>
      </c>
      <c r="AP754">
        <f t="shared" si="213"/>
        <v>320.625</v>
      </c>
      <c r="AQ754" s="63">
        <f>IF(AP754&gt;0,IFERROR(INDEX(Assumptions!$C$165:$D$165,MATCH(LEFT($D754,5),Job_Training[[#Headers],[Solar]:[Wind]],0)),0),0)</f>
        <v>0.10181999999999999</v>
      </c>
      <c r="AR754">
        <f>IF(AP754&gt;0,IFERROR(INDEX(Assumptions!$C$166:$D$166,MATCH(LEFT($D754,5),Job_Training[[#Headers],[Solar]:[Wind]],0)),0),0)</f>
        <v>6.1091999999999995</v>
      </c>
    </row>
    <row r="755" spans="1:44" hidden="1" x14ac:dyDescent="0.35">
      <c r="A755" t="str">
        <f>UserInput!$B$56</f>
        <v>Max Buildout</v>
      </c>
      <c r="B755" s="23">
        <v>2043</v>
      </c>
      <c r="C755" s="23" t="s">
        <v>78</v>
      </c>
      <c r="D755" s="23" t="s">
        <v>97</v>
      </c>
      <c r="E755" s="40">
        <f>SUMIFS($E$506:$E$736,$B$506:$B$736,B755,$C$506:$C$736,C755)*1000*Assumptions!$C$8/1000/8760/0.3</f>
        <v>4488.75</v>
      </c>
      <c r="F755" s="23" t="s">
        <v>81</v>
      </c>
      <c r="H755" s="63"/>
      <c r="I755" s="63"/>
      <c r="J755" s="63"/>
      <c r="K755" s="30">
        <f>IF(OR(LEFT($D755,5)="Solar",$D755="Wind"),INDEX(Land_Use[AVG],MATCH(LEFT($D755,5),Land_Use[Tech],0)),0)*$E755</f>
        <v>15710.625</v>
      </c>
      <c r="L755" s="30">
        <f>IF(OR(LEFT($D755,5)="Solar",$D755="Wind"),INDEX(Land_Use[MIN],MATCH(LEFT($D755,5),Land_Use[Tech],0)),0)*$E755</f>
        <v>12568.5</v>
      </c>
      <c r="M755" s="30">
        <f>IF(OR(LEFT($D755,5)="Solar",$D755="Wind"),INDEX(Land_Use[MAX],MATCH(LEFT($D755,5),Land_Use[Tech],0)),0)*$E755</f>
        <v>18852.75</v>
      </c>
      <c r="N755" s="13">
        <f t="shared" si="199"/>
        <v>0</v>
      </c>
      <c r="O755" s="13">
        <f t="shared" si="200"/>
        <v>219948.75</v>
      </c>
      <c r="P755" s="13">
        <f t="shared" si="201"/>
        <v>21994.875</v>
      </c>
      <c r="Q755" s="13">
        <f t="shared" si="202"/>
        <v>3927656.25</v>
      </c>
      <c r="R755" s="13">
        <f t="shared" si="203"/>
        <v>4870.2937499999998</v>
      </c>
      <c r="S755" s="30">
        <f t="shared" si="207"/>
        <v>11.093624999999999</v>
      </c>
      <c r="T755" s="30">
        <f t="shared" si="208"/>
        <v>9.0416249999999998</v>
      </c>
      <c r="U755" s="30">
        <f t="shared" si="209"/>
        <v>10.708874999999999</v>
      </c>
      <c r="V755" s="30">
        <f t="shared" si="210"/>
        <v>1.8019125</v>
      </c>
      <c r="W755" s="30">
        <f t="shared" si="211"/>
        <v>32.646037499999998</v>
      </c>
      <c r="X755" s="30">
        <f t="shared" si="212"/>
        <v>1958.7622499999998</v>
      </c>
      <c r="Z755" s="23" t="s">
        <v>76</v>
      </c>
      <c r="AA755" s="40"/>
      <c r="AB755" s="67"/>
      <c r="AC755" s="67"/>
      <c r="AD755" s="39"/>
      <c r="AE755" s="39"/>
      <c r="AF755" s="39"/>
      <c r="AG755" s="68"/>
      <c r="AH755">
        <v>14</v>
      </c>
      <c r="AI755">
        <v>1.4</v>
      </c>
      <c r="AJ755">
        <v>250</v>
      </c>
      <c r="AK755">
        <v>0.31</v>
      </c>
      <c r="AL755" s="63">
        <f>IFERROR(INDEX(Job_Training[[Solar]:[Wind]],MATCH(AL$1,Job_Training[[`Typical Entry Level Education`]:[`Typical Entry Level Education`]],0),MATCH(LEFT($D755,5),Job_Training[[#Headers],[Solar]:[Wind]],0)),0)</f>
        <v>3.4599999999999999E-2</v>
      </c>
      <c r="AM755" s="63">
        <f>IFERROR(INDEX(Job_Training[[Solar]:[Wind]],MATCH(AM$1,Job_Training[[`Typical Entry Level Education`]:[`Typical Entry Level Education`]],0),MATCH(LEFT($D755,5),Job_Training[[#Headers],[Solar]:[Wind]],0)),0)</f>
        <v>2.8199999999999999E-2</v>
      </c>
      <c r="AN755" s="63">
        <f>IFERROR(INDEX(Job_Training[[Solar]:[Wind]],MATCH(AN$1,Job_Training[[`Typical Entry Level Education`]:[`Typical Entry Level Education`]],0),MATCH(LEFT($D755,5),Job_Training[[#Headers],[Solar]:[Wind]],0)),0)</f>
        <v>3.3399999999999999E-2</v>
      </c>
      <c r="AO755" s="63">
        <f>IFERROR(INDEX(Job_Training[[Solar]:[Wind]],MATCH(AO$1,Job_Training[[`Typical Entry Level Education`]:[`Typical Entry Level Education`]],0),MATCH(LEFT($D755,5),Job_Training[[#Headers],[Solar]:[Wind]],0)),0)</f>
        <v>5.62E-3</v>
      </c>
      <c r="AP755">
        <f t="shared" si="213"/>
        <v>320.625</v>
      </c>
      <c r="AQ755" s="63">
        <f>IF(AP755&gt;0,IFERROR(INDEX(Assumptions!$C$165:$D$165,MATCH(LEFT($D755,5),Job_Training[[#Headers],[Solar]:[Wind]],0)),0),0)</f>
        <v>0.10181999999999999</v>
      </c>
      <c r="AR755">
        <f>IF(AP755&gt;0,IFERROR(INDEX(Assumptions!$C$166:$D$166,MATCH(LEFT($D755,5),Job_Training[[#Headers],[Solar]:[Wind]],0)),0),0)</f>
        <v>6.1091999999999995</v>
      </c>
    </row>
    <row r="756" spans="1:44" hidden="1" x14ac:dyDescent="0.35">
      <c r="A756" t="str">
        <f>UserInput!$B$56</f>
        <v>Max Buildout</v>
      </c>
      <c r="B756" s="23">
        <v>2044</v>
      </c>
      <c r="C756" s="23" t="s">
        <v>78</v>
      </c>
      <c r="D756" s="23" t="s">
        <v>97</v>
      </c>
      <c r="E756" s="40">
        <f>SUMIFS($E$506:$E$736,$B$506:$B$736,B756,$C$506:$C$736,C756)*1000*Assumptions!$C$8/1000/8760/0.3</f>
        <v>4809.375</v>
      </c>
      <c r="F756" s="23" t="s">
        <v>81</v>
      </c>
      <c r="H756" s="63"/>
      <c r="I756" s="63"/>
      <c r="J756" s="63"/>
      <c r="K756" s="30">
        <f>IF(OR(LEFT($D756,5)="Solar",$D756="Wind"),INDEX(Land_Use[AVG],MATCH(LEFT($D756,5),Land_Use[Tech],0)),0)*$E756</f>
        <v>16832.8125</v>
      </c>
      <c r="L756" s="30">
        <f>IF(OR(LEFT($D756,5)="Solar",$D756="Wind"),INDEX(Land_Use[MIN],MATCH(LEFT($D756,5),Land_Use[Tech],0)),0)*$E756</f>
        <v>13466.25</v>
      </c>
      <c r="M756" s="30">
        <f>IF(OR(LEFT($D756,5)="Solar",$D756="Wind"),INDEX(Land_Use[MAX],MATCH(LEFT($D756,5),Land_Use[Tech],0)),0)*$E756</f>
        <v>20199.375</v>
      </c>
      <c r="N756" s="13">
        <f t="shared" si="199"/>
        <v>0</v>
      </c>
      <c r="O756" s="13">
        <f t="shared" si="200"/>
        <v>235659.375</v>
      </c>
      <c r="P756" s="13">
        <f t="shared" si="201"/>
        <v>23565.9375</v>
      </c>
      <c r="Q756" s="13">
        <f t="shared" si="202"/>
        <v>4208203.125</v>
      </c>
      <c r="R756" s="13">
        <f t="shared" si="203"/>
        <v>5218.171875</v>
      </c>
      <c r="S756" s="30">
        <f t="shared" si="207"/>
        <v>11.093624999999999</v>
      </c>
      <c r="T756" s="30">
        <f t="shared" si="208"/>
        <v>9.0416249999999998</v>
      </c>
      <c r="U756" s="30">
        <f t="shared" si="209"/>
        <v>10.708874999999999</v>
      </c>
      <c r="V756" s="30">
        <f t="shared" si="210"/>
        <v>1.8019125</v>
      </c>
      <c r="W756" s="30">
        <f t="shared" si="211"/>
        <v>32.646037499999998</v>
      </c>
      <c r="X756" s="30">
        <f t="shared" si="212"/>
        <v>1958.7622499999998</v>
      </c>
      <c r="Z756" s="23" t="s">
        <v>76</v>
      </c>
      <c r="AA756" s="40"/>
      <c r="AB756" s="67"/>
      <c r="AC756" s="67"/>
      <c r="AD756" s="39"/>
      <c r="AE756" s="39"/>
      <c r="AF756" s="39"/>
      <c r="AG756" s="68"/>
      <c r="AH756">
        <v>14</v>
      </c>
      <c r="AI756">
        <v>1.4</v>
      </c>
      <c r="AJ756">
        <v>250</v>
      </c>
      <c r="AK756">
        <v>0.31</v>
      </c>
      <c r="AL756" s="63">
        <f>IFERROR(INDEX(Job_Training[[Solar]:[Wind]],MATCH(AL$1,Job_Training[[`Typical Entry Level Education`]:[`Typical Entry Level Education`]],0),MATCH(LEFT($D756,5),Job_Training[[#Headers],[Solar]:[Wind]],0)),0)</f>
        <v>3.4599999999999999E-2</v>
      </c>
      <c r="AM756" s="63">
        <f>IFERROR(INDEX(Job_Training[[Solar]:[Wind]],MATCH(AM$1,Job_Training[[`Typical Entry Level Education`]:[`Typical Entry Level Education`]],0),MATCH(LEFT($D756,5),Job_Training[[#Headers],[Solar]:[Wind]],0)),0)</f>
        <v>2.8199999999999999E-2</v>
      </c>
      <c r="AN756" s="63">
        <f>IFERROR(INDEX(Job_Training[[Solar]:[Wind]],MATCH(AN$1,Job_Training[[`Typical Entry Level Education`]:[`Typical Entry Level Education`]],0),MATCH(LEFT($D756,5),Job_Training[[#Headers],[Solar]:[Wind]],0)),0)</f>
        <v>3.3399999999999999E-2</v>
      </c>
      <c r="AO756" s="63">
        <f>IFERROR(INDEX(Job_Training[[Solar]:[Wind]],MATCH(AO$1,Job_Training[[`Typical Entry Level Education`]:[`Typical Entry Level Education`]],0),MATCH(LEFT($D756,5),Job_Training[[#Headers],[Solar]:[Wind]],0)),0)</f>
        <v>5.62E-3</v>
      </c>
      <c r="AP756">
        <f t="shared" si="213"/>
        <v>320.625</v>
      </c>
      <c r="AQ756" s="63">
        <f>IF(AP756&gt;0,IFERROR(INDEX(Assumptions!$C$165:$D$165,MATCH(LEFT($D756,5),Job_Training[[#Headers],[Solar]:[Wind]],0)),0),0)</f>
        <v>0.10181999999999999</v>
      </c>
      <c r="AR756">
        <f>IF(AP756&gt;0,IFERROR(INDEX(Assumptions!$C$166:$D$166,MATCH(LEFT($D756,5),Job_Training[[#Headers],[Solar]:[Wind]],0)),0),0)</f>
        <v>6.1091999999999995</v>
      </c>
    </row>
    <row r="757" spans="1:44" hidden="1" x14ac:dyDescent="0.35">
      <c r="A757" t="str">
        <f>UserInput!$B$56</f>
        <v>Max Buildout</v>
      </c>
      <c r="B757" s="23">
        <v>2045</v>
      </c>
      <c r="C757" s="23" t="s">
        <v>78</v>
      </c>
      <c r="D757" s="23" t="s">
        <v>97</v>
      </c>
      <c r="E757" s="40">
        <f>SUMIFS($E$506:$E$736,$B$506:$B$736,B757,$C$506:$C$736,C757)*1000*Assumptions!$C$8/1000/8760/0.3</f>
        <v>5130</v>
      </c>
      <c r="F757" s="23" t="s">
        <v>81</v>
      </c>
      <c r="H757" s="63"/>
      <c r="I757" s="63"/>
      <c r="J757" s="63"/>
      <c r="K757" s="30">
        <f>IF(OR(LEFT($D757,5)="Solar",$D757="Wind"),INDEX(Land_Use[AVG],MATCH(LEFT($D757,5),Land_Use[Tech],0)),0)*$E757</f>
        <v>17955</v>
      </c>
      <c r="L757" s="30">
        <f>IF(OR(LEFT($D757,5)="Solar",$D757="Wind"),INDEX(Land_Use[MIN],MATCH(LEFT($D757,5),Land_Use[Tech],0)),0)*$E757</f>
        <v>14363.999999999998</v>
      </c>
      <c r="M757" s="30">
        <f>IF(OR(LEFT($D757,5)="Solar",$D757="Wind"),INDEX(Land_Use[MAX],MATCH(LEFT($D757,5),Land_Use[Tech],0)),0)*$E757</f>
        <v>21546</v>
      </c>
      <c r="N757" s="13">
        <f t="shared" ref="N757:N820" si="215">E757*AG757*1000/1000000</f>
        <v>0</v>
      </c>
      <c r="O757" s="13">
        <f t="shared" ref="O757:O820" si="216">$K757*AH$2</f>
        <v>251370</v>
      </c>
      <c r="P757" s="13">
        <f t="shared" ref="P757:P820" si="217">$K757*AI$2</f>
        <v>25137</v>
      </c>
      <c r="Q757" s="13">
        <f t="shared" ref="Q757:Q820" si="218">$K757*AJ$2</f>
        <v>4488750</v>
      </c>
      <c r="R757" s="13">
        <f t="shared" ref="R757:R820" si="219">$K757*AK$2</f>
        <v>5566.05</v>
      </c>
      <c r="S757" s="30">
        <f t="shared" si="207"/>
        <v>11.093624999999999</v>
      </c>
      <c r="T757" s="30">
        <f t="shared" si="208"/>
        <v>9.0416249999999998</v>
      </c>
      <c r="U757" s="30">
        <f t="shared" si="209"/>
        <v>10.708874999999999</v>
      </c>
      <c r="V757" s="30">
        <f t="shared" si="210"/>
        <v>1.8019125</v>
      </c>
      <c r="W757" s="30">
        <f t="shared" si="211"/>
        <v>32.646037499999998</v>
      </c>
      <c r="X757" s="30">
        <f t="shared" si="212"/>
        <v>1958.7622499999998</v>
      </c>
      <c r="Z757" s="23" t="s">
        <v>76</v>
      </c>
      <c r="AA757" s="40"/>
      <c r="AB757" s="67"/>
      <c r="AC757" s="67"/>
      <c r="AD757" s="39"/>
      <c r="AE757" s="39"/>
      <c r="AF757" s="39"/>
      <c r="AG757" s="68"/>
      <c r="AH757">
        <v>14</v>
      </c>
      <c r="AI757">
        <v>1.4</v>
      </c>
      <c r="AJ757">
        <v>250</v>
      </c>
      <c r="AK757">
        <v>0.31</v>
      </c>
      <c r="AL757" s="63">
        <f>IFERROR(INDEX(Job_Training[[Solar]:[Wind]],MATCH(AL$1,Job_Training[[`Typical Entry Level Education`]:[`Typical Entry Level Education`]],0),MATCH(LEFT($D757,5),Job_Training[[#Headers],[Solar]:[Wind]],0)),0)</f>
        <v>3.4599999999999999E-2</v>
      </c>
      <c r="AM757" s="63">
        <f>IFERROR(INDEX(Job_Training[[Solar]:[Wind]],MATCH(AM$1,Job_Training[[`Typical Entry Level Education`]:[`Typical Entry Level Education`]],0),MATCH(LEFT($D757,5),Job_Training[[#Headers],[Solar]:[Wind]],0)),0)</f>
        <v>2.8199999999999999E-2</v>
      </c>
      <c r="AN757" s="63">
        <f>IFERROR(INDEX(Job_Training[[Solar]:[Wind]],MATCH(AN$1,Job_Training[[`Typical Entry Level Education`]:[`Typical Entry Level Education`]],0),MATCH(LEFT($D757,5),Job_Training[[#Headers],[Solar]:[Wind]],0)),0)</f>
        <v>3.3399999999999999E-2</v>
      </c>
      <c r="AO757" s="63">
        <f>IFERROR(INDEX(Job_Training[[Solar]:[Wind]],MATCH(AO$1,Job_Training[[`Typical Entry Level Education`]:[`Typical Entry Level Education`]],0),MATCH(LEFT($D757,5),Job_Training[[#Headers],[Solar]:[Wind]],0)),0)</f>
        <v>5.62E-3</v>
      </c>
      <c r="AP757">
        <f t="shared" si="213"/>
        <v>320.625</v>
      </c>
      <c r="AQ757" s="63">
        <f>IF(AP757&gt;0,IFERROR(INDEX(Assumptions!$C$165:$D$165,MATCH(LEFT($D757,5),Job_Training[[#Headers],[Solar]:[Wind]],0)),0),0)</f>
        <v>0.10181999999999999</v>
      </c>
      <c r="AR757">
        <f>IF(AP757&gt;0,IFERROR(INDEX(Assumptions!$C$166:$D$166,MATCH(LEFT($D757,5),Job_Training[[#Headers],[Solar]:[Wind]],0)),0),0)</f>
        <v>6.1091999999999995</v>
      </c>
    </row>
    <row r="758" spans="1:44" hidden="1" x14ac:dyDescent="0.35">
      <c r="A758" t="str">
        <f>UserInput!$B$82</f>
        <v>Incremental Buildout</v>
      </c>
      <c r="B758">
        <v>2025</v>
      </c>
      <c r="C758" s="16" t="s">
        <v>73</v>
      </c>
      <c r="D758" t="s">
        <v>74</v>
      </c>
      <c r="E758" s="66">
        <f>INDEX(UserInput!$C$82:$M$102,MATCH(UserMade_Scenario!B758,UserInput!$A$82:$A$102,0),MATCH(LEFT(IF(RIGHT(C758,2)="H2",UserMade_Scenario!C758,D758),3),UserInput!$C$25:$M$25,0))</f>
        <v>476.1904761904762</v>
      </c>
      <c r="F758" s="14" t="s">
        <v>75</v>
      </c>
      <c r="G758" s="14">
        <f t="shared" ref="G758:G799" si="220">E758*AB758</f>
        <v>5.7142857142857142E-5</v>
      </c>
      <c r="H758" s="63">
        <f>IF($C758="Electricity",$AA758/1000000,$G758)*AD758*-1</f>
        <v>1.4835579141662997E-3</v>
      </c>
      <c r="I758" s="63">
        <f>IF($C758="Electricity",$AA758/1000000,$G758)*AE758*-1</f>
        <v>1.4212466960424137E-3</v>
      </c>
      <c r="J758" s="63">
        <f>IF($C758="Electricity",$AA758/1000000,$G758)*AF758*-1</f>
        <v>1.5458691322901854E-3</v>
      </c>
      <c r="K758" s="30">
        <f>IF(OR(LEFT($D758,5)="Solar",$D758="Wind"),INDEX(Land_Use[AVG],MATCH(LEFT($D758,5),Land_Use[Tech],0)),0)*$E758</f>
        <v>0</v>
      </c>
      <c r="L758" s="30">
        <f>IF(OR(LEFT($D758,5)="Solar",$D758="Wind"),INDEX(Land_Use[MIN],MATCH(LEFT($D758,5),Land_Use[Tech],0)),0)*$E758</f>
        <v>0</v>
      </c>
      <c r="M758" s="30">
        <f>IF(OR(LEFT($D758,5)="Solar",$D758="Wind"),INDEX(Land_Use[MAX],MATCH(LEFT($D758,5),Land_Use[Tech],0)),0)*$E758</f>
        <v>0</v>
      </c>
      <c r="N758" s="11">
        <f t="shared" si="215"/>
        <v>1.3333333333333333</v>
      </c>
      <c r="O758" s="11">
        <f t="shared" si="216"/>
        <v>0</v>
      </c>
      <c r="P758" s="11">
        <f t="shared" si="217"/>
        <v>0</v>
      </c>
      <c r="Q758" s="11">
        <f t="shared" si="218"/>
        <v>0</v>
      </c>
      <c r="R758" s="11">
        <f t="shared" si="219"/>
        <v>0</v>
      </c>
      <c r="S758" s="30">
        <f t="shared" si="207"/>
        <v>0</v>
      </c>
      <c r="T758" s="30">
        <f t="shared" si="208"/>
        <v>0</v>
      </c>
      <c r="U758" s="30">
        <f t="shared" si="209"/>
        <v>0</v>
      </c>
      <c r="V758" s="30">
        <f t="shared" si="210"/>
        <v>0</v>
      </c>
      <c r="W758" s="30">
        <f t="shared" si="211"/>
        <v>0</v>
      </c>
      <c r="X758" s="30">
        <f t="shared" si="212"/>
        <v>0</v>
      </c>
      <c r="Z758" s="23" t="s">
        <v>76</v>
      </c>
      <c r="AA758" s="40" t="str">
        <f>IF(C758="Electricity",E758*SUMIFS(Electricity!S:S,Electricity!P:P,UserMade_Scenario!B758,Electricity!M:M,UserMade_Scenario!Z758,Electricity!O:O,UserMade_Scenario!D758),"")</f>
        <v/>
      </c>
      <c r="AB758" s="76">
        <f>1000*Assumptions!$B$17/1000000000000</f>
        <v>1.1999999999999999E-7</v>
      </c>
      <c r="AC758" s="67" t="s">
        <v>77</v>
      </c>
      <c r="AD758" s="39">
        <f>SUMIFS(Hydrogen!AK:AK,Hydrogen!$AA:$AA,UserMade_Scenario!$Z758,Hydrogen!$Y:$Y,UserMade_Scenario!$D758,Hydrogen!$AB:$AB,UserMade_Scenario!$B758,Hydrogen!$Z:$Z,UserMade_Scenario!$C758)</f>
        <v>-25.962263497910243</v>
      </c>
      <c r="AE758" s="39">
        <f>SUMIFS(Hydrogen!AL:AL,Hydrogen!$AA:$AA,UserMade_Scenario!$Z758,Hydrogen!$Y:$Y,UserMade_Scenario!$D758,Hydrogen!$AB:$AB,UserMade_Scenario!$B758,Hydrogen!$Z:$Z,UserMade_Scenario!$C758)</f>
        <v>-24.871817180742241</v>
      </c>
      <c r="AF758" s="39">
        <f>SUMIFS(Hydrogen!AM:AM,Hydrogen!$AA:$AA,UserMade_Scenario!$Z758,Hydrogen!$Y:$Y,UserMade_Scenario!$D758,Hydrogen!$AB:$AB,UserMade_Scenario!$B758,Hydrogen!$Z:$Z,UserMade_Scenario!$C758)</f>
        <v>-27.052709815078245</v>
      </c>
      <c r="AG758" s="68">
        <f>IFERROR(INDEX(WaterUseH2[Average Direct Water Consumption (Gal/ kg h2)],MATCH(LEFT(D758,3),WaterUseH2[Key],0)),0)</f>
        <v>2.8</v>
      </c>
      <c r="AH758">
        <v>14</v>
      </c>
      <c r="AI758">
        <v>1.4</v>
      </c>
      <c r="AJ758">
        <v>250</v>
      </c>
      <c r="AK758">
        <v>0.31</v>
      </c>
      <c r="AL758" s="63">
        <f>IFERROR(INDEX(Job_Training[[Solar]:[Wind]],MATCH(AL$1,Job_Training[[`Typical Entry Level Education`]:[`Typical Entry Level Education`]],0),MATCH(LEFT($D758,5),Job_Training[[#Headers],[Solar]:[Wind]],0)),0)</f>
        <v>0</v>
      </c>
      <c r="AM758" s="63">
        <f>IFERROR(INDEX(Job_Training[[Solar]:[Wind]],MATCH(AM$1,Job_Training[[`Typical Entry Level Education`]:[`Typical Entry Level Education`]],0),MATCH(LEFT($D758,5),Job_Training[[#Headers],[Solar]:[Wind]],0)),0)</f>
        <v>0</v>
      </c>
      <c r="AN758" s="63">
        <f>IFERROR(INDEX(Job_Training[[Solar]:[Wind]],MATCH(AN$1,Job_Training[[`Typical Entry Level Education`]:[`Typical Entry Level Education`]],0),MATCH(LEFT($D758,5),Job_Training[[#Headers],[Solar]:[Wind]],0)),0)</f>
        <v>0</v>
      </c>
      <c r="AO758" s="63">
        <f>IFERROR(INDEX(Job_Training[[Solar]:[Wind]],MATCH(AO$1,Job_Training[[`Typical Entry Level Education`]:[`Typical Entry Level Education`]],0),MATCH(LEFT($D758,5),Job_Training[[#Headers],[Solar]:[Wind]],0)),0)</f>
        <v>0</v>
      </c>
      <c r="AP758">
        <f t="shared" si="213"/>
        <v>0</v>
      </c>
      <c r="AQ758" s="63">
        <f>IF(AP758&gt;0,IFERROR(INDEX(Assumptions!$C$165:$D$165,MATCH(LEFT($D758,5),Job_Training[[#Headers],[Solar]:[Wind]],0)),0),0)</f>
        <v>0</v>
      </c>
      <c r="AR758">
        <f>IF(AP758&gt;0,IFERROR(INDEX(Assumptions!$C$166:$D$166,MATCH(LEFT($D758,5),Job_Training[[#Headers],[Solar]:[Wind]],0)),0),0)</f>
        <v>0</v>
      </c>
    </row>
    <row r="759" spans="1:44" hidden="1" x14ac:dyDescent="0.35">
      <c r="A759" t="str">
        <f>UserInput!$B$82</f>
        <v>Incremental Buildout</v>
      </c>
      <c r="B759">
        <v>2026</v>
      </c>
      <c r="C759" s="16" t="s">
        <v>73</v>
      </c>
      <c r="D759" t="s">
        <v>74</v>
      </c>
      <c r="E759" s="66">
        <f>INDEX(UserInput!$C$82:$M$102,MATCH(UserMade_Scenario!B759,UserInput!$A$82:$A$102,0),MATCH(LEFT(IF(RIGHT(C759,2)="H2",UserMade_Scenario!C759,D759),3),UserInput!$C$25:$M$25,0))</f>
        <v>952.38095238095241</v>
      </c>
      <c r="F759" s="14" t="s">
        <v>75</v>
      </c>
      <c r="G759" s="14">
        <f t="shared" si="220"/>
        <v>1.1428571428571428E-4</v>
      </c>
      <c r="H759" s="63">
        <f t="shared" ref="H759:H822" si="221">IF($C759="Electricity",$AA759/1000000,$G759)*AD759*-1</f>
        <v>2.9261139723698697E-3</v>
      </c>
      <c r="I759" s="63">
        <f t="shared" ref="I759:I822" si="222">IF($C759="Electricity",$AA759/1000000,$G759)*AE759*-1</f>
        <v>2.7604896801593686E-3</v>
      </c>
      <c r="J759" s="63">
        <f t="shared" ref="J759:J822" si="223">IF($C759="Electricity",$AA759/1000000,$G759)*AF759*-1</f>
        <v>3.0917382645803708E-3</v>
      </c>
      <c r="K759" s="30">
        <f>IF(OR(LEFT($D759,5)="Solar",$D759="Wind"),INDEX(Land_Use[AVG],MATCH(LEFT($D759,5),Land_Use[Tech],0)),0)*$E759</f>
        <v>0</v>
      </c>
      <c r="L759" s="30">
        <f>IF(OR(LEFT($D759,5)="Solar",$D759="Wind"),INDEX(Land_Use[MIN],MATCH(LEFT($D759,5),Land_Use[Tech],0)),0)*$E759</f>
        <v>0</v>
      </c>
      <c r="M759" s="30">
        <f>IF(OR(LEFT($D759,5)="Solar",$D759="Wind"),INDEX(Land_Use[MAX],MATCH(LEFT($D759,5),Land_Use[Tech],0)),0)*$E759</f>
        <v>0</v>
      </c>
      <c r="N759" s="15">
        <f t="shared" si="215"/>
        <v>2.6666666666666665</v>
      </c>
      <c r="O759" s="11">
        <f t="shared" si="216"/>
        <v>0</v>
      </c>
      <c r="P759" s="11">
        <f t="shared" si="217"/>
        <v>0</v>
      </c>
      <c r="Q759" s="11">
        <f t="shared" si="218"/>
        <v>0</v>
      </c>
      <c r="R759" s="11">
        <f t="shared" si="219"/>
        <v>0</v>
      </c>
      <c r="S759" s="30">
        <f t="shared" si="207"/>
        <v>0</v>
      </c>
      <c r="T759" s="30">
        <f t="shared" si="208"/>
        <v>0</v>
      </c>
      <c r="U759" s="30">
        <f t="shared" si="209"/>
        <v>0</v>
      </c>
      <c r="V759" s="30">
        <f t="shared" si="210"/>
        <v>0</v>
      </c>
      <c r="W759" s="30">
        <f t="shared" si="211"/>
        <v>0</v>
      </c>
      <c r="X759" s="30">
        <f t="shared" si="212"/>
        <v>0</v>
      </c>
      <c r="Z759" s="23" t="s">
        <v>76</v>
      </c>
      <c r="AA759" s="40" t="str">
        <f>IF(C759="Electricity",E759*SUMIFS(Electricity!S:S,Electricity!P:P,UserMade_Scenario!B759,Electricity!M:M,UserMade_Scenario!Z759,Electricity!O:O,UserMade_Scenario!D759),"")</f>
        <v/>
      </c>
      <c r="AB759" s="76">
        <f>1000*Assumptions!$B$17/1000000000000</f>
        <v>1.1999999999999999E-7</v>
      </c>
      <c r="AC759" s="67" t="s">
        <v>77</v>
      </c>
      <c r="AD759" s="39">
        <f>SUMIFS(Hydrogen!AK:AK,Hydrogen!$AA:$AA,UserMade_Scenario!$Z759,Hydrogen!$Y:$Y,UserMade_Scenario!$D759,Hydrogen!$AB:$AB,UserMade_Scenario!$B759,Hydrogen!$Z:$Z,UserMade_Scenario!$C759)</f>
        <v>-25.603497258236359</v>
      </c>
      <c r="AE759" s="39">
        <f>SUMIFS(Hydrogen!AL:AL,Hydrogen!$AA:$AA,UserMade_Scenario!$Z759,Hydrogen!$Y:$Y,UserMade_Scenario!$D759,Hydrogen!$AB:$AB,UserMade_Scenario!$B759,Hydrogen!$Z:$Z,UserMade_Scenario!$C759)</f>
        <v>-24.154284701394474</v>
      </c>
      <c r="AF759" s="39">
        <f>SUMIFS(Hydrogen!AM:AM,Hydrogen!$AA:$AA,UserMade_Scenario!$Z759,Hydrogen!$Y:$Y,UserMade_Scenario!$D759,Hydrogen!$AB:$AB,UserMade_Scenario!$B759,Hydrogen!$Z:$Z,UserMade_Scenario!$C759)</f>
        <v>-27.052709815078245</v>
      </c>
      <c r="AG759" s="68">
        <f>IFERROR(INDEX(WaterUseH2[Average Direct Water Consumption (Gal/ kg h2)],MATCH(LEFT(D759,3),WaterUseH2[Key],0)),0)</f>
        <v>2.8</v>
      </c>
      <c r="AH759">
        <v>14</v>
      </c>
      <c r="AI759">
        <v>1.4</v>
      </c>
      <c r="AJ759">
        <v>250</v>
      </c>
      <c r="AK759">
        <v>0.31</v>
      </c>
      <c r="AL759" s="63">
        <f>IFERROR(INDEX(Job_Training[[Solar]:[Wind]],MATCH(AL$1,Job_Training[[`Typical Entry Level Education`]:[`Typical Entry Level Education`]],0),MATCH(LEFT($D759,5),Job_Training[[#Headers],[Solar]:[Wind]],0)),0)</f>
        <v>0</v>
      </c>
      <c r="AM759" s="63">
        <f>IFERROR(INDEX(Job_Training[[Solar]:[Wind]],MATCH(AM$1,Job_Training[[`Typical Entry Level Education`]:[`Typical Entry Level Education`]],0),MATCH(LEFT($D759,5),Job_Training[[#Headers],[Solar]:[Wind]],0)),0)</f>
        <v>0</v>
      </c>
      <c r="AN759" s="63">
        <f>IFERROR(INDEX(Job_Training[[Solar]:[Wind]],MATCH(AN$1,Job_Training[[`Typical Entry Level Education`]:[`Typical Entry Level Education`]],0),MATCH(LEFT($D759,5),Job_Training[[#Headers],[Solar]:[Wind]],0)),0)</f>
        <v>0</v>
      </c>
      <c r="AO759" s="63">
        <f>IFERROR(INDEX(Job_Training[[Solar]:[Wind]],MATCH(AO$1,Job_Training[[`Typical Entry Level Education`]:[`Typical Entry Level Education`]],0),MATCH(LEFT($D759,5),Job_Training[[#Headers],[Solar]:[Wind]],0)),0)</f>
        <v>0</v>
      </c>
      <c r="AP759">
        <f t="shared" si="213"/>
        <v>0</v>
      </c>
      <c r="AQ759" s="63">
        <f>IF(AP759&gt;0,IFERROR(INDEX(Assumptions!$C$165:$D$165,MATCH(LEFT($D759,5),Job_Training[[#Headers],[Solar]:[Wind]],0)),0),0)</f>
        <v>0</v>
      </c>
      <c r="AR759">
        <f>IF(AP759&gt;0,IFERROR(INDEX(Assumptions!$C$166:$D$166,MATCH(LEFT($D759,5),Job_Training[[#Headers],[Solar]:[Wind]],0)),0),0)</f>
        <v>0</v>
      </c>
    </row>
    <row r="760" spans="1:44" hidden="1" x14ac:dyDescent="0.35">
      <c r="A760" t="str">
        <f>UserInput!$B$82</f>
        <v>Incremental Buildout</v>
      </c>
      <c r="B760">
        <v>2027</v>
      </c>
      <c r="C760" s="16" t="s">
        <v>73</v>
      </c>
      <c r="D760" t="s">
        <v>74</v>
      </c>
      <c r="E760" s="66">
        <f>INDEX(UserInput!$C$82:$M$102,MATCH(UserMade_Scenario!B760,UserInput!$A$82:$A$102,0),MATCH(LEFT(IF(RIGHT(C760,2)="H2",UserMade_Scenario!C760,D760),3),UserInput!$C$25:$M$25,0))</f>
        <v>1428.5714285714287</v>
      </c>
      <c r="F760" s="14" t="s">
        <v>75</v>
      </c>
      <c r="G760" s="14">
        <f t="shared" si="220"/>
        <v>1.7142857142857143E-4</v>
      </c>
      <c r="H760" s="63">
        <f t="shared" si="221"/>
        <v>4.3140251548179995E-3</v>
      </c>
      <c r="I760" s="63">
        <f t="shared" si="222"/>
        <v>3.9904429127654425E-3</v>
      </c>
      <c r="J760" s="63">
        <f t="shared" si="223"/>
        <v>4.6376073968705566E-3</v>
      </c>
      <c r="K760" s="30">
        <f>IF(OR(LEFT($D760,5)="Solar",$D760="Wind"),INDEX(Land_Use[AVG],MATCH(LEFT($D760,5),Land_Use[Tech],0)),0)*$E760</f>
        <v>0</v>
      </c>
      <c r="L760" s="30">
        <f>IF(OR(LEFT($D760,5)="Solar",$D760="Wind"),INDEX(Land_Use[MIN],MATCH(LEFT($D760,5),Land_Use[Tech],0)),0)*$E760</f>
        <v>0</v>
      </c>
      <c r="M760" s="30">
        <f>IF(OR(LEFT($D760,5)="Solar",$D760="Wind"),INDEX(Land_Use[MAX],MATCH(LEFT($D760,5),Land_Use[Tech],0)),0)*$E760</f>
        <v>0</v>
      </c>
      <c r="N760" s="15">
        <f t="shared" si="215"/>
        <v>4</v>
      </c>
      <c r="O760" s="11">
        <f t="shared" si="216"/>
        <v>0</v>
      </c>
      <c r="P760" s="11">
        <f t="shared" si="217"/>
        <v>0</v>
      </c>
      <c r="Q760" s="11">
        <f t="shared" si="218"/>
        <v>0</v>
      </c>
      <c r="R760" s="11">
        <f t="shared" si="219"/>
        <v>0</v>
      </c>
      <c r="S760" s="30">
        <f t="shared" si="207"/>
        <v>0</v>
      </c>
      <c r="T760" s="30">
        <f t="shared" si="208"/>
        <v>0</v>
      </c>
      <c r="U760" s="30">
        <f t="shared" si="209"/>
        <v>0</v>
      </c>
      <c r="V760" s="30">
        <f t="shared" si="210"/>
        <v>0</v>
      </c>
      <c r="W760" s="30">
        <f t="shared" si="211"/>
        <v>0</v>
      </c>
      <c r="X760" s="30">
        <f t="shared" si="212"/>
        <v>0</v>
      </c>
      <c r="Z760" s="23" t="s">
        <v>76</v>
      </c>
      <c r="AA760" s="40" t="str">
        <f>IF(C760="Electricity",E760*SUMIFS(Electricity!S:S,Electricity!P:P,UserMade_Scenario!B760,Electricity!M:M,UserMade_Scenario!Z760,Electricity!O:O,UserMade_Scenario!D760),"")</f>
        <v/>
      </c>
      <c r="AB760" s="76">
        <f>1000*Assumptions!$B$17/1000000000000</f>
        <v>1.1999999999999999E-7</v>
      </c>
      <c r="AC760" s="67" t="s">
        <v>77</v>
      </c>
      <c r="AD760" s="39">
        <f>SUMIFS(Hydrogen!AK:AK,Hydrogen!$AA:$AA,UserMade_Scenario!$Z760,Hydrogen!$Y:$Y,UserMade_Scenario!$D760,Hydrogen!$AB:$AB,UserMade_Scenario!$B760,Hydrogen!$Z:$Z,UserMade_Scenario!$C760)</f>
        <v>-25.165146736438331</v>
      </c>
      <c r="AE760" s="39">
        <f>SUMIFS(Hydrogen!AL:AL,Hydrogen!$AA:$AA,UserMade_Scenario!$Z760,Hydrogen!$Y:$Y,UserMade_Scenario!$D760,Hydrogen!$AB:$AB,UserMade_Scenario!$B760,Hydrogen!$Z:$Z,UserMade_Scenario!$C760)</f>
        <v>-23.277583657798417</v>
      </c>
      <c r="AF760" s="39">
        <f>SUMIFS(Hydrogen!AM:AM,Hydrogen!$AA:$AA,UserMade_Scenario!$Z760,Hydrogen!$Y:$Y,UserMade_Scenario!$D760,Hydrogen!$AB:$AB,UserMade_Scenario!$B760,Hydrogen!$Z:$Z,UserMade_Scenario!$C760)</f>
        <v>-27.052709815078245</v>
      </c>
      <c r="AG760" s="68">
        <f>IFERROR(INDEX(WaterUseH2[Average Direct Water Consumption (Gal/ kg h2)],MATCH(LEFT(D760,3),WaterUseH2[Key],0)),0)</f>
        <v>2.8</v>
      </c>
      <c r="AH760">
        <v>14</v>
      </c>
      <c r="AI760">
        <v>1.4</v>
      </c>
      <c r="AJ760">
        <v>250</v>
      </c>
      <c r="AK760">
        <v>0.31</v>
      </c>
      <c r="AL760" s="63">
        <f>IFERROR(INDEX(Job_Training[[Solar]:[Wind]],MATCH(AL$1,Job_Training[[`Typical Entry Level Education`]:[`Typical Entry Level Education`]],0),MATCH(LEFT($D760,5),Job_Training[[#Headers],[Solar]:[Wind]],0)),0)</f>
        <v>0</v>
      </c>
      <c r="AM760" s="63">
        <f>IFERROR(INDEX(Job_Training[[Solar]:[Wind]],MATCH(AM$1,Job_Training[[`Typical Entry Level Education`]:[`Typical Entry Level Education`]],0),MATCH(LEFT($D760,5),Job_Training[[#Headers],[Solar]:[Wind]],0)),0)</f>
        <v>0</v>
      </c>
      <c r="AN760" s="63">
        <f>IFERROR(INDEX(Job_Training[[Solar]:[Wind]],MATCH(AN$1,Job_Training[[`Typical Entry Level Education`]:[`Typical Entry Level Education`]],0),MATCH(LEFT($D760,5),Job_Training[[#Headers],[Solar]:[Wind]],0)),0)</f>
        <v>0</v>
      </c>
      <c r="AO760" s="63">
        <f>IFERROR(INDEX(Job_Training[[Solar]:[Wind]],MATCH(AO$1,Job_Training[[`Typical Entry Level Education`]:[`Typical Entry Level Education`]],0),MATCH(LEFT($D760,5),Job_Training[[#Headers],[Solar]:[Wind]],0)),0)</f>
        <v>0</v>
      </c>
      <c r="AP760">
        <f t="shared" si="213"/>
        <v>0</v>
      </c>
      <c r="AQ760" s="63">
        <f>IF(AP760&gt;0,IFERROR(INDEX(Assumptions!$C$165:$D$165,MATCH(LEFT($D760,5),Job_Training[[#Headers],[Solar]:[Wind]],0)),0),0)</f>
        <v>0</v>
      </c>
      <c r="AR760">
        <f>IF(AP760&gt;0,IFERROR(INDEX(Assumptions!$C$166:$D$166,MATCH(LEFT($D760,5),Job_Training[[#Headers],[Solar]:[Wind]],0)),0),0)</f>
        <v>0</v>
      </c>
    </row>
    <row r="761" spans="1:44" hidden="1" x14ac:dyDescent="0.35">
      <c r="A761" t="str">
        <f>UserInput!$B$82</f>
        <v>Incremental Buildout</v>
      </c>
      <c r="B761">
        <v>2028</v>
      </c>
      <c r="C761" s="16" t="s">
        <v>73</v>
      </c>
      <c r="D761" t="s">
        <v>74</v>
      </c>
      <c r="E761" s="66">
        <f>INDEX(UserInput!$C$82:$M$102,MATCH(UserMade_Scenario!B761,UserInput!$A$82:$A$102,0),MATCH(LEFT(IF(RIGHT(C761,2)="H2",UserMade_Scenario!C761,D761),3),UserInput!$C$25:$M$25,0))</f>
        <v>1904.7619047619048</v>
      </c>
      <c r="F761" s="14" t="s">
        <v>75</v>
      </c>
      <c r="G761" s="14">
        <f t="shared" si="220"/>
        <v>2.2857142857142857E-4</v>
      </c>
      <c r="H761" s="63">
        <f t="shared" si="221"/>
        <v>5.6437906078514498E-3</v>
      </c>
      <c r="I761" s="63">
        <f t="shared" si="222"/>
        <v>5.1041046865421581E-3</v>
      </c>
      <c r="J761" s="63">
        <f t="shared" si="223"/>
        <v>6.1834765291607415E-3</v>
      </c>
      <c r="K761" s="30">
        <f>IF(OR(LEFT($D761,5)="Solar",$D761="Wind"),INDEX(Land_Use[AVG],MATCH(LEFT($D761,5),Land_Use[Tech],0)),0)*$E761</f>
        <v>0</v>
      </c>
      <c r="L761" s="30">
        <f>IF(OR(LEFT($D761,5)="Solar",$D761="Wind"),INDEX(Land_Use[MIN],MATCH(LEFT($D761,5),Land_Use[Tech],0)),0)*$E761</f>
        <v>0</v>
      </c>
      <c r="M761" s="30">
        <f>IF(OR(LEFT($D761,5)="Solar",$D761="Wind"),INDEX(Land_Use[MAX],MATCH(LEFT($D761,5),Land_Use[Tech],0)),0)*$E761</f>
        <v>0</v>
      </c>
      <c r="N761" s="15">
        <f t="shared" si="215"/>
        <v>5.333333333333333</v>
      </c>
      <c r="O761" s="11">
        <f t="shared" si="216"/>
        <v>0</v>
      </c>
      <c r="P761" s="11">
        <f t="shared" si="217"/>
        <v>0</v>
      </c>
      <c r="Q761" s="11">
        <f t="shared" si="218"/>
        <v>0</v>
      </c>
      <c r="R761" s="11">
        <f t="shared" si="219"/>
        <v>0</v>
      </c>
      <c r="S761" s="30">
        <f t="shared" si="207"/>
        <v>0</v>
      </c>
      <c r="T761" s="30">
        <f t="shared" si="208"/>
        <v>0</v>
      </c>
      <c r="U761" s="30">
        <f t="shared" si="209"/>
        <v>0</v>
      </c>
      <c r="V761" s="30">
        <f t="shared" si="210"/>
        <v>0</v>
      </c>
      <c r="W761" s="30">
        <f t="shared" si="211"/>
        <v>0</v>
      </c>
      <c r="X761" s="30">
        <f t="shared" si="212"/>
        <v>0</v>
      </c>
      <c r="Z761" s="23" t="s">
        <v>76</v>
      </c>
      <c r="AA761" s="40" t="str">
        <f>IF(C761="Electricity",E761*SUMIFS(Electricity!S:S,Electricity!P:P,UserMade_Scenario!B761,Electricity!M:M,UserMade_Scenario!Z761,Electricity!O:O,UserMade_Scenario!D761),"")</f>
        <v/>
      </c>
      <c r="AB761" s="76">
        <f>1000*Assumptions!$B$17/1000000000000</f>
        <v>1.1999999999999999E-7</v>
      </c>
      <c r="AC761" s="67" t="s">
        <v>77</v>
      </c>
      <c r="AD761" s="39">
        <f>SUMIFS(Hydrogen!AK:AK,Hydrogen!$AA:$AA,UserMade_Scenario!$Z761,Hydrogen!$Y:$Y,UserMade_Scenario!$D761,Hydrogen!$AB:$AB,UserMade_Scenario!$B761,Hydrogen!$Z:$Z,UserMade_Scenario!$C761)</f>
        <v>-24.691583909350094</v>
      </c>
      <c r="AE761" s="39">
        <f>SUMIFS(Hydrogen!AL:AL,Hydrogen!$AA:$AA,UserMade_Scenario!$Z761,Hydrogen!$Y:$Y,UserMade_Scenario!$D761,Hydrogen!$AB:$AB,UserMade_Scenario!$B761,Hydrogen!$Z:$Z,UserMade_Scenario!$C761)</f>
        <v>-22.330458003621942</v>
      </c>
      <c r="AF761" s="39">
        <f>SUMIFS(Hydrogen!AM:AM,Hydrogen!$AA:$AA,UserMade_Scenario!$Z761,Hydrogen!$Y:$Y,UserMade_Scenario!$D761,Hydrogen!$AB:$AB,UserMade_Scenario!$B761,Hydrogen!$Z:$Z,UserMade_Scenario!$C761)</f>
        <v>-27.052709815078245</v>
      </c>
      <c r="AG761" s="68">
        <f>IFERROR(INDEX(WaterUseH2[Average Direct Water Consumption (Gal/ kg h2)],MATCH(LEFT(D761,3),WaterUseH2[Key],0)),0)</f>
        <v>2.8</v>
      </c>
      <c r="AH761">
        <v>14</v>
      </c>
      <c r="AI761">
        <v>1.4</v>
      </c>
      <c r="AJ761">
        <v>250</v>
      </c>
      <c r="AK761">
        <v>0.31</v>
      </c>
      <c r="AL761" s="63">
        <f>IFERROR(INDEX(Job_Training[[Solar]:[Wind]],MATCH(AL$1,Job_Training[[`Typical Entry Level Education`]:[`Typical Entry Level Education`]],0),MATCH(LEFT($D761,5),Job_Training[[#Headers],[Solar]:[Wind]],0)),0)</f>
        <v>0</v>
      </c>
      <c r="AM761" s="63">
        <f>IFERROR(INDEX(Job_Training[[Solar]:[Wind]],MATCH(AM$1,Job_Training[[`Typical Entry Level Education`]:[`Typical Entry Level Education`]],0),MATCH(LEFT($D761,5),Job_Training[[#Headers],[Solar]:[Wind]],0)),0)</f>
        <v>0</v>
      </c>
      <c r="AN761" s="63">
        <f>IFERROR(INDEX(Job_Training[[Solar]:[Wind]],MATCH(AN$1,Job_Training[[`Typical Entry Level Education`]:[`Typical Entry Level Education`]],0),MATCH(LEFT($D761,5),Job_Training[[#Headers],[Solar]:[Wind]],0)),0)</f>
        <v>0</v>
      </c>
      <c r="AO761" s="63">
        <f>IFERROR(INDEX(Job_Training[[Solar]:[Wind]],MATCH(AO$1,Job_Training[[`Typical Entry Level Education`]:[`Typical Entry Level Education`]],0),MATCH(LEFT($D761,5),Job_Training[[#Headers],[Solar]:[Wind]],0)),0)</f>
        <v>0</v>
      </c>
      <c r="AP761">
        <f t="shared" si="213"/>
        <v>0</v>
      </c>
      <c r="AQ761" s="63">
        <f>IF(AP761&gt;0,IFERROR(INDEX(Assumptions!$C$165:$D$165,MATCH(LEFT($D761,5),Job_Training[[#Headers],[Solar]:[Wind]],0)),0),0)</f>
        <v>0</v>
      </c>
      <c r="AR761">
        <f>IF(AP761&gt;0,IFERROR(INDEX(Assumptions!$C$166:$D$166,MATCH(LEFT($D761,5),Job_Training[[#Headers],[Solar]:[Wind]],0)),0),0)</f>
        <v>0</v>
      </c>
    </row>
    <row r="762" spans="1:44" hidden="1" x14ac:dyDescent="0.35">
      <c r="A762" t="str">
        <f>UserInput!$B$82</f>
        <v>Incremental Buildout</v>
      </c>
      <c r="B762">
        <v>2029</v>
      </c>
      <c r="C762" s="16" t="s">
        <v>73</v>
      </c>
      <c r="D762" t="s">
        <v>74</v>
      </c>
      <c r="E762" s="66">
        <f>INDEX(UserInput!$C$82:$M$102,MATCH(UserMade_Scenario!B762,UserInput!$A$82:$A$102,0),MATCH(LEFT(IF(RIGHT(C762,2)="H2",UserMade_Scenario!C762,D762),3),UserInput!$C$25:$M$25,0))</f>
        <v>2380.9523809523812</v>
      </c>
      <c r="F762" s="14" t="s">
        <v>75</v>
      </c>
      <c r="G762" s="14">
        <f t="shared" si="220"/>
        <v>2.8571428571428574E-4</v>
      </c>
      <c r="H762" s="63">
        <f t="shared" si="221"/>
        <v>6.8993079127308825E-3</v>
      </c>
      <c r="I762" s="63">
        <f t="shared" si="222"/>
        <v>6.0692701640108378E-3</v>
      </c>
      <c r="J762" s="63">
        <f t="shared" si="223"/>
        <v>7.7293456614509273E-3</v>
      </c>
      <c r="K762" s="30">
        <f>IF(OR(LEFT($D762,5)="Solar",$D762="Wind"),INDEX(Land_Use[AVG],MATCH(LEFT($D762,5),Land_Use[Tech],0)),0)*$E762</f>
        <v>0</v>
      </c>
      <c r="L762" s="30">
        <f>IF(OR(LEFT($D762,5)="Solar",$D762="Wind"),INDEX(Land_Use[MIN],MATCH(LEFT($D762,5),Land_Use[Tech],0)),0)*$E762</f>
        <v>0</v>
      </c>
      <c r="M762" s="30">
        <f>IF(OR(LEFT($D762,5)="Solar",$D762="Wind"),INDEX(Land_Use[MAX],MATCH(LEFT($D762,5),Land_Use[Tech],0)),0)*$E762</f>
        <v>0</v>
      </c>
      <c r="N762" s="15">
        <f t="shared" si="215"/>
        <v>6.666666666666667</v>
      </c>
      <c r="O762" s="11">
        <f t="shared" si="216"/>
        <v>0</v>
      </c>
      <c r="P762" s="11">
        <f t="shared" si="217"/>
        <v>0</v>
      </c>
      <c r="Q762" s="11">
        <f t="shared" si="218"/>
        <v>0</v>
      </c>
      <c r="R762" s="11">
        <f t="shared" si="219"/>
        <v>0</v>
      </c>
      <c r="S762" s="30">
        <f t="shared" si="207"/>
        <v>0</v>
      </c>
      <c r="T762" s="30">
        <f t="shared" si="208"/>
        <v>0</v>
      </c>
      <c r="U762" s="30">
        <f t="shared" si="209"/>
        <v>0</v>
      </c>
      <c r="V762" s="30">
        <f t="shared" si="210"/>
        <v>0</v>
      </c>
      <c r="W762" s="30">
        <f t="shared" si="211"/>
        <v>0</v>
      </c>
      <c r="X762" s="30">
        <f t="shared" si="212"/>
        <v>0</v>
      </c>
      <c r="Z762" s="23" t="s">
        <v>76</v>
      </c>
      <c r="AA762" s="40" t="str">
        <f>IF(C762="Electricity",E762*SUMIFS(Electricity!S:S,Electricity!P:P,UserMade_Scenario!B762,Electricity!M:M,UserMade_Scenario!Z762,Electricity!O:O,UserMade_Scenario!D762),"")</f>
        <v/>
      </c>
      <c r="AB762" s="76">
        <f>1000*Assumptions!$B$17/1000000000000</f>
        <v>1.1999999999999999E-7</v>
      </c>
      <c r="AC762" s="67" t="s">
        <v>77</v>
      </c>
      <c r="AD762" s="39">
        <f>SUMIFS(Hydrogen!AK:AK,Hydrogen!$AA:$AA,UserMade_Scenario!$Z762,Hydrogen!$Y:$Y,UserMade_Scenario!$D762,Hydrogen!$AB:$AB,UserMade_Scenario!$B762,Hydrogen!$Z:$Z,UserMade_Scenario!$C762)</f>
        <v>-24.147577694558088</v>
      </c>
      <c r="AE762" s="39">
        <f>SUMIFS(Hydrogen!AL:AL,Hydrogen!$AA:$AA,UserMade_Scenario!$Z762,Hydrogen!$Y:$Y,UserMade_Scenario!$D762,Hydrogen!$AB:$AB,UserMade_Scenario!$B762,Hydrogen!$Z:$Z,UserMade_Scenario!$C762)</f>
        <v>-21.24244557403793</v>
      </c>
      <c r="AF762" s="39">
        <f>SUMIFS(Hydrogen!AM:AM,Hydrogen!$AA:$AA,UserMade_Scenario!$Z762,Hydrogen!$Y:$Y,UserMade_Scenario!$D762,Hydrogen!$AB:$AB,UserMade_Scenario!$B762,Hydrogen!$Z:$Z,UserMade_Scenario!$C762)</f>
        <v>-27.052709815078245</v>
      </c>
      <c r="AG762" s="68">
        <f>IFERROR(INDEX(WaterUseH2[Average Direct Water Consumption (Gal/ kg h2)],MATCH(LEFT(D762,3),WaterUseH2[Key],0)),0)</f>
        <v>2.8</v>
      </c>
      <c r="AH762">
        <v>14</v>
      </c>
      <c r="AI762">
        <v>1.4</v>
      </c>
      <c r="AJ762">
        <v>250</v>
      </c>
      <c r="AK762">
        <v>0.31</v>
      </c>
      <c r="AL762" s="63">
        <f>IFERROR(INDEX(Job_Training[[Solar]:[Wind]],MATCH(AL$1,Job_Training[[`Typical Entry Level Education`]:[`Typical Entry Level Education`]],0),MATCH(LEFT($D762,5),Job_Training[[#Headers],[Solar]:[Wind]],0)),0)</f>
        <v>0</v>
      </c>
      <c r="AM762" s="63">
        <f>IFERROR(INDEX(Job_Training[[Solar]:[Wind]],MATCH(AM$1,Job_Training[[`Typical Entry Level Education`]:[`Typical Entry Level Education`]],0),MATCH(LEFT($D762,5),Job_Training[[#Headers],[Solar]:[Wind]],0)),0)</f>
        <v>0</v>
      </c>
      <c r="AN762" s="63">
        <f>IFERROR(INDEX(Job_Training[[Solar]:[Wind]],MATCH(AN$1,Job_Training[[`Typical Entry Level Education`]:[`Typical Entry Level Education`]],0),MATCH(LEFT($D762,5),Job_Training[[#Headers],[Solar]:[Wind]],0)),0)</f>
        <v>0</v>
      </c>
      <c r="AO762" s="63">
        <f>IFERROR(INDEX(Job_Training[[Solar]:[Wind]],MATCH(AO$1,Job_Training[[`Typical Entry Level Education`]:[`Typical Entry Level Education`]],0),MATCH(LEFT($D762,5),Job_Training[[#Headers],[Solar]:[Wind]],0)),0)</f>
        <v>0</v>
      </c>
      <c r="AP762">
        <f t="shared" si="213"/>
        <v>0</v>
      </c>
      <c r="AQ762" s="63">
        <f>IF(AP762&gt;0,IFERROR(INDEX(Assumptions!$C$165:$D$165,MATCH(LEFT($D762,5),Job_Training[[#Headers],[Solar]:[Wind]],0)),0),0)</f>
        <v>0</v>
      </c>
      <c r="AR762">
        <f>IF(AP762&gt;0,IFERROR(INDEX(Assumptions!$C$166:$D$166,MATCH(LEFT($D762,5),Job_Training[[#Headers],[Solar]:[Wind]],0)),0),0)</f>
        <v>0</v>
      </c>
    </row>
    <row r="763" spans="1:44" hidden="1" x14ac:dyDescent="0.35">
      <c r="A763" t="str">
        <f>UserInput!$B$82</f>
        <v>Incremental Buildout</v>
      </c>
      <c r="B763">
        <v>2030</v>
      </c>
      <c r="C763" s="16" t="s">
        <v>73</v>
      </c>
      <c r="D763" t="s">
        <v>74</v>
      </c>
      <c r="E763" s="66">
        <f>INDEX(UserInput!$C$82:$M$102,MATCH(UserMade_Scenario!B763,UserInput!$A$82:$A$102,0),MATCH(LEFT(IF(RIGHT(C763,2)="H2",UserMade_Scenario!C763,D763),3),UserInput!$C$25:$M$25,0))</f>
        <v>2857.1428571428573</v>
      </c>
      <c r="F763" s="14" t="s">
        <v>75</v>
      </c>
      <c r="G763" s="14">
        <f t="shared" si="220"/>
        <v>3.4285714285714285E-4</v>
      </c>
      <c r="H763" s="63">
        <f t="shared" si="221"/>
        <v>8.0665111414543293E-3</v>
      </c>
      <c r="I763" s="63">
        <f t="shared" si="222"/>
        <v>6.8578074891675455E-3</v>
      </c>
      <c r="J763" s="63">
        <f t="shared" si="223"/>
        <v>9.2752147937411131E-3</v>
      </c>
      <c r="K763" s="30">
        <f>IF(OR(LEFT($D763,5)="Solar",$D763="Wind"),INDEX(Land_Use[AVG],MATCH(LEFT($D763,5),Land_Use[Tech],0)),0)*$E763</f>
        <v>0</v>
      </c>
      <c r="L763" s="30">
        <f>IF(OR(LEFT($D763,5)="Solar",$D763="Wind"),INDEX(Land_Use[MIN],MATCH(LEFT($D763,5),Land_Use[Tech],0)),0)*$E763</f>
        <v>0</v>
      </c>
      <c r="M763" s="30">
        <f>IF(OR(LEFT($D763,5)="Solar",$D763="Wind"),INDEX(Land_Use[MAX],MATCH(LEFT($D763,5),Land_Use[Tech],0)),0)*$E763</f>
        <v>0</v>
      </c>
      <c r="N763" s="15">
        <f t="shared" si="215"/>
        <v>8</v>
      </c>
      <c r="O763" s="11">
        <f t="shared" si="216"/>
        <v>0</v>
      </c>
      <c r="P763" s="11">
        <f t="shared" si="217"/>
        <v>0</v>
      </c>
      <c r="Q763" s="11">
        <f t="shared" si="218"/>
        <v>0</v>
      </c>
      <c r="R763" s="11">
        <f t="shared" si="219"/>
        <v>0</v>
      </c>
      <c r="S763" s="30">
        <f t="shared" si="207"/>
        <v>0</v>
      </c>
      <c r="T763" s="30">
        <f t="shared" si="208"/>
        <v>0</v>
      </c>
      <c r="U763" s="30">
        <f t="shared" si="209"/>
        <v>0</v>
      </c>
      <c r="V763" s="30">
        <f t="shared" si="210"/>
        <v>0</v>
      </c>
      <c r="W763" s="30">
        <f t="shared" si="211"/>
        <v>0</v>
      </c>
      <c r="X763" s="30">
        <f t="shared" si="212"/>
        <v>0</v>
      </c>
      <c r="Z763" s="23" t="s">
        <v>76</v>
      </c>
      <c r="AA763" s="40" t="str">
        <f>IF(C763="Electricity",E763*SUMIFS(Electricity!S:S,Electricity!P:P,UserMade_Scenario!B763,Electricity!M:M,UserMade_Scenario!Z763,Electricity!O:O,UserMade_Scenario!D763),"")</f>
        <v/>
      </c>
      <c r="AB763" s="76">
        <f>1000*Assumptions!$B$17/1000000000000</f>
        <v>1.1999999999999999E-7</v>
      </c>
      <c r="AC763" s="67" t="s">
        <v>77</v>
      </c>
      <c r="AD763" s="39">
        <f>SUMIFS(Hydrogen!AK:AK,Hydrogen!$AA:$AA,UserMade_Scenario!$Z763,Hydrogen!$Y:$Y,UserMade_Scenario!$D763,Hydrogen!$AB:$AB,UserMade_Scenario!$B763,Hydrogen!$Z:$Z,UserMade_Scenario!$C763)</f>
        <v>-23.527324162575127</v>
      </c>
      <c r="AE763" s="39">
        <f>SUMIFS(Hydrogen!AL:AL,Hydrogen!$AA:$AA,UserMade_Scenario!$Z763,Hydrogen!$Y:$Y,UserMade_Scenario!$D763,Hydrogen!$AB:$AB,UserMade_Scenario!$B763,Hydrogen!$Z:$Z,UserMade_Scenario!$C763)</f>
        <v>-20.001938510072009</v>
      </c>
      <c r="AF763" s="39">
        <f>SUMIFS(Hydrogen!AM:AM,Hydrogen!$AA:$AA,UserMade_Scenario!$Z763,Hydrogen!$Y:$Y,UserMade_Scenario!$D763,Hydrogen!$AB:$AB,UserMade_Scenario!$B763,Hydrogen!$Z:$Z,UserMade_Scenario!$C763)</f>
        <v>-27.052709815078245</v>
      </c>
      <c r="AG763" s="68">
        <f>IFERROR(INDEX(WaterUseH2[Average Direct Water Consumption (Gal/ kg h2)],MATCH(LEFT(D763,3),WaterUseH2[Key],0)),0)</f>
        <v>2.8</v>
      </c>
      <c r="AH763">
        <v>14</v>
      </c>
      <c r="AI763">
        <v>1.4</v>
      </c>
      <c r="AJ763">
        <v>250</v>
      </c>
      <c r="AK763">
        <v>0.31</v>
      </c>
      <c r="AL763" s="63">
        <f>IFERROR(INDEX(Job_Training[[Solar]:[Wind]],MATCH(AL$1,Job_Training[[`Typical Entry Level Education`]:[`Typical Entry Level Education`]],0),MATCH(LEFT($D763,5),Job_Training[[#Headers],[Solar]:[Wind]],0)),0)</f>
        <v>0</v>
      </c>
      <c r="AM763" s="63">
        <f>IFERROR(INDEX(Job_Training[[Solar]:[Wind]],MATCH(AM$1,Job_Training[[`Typical Entry Level Education`]:[`Typical Entry Level Education`]],0),MATCH(LEFT($D763,5),Job_Training[[#Headers],[Solar]:[Wind]],0)),0)</f>
        <v>0</v>
      </c>
      <c r="AN763" s="63">
        <f>IFERROR(INDEX(Job_Training[[Solar]:[Wind]],MATCH(AN$1,Job_Training[[`Typical Entry Level Education`]:[`Typical Entry Level Education`]],0),MATCH(LEFT($D763,5),Job_Training[[#Headers],[Solar]:[Wind]],0)),0)</f>
        <v>0</v>
      </c>
      <c r="AO763" s="63">
        <f>IFERROR(INDEX(Job_Training[[Solar]:[Wind]],MATCH(AO$1,Job_Training[[`Typical Entry Level Education`]:[`Typical Entry Level Education`]],0),MATCH(LEFT($D763,5),Job_Training[[#Headers],[Solar]:[Wind]],0)),0)</f>
        <v>0</v>
      </c>
      <c r="AP763">
        <f t="shared" si="213"/>
        <v>0</v>
      </c>
      <c r="AQ763" s="63">
        <f>IF(AP763&gt;0,IFERROR(INDEX(Assumptions!$C$165:$D$165,MATCH(LEFT($D763,5),Job_Training[[#Headers],[Solar]:[Wind]],0)),0),0)</f>
        <v>0</v>
      </c>
      <c r="AR763">
        <f>IF(AP763&gt;0,IFERROR(INDEX(Assumptions!$C$166:$D$166,MATCH(LEFT($D763,5),Job_Training[[#Headers],[Solar]:[Wind]],0)),0),0)</f>
        <v>0</v>
      </c>
    </row>
    <row r="764" spans="1:44" hidden="1" x14ac:dyDescent="0.35">
      <c r="A764" t="str">
        <f>UserInput!$B$82</f>
        <v>Incremental Buildout</v>
      </c>
      <c r="B764">
        <v>2031</v>
      </c>
      <c r="C764" s="16" t="s">
        <v>73</v>
      </c>
      <c r="D764" t="s">
        <v>74</v>
      </c>
      <c r="E764" s="66">
        <f>INDEX(UserInput!$C$82:$M$102,MATCH(UserMade_Scenario!B764,UserInput!$A$82:$A$102,0),MATCH(LEFT(IF(RIGHT(C764,2)="H2",UserMade_Scenario!C764,D764),3),UserInput!$C$25:$M$25,0))</f>
        <v>3333.3333333333335</v>
      </c>
      <c r="F764" s="14" t="s">
        <v>75</v>
      </c>
      <c r="G764" s="14">
        <f t="shared" si="220"/>
        <v>3.9999999999999996E-4</v>
      </c>
      <c r="H764" s="63">
        <f t="shared" si="221"/>
        <v>9.1290349138461197E-3</v>
      </c>
      <c r="I764" s="63">
        <f t="shared" si="222"/>
        <v>7.4369859016609431E-3</v>
      </c>
      <c r="J764" s="63">
        <f t="shared" si="223"/>
        <v>1.0821083926031297E-2</v>
      </c>
      <c r="K764" s="30">
        <f>IF(OR(LEFT($D764,5)="Solar",$D764="Wind"),INDEX(Land_Use[AVG],MATCH(LEFT($D764,5),Land_Use[Tech],0)),0)*$E764</f>
        <v>0</v>
      </c>
      <c r="L764" s="30">
        <f>IF(OR(LEFT($D764,5)="Solar",$D764="Wind"),INDEX(Land_Use[MIN],MATCH(LEFT($D764,5),Land_Use[Tech],0)),0)*$E764</f>
        <v>0</v>
      </c>
      <c r="M764" s="30">
        <f>IF(OR(LEFT($D764,5)="Solar",$D764="Wind"),INDEX(Land_Use[MAX],MATCH(LEFT($D764,5),Land_Use[Tech],0)),0)*$E764</f>
        <v>0</v>
      </c>
      <c r="N764" s="15">
        <f t="shared" si="215"/>
        <v>9.3333333333333339</v>
      </c>
      <c r="O764" s="11">
        <f t="shared" si="216"/>
        <v>0</v>
      </c>
      <c r="P764" s="11">
        <f t="shared" si="217"/>
        <v>0</v>
      </c>
      <c r="Q764" s="11">
        <f t="shared" si="218"/>
        <v>0</v>
      </c>
      <c r="R764" s="11">
        <f t="shared" si="219"/>
        <v>0</v>
      </c>
      <c r="S764" s="30">
        <f t="shared" si="207"/>
        <v>0</v>
      </c>
      <c r="T764" s="30">
        <f t="shared" si="208"/>
        <v>0</v>
      </c>
      <c r="U764" s="30">
        <f t="shared" si="209"/>
        <v>0</v>
      </c>
      <c r="V764" s="30">
        <f t="shared" si="210"/>
        <v>0</v>
      </c>
      <c r="W764" s="30">
        <f t="shared" si="211"/>
        <v>0</v>
      </c>
      <c r="X764" s="30">
        <f t="shared" si="212"/>
        <v>0</v>
      </c>
      <c r="Z764" s="23" t="s">
        <v>76</v>
      </c>
      <c r="AA764" s="40" t="str">
        <f>IF(C764="Electricity",E764*SUMIFS(Electricity!S:S,Electricity!P:P,UserMade_Scenario!B764,Electricity!M:M,UserMade_Scenario!Z764,Electricity!O:O,UserMade_Scenario!D764),"")</f>
        <v/>
      </c>
      <c r="AB764" s="76">
        <f>1000*Assumptions!$B$17/1000000000000</f>
        <v>1.1999999999999999E-7</v>
      </c>
      <c r="AC764" s="67" t="s">
        <v>77</v>
      </c>
      <c r="AD764" s="39">
        <f>SUMIFS(Hydrogen!AK:AK,Hydrogen!$AA:$AA,UserMade_Scenario!$Z764,Hydrogen!$Y:$Y,UserMade_Scenario!$D764,Hydrogen!$AB:$AB,UserMade_Scenario!$B764,Hydrogen!$Z:$Z,UserMade_Scenario!$C764)</f>
        <v>-22.822587284615302</v>
      </c>
      <c r="AE764" s="39">
        <f>SUMIFS(Hydrogen!AL:AL,Hydrogen!$AA:$AA,UserMade_Scenario!$Z764,Hydrogen!$Y:$Y,UserMade_Scenario!$D764,Hydrogen!$AB:$AB,UserMade_Scenario!$B764,Hydrogen!$Z:$Z,UserMade_Scenario!$C764)</f>
        <v>-18.59246475415236</v>
      </c>
      <c r="AF764" s="39">
        <f>SUMIFS(Hydrogen!AM:AM,Hydrogen!$AA:$AA,UserMade_Scenario!$Z764,Hydrogen!$Y:$Y,UserMade_Scenario!$D764,Hydrogen!$AB:$AB,UserMade_Scenario!$B764,Hydrogen!$Z:$Z,UserMade_Scenario!$C764)</f>
        <v>-27.052709815078245</v>
      </c>
      <c r="AG764" s="68">
        <f>IFERROR(INDEX(WaterUseH2[Average Direct Water Consumption (Gal/ kg h2)],MATCH(LEFT(D764,3),WaterUseH2[Key],0)),0)</f>
        <v>2.8</v>
      </c>
      <c r="AH764">
        <v>14</v>
      </c>
      <c r="AI764">
        <v>1.4</v>
      </c>
      <c r="AJ764">
        <v>250</v>
      </c>
      <c r="AK764">
        <v>0.31</v>
      </c>
      <c r="AL764" s="63">
        <f>IFERROR(INDEX(Job_Training[[Solar]:[Wind]],MATCH(AL$1,Job_Training[[`Typical Entry Level Education`]:[`Typical Entry Level Education`]],0),MATCH(LEFT($D764,5),Job_Training[[#Headers],[Solar]:[Wind]],0)),0)</f>
        <v>0</v>
      </c>
      <c r="AM764" s="63">
        <f>IFERROR(INDEX(Job_Training[[Solar]:[Wind]],MATCH(AM$1,Job_Training[[`Typical Entry Level Education`]:[`Typical Entry Level Education`]],0),MATCH(LEFT($D764,5),Job_Training[[#Headers],[Solar]:[Wind]],0)),0)</f>
        <v>0</v>
      </c>
      <c r="AN764" s="63">
        <f>IFERROR(INDEX(Job_Training[[Solar]:[Wind]],MATCH(AN$1,Job_Training[[`Typical Entry Level Education`]:[`Typical Entry Level Education`]],0),MATCH(LEFT($D764,5),Job_Training[[#Headers],[Solar]:[Wind]],0)),0)</f>
        <v>0</v>
      </c>
      <c r="AO764" s="63">
        <f>IFERROR(INDEX(Job_Training[[Solar]:[Wind]],MATCH(AO$1,Job_Training[[`Typical Entry Level Education`]:[`Typical Entry Level Education`]],0),MATCH(LEFT($D764,5),Job_Training[[#Headers],[Solar]:[Wind]],0)),0)</f>
        <v>0</v>
      </c>
      <c r="AP764">
        <f t="shared" si="213"/>
        <v>0</v>
      </c>
      <c r="AQ764" s="63">
        <f>IF(AP764&gt;0,IFERROR(INDEX(Assumptions!$C$165:$D$165,MATCH(LEFT($D764,5),Job_Training[[#Headers],[Solar]:[Wind]],0)),0),0)</f>
        <v>0</v>
      </c>
      <c r="AR764">
        <f>IF(AP764&gt;0,IFERROR(INDEX(Assumptions!$C$166:$D$166,MATCH(LEFT($D764,5),Job_Training[[#Headers],[Solar]:[Wind]],0)),0),0)</f>
        <v>0</v>
      </c>
    </row>
    <row r="765" spans="1:44" hidden="1" x14ac:dyDescent="0.35">
      <c r="A765" t="str">
        <f>UserInput!$B$82</f>
        <v>Incremental Buildout</v>
      </c>
      <c r="B765">
        <v>2032</v>
      </c>
      <c r="C765" s="16" t="s">
        <v>73</v>
      </c>
      <c r="D765" t="s">
        <v>74</v>
      </c>
      <c r="E765" s="66">
        <f>INDEX(UserInput!$C$82:$M$102,MATCH(UserMade_Scenario!B765,UserInput!$A$82:$A$102,0),MATCH(LEFT(IF(RIGHT(C765,2)="H2",UserMade_Scenario!C765,D765),3),UserInput!$C$25:$M$25,0))</f>
        <v>3809.5238095238096</v>
      </c>
      <c r="F765" s="14" t="s">
        <v>75</v>
      </c>
      <c r="G765" s="14">
        <f t="shared" si="220"/>
        <v>4.5714285714285713E-4</v>
      </c>
      <c r="H765" s="63">
        <f t="shared" si="221"/>
        <v>1.0072650407127669E-2</v>
      </c>
      <c r="I765" s="63">
        <f t="shared" si="222"/>
        <v>7.7783477559338543E-3</v>
      </c>
      <c r="J765" s="63">
        <f t="shared" si="223"/>
        <v>1.2366953058321483E-2</v>
      </c>
      <c r="K765" s="30">
        <f>IF(OR(LEFT($D765,5)="Solar",$D765="Wind"),INDEX(Land_Use[AVG],MATCH(LEFT($D765,5),Land_Use[Tech],0)),0)*$E765</f>
        <v>0</v>
      </c>
      <c r="L765" s="30">
        <f>IF(OR(LEFT($D765,5)="Solar",$D765="Wind"),INDEX(Land_Use[MIN],MATCH(LEFT($D765,5),Land_Use[Tech],0)),0)*$E765</f>
        <v>0</v>
      </c>
      <c r="M765" s="30">
        <f>IF(OR(LEFT($D765,5)="Solar",$D765="Wind"),INDEX(Land_Use[MAX],MATCH(LEFT($D765,5),Land_Use[Tech],0)),0)*$E765</f>
        <v>0</v>
      </c>
      <c r="N765" s="15">
        <f t="shared" si="215"/>
        <v>10.666666666666666</v>
      </c>
      <c r="O765" s="11">
        <f t="shared" si="216"/>
        <v>0</v>
      </c>
      <c r="P765" s="11">
        <f t="shared" si="217"/>
        <v>0</v>
      </c>
      <c r="Q765" s="11">
        <f t="shared" si="218"/>
        <v>0</v>
      </c>
      <c r="R765" s="11">
        <f t="shared" si="219"/>
        <v>0</v>
      </c>
      <c r="S765" s="30">
        <f t="shared" si="207"/>
        <v>0</v>
      </c>
      <c r="T765" s="30">
        <f t="shared" si="208"/>
        <v>0</v>
      </c>
      <c r="U765" s="30">
        <f t="shared" si="209"/>
        <v>0</v>
      </c>
      <c r="V765" s="30">
        <f t="shared" si="210"/>
        <v>0</v>
      </c>
      <c r="W765" s="30">
        <f t="shared" si="211"/>
        <v>0</v>
      </c>
      <c r="X765" s="30">
        <f t="shared" si="212"/>
        <v>0</v>
      </c>
      <c r="Z765" s="23" t="s">
        <v>76</v>
      </c>
      <c r="AA765" s="40" t="str">
        <f>IF(C765="Electricity",E765*SUMIFS(Electricity!S:S,Electricity!P:P,UserMade_Scenario!B765,Electricity!M:M,UserMade_Scenario!Z765,Electricity!O:O,UserMade_Scenario!D765),"")</f>
        <v/>
      </c>
      <c r="AB765" s="76">
        <f>1000*Assumptions!$B$17/1000000000000</f>
        <v>1.1999999999999999E-7</v>
      </c>
      <c r="AC765" s="67" t="s">
        <v>77</v>
      </c>
      <c r="AD765" s="39">
        <f>SUMIFS(Hydrogen!AK:AK,Hydrogen!$AA:$AA,UserMade_Scenario!$Z765,Hydrogen!$Y:$Y,UserMade_Scenario!$D765,Hydrogen!$AB:$AB,UserMade_Scenario!$B765,Hydrogen!$Z:$Z,UserMade_Scenario!$C765)</f>
        <v>-22.033922765591775</v>
      </c>
      <c r="AE765" s="39">
        <f>SUMIFS(Hydrogen!AL:AL,Hydrogen!$AA:$AA,UserMade_Scenario!$Z765,Hydrogen!$Y:$Y,UserMade_Scenario!$D765,Hydrogen!$AB:$AB,UserMade_Scenario!$B765,Hydrogen!$Z:$Z,UserMade_Scenario!$C765)</f>
        <v>-17.015135716105306</v>
      </c>
      <c r="AF765" s="39">
        <f>SUMIFS(Hydrogen!AM:AM,Hydrogen!$AA:$AA,UserMade_Scenario!$Z765,Hydrogen!$Y:$Y,UserMade_Scenario!$D765,Hydrogen!$AB:$AB,UserMade_Scenario!$B765,Hydrogen!$Z:$Z,UserMade_Scenario!$C765)</f>
        <v>-27.052709815078245</v>
      </c>
      <c r="AG765" s="68">
        <f>IFERROR(INDEX(WaterUseH2[Average Direct Water Consumption (Gal/ kg h2)],MATCH(LEFT(D765,3),WaterUseH2[Key],0)),0)</f>
        <v>2.8</v>
      </c>
      <c r="AH765">
        <v>14</v>
      </c>
      <c r="AI765">
        <v>1.4</v>
      </c>
      <c r="AJ765">
        <v>250</v>
      </c>
      <c r="AK765">
        <v>0.31</v>
      </c>
      <c r="AL765" s="63">
        <f>IFERROR(INDEX(Job_Training[[Solar]:[Wind]],MATCH(AL$1,Job_Training[[`Typical Entry Level Education`]:[`Typical Entry Level Education`]],0),MATCH(LEFT($D765,5),Job_Training[[#Headers],[Solar]:[Wind]],0)),0)</f>
        <v>0</v>
      </c>
      <c r="AM765" s="63">
        <f>IFERROR(INDEX(Job_Training[[Solar]:[Wind]],MATCH(AM$1,Job_Training[[`Typical Entry Level Education`]:[`Typical Entry Level Education`]],0),MATCH(LEFT($D765,5),Job_Training[[#Headers],[Solar]:[Wind]],0)),0)</f>
        <v>0</v>
      </c>
      <c r="AN765" s="63">
        <f>IFERROR(INDEX(Job_Training[[Solar]:[Wind]],MATCH(AN$1,Job_Training[[`Typical Entry Level Education`]:[`Typical Entry Level Education`]],0),MATCH(LEFT($D765,5),Job_Training[[#Headers],[Solar]:[Wind]],0)),0)</f>
        <v>0</v>
      </c>
      <c r="AO765" s="63">
        <f>IFERROR(INDEX(Job_Training[[Solar]:[Wind]],MATCH(AO$1,Job_Training[[`Typical Entry Level Education`]:[`Typical Entry Level Education`]],0),MATCH(LEFT($D765,5),Job_Training[[#Headers],[Solar]:[Wind]],0)),0)</f>
        <v>0</v>
      </c>
      <c r="AP765">
        <f t="shared" si="213"/>
        <v>0</v>
      </c>
      <c r="AQ765" s="63">
        <f>IF(AP765&gt;0,IFERROR(INDEX(Assumptions!$C$165:$D$165,MATCH(LEFT($D765,5),Job_Training[[#Headers],[Solar]:[Wind]],0)),0),0)</f>
        <v>0</v>
      </c>
      <c r="AR765">
        <f>IF(AP765&gt;0,IFERROR(INDEX(Assumptions!$C$166:$D$166,MATCH(LEFT($D765,5),Job_Training[[#Headers],[Solar]:[Wind]],0)),0),0)</f>
        <v>0</v>
      </c>
    </row>
    <row r="766" spans="1:44" hidden="1" x14ac:dyDescent="0.35">
      <c r="A766" t="str">
        <f>UserInput!$B$82</f>
        <v>Incremental Buildout</v>
      </c>
      <c r="B766">
        <v>2033</v>
      </c>
      <c r="C766" s="16" t="s">
        <v>73</v>
      </c>
      <c r="D766" t="s">
        <v>74</v>
      </c>
      <c r="E766" s="66">
        <f>INDEX(UserInput!$C$82:$M$102,MATCH(UserMade_Scenario!B766,UserInput!$A$82:$A$102,0),MATCH(LEFT(IF(RIGHT(C766,2)="H2",UserMade_Scenario!C766,D766),3),UserInput!$C$25:$M$25,0))</f>
        <v>4285.7142857142862</v>
      </c>
      <c r="F766" s="14" t="s">
        <v>75</v>
      </c>
      <c r="G766" s="14">
        <f t="shared" si="220"/>
        <v>5.142857142857143E-4</v>
      </c>
      <c r="H766" s="63">
        <f t="shared" si="221"/>
        <v>1.0865934394547704E-2</v>
      </c>
      <c r="I766" s="63">
        <f t="shared" si="222"/>
        <v>7.8190465984837396E-3</v>
      </c>
      <c r="J766" s="63">
        <f t="shared" si="223"/>
        <v>1.3912822190611669E-2</v>
      </c>
      <c r="K766" s="30">
        <f>IF(OR(LEFT($D766,5)="Solar",$D766="Wind"),INDEX(Land_Use[AVG],MATCH(LEFT($D766,5),Land_Use[Tech],0)),0)*$E766</f>
        <v>0</v>
      </c>
      <c r="L766" s="30">
        <f>IF(OR(LEFT($D766,5)="Solar",$D766="Wind"),INDEX(Land_Use[MIN],MATCH(LEFT($D766,5),Land_Use[Tech],0)),0)*$E766</f>
        <v>0</v>
      </c>
      <c r="M766" s="30">
        <f>IF(OR(LEFT($D766,5)="Solar",$D766="Wind"),INDEX(Land_Use[MAX],MATCH(LEFT($D766,5),Land_Use[Tech],0)),0)*$E766</f>
        <v>0</v>
      </c>
      <c r="N766" s="15">
        <f t="shared" si="215"/>
        <v>12</v>
      </c>
      <c r="O766" s="11">
        <f t="shared" si="216"/>
        <v>0</v>
      </c>
      <c r="P766" s="11">
        <f t="shared" si="217"/>
        <v>0</v>
      </c>
      <c r="Q766" s="11">
        <f t="shared" si="218"/>
        <v>0</v>
      </c>
      <c r="R766" s="11">
        <f t="shared" si="219"/>
        <v>0</v>
      </c>
      <c r="S766" s="30">
        <f t="shared" si="207"/>
        <v>0</v>
      </c>
      <c r="T766" s="30">
        <f t="shared" si="208"/>
        <v>0</v>
      </c>
      <c r="U766" s="30">
        <f t="shared" si="209"/>
        <v>0</v>
      </c>
      <c r="V766" s="30">
        <f t="shared" si="210"/>
        <v>0</v>
      </c>
      <c r="W766" s="30">
        <f t="shared" si="211"/>
        <v>0</v>
      </c>
      <c r="X766" s="30">
        <f t="shared" si="212"/>
        <v>0</v>
      </c>
      <c r="Z766" s="23" t="s">
        <v>76</v>
      </c>
      <c r="AA766" s="40" t="str">
        <f>IF(C766="Electricity",E766*SUMIFS(Electricity!S:S,Electricity!P:P,UserMade_Scenario!B766,Electricity!M:M,UserMade_Scenario!Z766,Electricity!O:O,UserMade_Scenario!D766),"")</f>
        <v/>
      </c>
      <c r="AB766" s="76">
        <f>1000*Assumptions!$B$17/1000000000000</f>
        <v>1.1999999999999999E-7</v>
      </c>
      <c r="AC766" s="67" t="s">
        <v>77</v>
      </c>
      <c r="AD766" s="39">
        <f>SUMIFS(Hydrogen!AK:AK,Hydrogen!$AA:$AA,UserMade_Scenario!$Z766,Hydrogen!$Y:$Y,UserMade_Scenario!$D766,Hydrogen!$AB:$AB,UserMade_Scenario!$B766,Hydrogen!$Z:$Z,UserMade_Scenario!$C766)</f>
        <v>-21.128205767176091</v>
      </c>
      <c r="AE766" s="39">
        <f>SUMIFS(Hydrogen!AL:AL,Hydrogen!$AA:$AA,UserMade_Scenario!$Z766,Hydrogen!$Y:$Y,UserMade_Scenario!$D766,Hydrogen!$AB:$AB,UserMade_Scenario!$B766,Hydrogen!$Z:$Z,UserMade_Scenario!$C766)</f>
        <v>-15.203701719273937</v>
      </c>
      <c r="AF766" s="39">
        <f>SUMIFS(Hydrogen!AM:AM,Hydrogen!$AA:$AA,UserMade_Scenario!$Z766,Hydrogen!$Y:$Y,UserMade_Scenario!$D766,Hydrogen!$AB:$AB,UserMade_Scenario!$B766,Hydrogen!$Z:$Z,UserMade_Scenario!$C766)</f>
        <v>-27.052709815078245</v>
      </c>
      <c r="AG766" s="68">
        <f>IFERROR(INDEX(WaterUseH2[Average Direct Water Consumption (Gal/ kg h2)],MATCH(LEFT(D766,3),WaterUseH2[Key],0)),0)</f>
        <v>2.8</v>
      </c>
      <c r="AH766">
        <v>14</v>
      </c>
      <c r="AI766">
        <v>1.4</v>
      </c>
      <c r="AJ766">
        <v>250</v>
      </c>
      <c r="AK766">
        <v>0.31</v>
      </c>
      <c r="AL766" s="63">
        <f>IFERROR(INDEX(Job_Training[[Solar]:[Wind]],MATCH(AL$1,Job_Training[[`Typical Entry Level Education`]:[`Typical Entry Level Education`]],0),MATCH(LEFT($D766,5),Job_Training[[#Headers],[Solar]:[Wind]],0)),0)</f>
        <v>0</v>
      </c>
      <c r="AM766" s="63">
        <f>IFERROR(INDEX(Job_Training[[Solar]:[Wind]],MATCH(AM$1,Job_Training[[`Typical Entry Level Education`]:[`Typical Entry Level Education`]],0),MATCH(LEFT($D766,5),Job_Training[[#Headers],[Solar]:[Wind]],0)),0)</f>
        <v>0</v>
      </c>
      <c r="AN766" s="63">
        <f>IFERROR(INDEX(Job_Training[[Solar]:[Wind]],MATCH(AN$1,Job_Training[[`Typical Entry Level Education`]:[`Typical Entry Level Education`]],0),MATCH(LEFT($D766,5),Job_Training[[#Headers],[Solar]:[Wind]],0)),0)</f>
        <v>0</v>
      </c>
      <c r="AO766" s="63">
        <f>IFERROR(INDEX(Job_Training[[Solar]:[Wind]],MATCH(AO$1,Job_Training[[`Typical Entry Level Education`]:[`Typical Entry Level Education`]],0),MATCH(LEFT($D766,5),Job_Training[[#Headers],[Solar]:[Wind]],0)),0)</f>
        <v>0</v>
      </c>
      <c r="AP766">
        <f t="shared" si="213"/>
        <v>0</v>
      </c>
      <c r="AQ766" s="63">
        <f>IF(AP766&gt;0,IFERROR(INDEX(Assumptions!$C$165:$D$165,MATCH(LEFT($D766,5),Job_Training[[#Headers],[Solar]:[Wind]],0)),0),0)</f>
        <v>0</v>
      </c>
      <c r="AR766">
        <f>IF(AP766&gt;0,IFERROR(INDEX(Assumptions!$C$166:$D$166,MATCH(LEFT($D766,5),Job_Training[[#Headers],[Solar]:[Wind]],0)),0),0)</f>
        <v>0</v>
      </c>
    </row>
    <row r="767" spans="1:44" hidden="1" x14ac:dyDescent="0.35">
      <c r="A767" t="str">
        <f>UserInput!$B$82</f>
        <v>Incremental Buildout</v>
      </c>
      <c r="B767">
        <v>2034</v>
      </c>
      <c r="C767" s="16" t="s">
        <v>73</v>
      </c>
      <c r="D767" t="s">
        <v>74</v>
      </c>
      <c r="E767" s="66">
        <f>INDEX(UserInput!$C$82:$M$102,MATCH(UserMade_Scenario!B767,UserInput!$A$82:$A$102,0),MATCH(LEFT(IF(RIGHT(C767,2)="H2",UserMade_Scenario!C767,D767),3),UserInput!$C$25:$M$25,0))</f>
        <v>4761.9047619047624</v>
      </c>
      <c r="F767" s="14" t="s">
        <v>75</v>
      </c>
      <c r="G767" s="14">
        <f t="shared" si="220"/>
        <v>5.7142857142857147E-4</v>
      </c>
      <c r="H767" s="63">
        <f t="shared" si="221"/>
        <v>1.1495947506051745E-2</v>
      </c>
      <c r="I767" s="63">
        <f t="shared" si="222"/>
        <v>7.5332036892016363E-3</v>
      </c>
      <c r="J767" s="63">
        <f t="shared" si="223"/>
        <v>1.5458691322901855E-2</v>
      </c>
      <c r="K767" s="30">
        <f>IF(OR(LEFT($D767,5)="Solar",$D767="Wind"),INDEX(Land_Use[AVG],MATCH(LEFT($D767,5),Land_Use[Tech],0)),0)*$E767</f>
        <v>0</v>
      </c>
      <c r="L767" s="30">
        <f>IF(OR(LEFT($D767,5)="Solar",$D767="Wind"),INDEX(Land_Use[MIN],MATCH(LEFT($D767,5),Land_Use[Tech],0)),0)*$E767</f>
        <v>0</v>
      </c>
      <c r="M767" s="30">
        <f>IF(OR(LEFT($D767,5)="Solar",$D767="Wind"),INDEX(Land_Use[MAX],MATCH(LEFT($D767,5),Land_Use[Tech],0)),0)*$E767</f>
        <v>0</v>
      </c>
      <c r="N767" s="15">
        <f t="shared" si="215"/>
        <v>13.333333333333334</v>
      </c>
      <c r="O767" s="11">
        <f t="shared" si="216"/>
        <v>0</v>
      </c>
      <c r="P767" s="11">
        <f t="shared" si="217"/>
        <v>0</v>
      </c>
      <c r="Q767" s="11">
        <f t="shared" si="218"/>
        <v>0</v>
      </c>
      <c r="R767" s="11">
        <f t="shared" si="219"/>
        <v>0</v>
      </c>
      <c r="S767" s="30">
        <f t="shared" si="207"/>
        <v>0</v>
      </c>
      <c r="T767" s="30">
        <f t="shared" si="208"/>
        <v>0</v>
      </c>
      <c r="U767" s="30">
        <f t="shared" si="209"/>
        <v>0</v>
      </c>
      <c r="V767" s="30">
        <f t="shared" si="210"/>
        <v>0</v>
      </c>
      <c r="W767" s="30">
        <f t="shared" si="211"/>
        <v>0</v>
      </c>
      <c r="X767" s="30">
        <f t="shared" si="212"/>
        <v>0</v>
      </c>
      <c r="Z767" s="23" t="s">
        <v>76</v>
      </c>
      <c r="AA767" s="40" t="str">
        <f>IF(C767="Electricity",E767*SUMIFS(Electricity!S:S,Electricity!P:P,UserMade_Scenario!B767,Electricity!M:M,UserMade_Scenario!Z767,Electricity!O:O,UserMade_Scenario!D767),"")</f>
        <v/>
      </c>
      <c r="AB767" s="76">
        <f>1000*Assumptions!$B$17/1000000000000</f>
        <v>1.1999999999999999E-7</v>
      </c>
      <c r="AC767" s="67" t="s">
        <v>77</v>
      </c>
      <c r="AD767" s="39">
        <f>SUMIFS(Hydrogen!AK:AK,Hydrogen!$AA:$AA,UserMade_Scenario!$Z767,Hydrogen!$Y:$Y,UserMade_Scenario!$D767,Hydrogen!$AB:$AB,UserMade_Scenario!$B767,Hydrogen!$Z:$Z,UserMade_Scenario!$C767)</f>
        <v>-20.117908135590554</v>
      </c>
      <c r="AE767" s="39">
        <f>SUMIFS(Hydrogen!AL:AL,Hydrogen!$AA:$AA,UserMade_Scenario!$Z767,Hydrogen!$Y:$Y,UserMade_Scenario!$D767,Hydrogen!$AB:$AB,UserMade_Scenario!$B767,Hydrogen!$Z:$Z,UserMade_Scenario!$C767)</f>
        <v>-13.183106456102863</v>
      </c>
      <c r="AF767" s="39">
        <f>SUMIFS(Hydrogen!AM:AM,Hydrogen!$AA:$AA,UserMade_Scenario!$Z767,Hydrogen!$Y:$Y,UserMade_Scenario!$D767,Hydrogen!$AB:$AB,UserMade_Scenario!$B767,Hydrogen!$Z:$Z,UserMade_Scenario!$C767)</f>
        <v>-27.052709815078245</v>
      </c>
      <c r="AG767" s="68">
        <f>IFERROR(INDEX(WaterUseH2[Average Direct Water Consumption (Gal/ kg h2)],MATCH(LEFT(D767,3),WaterUseH2[Key],0)),0)</f>
        <v>2.8</v>
      </c>
      <c r="AH767">
        <v>14</v>
      </c>
      <c r="AI767">
        <v>1.4</v>
      </c>
      <c r="AJ767">
        <v>250</v>
      </c>
      <c r="AK767">
        <v>0.31</v>
      </c>
      <c r="AL767" s="63">
        <f>IFERROR(INDEX(Job_Training[[Solar]:[Wind]],MATCH(AL$1,Job_Training[[`Typical Entry Level Education`]:[`Typical Entry Level Education`]],0),MATCH(LEFT($D767,5),Job_Training[[#Headers],[Solar]:[Wind]],0)),0)</f>
        <v>0</v>
      </c>
      <c r="AM767" s="63">
        <f>IFERROR(INDEX(Job_Training[[Solar]:[Wind]],MATCH(AM$1,Job_Training[[`Typical Entry Level Education`]:[`Typical Entry Level Education`]],0),MATCH(LEFT($D767,5),Job_Training[[#Headers],[Solar]:[Wind]],0)),0)</f>
        <v>0</v>
      </c>
      <c r="AN767" s="63">
        <f>IFERROR(INDEX(Job_Training[[Solar]:[Wind]],MATCH(AN$1,Job_Training[[`Typical Entry Level Education`]:[`Typical Entry Level Education`]],0),MATCH(LEFT($D767,5),Job_Training[[#Headers],[Solar]:[Wind]],0)),0)</f>
        <v>0</v>
      </c>
      <c r="AO767" s="63">
        <f>IFERROR(INDEX(Job_Training[[Solar]:[Wind]],MATCH(AO$1,Job_Training[[`Typical Entry Level Education`]:[`Typical Entry Level Education`]],0),MATCH(LEFT($D767,5),Job_Training[[#Headers],[Solar]:[Wind]],0)),0)</f>
        <v>0</v>
      </c>
      <c r="AP767">
        <f t="shared" si="213"/>
        <v>0</v>
      </c>
      <c r="AQ767" s="63">
        <f>IF(AP767&gt;0,IFERROR(INDEX(Assumptions!$C$165:$D$165,MATCH(LEFT($D767,5),Job_Training[[#Headers],[Solar]:[Wind]],0)),0),0)</f>
        <v>0</v>
      </c>
      <c r="AR767">
        <f>IF(AP767&gt;0,IFERROR(INDEX(Assumptions!$C$166:$D$166,MATCH(LEFT($D767,5),Job_Training[[#Headers],[Solar]:[Wind]],0)),0),0)</f>
        <v>0</v>
      </c>
    </row>
    <row r="768" spans="1:44" hidden="1" x14ac:dyDescent="0.35">
      <c r="A768" t="str">
        <f>UserInput!$B$82</f>
        <v>Incremental Buildout</v>
      </c>
      <c r="B768">
        <v>2035</v>
      </c>
      <c r="C768" s="16" t="s">
        <v>73</v>
      </c>
      <c r="D768" t="s">
        <v>74</v>
      </c>
      <c r="E768" s="66">
        <f>INDEX(UserInput!$C$82:$M$102,MATCH(UserMade_Scenario!B768,UserInput!$A$82:$A$102,0),MATCH(LEFT(IF(RIGHT(C768,2)="H2",UserMade_Scenario!C768,D768),3),UserInput!$C$25:$M$25,0))</f>
        <v>5238.0952380952385</v>
      </c>
      <c r="F768" s="14" t="s">
        <v>75</v>
      </c>
      <c r="G768" s="14">
        <f t="shared" si="220"/>
        <v>6.2857142857142853E-4</v>
      </c>
      <c r="H768" s="63">
        <f t="shared" si="221"/>
        <v>1.1920460347687524E-2</v>
      </c>
      <c r="I768" s="63">
        <f t="shared" si="222"/>
        <v>6.8363602401830086E-3</v>
      </c>
      <c r="J768" s="63">
        <f t="shared" si="223"/>
        <v>1.7004560455192039E-2</v>
      </c>
      <c r="K768" s="30">
        <f>IF(OR(LEFT($D768,5)="Solar",$D768="Wind"),INDEX(Land_Use[AVG],MATCH(LEFT($D768,5),Land_Use[Tech],0)),0)*$E768</f>
        <v>0</v>
      </c>
      <c r="L768" s="30">
        <f>IF(OR(LEFT($D768,5)="Solar",$D768="Wind"),INDEX(Land_Use[MIN],MATCH(LEFT($D768,5),Land_Use[Tech],0)),0)*$E768</f>
        <v>0</v>
      </c>
      <c r="M768" s="30">
        <f>IF(OR(LEFT($D768,5)="Solar",$D768="Wind"),INDEX(Land_Use[MAX],MATCH(LEFT($D768,5),Land_Use[Tech],0)),0)*$E768</f>
        <v>0</v>
      </c>
      <c r="N768" s="15">
        <f t="shared" si="215"/>
        <v>14.666666666666666</v>
      </c>
      <c r="O768" s="11">
        <f t="shared" si="216"/>
        <v>0</v>
      </c>
      <c r="P768" s="11">
        <f t="shared" si="217"/>
        <v>0</v>
      </c>
      <c r="Q768" s="11">
        <f t="shared" si="218"/>
        <v>0</v>
      </c>
      <c r="R768" s="11">
        <f t="shared" si="219"/>
        <v>0</v>
      </c>
      <c r="S768" s="30">
        <f t="shared" si="207"/>
        <v>0</v>
      </c>
      <c r="T768" s="30">
        <f t="shared" si="208"/>
        <v>0</v>
      </c>
      <c r="U768" s="30">
        <f t="shared" si="209"/>
        <v>0</v>
      </c>
      <c r="V768" s="30">
        <f t="shared" si="210"/>
        <v>0</v>
      </c>
      <c r="W768" s="30">
        <f t="shared" si="211"/>
        <v>0</v>
      </c>
      <c r="X768" s="30">
        <f t="shared" si="212"/>
        <v>0</v>
      </c>
      <c r="Z768" s="23" t="s">
        <v>76</v>
      </c>
      <c r="AA768" s="40" t="str">
        <f>IF(C768="Electricity",E768*SUMIFS(Electricity!S:S,Electricity!P:P,UserMade_Scenario!B768,Electricity!M:M,UserMade_Scenario!Z768,Electricity!O:O,UserMade_Scenario!D768),"")</f>
        <v/>
      </c>
      <c r="AB768" s="76">
        <f>1000*Assumptions!$B$17/1000000000000</f>
        <v>1.1999999999999999E-7</v>
      </c>
      <c r="AC768" s="67" t="s">
        <v>77</v>
      </c>
      <c r="AD768" s="39">
        <f>SUMIFS(Hydrogen!AK:AK,Hydrogen!$AA:$AA,UserMade_Scenario!$Z768,Hydrogen!$Y:$Y,UserMade_Scenario!$D768,Hydrogen!$AB:$AB,UserMade_Scenario!$B768,Hydrogen!$Z:$Z,UserMade_Scenario!$C768)</f>
        <v>-18.964368734957425</v>
      </c>
      <c r="AE768" s="39">
        <f>SUMIFS(Hydrogen!AL:AL,Hydrogen!$AA:$AA,UserMade_Scenario!$Z768,Hydrogen!$Y:$Y,UserMade_Scenario!$D768,Hydrogen!$AB:$AB,UserMade_Scenario!$B768,Hydrogen!$Z:$Z,UserMade_Scenario!$C768)</f>
        <v>-10.876027654836605</v>
      </c>
      <c r="AF768" s="39">
        <f>SUMIFS(Hydrogen!AM:AM,Hydrogen!$AA:$AA,UserMade_Scenario!$Z768,Hydrogen!$Y:$Y,UserMade_Scenario!$D768,Hydrogen!$AB:$AB,UserMade_Scenario!$B768,Hydrogen!$Z:$Z,UserMade_Scenario!$C768)</f>
        <v>-27.052709815078245</v>
      </c>
      <c r="AG768" s="68">
        <f>IFERROR(INDEX(WaterUseH2[Average Direct Water Consumption (Gal/ kg h2)],MATCH(LEFT(D768,3),WaterUseH2[Key],0)),0)</f>
        <v>2.8</v>
      </c>
      <c r="AH768">
        <v>14</v>
      </c>
      <c r="AI768">
        <v>1.4</v>
      </c>
      <c r="AJ768">
        <v>250</v>
      </c>
      <c r="AK768">
        <v>0.31</v>
      </c>
      <c r="AL768" s="63">
        <f>IFERROR(INDEX(Job_Training[[Solar]:[Wind]],MATCH(AL$1,Job_Training[[`Typical Entry Level Education`]:[`Typical Entry Level Education`]],0),MATCH(LEFT($D768,5),Job_Training[[#Headers],[Solar]:[Wind]],0)),0)</f>
        <v>0</v>
      </c>
      <c r="AM768" s="63">
        <f>IFERROR(INDEX(Job_Training[[Solar]:[Wind]],MATCH(AM$1,Job_Training[[`Typical Entry Level Education`]:[`Typical Entry Level Education`]],0),MATCH(LEFT($D768,5),Job_Training[[#Headers],[Solar]:[Wind]],0)),0)</f>
        <v>0</v>
      </c>
      <c r="AN768" s="63">
        <f>IFERROR(INDEX(Job_Training[[Solar]:[Wind]],MATCH(AN$1,Job_Training[[`Typical Entry Level Education`]:[`Typical Entry Level Education`]],0),MATCH(LEFT($D768,5),Job_Training[[#Headers],[Solar]:[Wind]],0)),0)</f>
        <v>0</v>
      </c>
      <c r="AO768" s="63">
        <f>IFERROR(INDEX(Job_Training[[Solar]:[Wind]],MATCH(AO$1,Job_Training[[`Typical Entry Level Education`]:[`Typical Entry Level Education`]],0),MATCH(LEFT($D768,5),Job_Training[[#Headers],[Solar]:[Wind]],0)),0)</f>
        <v>0</v>
      </c>
      <c r="AP768">
        <f t="shared" si="213"/>
        <v>0</v>
      </c>
      <c r="AQ768" s="63">
        <f>IF(AP768&gt;0,IFERROR(INDEX(Assumptions!$C$165:$D$165,MATCH(LEFT($D768,5),Job_Training[[#Headers],[Solar]:[Wind]],0)),0),0)</f>
        <v>0</v>
      </c>
      <c r="AR768">
        <f>IF(AP768&gt;0,IFERROR(INDEX(Assumptions!$C$166:$D$166,MATCH(LEFT($D768,5),Job_Training[[#Headers],[Solar]:[Wind]],0)),0),0)</f>
        <v>0</v>
      </c>
    </row>
    <row r="769" spans="1:44" hidden="1" x14ac:dyDescent="0.35">
      <c r="A769" t="str">
        <f>UserInput!$B$82</f>
        <v>Incremental Buildout</v>
      </c>
      <c r="B769">
        <v>2036</v>
      </c>
      <c r="C769" s="16" t="s">
        <v>73</v>
      </c>
      <c r="D769" t="s">
        <v>74</v>
      </c>
      <c r="E769" s="66">
        <f>INDEX(UserInput!$C$82:$M$102,MATCH(UserMade_Scenario!B769,UserInput!$A$82:$A$102,0),MATCH(LEFT(IF(RIGHT(C769,2)="H2",UserMade_Scenario!C769,D769),3),UserInput!$C$25:$M$25,0))</f>
        <v>5714.2857142857147</v>
      </c>
      <c r="F769" s="14" t="s">
        <v>75</v>
      </c>
      <c r="G769" s="14">
        <f t="shared" si="220"/>
        <v>6.857142857142857E-4</v>
      </c>
      <c r="H769" s="63">
        <f t="shared" si="221"/>
        <v>1.2155714035138111E-2</v>
      </c>
      <c r="I769" s="63">
        <f t="shared" si="222"/>
        <v>5.7609984827939956E-3</v>
      </c>
      <c r="J769" s="63">
        <f t="shared" si="223"/>
        <v>1.8550429587482226E-2</v>
      </c>
      <c r="K769" s="30">
        <f>IF(OR(LEFT($D769,5)="Solar",$D769="Wind"),INDEX(Land_Use[AVG],MATCH(LEFT($D769,5),Land_Use[Tech],0)),0)*$E769</f>
        <v>0</v>
      </c>
      <c r="L769" s="30">
        <f>IF(OR(LEFT($D769,5)="Solar",$D769="Wind"),INDEX(Land_Use[MIN],MATCH(LEFT($D769,5),Land_Use[Tech],0)),0)*$E769</f>
        <v>0</v>
      </c>
      <c r="M769" s="30">
        <f>IF(OR(LEFT($D769,5)="Solar",$D769="Wind"),INDEX(Land_Use[MAX],MATCH(LEFT($D769,5),Land_Use[Tech],0)),0)*$E769</f>
        <v>0</v>
      </c>
      <c r="N769" s="15">
        <f t="shared" si="215"/>
        <v>16</v>
      </c>
      <c r="O769" s="11">
        <f t="shared" si="216"/>
        <v>0</v>
      </c>
      <c r="P769" s="11">
        <f t="shared" si="217"/>
        <v>0</v>
      </c>
      <c r="Q769" s="11">
        <f t="shared" si="218"/>
        <v>0</v>
      </c>
      <c r="R769" s="11">
        <f t="shared" si="219"/>
        <v>0</v>
      </c>
      <c r="S769" s="30">
        <f t="shared" si="207"/>
        <v>0</v>
      </c>
      <c r="T769" s="30">
        <f t="shared" si="208"/>
        <v>0</v>
      </c>
      <c r="U769" s="30">
        <f t="shared" si="209"/>
        <v>0</v>
      </c>
      <c r="V769" s="30">
        <f t="shared" si="210"/>
        <v>0</v>
      </c>
      <c r="W769" s="30">
        <f t="shared" si="211"/>
        <v>0</v>
      </c>
      <c r="X769" s="30">
        <f t="shared" si="212"/>
        <v>0</v>
      </c>
      <c r="Z769" s="23" t="s">
        <v>76</v>
      </c>
      <c r="AA769" s="40" t="str">
        <f>IF(C769="Electricity",E769*SUMIFS(Electricity!S:S,Electricity!P:P,UserMade_Scenario!B769,Electricity!M:M,UserMade_Scenario!Z769,Electricity!O:O,UserMade_Scenario!D769),"")</f>
        <v/>
      </c>
      <c r="AB769" s="76">
        <f>1000*Assumptions!$B$17/1000000000000</f>
        <v>1.1999999999999999E-7</v>
      </c>
      <c r="AC769" s="67" t="s">
        <v>77</v>
      </c>
      <c r="AD769" s="39">
        <f>SUMIFS(Hydrogen!AK:AK,Hydrogen!$AA:$AA,UserMade_Scenario!$Z769,Hydrogen!$Y:$Y,UserMade_Scenario!$D769,Hydrogen!$AB:$AB,UserMade_Scenario!$B769,Hydrogen!$Z:$Z,UserMade_Scenario!$C769)</f>
        <v>-17.727082967909745</v>
      </c>
      <c r="AE769" s="39">
        <f>SUMIFS(Hydrogen!AL:AL,Hydrogen!$AA:$AA,UserMade_Scenario!$Z769,Hydrogen!$Y:$Y,UserMade_Scenario!$D769,Hydrogen!$AB:$AB,UserMade_Scenario!$B769,Hydrogen!$Z:$Z,UserMade_Scenario!$C769)</f>
        <v>-8.4014561207412441</v>
      </c>
      <c r="AF769" s="39">
        <f>SUMIFS(Hydrogen!AM:AM,Hydrogen!$AA:$AA,UserMade_Scenario!$Z769,Hydrogen!$Y:$Y,UserMade_Scenario!$D769,Hydrogen!$AB:$AB,UserMade_Scenario!$B769,Hydrogen!$Z:$Z,UserMade_Scenario!$C769)</f>
        <v>-27.052709815078245</v>
      </c>
      <c r="AG769" s="68">
        <f>IFERROR(INDEX(WaterUseH2[Average Direct Water Consumption (Gal/ kg h2)],MATCH(LEFT(D769,3),WaterUseH2[Key],0)),0)</f>
        <v>2.8</v>
      </c>
      <c r="AH769">
        <v>14</v>
      </c>
      <c r="AI769">
        <v>1.4</v>
      </c>
      <c r="AJ769">
        <v>250</v>
      </c>
      <c r="AK769">
        <v>0.31</v>
      </c>
      <c r="AL769" s="63">
        <f>IFERROR(INDEX(Job_Training[[Solar]:[Wind]],MATCH(AL$1,Job_Training[[`Typical Entry Level Education`]:[`Typical Entry Level Education`]],0),MATCH(LEFT($D769,5),Job_Training[[#Headers],[Solar]:[Wind]],0)),0)</f>
        <v>0</v>
      </c>
      <c r="AM769" s="63">
        <f>IFERROR(INDEX(Job_Training[[Solar]:[Wind]],MATCH(AM$1,Job_Training[[`Typical Entry Level Education`]:[`Typical Entry Level Education`]],0),MATCH(LEFT($D769,5),Job_Training[[#Headers],[Solar]:[Wind]],0)),0)</f>
        <v>0</v>
      </c>
      <c r="AN769" s="63">
        <f>IFERROR(INDEX(Job_Training[[Solar]:[Wind]],MATCH(AN$1,Job_Training[[`Typical Entry Level Education`]:[`Typical Entry Level Education`]],0),MATCH(LEFT($D769,5),Job_Training[[#Headers],[Solar]:[Wind]],0)),0)</f>
        <v>0</v>
      </c>
      <c r="AO769" s="63">
        <f>IFERROR(INDEX(Job_Training[[Solar]:[Wind]],MATCH(AO$1,Job_Training[[`Typical Entry Level Education`]:[`Typical Entry Level Education`]],0),MATCH(LEFT($D769,5),Job_Training[[#Headers],[Solar]:[Wind]],0)),0)</f>
        <v>0</v>
      </c>
      <c r="AP769">
        <f t="shared" si="213"/>
        <v>0</v>
      </c>
      <c r="AQ769" s="63">
        <f>IF(AP769&gt;0,IFERROR(INDEX(Assumptions!$C$165:$D$165,MATCH(LEFT($D769,5),Job_Training[[#Headers],[Solar]:[Wind]],0)),0),0)</f>
        <v>0</v>
      </c>
      <c r="AR769">
        <f>IF(AP769&gt;0,IFERROR(INDEX(Assumptions!$C$166:$D$166,MATCH(LEFT($D769,5),Job_Training[[#Headers],[Solar]:[Wind]],0)),0),0)</f>
        <v>0</v>
      </c>
    </row>
    <row r="770" spans="1:44" hidden="1" x14ac:dyDescent="0.35">
      <c r="A770" t="str">
        <f>UserInput!$B$82</f>
        <v>Incremental Buildout</v>
      </c>
      <c r="B770">
        <v>2037</v>
      </c>
      <c r="C770" s="16" t="s">
        <v>73</v>
      </c>
      <c r="D770" t="s">
        <v>74</v>
      </c>
      <c r="E770" s="66">
        <f>INDEX(UserInput!$C$82:$M$102,MATCH(UserMade_Scenario!B770,UserInput!$A$82:$A$102,0),MATCH(LEFT(IF(RIGHT(C770,2)="H2",UserMade_Scenario!C770,D770),3),UserInput!$C$25:$M$25,0))</f>
        <v>6190.4761904761908</v>
      </c>
      <c r="F770" s="14" t="s">
        <v>75</v>
      </c>
      <c r="G770" s="14">
        <f t="shared" si="220"/>
        <v>7.4285714285714287E-4</v>
      </c>
      <c r="H770" s="63">
        <f t="shared" si="221"/>
        <v>1.2218955359842005E-2</v>
      </c>
      <c r="I770" s="63">
        <f t="shared" si="222"/>
        <v>4.3416119999115984E-3</v>
      </c>
      <c r="J770" s="63">
        <f t="shared" si="223"/>
        <v>2.009629871977241E-2</v>
      </c>
      <c r="K770" s="30">
        <f>IF(OR(LEFT($D770,5)="Solar",$D770="Wind"),INDEX(Land_Use[AVG],MATCH(LEFT($D770,5),Land_Use[Tech],0)),0)*$E770</f>
        <v>0</v>
      </c>
      <c r="L770" s="30">
        <f>IF(OR(LEFT($D770,5)="Solar",$D770="Wind"),INDEX(Land_Use[MIN],MATCH(LEFT($D770,5),Land_Use[Tech],0)),0)*$E770</f>
        <v>0</v>
      </c>
      <c r="M770" s="30">
        <f>IF(OR(LEFT($D770,5)="Solar",$D770="Wind"),INDEX(Land_Use[MAX],MATCH(LEFT($D770,5),Land_Use[Tech],0)),0)*$E770</f>
        <v>0</v>
      </c>
      <c r="N770" s="15">
        <f t="shared" si="215"/>
        <v>17.333333333333332</v>
      </c>
      <c r="O770" s="11">
        <f t="shared" si="216"/>
        <v>0</v>
      </c>
      <c r="P770" s="11">
        <f t="shared" si="217"/>
        <v>0</v>
      </c>
      <c r="Q770" s="11">
        <f t="shared" si="218"/>
        <v>0</v>
      </c>
      <c r="R770" s="11">
        <f t="shared" si="219"/>
        <v>0</v>
      </c>
      <c r="S770" s="30">
        <f t="shared" si="207"/>
        <v>0</v>
      </c>
      <c r="T770" s="30">
        <f t="shared" si="208"/>
        <v>0</v>
      </c>
      <c r="U770" s="30">
        <f t="shared" si="209"/>
        <v>0</v>
      </c>
      <c r="V770" s="30">
        <f t="shared" si="210"/>
        <v>0</v>
      </c>
      <c r="W770" s="30">
        <f t="shared" si="211"/>
        <v>0</v>
      </c>
      <c r="X770" s="30">
        <f t="shared" si="212"/>
        <v>0</v>
      </c>
      <c r="Z770" s="23" t="s">
        <v>76</v>
      </c>
      <c r="AA770" s="40" t="str">
        <f>IF(C770="Electricity",E770*SUMIFS(Electricity!S:S,Electricity!P:P,UserMade_Scenario!B770,Electricity!M:M,UserMade_Scenario!Z770,Electricity!O:O,UserMade_Scenario!D770),"")</f>
        <v/>
      </c>
      <c r="AB770" s="76">
        <f>1000*Assumptions!$B$17/1000000000000</f>
        <v>1.1999999999999999E-7</v>
      </c>
      <c r="AC770" s="67" t="s">
        <v>77</v>
      </c>
      <c r="AD770" s="39">
        <f>SUMIFS(Hydrogen!AK:AK,Hydrogen!$AA:$AA,UserMade_Scenario!$Z770,Hydrogen!$Y:$Y,UserMade_Scenario!$D770,Hydrogen!$AB:$AB,UserMade_Scenario!$B770,Hydrogen!$Z:$Z,UserMade_Scenario!$C770)</f>
        <v>-16.448593753633467</v>
      </c>
      <c r="AE770" s="39">
        <f>SUMIFS(Hydrogen!AL:AL,Hydrogen!$AA:$AA,UserMade_Scenario!$Z770,Hydrogen!$Y:$Y,UserMade_Scenario!$D770,Hydrogen!$AB:$AB,UserMade_Scenario!$B770,Hydrogen!$Z:$Z,UserMade_Scenario!$C770)</f>
        <v>-5.8444776921886898</v>
      </c>
      <c r="AF770" s="39">
        <f>SUMIFS(Hydrogen!AM:AM,Hydrogen!$AA:$AA,UserMade_Scenario!$Z770,Hydrogen!$Y:$Y,UserMade_Scenario!$D770,Hydrogen!$AB:$AB,UserMade_Scenario!$B770,Hydrogen!$Z:$Z,UserMade_Scenario!$C770)</f>
        <v>-27.052709815078245</v>
      </c>
      <c r="AG770" s="68">
        <f>IFERROR(INDEX(WaterUseH2[Average Direct Water Consumption (Gal/ kg h2)],MATCH(LEFT(D770,3),WaterUseH2[Key],0)),0)</f>
        <v>2.8</v>
      </c>
      <c r="AH770">
        <v>14</v>
      </c>
      <c r="AI770">
        <v>1.4</v>
      </c>
      <c r="AJ770">
        <v>250</v>
      </c>
      <c r="AK770">
        <v>0.31</v>
      </c>
      <c r="AL770" s="63">
        <f>IFERROR(INDEX(Job_Training[[Solar]:[Wind]],MATCH(AL$1,Job_Training[[`Typical Entry Level Education`]:[`Typical Entry Level Education`]],0),MATCH(LEFT($D770,5),Job_Training[[#Headers],[Solar]:[Wind]],0)),0)</f>
        <v>0</v>
      </c>
      <c r="AM770" s="63">
        <f>IFERROR(INDEX(Job_Training[[Solar]:[Wind]],MATCH(AM$1,Job_Training[[`Typical Entry Level Education`]:[`Typical Entry Level Education`]],0),MATCH(LEFT($D770,5),Job_Training[[#Headers],[Solar]:[Wind]],0)),0)</f>
        <v>0</v>
      </c>
      <c r="AN770" s="63">
        <f>IFERROR(INDEX(Job_Training[[Solar]:[Wind]],MATCH(AN$1,Job_Training[[`Typical Entry Level Education`]:[`Typical Entry Level Education`]],0),MATCH(LEFT($D770,5),Job_Training[[#Headers],[Solar]:[Wind]],0)),0)</f>
        <v>0</v>
      </c>
      <c r="AO770" s="63">
        <f>IFERROR(INDEX(Job_Training[[Solar]:[Wind]],MATCH(AO$1,Job_Training[[`Typical Entry Level Education`]:[`Typical Entry Level Education`]],0),MATCH(LEFT($D770,5),Job_Training[[#Headers],[Solar]:[Wind]],0)),0)</f>
        <v>0</v>
      </c>
      <c r="AP770">
        <f t="shared" si="213"/>
        <v>0</v>
      </c>
      <c r="AQ770" s="63">
        <f>IF(AP770&gt;0,IFERROR(INDEX(Assumptions!$C$165:$D$165,MATCH(LEFT($D770,5),Job_Training[[#Headers],[Solar]:[Wind]],0)),0),0)</f>
        <v>0</v>
      </c>
      <c r="AR770">
        <f>IF(AP770&gt;0,IFERROR(INDEX(Assumptions!$C$166:$D$166,MATCH(LEFT($D770,5),Job_Training[[#Headers],[Solar]:[Wind]],0)),0),0)</f>
        <v>0</v>
      </c>
    </row>
    <row r="771" spans="1:44" hidden="1" x14ac:dyDescent="0.35">
      <c r="A771" t="str">
        <f>UserInput!$B$82</f>
        <v>Incremental Buildout</v>
      </c>
      <c r="B771">
        <v>2038</v>
      </c>
      <c r="C771" s="16" t="s">
        <v>73</v>
      </c>
      <c r="D771" t="s">
        <v>74</v>
      </c>
      <c r="E771" s="66">
        <f>INDEX(UserInput!$C$82:$M$102,MATCH(UserMade_Scenario!B771,UserInput!$A$82:$A$102,0),MATCH(LEFT(IF(RIGHT(C771,2)="H2",UserMade_Scenario!C771,D771),3),UserInput!$C$25:$M$25,0))</f>
        <v>6666.666666666667</v>
      </c>
      <c r="F771" s="14" t="s">
        <v>75</v>
      </c>
      <c r="G771" s="14">
        <f t="shared" si="220"/>
        <v>7.9999999999999993E-4</v>
      </c>
      <c r="H771" s="63">
        <f t="shared" si="221"/>
        <v>1.214180560214214E-2</v>
      </c>
      <c r="I771" s="63">
        <f t="shared" si="222"/>
        <v>2.6414433522216878E-3</v>
      </c>
      <c r="J771" s="63">
        <f t="shared" si="223"/>
        <v>2.1642167852062594E-2</v>
      </c>
      <c r="K771" s="30">
        <f>IF(OR(LEFT($D771,5)="Solar",$D771="Wind"),INDEX(Land_Use[AVG],MATCH(LEFT($D771,5),Land_Use[Tech],0)),0)*$E771</f>
        <v>0</v>
      </c>
      <c r="L771" s="30">
        <f>IF(OR(LEFT($D771,5)="Solar",$D771="Wind"),INDEX(Land_Use[MIN],MATCH(LEFT($D771,5),Land_Use[Tech],0)),0)*$E771</f>
        <v>0</v>
      </c>
      <c r="M771" s="30">
        <f>IF(OR(LEFT($D771,5)="Solar",$D771="Wind"),INDEX(Land_Use[MAX],MATCH(LEFT($D771,5),Land_Use[Tech],0)),0)*$E771</f>
        <v>0</v>
      </c>
      <c r="N771" s="15">
        <f t="shared" si="215"/>
        <v>18.666666666666668</v>
      </c>
      <c r="O771" s="11">
        <f t="shared" si="216"/>
        <v>0</v>
      </c>
      <c r="P771" s="11">
        <f t="shared" si="217"/>
        <v>0</v>
      </c>
      <c r="Q771" s="11">
        <f t="shared" si="218"/>
        <v>0</v>
      </c>
      <c r="R771" s="11">
        <f t="shared" si="219"/>
        <v>0</v>
      </c>
      <c r="S771" s="30">
        <f t="shared" ref="S771:S834" si="224">MAX($AP771*AL771,0)</f>
        <v>0</v>
      </c>
      <c r="T771" s="30">
        <f t="shared" ref="T771:T834" si="225">MAX($AP771*AM771,0)</f>
        <v>0</v>
      </c>
      <c r="U771" s="30">
        <f t="shared" ref="U771:U834" si="226">MAX($AP771*AN771,0)</f>
        <v>0</v>
      </c>
      <c r="V771" s="30">
        <f t="shared" ref="V771:V834" si="227">MAX($AP771*AO771,0)</f>
        <v>0</v>
      </c>
      <c r="W771" s="30">
        <f t="shared" ref="W771:W834" si="228">$AP771*AQ771</f>
        <v>0</v>
      </c>
      <c r="X771" s="30">
        <f t="shared" ref="X771:X834" si="229">$AP771*AR771</f>
        <v>0</v>
      </c>
      <c r="Z771" s="23" t="s">
        <v>76</v>
      </c>
      <c r="AA771" s="40" t="str">
        <f>IF(C771="Electricity",E771*SUMIFS(Electricity!S:S,Electricity!P:P,UserMade_Scenario!B771,Electricity!M:M,UserMade_Scenario!Z771,Electricity!O:O,UserMade_Scenario!D771),"")</f>
        <v/>
      </c>
      <c r="AB771" s="76">
        <f>1000*Assumptions!$B$17/1000000000000</f>
        <v>1.1999999999999999E-7</v>
      </c>
      <c r="AC771" s="67" t="s">
        <v>77</v>
      </c>
      <c r="AD771" s="39">
        <f>SUMIFS(Hydrogen!AK:AK,Hydrogen!$AA:$AA,UserMade_Scenario!$Z771,Hydrogen!$Y:$Y,UserMade_Scenario!$D771,Hydrogen!$AB:$AB,UserMade_Scenario!$B771,Hydrogen!$Z:$Z,UserMade_Scenario!$C771)</f>
        <v>-15.177257002677678</v>
      </c>
      <c r="AE771" s="39">
        <f>SUMIFS(Hydrogen!AL:AL,Hydrogen!$AA:$AA,UserMade_Scenario!$Z771,Hydrogen!$Y:$Y,UserMade_Scenario!$D771,Hydrogen!$AB:$AB,UserMade_Scenario!$B771,Hydrogen!$Z:$Z,UserMade_Scenario!$C771)</f>
        <v>-3.3018041902771103</v>
      </c>
      <c r="AF771" s="39">
        <f>SUMIFS(Hydrogen!AM:AM,Hydrogen!$AA:$AA,UserMade_Scenario!$Z771,Hydrogen!$Y:$Y,UserMade_Scenario!$D771,Hydrogen!$AB:$AB,UserMade_Scenario!$B771,Hydrogen!$Z:$Z,UserMade_Scenario!$C771)</f>
        <v>-27.052709815078245</v>
      </c>
      <c r="AG771" s="68">
        <f>IFERROR(INDEX(WaterUseH2[Average Direct Water Consumption (Gal/ kg h2)],MATCH(LEFT(D771,3),WaterUseH2[Key],0)),0)</f>
        <v>2.8</v>
      </c>
      <c r="AH771">
        <v>14</v>
      </c>
      <c r="AI771">
        <v>1.4</v>
      </c>
      <c r="AJ771">
        <v>250</v>
      </c>
      <c r="AK771">
        <v>0.31</v>
      </c>
      <c r="AL771" s="63">
        <f>IFERROR(INDEX(Job_Training[[Solar]:[Wind]],MATCH(AL$1,Job_Training[[`Typical Entry Level Education`]:[`Typical Entry Level Education`]],0),MATCH(LEFT($D771,5),Job_Training[[#Headers],[Solar]:[Wind]],0)),0)</f>
        <v>0</v>
      </c>
      <c r="AM771" s="63">
        <f>IFERROR(INDEX(Job_Training[[Solar]:[Wind]],MATCH(AM$1,Job_Training[[`Typical Entry Level Education`]:[`Typical Entry Level Education`]],0),MATCH(LEFT($D771,5),Job_Training[[#Headers],[Solar]:[Wind]],0)),0)</f>
        <v>0</v>
      </c>
      <c r="AN771" s="63">
        <f>IFERROR(INDEX(Job_Training[[Solar]:[Wind]],MATCH(AN$1,Job_Training[[`Typical Entry Level Education`]:[`Typical Entry Level Education`]],0),MATCH(LEFT($D771,5),Job_Training[[#Headers],[Solar]:[Wind]],0)),0)</f>
        <v>0</v>
      </c>
      <c r="AO771" s="63">
        <f>IFERROR(INDEX(Job_Training[[Solar]:[Wind]],MATCH(AO$1,Job_Training[[`Typical Entry Level Education`]:[`Typical Entry Level Education`]],0),MATCH(LEFT($D771,5),Job_Training[[#Headers],[Solar]:[Wind]],0)),0)</f>
        <v>0</v>
      </c>
      <c r="AP771">
        <f t="shared" ref="AP771:AP834" si="230">IF(OR($C771="Electricity",$D771="Solar (Off-Grid)"),IF($B771=2025,$E771,$E771-$E770),0)</f>
        <v>0</v>
      </c>
      <c r="AQ771" s="63">
        <f>IF(AP771&gt;0,IFERROR(INDEX(Assumptions!$C$165:$D$165,MATCH(LEFT($D771,5),Job_Training[[#Headers],[Solar]:[Wind]],0)),0),0)</f>
        <v>0</v>
      </c>
      <c r="AR771">
        <f>IF(AP771&gt;0,IFERROR(INDEX(Assumptions!$C$166:$D$166,MATCH(LEFT($D771,5),Job_Training[[#Headers],[Solar]:[Wind]],0)),0),0)</f>
        <v>0</v>
      </c>
    </row>
    <row r="772" spans="1:44" hidden="1" x14ac:dyDescent="0.35">
      <c r="A772" t="str">
        <f>UserInput!$B$82</f>
        <v>Incremental Buildout</v>
      </c>
      <c r="B772">
        <v>2039</v>
      </c>
      <c r="C772" s="16" t="s">
        <v>73</v>
      </c>
      <c r="D772" t="s">
        <v>74</v>
      </c>
      <c r="E772" s="66">
        <f>INDEX(UserInput!$C$82:$M$102,MATCH(UserMade_Scenario!B772,UserInput!$A$82:$A$102,0),MATCH(LEFT(IF(RIGHT(C772,2)="H2",UserMade_Scenario!C772,D772),3),UserInput!$C$25:$M$25,0))</f>
        <v>7142.8571428571431</v>
      </c>
      <c r="F772" s="14" t="s">
        <v>75</v>
      </c>
      <c r="G772" s="14">
        <f t="shared" si="220"/>
        <v>8.571428571428571E-4</v>
      </c>
      <c r="H772" s="63">
        <f t="shared" si="221"/>
        <v>1.1893875955727017E-2</v>
      </c>
      <c r="I772" s="63">
        <f t="shared" si="222"/>
        <v>5.9971492710125416E-4</v>
      </c>
      <c r="J772" s="63">
        <f t="shared" si="223"/>
        <v>2.3188036984352779E-2</v>
      </c>
      <c r="K772" s="30">
        <f>IF(OR(LEFT($D772,5)="Solar",$D772="Wind"),INDEX(Land_Use[AVG],MATCH(LEFT($D772,5),Land_Use[Tech],0)),0)*$E772</f>
        <v>0</v>
      </c>
      <c r="L772" s="30">
        <f>IF(OR(LEFT($D772,5)="Solar",$D772="Wind"),INDEX(Land_Use[MIN],MATCH(LEFT($D772,5),Land_Use[Tech],0)),0)*$E772</f>
        <v>0</v>
      </c>
      <c r="M772" s="30">
        <f>IF(OR(LEFT($D772,5)="Solar",$D772="Wind"),INDEX(Land_Use[MAX],MATCH(LEFT($D772,5),Land_Use[Tech],0)),0)*$E772</f>
        <v>0</v>
      </c>
      <c r="N772" s="15">
        <f t="shared" si="215"/>
        <v>20</v>
      </c>
      <c r="O772" s="11">
        <f t="shared" si="216"/>
        <v>0</v>
      </c>
      <c r="P772" s="11">
        <f t="shared" si="217"/>
        <v>0</v>
      </c>
      <c r="Q772" s="11">
        <f t="shared" si="218"/>
        <v>0</v>
      </c>
      <c r="R772" s="11">
        <f t="shared" si="219"/>
        <v>0</v>
      </c>
      <c r="S772" s="30">
        <f t="shared" si="224"/>
        <v>0</v>
      </c>
      <c r="T772" s="30">
        <f t="shared" si="225"/>
        <v>0</v>
      </c>
      <c r="U772" s="30">
        <f t="shared" si="226"/>
        <v>0</v>
      </c>
      <c r="V772" s="30">
        <f t="shared" si="227"/>
        <v>0</v>
      </c>
      <c r="W772" s="30">
        <f t="shared" si="228"/>
        <v>0</v>
      </c>
      <c r="X772" s="30">
        <f t="shared" si="229"/>
        <v>0</v>
      </c>
      <c r="Z772" s="23" t="s">
        <v>76</v>
      </c>
      <c r="AA772" s="40" t="str">
        <f>IF(C772="Electricity",E772*SUMIFS(Electricity!S:S,Electricity!P:P,UserMade_Scenario!B772,Electricity!M:M,UserMade_Scenario!Z772,Electricity!O:O,UserMade_Scenario!D772),"")</f>
        <v/>
      </c>
      <c r="AB772" s="76">
        <f>1000*Assumptions!$B$17/1000000000000</f>
        <v>1.1999999999999999E-7</v>
      </c>
      <c r="AC772" s="67" t="s">
        <v>77</v>
      </c>
      <c r="AD772" s="39">
        <f>SUMIFS(Hydrogen!AK:AK,Hydrogen!$AA:$AA,UserMade_Scenario!$Z772,Hydrogen!$Y:$Y,UserMade_Scenario!$D772,Hydrogen!$AB:$AB,UserMade_Scenario!$B772,Hydrogen!$Z:$Z,UserMade_Scenario!$C772)</f>
        <v>-13.876188615014854</v>
      </c>
      <c r="AE772" s="39">
        <f>SUMIFS(Hydrogen!AL:AL,Hydrogen!$AA:$AA,UserMade_Scenario!$Z772,Hydrogen!$Y:$Y,UserMade_Scenario!$D772,Hydrogen!$AB:$AB,UserMade_Scenario!$B772,Hydrogen!$Z:$Z,UserMade_Scenario!$C772)</f>
        <v>-0.69966741495146323</v>
      </c>
      <c r="AF772" s="39">
        <f>SUMIFS(Hydrogen!AM:AM,Hydrogen!$AA:$AA,UserMade_Scenario!$Z772,Hydrogen!$Y:$Y,UserMade_Scenario!$D772,Hydrogen!$AB:$AB,UserMade_Scenario!$B772,Hydrogen!$Z:$Z,UserMade_Scenario!$C772)</f>
        <v>-27.052709815078245</v>
      </c>
      <c r="AG772" s="68">
        <f>IFERROR(INDEX(WaterUseH2[Average Direct Water Consumption (Gal/ kg h2)],MATCH(LEFT(D772,3),WaterUseH2[Key],0)),0)</f>
        <v>2.8</v>
      </c>
      <c r="AH772">
        <v>14</v>
      </c>
      <c r="AI772">
        <v>1.4</v>
      </c>
      <c r="AJ772">
        <v>250</v>
      </c>
      <c r="AK772">
        <v>0.31</v>
      </c>
      <c r="AL772" s="63">
        <f>IFERROR(INDEX(Job_Training[[Solar]:[Wind]],MATCH(AL$1,Job_Training[[`Typical Entry Level Education`]:[`Typical Entry Level Education`]],0),MATCH(LEFT($D772,5),Job_Training[[#Headers],[Solar]:[Wind]],0)),0)</f>
        <v>0</v>
      </c>
      <c r="AM772" s="63">
        <f>IFERROR(INDEX(Job_Training[[Solar]:[Wind]],MATCH(AM$1,Job_Training[[`Typical Entry Level Education`]:[`Typical Entry Level Education`]],0),MATCH(LEFT($D772,5),Job_Training[[#Headers],[Solar]:[Wind]],0)),0)</f>
        <v>0</v>
      </c>
      <c r="AN772" s="63">
        <f>IFERROR(INDEX(Job_Training[[Solar]:[Wind]],MATCH(AN$1,Job_Training[[`Typical Entry Level Education`]:[`Typical Entry Level Education`]],0),MATCH(LEFT($D772,5),Job_Training[[#Headers],[Solar]:[Wind]],0)),0)</f>
        <v>0</v>
      </c>
      <c r="AO772" s="63">
        <f>IFERROR(INDEX(Job_Training[[Solar]:[Wind]],MATCH(AO$1,Job_Training[[`Typical Entry Level Education`]:[`Typical Entry Level Education`]],0),MATCH(LEFT($D772,5),Job_Training[[#Headers],[Solar]:[Wind]],0)),0)</f>
        <v>0</v>
      </c>
      <c r="AP772">
        <f t="shared" si="230"/>
        <v>0</v>
      </c>
      <c r="AQ772" s="63">
        <f>IF(AP772&gt;0,IFERROR(INDEX(Assumptions!$C$165:$D$165,MATCH(LEFT($D772,5),Job_Training[[#Headers],[Solar]:[Wind]],0)),0),0)</f>
        <v>0</v>
      </c>
      <c r="AR772">
        <f>IF(AP772&gt;0,IFERROR(INDEX(Assumptions!$C$166:$D$166,MATCH(LEFT($D772,5),Job_Training[[#Headers],[Solar]:[Wind]],0)),0),0)</f>
        <v>0</v>
      </c>
    </row>
    <row r="773" spans="1:44" hidden="1" x14ac:dyDescent="0.35">
      <c r="A773" t="str">
        <f>UserInput!$B$82</f>
        <v>Incremental Buildout</v>
      </c>
      <c r="B773">
        <v>2040</v>
      </c>
      <c r="C773" s="16" t="s">
        <v>73</v>
      </c>
      <c r="D773" t="s">
        <v>74</v>
      </c>
      <c r="E773" s="66">
        <f>INDEX(UserInput!$C$82:$M$102,MATCH(UserMade_Scenario!B773,UserInput!$A$82:$A$102,0),MATCH(LEFT(IF(RIGHT(C773,2)="H2",UserMade_Scenario!C773,D773),3),UserInput!$C$25:$M$25,0))</f>
        <v>7619.0476190476193</v>
      </c>
      <c r="F773" s="14" t="s">
        <v>75</v>
      </c>
      <c r="G773" s="14">
        <f t="shared" si="220"/>
        <v>9.1428571428571427E-4</v>
      </c>
      <c r="H773" s="63">
        <f t="shared" si="221"/>
        <v>1.2366953058321483E-2</v>
      </c>
      <c r="I773" s="63">
        <f t="shared" si="222"/>
        <v>0</v>
      </c>
      <c r="J773" s="63">
        <f t="shared" si="223"/>
        <v>2.4733906116642966E-2</v>
      </c>
      <c r="K773" s="30">
        <f>IF(OR(LEFT($D773,5)="Solar",$D773="Wind"),INDEX(Land_Use[AVG],MATCH(LEFT($D773,5),Land_Use[Tech],0)),0)*$E773</f>
        <v>0</v>
      </c>
      <c r="L773" s="30">
        <f>IF(OR(LEFT($D773,5)="Solar",$D773="Wind"),INDEX(Land_Use[MIN],MATCH(LEFT($D773,5),Land_Use[Tech],0)),0)*$E773</f>
        <v>0</v>
      </c>
      <c r="M773" s="30">
        <f>IF(OR(LEFT($D773,5)="Solar",$D773="Wind"),INDEX(Land_Use[MAX],MATCH(LEFT($D773,5),Land_Use[Tech],0)),0)*$E773</f>
        <v>0</v>
      </c>
      <c r="N773" s="15">
        <f t="shared" si="215"/>
        <v>21.333333333333332</v>
      </c>
      <c r="O773" s="11">
        <f t="shared" si="216"/>
        <v>0</v>
      </c>
      <c r="P773" s="11">
        <f t="shared" si="217"/>
        <v>0</v>
      </c>
      <c r="Q773" s="11">
        <f t="shared" si="218"/>
        <v>0</v>
      </c>
      <c r="R773" s="11">
        <f t="shared" si="219"/>
        <v>0</v>
      </c>
      <c r="S773" s="30">
        <f t="shared" si="224"/>
        <v>0</v>
      </c>
      <c r="T773" s="30">
        <f t="shared" si="225"/>
        <v>0</v>
      </c>
      <c r="U773" s="30">
        <f t="shared" si="226"/>
        <v>0</v>
      </c>
      <c r="V773" s="30">
        <f t="shared" si="227"/>
        <v>0</v>
      </c>
      <c r="W773" s="30">
        <f t="shared" si="228"/>
        <v>0</v>
      </c>
      <c r="X773" s="30">
        <f t="shared" si="229"/>
        <v>0</v>
      </c>
      <c r="Z773" s="23" t="s">
        <v>76</v>
      </c>
      <c r="AA773" s="40" t="str">
        <f>IF(C773="Electricity",E773*SUMIFS(Electricity!S:S,Electricity!P:P,UserMade_Scenario!B773,Electricity!M:M,UserMade_Scenario!Z773,Electricity!O:O,UserMade_Scenario!D773),"")</f>
        <v/>
      </c>
      <c r="AB773" s="76">
        <f>1000*Assumptions!$B$17/1000000000000</f>
        <v>1.1999999999999999E-7</v>
      </c>
      <c r="AC773" s="67" t="s">
        <v>77</v>
      </c>
      <c r="AD773" s="39">
        <f>SUMIFS(Hydrogen!AK:AK,Hydrogen!$AA:$AA,UserMade_Scenario!$Z773,Hydrogen!$Y:$Y,UserMade_Scenario!$D773,Hydrogen!$AB:$AB,UserMade_Scenario!$B773,Hydrogen!$Z:$Z,UserMade_Scenario!$C773)</f>
        <v>-13.526354907539123</v>
      </c>
      <c r="AE773" s="39">
        <f>SUMIFS(Hydrogen!AL:AL,Hydrogen!$AA:$AA,UserMade_Scenario!$Z773,Hydrogen!$Y:$Y,UserMade_Scenario!$D773,Hydrogen!$AB:$AB,UserMade_Scenario!$B773,Hydrogen!$Z:$Z,UserMade_Scenario!$C773)</f>
        <v>0</v>
      </c>
      <c r="AF773" s="39">
        <f>SUMIFS(Hydrogen!AM:AM,Hydrogen!$AA:$AA,UserMade_Scenario!$Z773,Hydrogen!$Y:$Y,UserMade_Scenario!$D773,Hydrogen!$AB:$AB,UserMade_Scenario!$B773,Hydrogen!$Z:$Z,UserMade_Scenario!$C773)</f>
        <v>-27.052709815078245</v>
      </c>
      <c r="AG773" s="68">
        <f>IFERROR(INDEX(WaterUseH2[Average Direct Water Consumption (Gal/ kg h2)],MATCH(LEFT(D773,3),WaterUseH2[Key],0)),0)</f>
        <v>2.8</v>
      </c>
      <c r="AH773">
        <v>14</v>
      </c>
      <c r="AI773">
        <v>1.4</v>
      </c>
      <c r="AJ773">
        <v>250</v>
      </c>
      <c r="AK773">
        <v>0.31</v>
      </c>
      <c r="AL773" s="63">
        <f>IFERROR(INDEX(Job_Training[[Solar]:[Wind]],MATCH(AL$1,Job_Training[[`Typical Entry Level Education`]:[`Typical Entry Level Education`]],0),MATCH(LEFT($D773,5),Job_Training[[#Headers],[Solar]:[Wind]],0)),0)</f>
        <v>0</v>
      </c>
      <c r="AM773" s="63">
        <f>IFERROR(INDEX(Job_Training[[Solar]:[Wind]],MATCH(AM$1,Job_Training[[`Typical Entry Level Education`]:[`Typical Entry Level Education`]],0),MATCH(LEFT($D773,5),Job_Training[[#Headers],[Solar]:[Wind]],0)),0)</f>
        <v>0</v>
      </c>
      <c r="AN773" s="63">
        <f>IFERROR(INDEX(Job_Training[[Solar]:[Wind]],MATCH(AN$1,Job_Training[[`Typical Entry Level Education`]:[`Typical Entry Level Education`]],0),MATCH(LEFT($D773,5),Job_Training[[#Headers],[Solar]:[Wind]],0)),0)</f>
        <v>0</v>
      </c>
      <c r="AO773" s="63">
        <f>IFERROR(INDEX(Job_Training[[Solar]:[Wind]],MATCH(AO$1,Job_Training[[`Typical Entry Level Education`]:[`Typical Entry Level Education`]],0),MATCH(LEFT($D773,5),Job_Training[[#Headers],[Solar]:[Wind]],0)),0)</f>
        <v>0</v>
      </c>
      <c r="AP773">
        <f t="shared" si="230"/>
        <v>0</v>
      </c>
      <c r="AQ773" s="63">
        <f>IF(AP773&gt;0,IFERROR(INDEX(Assumptions!$C$165:$D$165,MATCH(LEFT($D773,5),Job_Training[[#Headers],[Solar]:[Wind]],0)),0),0)</f>
        <v>0</v>
      </c>
      <c r="AR773">
        <f>IF(AP773&gt;0,IFERROR(INDEX(Assumptions!$C$166:$D$166,MATCH(LEFT($D773,5),Job_Training[[#Headers],[Solar]:[Wind]],0)),0),0)</f>
        <v>0</v>
      </c>
    </row>
    <row r="774" spans="1:44" hidden="1" x14ac:dyDescent="0.35">
      <c r="A774" t="str">
        <f>UserInput!$B$82</f>
        <v>Incremental Buildout</v>
      </c>
      <c r="B774">
        <v>2041</v>
      </c>
      <c r="C774" s="16" t="s">
        <v>73</v>
      </c>
      <c r="D774" t="s">
        <v>74</v>
      </c>
      <c r="E774" s="66">
        <f>INDEX(UserInput!$C$82:$M$102,MATCH(UserMade_Scenario!B774,UserInput!$A$82:$A$102,0),MATCH(LEFT(IF(RIGHT(C774,2)="H2",UserMade_Scenario!C774,D774),3),UserInput!$C$25:$M$25,0))</f>
        <v>8095.2380952380954</v>
      </c>
      <c r="F774" s="14" t="s">
        <v>75</v>
      </c>
      <c r="G774" s="14">
        <f t="shared" si="220"/>
        <v>9.7142857142857133E-4</v>
      </c>
      <c r="H774" s="63">
        <f t="shared" si="221"/>
        <v>1.3139887624466575E-2</v>
      </c>
      <c r="I774" s="63">
        <f t="shared" si="222"/>
        <v>0</v>
      </c>
      <c r="J774" s="63">
        <f t="shared" si="223"/>
        <v>2.627977524893315E-2</v>
      </c>
      <c r="K774" s="30">
        <f>IF(OR(LEFT($D774,5)="Solar",$D774="Wind"),INDEX(Land_Use[AVG],MATCH(LEFT($D774,5),Land_Use[Tech],0)),0)*$E774</f>
        <v>0</v>
      </c>
      <c r="L774" s="30">
        <f>IF(OR(LEFT($D774,5)="Solar",$D774="Wind"),INDEX(Land_Use[MIN],MATCH(LEFT($D774,5),Land_Use[Tech],0)),0)*$E774</f>
        <v>0</v>
      </c>
      <c r="M774" s="30">
        <f>IF(OR(LEFT($D774,5)="Solar",$D774="Wind"),INDEX(Land_Use[MAX],MATCH(LEFT($D774,5),Land_Use[Tech],0)),0)*$E774</f>
        <v>0</v>
      </c>
      <c r="N774" s="15">
        <f t="shared" si="215"/>
        <v>22.666666666666664</v>
      </c>
      <c r="O774" s="11">
        <f t="shared" si="216"/>
        <v>0</v>
      </c>
      <c r="P774" s="11">
        <f t="shared" si="217"/>
        <v>0</v>
      </c>
      <c r="Q774" s="11">
        <f t="shared" si="218"/>
        <v>0</v>
      </c>
      <c r="R774" s="11">
        <f t="shared" si="219"/>
        <v>0</v>
      </c>
      <c r="S774" s="30">
        <f t="shared" si="224"/>
        <v>0</v>
      </c>
      <c r="T774" s="30">
        <f t="shared" si="225"/>
        <v>0</v>
      </c>
      <c r="U774" s="30">
        <f t="shared" si="226"/>
        <v>0</v>
      </c>
      <c r="V774" s="30">
        <f t="shared" si="227"/>
        <v>0</v>
      </c>
      <c r="W774" s="30">
        <f t="shared" si="228"/>
        <v>0</v>
      </c>
      <c r="X774" s="30">
        <f t="shared" si="229"/>
        <v>0</v>
      </c>
      <c r="Z774" s="23" t="s">
        <v>76</v>
      </c>
      <c r="AA774" s="40" t="str">
        <f>IF(C774="Electricity",E774*SUMIFS(Electricity!S:S,Electricity!P:P,UserMade_Scenario!B774,Electricity!M:M,UserMade_Scenario!Z774,Electricity!O:O,UserMade_Scenario!D774),"")</f>
        <v/>
      </c>
      <c r="AB774" s="76">
        <f>1000*Assumptions!$B$17/1000000000000</f>
        <v>1.1999999999999999E-7</v>
      </c>
      <c r="AC774" s="67" t="s">
        <v>77</v>
      </c>
      <c r="AD774" s="39">
        <f>SUMIFS(Hydrogen!AK:AK,Hydrogen!$AA:$AA,UserMade_Scenario!$Z774,Hydrogen!$Y:$Y,UserMade_Scenario!$D774,Hydrogen!$AB:$AB,UserMade_Scenario!$B774,Hydrogen!$Z:$Z,UserMade_Scenario!$C774)</f>
        <v>-13.526354907539123</v>
      </c>
      <c r="AE774" s="39">
        <f>SUMIFS(Hydrogen!AL:AL,Hydrogen!$AA:$AA,UserMade_Scenario!$Z774,Hydrogen!$Y:$Y,UserMade_Scenario!$D774,Hydrogen!$AB:$AB,UserMade_Scenario!$B774,Hydrogen!$Z:$Z,UserMade_Scenario!$C774)</f>
        <v>0</v>
      </c>
      <c r="AF774" s="39">
        <f>SUMIFS(Hydrogen!AM:AM,Hydrogen!$AA:$AA,UserMade_Scenario!$Z774,Hydrogen!$Y:$Y,UserMade_Scenario!$D774,Hydrogen!$AB:$AB,UserMade_Scenario!$B774,Hydrogen!$Z:$Z,UserMade_Scenario!$C774)</f>
        <v>-27.052709815078245</v>
      </c>
      <c r="AG774" s="68">
        <f>IFERROR(INDEX(WaterUseH2[Average Direct Water Consumption (Gal/ kg h2)],MATCH(LEFT(D774,3),WaterUseH2[Key],0)),0)</f>
        <v>2.8</v>
      </c>
      <c r="AH774">
        <v>14</v>
      </c>
      <c r="AI774">
        <v>1.4</v>
      </c>
      <c r="AJ774">
        <v>250</v>
      </c>
      <c r="AK774">
        <v>0.31</v>
      </c>
      <c r="AL774" s="63">
        <f>IFERROR(INDEX(Job_Training[[Solar]:[Wind]],MATCH(AL$1,Job_Training[[`Typical Entry Level Education`]:[`Typical Entry Level Education`]],0),MATCH(LEFT($D774,5),Job_Training[[#Headers],[Solar]:[Wind]],0)),0)</f>
        <v>0</v>
      </c>
      <c r="AM774" s="63">
        <f>IFERROR(INDEX(Job_Training[[Solar]:[Wind]],MATCH(AM$1,Job_Training[[`Typical Entry Level Education`]:[`Typical Entry Level Education`]],0),MATCH(LEFT($D774,5),Job_Training[[#Headers],[Solar]:[Wind]],0)),0)</f>
        <v>0</v>
      </c>
      <c r="AN774" s="63">
        <f>IFERROR(INDEX(Job_Training[[Solar]:[Wind]],MATCH(AN$1,Job_Training[[`Typical Entry Level Education`]:[`Typical Entry Level Education`]],0),MATCH(LEFT($D774,5),Job_Training[[#Headers],[Solar]:[Wind]],0)),0)</f>
        <v>0</v>
      </c>
      <c r="AO774" s="63">
        <f>IFERROR(INDEX(Job_Training[[Solar]:[Wind]],MATCH(AO$1,Job_Training[[`Typical Entry Level Education`]:[`Typical Entry Level Education`]],0),MATCH(LEFT($D774,5),Job_Training[[#Headers],[Solar]:[Wind]],0)),0)</f>
        <v>0</v>
      </c>
      <c r="AP774">
        <f t="shared" si="230"/>
        <v>0</v>
      </c>
      <c r="AQ774" s="63">
        <f>IF(AP774&gt;0,IFERROR(INDEX(Assumptions!$C$165:$D$165,MATCH(LEFT($D774,5),Job_Training[[#Headers],[Solar]:[Wind]],0)),0),0)</f>
        <v>0</v>
      </c>
      <c r="AR774">
        <f>IF(AP774&gt;0,IFERROR(INDEX(Assumptions!$C$166:$D$166,MATCH(LEFT($D774,5),Job_Training[[#Headers],[Solar]:[Wind]],0)),0),0)</f>
        <v>0</v>
      </c>
    </row>
    <row r="775" spans="1:44" hidden="1" x14ac:dyDescent="0.35">
      <c r="A775" t="str">
        <f>UserInput!$B$82</f>
        <v>Incremental Buildout</v>
      </c>
      <c r="B775">
        <v>2042</v>
      </c>
      <c r="C775" s="16" t="s">
        <v>73</v>
      </c>
      <c r="D775" t="s">
        <v>74</v>
      </c>
      <c r="E775" s="66">
        <f>INDEX(UserInput!$C$82:$M$102,MATCH(UserMade_Scenario!B775,UserInput!$A$82:$A$102,0),MATCH(LEFT(IF(RIGHT(C775,2)="H2",UserMade_Scenario!C775,D775),3),UserInput!$C$25:$M$25,0))</f>
        <v>8571.4285714285725</v>
      </c>
      <c r="F775" s="14" t="s">
        <v>75</v>
      </c>
      <c r="G775" s="14">
        <f t="shared" si="220"/>
        <v>1.0285714285714286E-3</v>
      </c>
      <c r="H775" s="63">
        <f t="shared" si="221"/>
        <v>1.3912822190611669E-2</v>
      </c>
      <c r="I775" s="63">
        <f t="shared" si="222"/>
        <v>0</v>
      </c>
      <c r="J775" s="63">
        <f t="shared" si="223"/>
        <v>2.7825644381223338E-2</v>
      </c>
      <c r="K775" s="30">
        <f>IF(OR(LEFT($D775,5)="Solar",$D775="Wind"),INDEX(Land_Use[AVG],MATCH(LEFT($D775,5),Land_Use[Tech],0)),0)*$E775</f>
        <v>0</v>
      </c>
      <c r="L775" s="30">
        <f>IF(OR(LEFT($D775,5)="Solar",$D775="Wind"),INDEX(Land_Use[MIN],MATCH(LEFT($D775,5),Land_Use[Tech],0)),0)*$E775</f>
        <v>0</v>
      </c>
      <c r="M775" s="30">
        <f>IF(OR(LEFT($D775,5)="Solar",$D775="Wind"),INDEX(Land_Use[MAX],MATCH(LEFT($D775,5),Land_Use[Tech],0)),0)*$E775</f>
        <v>0</v>
      </c>
      <c r="N775" s="15">
        <f t="shared" si="215"/>
        <v>24</v>
      </c>
      <c r="O775" s="11">
        <f t="shared" si="216"/>
        <v>0</v>
      </c>
      <c r="P775" s="11">
        <f t="shared" si="217"/>
        <v>0</v>
      </c>
      <c r="Q775" s="11">
        <f t="shared" si="218"/>
        <v>0</v>
      </c>
      <c r="R775" s="11">
        <f t="shared" si="219"/>
        <v>0</v>
      </c>
      <c r="S775" s="30">
        <f t="shared" si="224"/>
        <v>0</v>
      </c>
      <c r="T775" s="30">
        <f t="shared" si="225"/>
        <v>0</v>
      </c>
      <c r="U775" s="30">
        <f t="shared" si="226"/>
        <v>0</v>
      </c>
      <c r="V775" s="30">
        <f t="shared" si="227"/>
        <v>0</v>
      </c>
      <c r="W775" s="30">
        <f t="shared" si="228"/>
        <v>0</v>
      </c>
      <c r="X775" s="30">
        <f t="shared" si="229"/>
        <v>0</v>
      </c>
      <c r="Z775" s="23" t="s">
        <v>76</v>
      </c>
      <c r="AA775" s="40" t="str">
        <f>IF(C775="Electricity",E775*SUMIFS(Electricity!S:S,Electricity!P:P,UserMade_Scenario!B775,Electricity!M:M,UserMade_Scenario!Z775,Electricity!O:O,UserMade_Scenario!D775),"")</f>
        <v/>
      </c>
      <c r="AB775" s="76">
        <f>1000*Assumptions!$B$17/1000000000000</f>
        <v>1.1999999999999999E-7</v>
      </c>
      <c r="AC775" s="67" t="s">
        <v>77</v>
      </c>
      <c r="AD775" s="39">
        <f>SUMIFS(Hydrogen!AK:AK,Hydrogen!$AA:$AA,UserMade_Scenario!$Z775,Hydrogen!$Y:$Y,UserMade_Scenario!$D775,Hydrogen!$AB:$AB,UserMade_Scenario!$B775,Hydrogen!$Z:$Z,UserMade_Scenario!$C775)</f>
        <v>-13.526354907539123</v>
      </c>
      <c r="AE775" s="39">
        <f>SUMIFS(Hydrogen!AL:AL,Hydrogen!$AA:$AA,UserMade_Scenario!$Z775,Hydrogen!$Y:$Y,UserMade_Scenario!$D775,Hydrogen!$AB:$AB,UserMade_Scenario!$B775,Hydrogen!$Z:$Z,UserMade_Scenario!$C775)</f>
        <v>0</v>
      </c>
      <c r="AF775" s="39">
        <f>SUMIFS(Hydrogen!AM:AM,Hydrogen!$AA:$AA,UserMade_Scenario!$Z775,Hydrogen!$Y:$Y,UserMade_Scenario!$D775,Hydrogen!$AB:$AB,UserMade_Scenario!$B775,Hydrogen!$Z:$Z,UserMade_Scenario!$C775)</f>
        <v>-27.052709815078245</v>
      </c>
      <c r="AG775" s="68">
        <f>IFERROR(INDEX(WaterUseH2[Average Direct Water Consumption (Gal/ kg h2)],MATCH(LEFT(D775,3),WaterUseH2[Key],0)),0)</f>
        <v>2.8</v>
      </c>
      <c r="AH775">
        <v>14</v>
      </c>
      <c r="AI775">
        <v>1.4</v>
      </c>
      <c r="AJ775">
        <v>250</v>
      </c>
      <c r="AK775">
        <v>0.31</v>
      </c>
      <c r="AL775" s="63">
        <f>IFERROR(INDEX(Job_Training[[Solar]:[Wind]],MATCH(AL$1,Job_Training[[`Typical Entry Level Education`]:[`Typical Entry Level Education`]],0),MATCH(LEFT($D775,5),Job_Training[[#Headers],[Solar]:[Wind]],0)),0)</f>
        <v>0</v>
      </c>
      <c r="AM775" s="63">
        <f>IFERROR(INDEX(Job_Training[[Solar]:[Wind]],MATCH(AM$1,Job_Training[[`Typical Entry Level Education`]:[`Typical Entry Level Education`]],0),MATCH(LEFT($D775,5),Job_Training[[#Headers],[Solar]:[Wind]],0)),0)</f>
        <v>0</v>
      </c>
      <c r="AN775" s="63">
        <f>IFERROR(INDEX(Job_Training[[Solar]:[Wind]],MATCH(AN$1,Job_Training[[`Typical Entry Level Education`]:[`Typical Entry Level Education`]],0),MATCH(LEFT($D775,5),Job_Training[[#Headers],[Solar]:[Wind]],0)),0)</f>
        <v>0</v>
      </c>
      <c r="AO775" s="63">
        <f>IFERROR(INDEX(Job_Training[[Solar]:[Wind]],MATCH(AO$1,Job_Training[[`Typical Entry Level Education`]:[`Typical Entry Level Education`]],0),MATCH(LEFT($D775,5),Job_Training[[#Headers],[Solar]:[Wind]],0)),0)</f>
        <v>0</v>
      </c>
      <c r="AP775">
        <f t="shared" si="230"/>
        <v>0</v>
      </c>
      <c r="AQ775" s="63">
        <f>IF(AP775&gt;0,IFERROR(INDEX(Assumptions!$C$165:$D$165,MATCH(LEFT($D775,5),Job_Training[[#Headers],[Solar]:[Wind]],0)),0),0)</f>
        <v>0</v>
      </c>
      <c r="AR775">
        <f>IF(AP775&gt;0,IFERROR(INDEX(Assumptions!$C$166:$D$166,MATCH(LEFT($D775,5),Job_Training[[#Headers],[Solar]:[Wind]],0)),0),0)</f>
        <v>0</v>
      </c>
    </row>
    <row r="776" spans="1:44" hidden="1" x14ac:dyDescent="0.35">
      <c r="A776" t="str">
        <f>UserInput!$B$82</f>
        <v>Incremental Buildout</v>
      </c>
      <c r="B776">
        <v>2043</v>
      </c>
      <c r="C776" s="16" t="s">
        <v>73</v>
      </c>
      <c r="D776" t="s">
        <v>74</v>
      </c>
      <c r="E776" s="66">
        <f>INDEX(UserInput!$C$82:$M$102,MATCH(UserMade_Scenario!B776,UserInput!$A$82:$A$102,0),MATCH(LEFT(IF(RIGHT(C776,2)="H2",UserMade_Scenario!C776,D776),3),UserInput!$C$25:$M$25,0))</f>
        <v>9047.6190476190495</v>
      </c>
      <c r="F776" s="14" t="s">
        <v>75</v>
      </c>
      <c r="G776" s="14">
        <f t="shared" si="220"/>
        <v>1.0857142857142858E-3</v>
      </c>
      <c r="H776" s="63">
        <f t="shared" si="221"/>
        <v>1.4685756756756763E-2</v>
      </c>
      <c r="I776" s="63">
        <f t="shared" si="222"/>
        <v>0</v>
      </c>
      <c r="J776" s="63">
        <f t="shared" si="223"/>
        <v>2.9371513513513525E-2</v>
      </c>
      <c r="K776" s="30">
        <f>IF(OR(LEFT($D776,5)="Solar",$D776="Wind"),INDEX(Land_Use[AVG],MATCH(LEFT($D776,5),Land_Use[Tech],0)),0)*$E776</f>
        <v>0</v>
      </c>
      <c r="L776" s="30">
        <f>IF(OR(LEFT($D776,5)="Solar",$D776="Wind"),INDEX(Land_Use[MIN],MATCH(LEFT($D776,5),Land_Use[Tech],0)),0)*$E776</f>
        <v>0</v>
      </c>
      <c r="M776" s="30">
        <f>IF(OR(LEFT($D776,5)="Solar",$D776="Wind"),INDEX(Land_Use[MAX],MATCH(LEFT($D776,5),Land_Use[Tech],0)),0)*$E776</f>
        <v>0</v>
      </c>
      <c r="N776" s="15">
        <f t="shared" si="215"/>
        <v>25.333333333333336</v>
      </c>
      <c r="O776" s="11">
        <f t="shared" si="216"/>
        <v>0</v>
      </c>
      <c r="P776" s="11">
        <f t="shared" si="217"/>
        <v>0</v>
      </c>
      <c r="Q776" s="11">
        <f t="shared" si="218"/>
        <v>0</v>
      </c>
      <c r="R776" s="11">
        <f t="shared" si="219"/>
        <v>0</v>
      </c>
      <c r="S776" s="30">
        <f t="shared" si="224"/>
        <v>0</v>
      </c>
      <c r="T776" s="30">
        <f t="shared" si="225"/>
        <v>0</v>
      </c>
      <c r="U776" s="30">
        <f t="shared" si="226"/>
        <v>0</v>
      </c>
      <c r="V776" s="30">
        <f t="shared" si="227"/>
        <v>0</v>
      </c>
      <c r="W776" s="30">
        <f t="shared" si="228"/>
        <v>0</v>
      </c>
      <c r="X776" s="30">
        <f t="shared" si="229"/>
        <v>0</v>
      </c>
      <c r="Z776" s="23" t="s">
        <v>76</v>
      </c>
      <c r="AA776" s="40" t="str">
        <f>IF(C776="Electricity",E776*SUMIFS(Electricity!S:S,Electricity!P:P,UserMade_Scenario!B776,Electricity!M:M,UserMade_Scenario!Z776,Electricity!O:O,UserMade_Scenario!D776),"")</f>
        <v/>
      </c>
      <c r="AB776" s="76">
        <f>1000*Assumptions!$B$17/1000000000000</f>
        <v>1.1999999999999999E-7</v>
      </c>
      <c r="AC776" s="67" t="s">
        <v>77</v>
      </c>
      <c r="AD776" s="39">
        <f>SUMIFS(Hydrogen!AK:AK,Hydrogen!$AA:$AA,UserMade_Scenario!$Z776,Hydrogen!$Y:$Y,UserMade_Scenario!$D776,Hydrogen!$AB:$AB,UserMade_Scenario!$B776,Hydrogen!$Z:$Z,UserMade_Scenario!$C776)</f>
        <v>-13.526354907539123</v>
      </c>
      <c r="AE776" s="39">
        <f>SUMIFS(Hydrogen!AL:AL,Hydrogen!$AA:$AA,UserMade_Scenario!$Z776,Hydrogen!$Y:$Y,UserMade_Scenario!$D776,Hydrogen!$AB:$AB,UserMade_Scenario!$B776,Hydrogen!$Z:$Z,UserMade_Scenario!$C776)</f>
        <v>0</v>
      </c>
      <c r="AF776" s="39">
        <f>SUMIFS(Hydrogen!AM:AM,Hydrogen!$AA:$AA,UserMade_Scenario!$Z776,Hydrogen!$Y:$Y,UserMade_Scenario!$D776,Hydrogen!$AB:$AB,UserMade_Scenario!$B776,Hydrogen!$Z:$Z,UserMade_Scenario!$C776)</f>
        <v>-27.052709815078245</v>
      </c>
      <c r="AG776" s="68">
        <f>IFERROR(INDEX(WaterUseH2[Average Direct Water Consumption (Gal/ kg h2)],MATCH(LEFT(D776,3),WaterUseH2[Key],0)),0)</f>
        <v>2.8</v>
      </c>
      <c r="AH776">
        <v>14</v>
      </c>
      <c r="AI776">
        <v>1.4</v>
      </c>
      <c r="AJ776">
        <v>250</v>
      </c>
      <c r="AK776">
        <v>0.31</v>
      </c>
      <c r="AL776" s="63">
        <f>IFERROR(INDEX(Job_Training[[Solar]:[Wind]],MATCH(AL$1,Job_Training[[`Typical Entry Level Education`]:[`Typical Entry Level Education`]],0),MATCH(LEFT($D776,5),Job_Training[[#Headers],[Solar]:[Wind]],0)),0)</f>
        <v>0</v>
      </c>
      <c r="AM776" s="63">
        <f>IFERROR(INDEX(Job_Training[[Solar]:[Wind]],MATCH(AM$1,Job_Training[[`Typical Entry Level Education`]:[`Typical Entry Level Education`]],0),MATCH(LEFT($D776,5),Job_Training[[#Headers],[Solar]:[Wind]],0)),0)</f>
        <v>0</v>
      </c>
      <c r="AN776" s="63">
        <f>IFERROR(INDEX(Job_Training[[Solar]:[Wind]],MATCH(AN$1,Job_Training[[`Typical Entry Level Education`]:[`Typical Entry Level Education`]],0),MATCH(LEFT($D776,5),Job_Training[[#Headers],[Solar]:[Wind]],0)),0)</f>
        <v>0</v>
      </c>
      <c r="AO776" s="63">
        <f>IFERROR(INDEX(Job_Training[[Solar]:[Wind]],MATCH(AO$1,Job_Training[[`Typical Entry Level Education`]:[`Typical Entry Level Education`]],0),MATCH(LEFT($D776,5),Job_Training[[#Headers],[Solar]:[Wind]],0)),0)</f>
        <v>0</v>
      </c>
      <c r="AP776">
        <f t="shared" si="230"/>
        <v>0</v>
      </c>
      <c r="AQ776" s="63">
        <f>IF(AP776&gt;0,IFERROR(INDEX(Assumptions!$C$165:$D$165,MATCH(LEFT($D776,5),Job_Training[[#Headers],[Solar]:[Wind]],0)),0),0)</f>
        <v>0</v>
      </c>
      <c r="AR776">
        <f>IF(AP776&gt;0,IFERROR(INDEX(Assumptions!$C$166:$D$166,MATCH(LEFT($D776,5),Job_Training[[#Headers],[Solar]:[Wind]],0)),0),0)</f>
        <v>0</v>
      </c>
    </row>
    <row r="777" spans="1:44" hidden="1" x14ac:dyDescent="0.35">
      <c r="A777" t="str">
        <f>UserInput!$B$82</f>
        <v>Incremental Buildout</v>
      </c>
      <c r="B777">
        <v>2044</v>
      </c>
      <c r="C777" s="16" t="s">
        <v>73</v>
      </c>
      <c r="D777" t="s">
        <v>74</v>
      </c>
      <c r="E777" s="66">
        <f>INDEX(UserInput!$C$82:$M$102,MATCH(UserMade_Scenario!B777,UserInput!$A$82:$A$102,0),MATCH(LEFT(IF(RIGHT(C777,2)="H2",UserMade_Scenario!C777,D777),3),UserInput!$C$25:$M$25,0))</f>
        <v>9523.8095238095266</v>
      </c>
      <c r="F777" s="14" t="s">
        <v>75</v>
      </c>
      <c r="G777" s="14">
        <f t="shared" si="220"/>
        <v>1.1428571428571432E-3</v>
      </c>
      <c r="H777" s="63">
        <f t="shared" si="221"/>
        <v>1.5458691322901858E-2</v>
      </c>
      <c r="I777" s="63">
        <f t="shared" si="222"/>
        <v>0</v>
      </c>
      <c r="J777" s="63">
        <f t="shared" si="223"/>
        <v>3.0917382645803716E-2</v>
      </c>
      <c r="K777" s="30">
        <f>IF(OR(LEFT($D777,5)="Solar",$D777="Wind"),INDEX(Land_Use[AVG],MATCH(LEFT($D777,5),Land_Use[Tech],0)),0)*$E777</f>
        <v>0</v>
      </c>
      <c r="L777" s="30">
        <f>IF(OR(LEFT($D777,5)="Solar",$D777="Wind"),INDEX(Land_Use[MIN],MATCH(LEFT($D777,5),Land_Use[Tech],0)),0)*$E777</f>
        <v>0</v>
      </c>
      <c r="M777" s="30">
        <f>IF(OR(LEFT($D777,5)="Solar",$D777="Wind"),INDEX(Land_Use[MAX],MATCH(LEFT($D777,5),Land_Use[Tech],0)),0)*$E777</f>
        <v>0</v>
      </c>
      <c r="N777" s="15">
        <f t="shared" si="215"/>
        <v>26.666666666666671</v>
      </c>
      <c r="O777" s="11">
        <f t="shared" si="216"/>
        <v>0</v>
      </c>
      <c r="P777" s="11">
        <f t="shared" si="217"/>
        <v>0</v>
      </c>
      <c r="Q777" s="11">
        <f t="shared" si="218"/>
        <v>0</v>
      </c>
      <c r="R777" s="11">
        <f t="shared" si="219"/>
        <v>0</v>
      </c>
      <c r="S777" s="30">
        <f t="shared" si="224"/>
        <v>0</v>
      </c>
      <c r="T777" s="30">
        <f t="shared" si="225"/>
        <v>0</v>
      </c>
      <c r="U777" s="30">
        <f t="shared" si="226"/>
        <v>0</v>
      </c>
      <c r="V777" s="30">
        <f t="shared" si="227"/>
        <v>0</v>
      </c>
      <c r="W777" s="30">
        <f t="shared" si="228"/>
        <v>0</v>
      </c>
      <c r="X777" s="30">
        <f t="shared" si="229"/>
        <v>0</v>
      </c>
      <c r="Z777" s="23" t="s">
        <v>76</v>
      </c>
      <c r="AA777" s="40" t="str">
        <f>IF(C777="Electricity",E777*SUMIFS(Electricity!S:S,Electricity!P:P,UserMade_Scenario!B777,Electricity!M:M,UserMade_Scenario!Z777,Electricity!O:O,UserMade_Scenario!D777),"")</f>
        <v/>
      </c>
      <c r="AB777" s="76">
        <f>1000*Assumptions!$B$17/1000000000000</f>
        <v>1.1999999999999999E-7</v>
      </c>
      <c r="AC777" s="67" t="s">
        <v>77</v>
      </c>
      <c r="AD777" s="39">
        <f>SUMIFS(Hydrogen!AK:AK,Hydrogen!$AA:$AA,UserMade_Scenario!$Z777,Hydrogen!$Y:$Y,UserMade_Scenario!$D777,Hydrogen!$AB:$AB,UserMade_Scenario!$B777,Hydrogen!$Z:$Z,UserMade_Scenario!$C777)</f>
        <v>-13.526354907539123</v>
      </c>
      <c r="AE777" s="39">
        <f>SUMIFS(Hydrogen!AL:AL,Hydrogen!$AA:$AA,UserMade_Scenario!$Z777,Hydrogen!$Y:$Y,UserMade_Scenario!$D777,Hydrogen!$AB:$AB,UserMade_Scenario!$B777,Hydrogen!$Z:$Z,UserMade_Scenario!$C777)</f>
        <v>0</v>
      </c>
      <c r="AF777" s="39">
        <f>SUMIFS(Hydrogen!AM:AM,Hydrogen!$AA:$AA,UserMade_Scenario!$Z777,Hydrogen!$Y:$Y,UserMade_Scenario!$D777,Hydrogen!$AB:$AB,UserMade_Scenario!$B777,Hydrogen!$Z:$Z,UserMade_Scenario!$C777)</f>
        <v>-27.052709815078245</v>
      </c>
      <c r="AG777" s="68">
        <f>IFERROR(INDEX(WaterUseH2[Average Direct Water Consumption (Gal/ kg h2)],MATCH(LEFT(D777,3),WaterUseH2[Key],0)),0)</f>
        <v>2.8</v>
      </c>
      <c r="AH777">
        <v>14</v>
      </c>
      <c r="AI777">
        <v>1.4</v>
      </c>
      <c r="AJ777">
        <v>250</v>
      </c>
      <c r="AK777">
        <v>0.31</v>
      </c>
      <c r="AL777" s="63">
        <f>IFERROR(INDEX(Job_Training[[Solar]:[Wind]],MATCH(AL$1,Job_Training[[`Typical Entry Level Education`]:[`Typical Entry Level Education`]],0),MATCH(LEFT($D777,5),Job_Training[[#Headers],[Solar]:[Wind]],0)),0)</f>
        <v>0</v>
      </c>
      <c r="AM777" s="63">
        <f>IFERROR(INDEX(Job_Training[[Solar]:[Wind]],MATCH(AM$1,Job_Training[[`Typical Entry Level Education`]:[`Typical Entry Level Education`]],0),MATCH(LEFT($D777,5),Job_Training[[#Headers],[Solar]:[Wind]],0)),0)</f>
        <v>0</v>
      </c>
      <c r="AN777" s="63">
        <f>IFERROR(INDEX(Job_Training[[Solar]:[Wind]],MATCH(AN$1,Job_Training[[`Typical Entry Level Education`]:[`Typical Entry Level Education`]],0),MATCH(LEFT($D777,5),Job_Training[[#Headers],[Solar]:[Wind]],0)),0)</f>
        <v>0</v>
      </c>
      <c r="AO777" s="63">
        <f>IFERROR(INDEX(Job_Training[[Solar]:[Wind]],MATCH(AO$1,Job_Training[[`Typical Entry Level Education`]:[`Typical Entry Level Education`]],0),MATCH(LEFT($D777,5),Job_Training[[#Headers],[Solar]:[Wind]],0)),0)</f>
        <v>0</v>
      </c>
      <c r="AP777">
        <f t="shared" si="230"/>
        <v>0</v>
      </c>
      <c r="AQ777" s="63">
        <f>IF(AP777&gt;0,IFERROR(INDEX(Assumptions!$C$165:$D$165,MATCH(LEFT($D777,5),Job_Training[[#Headers],[Solar]:[Wind]],0)),0),0)</f>
        <v>0</v>
      </c>
      <c r="AR777">
        <f>IF(AP777&gt;0,IFERROR(INDEX(Assumptions!$C$166:$D$166,MATCH(LEFT($D777,5),Job_Training[[#Headers],[Solar]:[Wind]],0)),0),0)</f>
        <v>0</v>
      </c>
    </row>
    <row r="778" spans="1:44" hidden="1" x14ac:dyDescent="0.35">
      <c r="A778" t="str">
        <f>UserInput!$B$82</f>
        <v>Incremental Buildout</v>
      </c>
      <c r="B778">
        <v>2045</v>
      </c>
      <c r="C778" s="16" t="s">
        <v>73</v>
      </c>
      <c r="D778" t="s">
        <v>74</v>
      </c>
      <c r="E778" s="66">
        <f>INDEX(UserInput!$C$82:$M$102,MATCH(UserMade_Scenario!B778,UserInput!$A$82:$A$102,0),MATCH(LEFT(IF(RIGHT(C778,2)="H2",UserMade_Scenario!C778,D778),3),UserInput!$C$25:$M$25,0))</f>
        <v>10000</v>
      </c>
      <c r="F778" s="14" t="s">
        <v>75</v>
      </c>
      <c r="G778" s="14">
        <f t="shared" si="220"/>
        <v>1.1999999999999999E-3</v>
      </c>
      <c r="H778" s="63">
        <f t="shared" si="221"/>
        <v>1.6231625889046947E-2</v>
      </c>
      <c r="I778" s="63">
        <f t="shared" si="222"/>
        <v>0</v>
      </c>
      <c r="J778" s="63">
        <f t="shared" si="223"/>
        <v>3.2463251778093893E-2</v>
      </c>
      <c r="K778" s="30">
        <f>IF(OR(LEFT($D778,5)="Solar",$D778="Wind"),INDEX(Land_Use[AVG],MATCH(LEFT($D778,5),Land_Use[Tech],0)),0)*$E778</f>
        <v>0</v>
      </c>
      <c r="L778" s="30">
        <f>IF(OR(LEFT($D778,5)="Solar",$D778="Wind"),INDEX(Land_Use[MIN],MATCH(LEFT($D778,5),Land_Use[Tech],0)),0)*$E778</f>
        <v>0</v>
      </c>
      <c r="M778" s="30">
        <f>IF(OR(LEFT($D778,5)="Solar",$D778="Wind"),INDEX(Land_Use[MAX],MATCH(LEFT($D778,5),Land_Use[Tech],0)),0)*$E778</f>
        <v>0</v>
      </c>
      <c r="N778" s="15">
        <f t="shared" si="215"/>
        <v>28</v>
      </c>
      <c r="O778" s="11">
        <f t="shared" si="216"/>
        <v>0</v>
      </c>
      <c r="P778" s="11">
        <f t="shared" si="217"/>
        <v>0</v>
      </c>
      <c r="Q778" s="11">
        <f t="shared" si="218"/>
        <v>0</v>
      </c>
      <c r="R778" s="11">
        <f t="shared" si="219"/>
        <v>0</v>
      </c>
      <c r="S778" s="30">
        <f t="shared" si="224"/>
        <v>0</v>
      </c>
      <c r="T778" s="30">
        <f t="shared" si="225"/>
        <v>0</v>
      </c>
      <c r="U778" s="30">
        <f t="shared" si="226"/>
        <v>0</v>
      </c>
      <c r="V778" s="30">
        <f t="shared" si="227"/>
        <v>0</v>
      </c>
      <c r="W778" s="30">
        <f t="shared" si="228"/>
        <v>0</v>
      </c>
      <c r="X778" s="30">
        <f t="shared" si="229"/>
        <v>0</v>
      </c>
      <c r="Z778" s="23" t="s">
        <v>76</v>
      </c>
      <c r="AA778" s="40" t="str">
        <f>IF(C778="Electricity",E778*SUMIFS(Electricity!S:S,Electricity!P:P,UserMade_Scenario!B778,Electricity!M:M,UserMade_Scenario!Z778,Electricity!O:O,UserMade_Scenario!D778),"")</f>
        <v/>
      </c>
      <c r="AB778" s="76">
        <f>1000*Assumptions!$B$17/1000000000000</f>
        <v>1.1999999999999999E-7</v>
      </c>
      <c r="AC778" s="67" t="s">
        <v>77</v>
      </c>
      <c r="AD778" s="39">
        <f>SUMIFS(Hydrogen!AK:AK,Hydrogen!$AA:$AA,UserMade_Scenario!$Z778,Hydrogen!$Y:$Y,UserMade_Scenario!$D778,Hydrogen!$AB:$AB,UserMade_Scenario!$B778,Hydrogen!$Z:$Z,UserMade_Scenario!$C778)</f>
        <v>-13.526354907539123</v>
      </c>
      <c r="AE778" s="39">
        <f>SUMIFS(Hydrogen!AL:AL,Hydrogen!$AA:$AA,UserMade_Scenario!$Z778,Hydrogen!$Y:$Y,UserMade_Scenario!$D778,Hydrogen!$AB:$AB,UserMade_Scenario!$B778,Hydrogen!$Z:$Z,UserMade_Scenario!$C778)</f>
        <v>0</v>
      </c>
      <c r="AF778" s="39">
        <f>SUMIFS(Hydrogen!AM:AM,Hydrogen!$AA:$AA,UserMade_Scenario!$Z778,Hydrogen!$Y:$Y,UserMade_Scenario!$D778,Hydrogen!$AB:$AB,UserMade_Scenario!$B778,Hydrogen!$Z:$Z,UserMade_Scenario!$C778)</f>
        <v>-27.052709815078245</v>
      </c>
      <c r="AG778" s="68">
        <f>IFERROR(INDEX(WaterUseH2[Average Direct Water Consumption (Gal/ kg h2)],MATCH(LEFT(D778,3),WaterUseH2[Key],0)),0)</f>
        <v>2.8</v>
      </c>
      <c r="AH778">
        <v>14</v>
      </c>
      <c r="AI778">
        <v>1.4</v>
      </c>
      <c r="AJ778">
        <v>250</v>
      </c>
      <c r="AK778">
        <v>0.31</v>
      </c>
      <c r="AL778" s="63">
        <f>IFERROR(INDEX(Job_Training[[Solar]:[Wind]],MATCH(AL$1,Job_Training[[`Typical Entry Level Education`]:[`Typical Entry Level Education`]],0),MATCH(LEFT($D778,5),Job_Training[[#Headers],[Solar]:[Wind]],0)),0)</f>
        <v>0</v>
      </c>
      <c r="AM778" s="63">
        <f>IFERROR(INDEX(Job_Training[[Solar]:[Wind]],MATCH(AM$1,Job_Training[[`Typical Entry Level Education`]:[`Typical Entry Level Education`]],0),MATCH(LEFT($D778,5),Job_Training[[#Headers],[Solar]:[Wind]],0)),0)</f>
        <v>0</v>
      </c>
      <c r="AN778" s="63">
        <f>IFERROR(INDEX(Job_Training[[Solar]:[Wind]],MATCH(AN$1,Job_Training[[`Typical Entry Level Education`]:[`Typical Entry Level Education`]],0),MATCH(LEFT($D778,5),Job_Training[[#Headers],[Solar]:[Wind]],0)),0)</f>
        <v>0</v>
      </c>
      <c r="AO778" s="63">
        <f>IFERROR(INDEX(Job_Training[[Solar]:[Wind]],MATCH(AO$1,Job_Training[[`Typical Entry Level Education`]:[`Typical Entry Level Education`]],0),MATCH(LEFT($D778,5),Job_Training[[#Headers],[Solar]:[Wind]],0)),0)</f>
        <v>0</v>
      </c>
      <c r="AP778">
        <f t="shared" si="230"/>
        <v>0</v>
      </c>
      <c r="AQ778" s="63">
        <f>IF(AP778&gt;0,IFERROR(INDEX(Assumptions!$C$165:$D$165,MATCH(LEFT($D778,5),Job_Training[[#Headers],[Solar]:[Wind]],0)),0),0)</f>
        <v>0</v>
      </c>
      <c r="AR778">
        <f>IF(AP778&gt;0,IFERROR(INDEX(Assumptions!$C$166:$D$166,MATCH(LEFT($D778,5),Job_Training[[#Headers],[Solar]:[Wind]],0)),0),0)</f>
        <v>0</v>
      </c>
    </row>
    <row r="779" spans="1:44" hidden="1" x14ac:dyDescent="0.35">
      <c r="A779" t="str">
        <f>UserInput!$B$82</f>
        <v>Incremental Buildout</v>
      </c>
      <c r="B779">
        <v>2025</v>
      </c>
      <c r="C779" t="s">
        <v>78</v>
      </c>
      <c r="D779" t="s">
        <v>79</v>
      </c>
      <c r="E779" s="66">
        <f>INDEX(UserInput!$C$82:$M$102,MATCH(UserMade_Scenario!B779,UserInput!$A$82:$A$102,0),MATCH(LEFT(IF(RIGHT(C779,2)="H2",UserMade_Scenario!C779,D779),3),UserInput!$C$25:$M$25,0))</f>
        <v>476.1904761904762</v>
      </c>
      <c r="F779" s="14" t="s">
        <v>75</v>
      </c>
      <c r="G779" s="14">
        <f t="shared" si="220"/>
        <v>5.7142857142857142E-5</v>
      </c>
      <c r="H779" s="63">
        <f t="shared" si="221"/>
        <v>5.0771173533046858E-3</v>
      </c>
      <c r="I779" s="63">
        <f t="shared" si="222"/>
        <v>5.0148061351807998E-3</v>
      </c>
      <c r="J779" s="63">
        <f t="shared" si="223"/>
        <v>5.1394285714285708E-3</v>
      </c>
      <c r="K779" s="30">
        <f>IF(OR(LEFT($D779,5)="Solar",$D779="Wind"),INDEX(Land_Use[AVG],MATCH(LEFT($D779,5),Land_Use[Tech],0)),0)*$E779</f>
        <v>0</v>
      </c>
      <c r="L779" s="30">
        <f>IF(OR(LEFT($D779,5)="Solar",$D779="Wind"),INDEX(Land_Use[MIN],MATCH(LEFT($D779,5),Land_Use[Tech],0)),0)*$E779</f>
        <v>0</v>
      </c>
      <c r="M779" s="30">
        <f>IF(OR(LEFT($D779,5)="Solar",$D779="Wind"),INDEX(Land_Use[MAX],MATCH(LEFT($D779,5),Land_Use[Tech],0)),0)*$E779</f>
        <v>0</v>
      </c>
      <c r="N779" s="13">
        <f t="shared" si="215"/>
        <v>1.9523809523809521</v>
      </c>
      <c r="O779" s="13">
        <f t="shared" si="216"/>
        <v>0</v>
      </c>
      <c r="P779" s="13">
        <f t="shared" si="217"/>
        <v>0</v>
      </c>
      <c r="Q779" s="13">
        <f t="shared" si="218"/>
        <v>0</v>
      </c>
      <c r="R779" s="13">
        <f t="shared" si="219"/>
        <v>0</v>
      </c>
      <c r="S779" s="30">
        <f t="shared" si="224"/>
        <v>0</v>
      </c>
      <c r="T779" s="30">
        <f t="shared" si="225"/>
        <v>0</v>
      </c>
      <c r="U779" s="30">
        <f t="shared" si="226"/>
        <v>0</v>
      </c>
      <c r="V779" s="30">
        <f t="shared" si="227"/>
        <v>0</v>
      </c>
      <c r="W779" s="30">
        <f t="shared" si="228"/>
        <v>0</v>
      </c>
      <c r="X779" s="30">
        <f t="shared" si="229"/>
        <v>0</v>
      </c>
      <c r="Z779" s="23" t="s">
        <v>76</v>
      </c>
      <c r="AA779" s="40" t="str">
        <f>IF(C779="Electricity",E779*SUMIFS(Electricity!S:S,Electricity!P:P,UserMade_Scenario!B779,Electricity!M:M,UserMade_Scenario!Z779,Electricity!O:O,UserMade_Scenario!D779),"")</f>
        <v/>
      </c>
      <c r="AB779" s="76">
        <f>1000*Assumptions!$B$17/1000000000000</f>
        <v>1.1999999999999999E-7</v>
      </c>
      <c r="AC779" s="67" t="s">
        <v>77</v>
      </c>
      <c r="AD779" s="39">
        <f>SUMIFS(Hydrogen!AK:AK,Hydrogen!$AA:$AA,UserMade_Scenario!$Z779,Hydrogen!$Y:$Y,UserMade_Scenario!$D779,Hydrogen!$AB:$AB,UserMade_Scenario!$B779,Hydrogen!$Z:$Z,UserMade_Scenario!$C779)</f>
        <v>-88.849553682831996</v>
      </c>
      <c r="AE779" s="39">
        <f>SUMIFS(Hydrogen!AL:AL,Hydrogen!$AA:$AA,UserMade_Scenario!$Z779,Hydrogen!$Y:$Y,UserMade_Scenario!$D779,Hydrogen!$AB:$AB,UserMade_Scenario!$B779,Hydrogen!$Z:$Z,UserMade_Scenario!$C779)</f>
        <v>-87.759107365663994</v>
      </c>
      <c r="AF779" s="39">
        <f>SUMIFS(Hydrogen!AM:AM,Hydrogen!$AA:$AA,UserMade_Scenario!$Z779,Hydrogen!$Y:$Y,UserMade_Scenario!$D779,Hydrogen!$AB:$AB,UserMade_Scenario!$B779,Hydrogen!$Z:$Z,UserMade_Scenario!$C779)</f>
        <v>-89.94</v>
      </c>
      <c r="AG779" s="68">
        <f>IFERROR(INDEX(WaterUseH2[Average Direct Water Consumption (Gal/ kg h2)],MATCH(LEFT(D779,3),WaterUseH2[Key],0)),0)</f>
        <v>4.0999999999999996</v>
      </c>
      <c r="AH779">
        <v>14</v>
      </c>
      <c r="AI779">
        <v>1.4</v>
      </c>
      <c r="AJ779">
        <v>250</v>
      </c>
      <c r="AK779">
        <v>0.31</v>
      </c>
      <c r="AL779" s="63">
        <f>IFERROR(INDEX(Job_Training[[Solar]:[Wind]],MATCH(AL$1,Job_Training[[`Typical Entry Level Education`]:[`Typical Entry Level Education`]],0),MATCH(LEFT($D779,5),Job_Training[[#Headers],[Solar]:[Wind]],0)),0)</f>
        <v>0</v>
      </c>
      <c r="AM779" s="63">
        <f>IFERROR(INDEX(Job_Training[[Solar]:[Wind]],MATCH(AM$1,Job_Training[[`Typical Entry Level Education`]:[`Typical Entry Level Education`]],0),MATCH(LEFT($D779,5),Job_Training[[#Headers],[Solar]:[Wind]],0)),0)</f>
        <v>0</v>
      </c>
      <c r="AN779" s="63">
        <f>IFERROR(INDEX(Job_Training[[Solar]:[Wind]],MATCH(AN$1,Job_Training[[`Typical Entry Level Education`]:[`Typical Entry Level Education`]],0),MATCH(LEFT($D779,5),Job_Training[[#Headers],[Solar]:[Wind]],0)),0)</f>
        <v>0</v>
      </c>
      <c r="AO779" s="63">
        <f>IFERROR(INDEX(Job_Training[[Solar]:[Wind]],MATCH(AO$1,Job_Training[[`Typical Entry Level Education`]:[`Typical Entry Level Education`]],0),MATCH(LEFT($D779,5),Job_Training[[#Headers],[Solar]:[Wind]],0)),0)</f>
        <v>0</v>
      </c>
      <c r="AP779">
        <f t="shared" si="230"/>
        <v>0</v>
      </c>
      <c r="AQ779" s="63">
        <f>IF(AP779&gt;0,IFERROR(INDEX(Assumptions!$C$165:$D$165,MATCH(LEFT($D779,5),Job_Training[[#Headers],[Solar]:[Wind]],0)),0),0)</f>
        <v>0</v>
      </c>
      <c r="AR779">
        <f>IF(AP779&gt;0,IFERROR(INDEX(Assumptions!$C$166:$D$166,MATCH(LEFT($D779,5),Job_Training[[#Headers],[Solar]:[Wind]],0)),0),0)</f>
        <v>0</v>
      </c>
    </row>
    <row r="780" spans="1:44" hidden="1" x14ac:dyDescent="0.35">
      <c r="A780" t="str">
        <f>UserInput!$B$82</f>
        <v>Incremental Buildout</v>
      </c>
      <c r="B780">
        <v>2026</v>
      </c>
      <c r="C780" t="s">
        <v>78</v>
      </c>
      <c r="D780" t="s">
        <v>79</v>
      </c>
      <c r="E780" s="66">
        <f>INDEX(UserInput!$C$82:$M$102,MATCH(UserMade_Scenario!B780,UserInput!$A$82:$A$102,0),MATCH(LEFT(IF(RIGHT(C780,2)="H2",UserMade_Scenario!C780,D780),3),UserInput!$C$25:$M$25,0))</f>
        <v>952.38095238095241</v>
      </c>
      <c r="F780" s="14" t="s">
        <v>75</v>
      </c>
      <c r="G780" s="14">
        <f t="shared" si="220"/>
        <v>1.1428571428571428E-4</v>
      </c>
      <c r="H780" s="63">
        <f t="shared" si="221"/>
        <v>1.0113232850646641E-2</v>
      </c>
      <c r="I780" s="63">
        <f t="shared" si="222"/>
        <v>9.9476085584361395E-3</v>
      </c>
      <c r="J780" s="63">
        <f t="shared" si="223"/>
        <v>1.0278857142857142E-2</v>
      </c>
      <c r="K780" s="30">
        <f>IF(OR(LEFT($D780,5)="Solar",$D780="Wind"),INDEX(Land_Use[AVG],MATCH(LEFT($D780,5),Land_Use[Tech],0)),0)*$E780</f>
        <v>0</v>
      </c>
      <c r="L780" s="30">
        <f>IF(OR(LEFT($D780,5)="Solar",$D780="Wind"),INDEX(Land_Use[MIN],MATCH(LEFT($D780,5),Land_Use[Tech],0)),0)*$E780</f>
        <v>0</v>
      </c>
      <c r="M780" s="30">
        <f>IF(OR(LEFT($D780,5)="Solar",$D780="Wind"),INDEX(Land_Use[MAX],MATCH(LEFT($D780,5),Land_Use[Tech],0)),0)*$E780</f>
        <v>0</v>
      </c>
      <c r="N780" s="13">
        <f t="shared" si="215"/>
        <v>3.9047619047619042</v>
      </c>
      <c r="O780" s="13">
        <f t="shared" si="216"/>
        <v>0</v>
      </c>
      <c r="P780" s="13">
        <f t="shared" si="217"/>
        <v>0</v>
      </c>
      <c r="Q780" s="13">
        <f t="shared" si="218"/>
        <v>0</v>
      </c>
      <c r="R780" s="13">
        <f t="shared" si="219"/>
        <v>0</v>
      </c>
      <c r="S780" s="30">
        <f t="shared" si="224"/>
        <v>0</v>
      </c>
      <c r="T780" s="30">
        <f t="shared" si="225"/>
        <v>0</v>
      </c>
      <c r="U780" s="30">
        <f t="shared" si="226"/>
        <v>0</v>
      </c>
      <c r="V780" s="30">
        <f t="shared" si="227"/>
        <v>0</v>
      </c>
      <c r="W780" s="30">
        <f t="shared" si="228"/>
        <v>0</v>
      </c>
      <c r="X780" s="30">
        <f t="shared" si="229"/>
        <v>0</v>
      </c>
      <c r="Z780" s="23" t="s">
        <v>76</v>
      </c>
      <c r="AA780" s="40" t="str">
        <f>IF(C780="Electricity",E780*SUMIFS(Electricity!S:S,Electricity!P:P,UserMade_Scenario!B780,Electricity!M:M,UserMade_Scenario!Z780,Electricity!O:O,UserMade_Scenario!D780),"")</f>
        <v/>
      </c>
      <c r="AB780" s="76">
        <f>1000*Assumptions!$B$17/1000000000000</f>
        <v>1.1999999999999999E-7</v>
      </c>
      <c r="AC780" s="67" t="s">
        <v>77</v>
      </c>
      <c r="AD780" s="39">
        <f>SUMIFS(Hydrogen!AK:AK,Hydrogen!$AA:$AA,UserMade_Scenario!$Z780,Hydrogen!$Y:$Y,UserMade_Scenario!$D780,Hydrogen!$AB:$AB,UserMade_Scenario!$B780,Hydrogen!$Z:$Z,UserMade_Scenario!$C780)</f>
        <v>-88.490787443158112</v>
      </c>
      <c r="AE780" s="39">
        <f>SUMIFS(Hydrogen!AL:AL,Hydrogen!$AA:$AA,UserMade_Scenario!$Z780,Hydrogen!$Y:$Y,UserMade_Scenario!$D780,Hydrogen!$AB:$AB,UserMade_Scenario!$B780,Hydrogen!$Z:$Z,UserMade_Scenario!$C780)</f>
        <v>-87.041574886316226</v>
      </c>
      <c r="AF780" s="39">
        <f>SUMIFS(Hydrogen!AM:AM,Hydrogen!$AA:$AA,UserMade_Scenario!$Z780,Hydrogen!$Y:$Y,UserMade_Scenario!$D780,Hydrogen!$AB:$AB,UserMade_Scenario!$B780,Hydrogen!$Z:$Z,UserMade_Scenario!$C780)</f>
        <v>-89.94</v>
      </c>
      <c r="AG780" s="68">
        <f>IFERROR(INDEX(WaterUseH2[Average Direct Water Consumption (Gal/ kg h2)],MATCH(LEFT(D780,3),WaterUseH2[Key],0)),0)</f>
        <v>4.0999999999999996</v>
      </c>
      <c r="AH780">
        <v>14</v>
      </c>
      <c r="AI780">
        <v>1.4</v>
      </c>
      <c r="AJ780">
        <v>250</v>
      </c>
      <c r="AK780">
        <v>0.31</v>
      </c>
      <c r="AL780" s="63">
        <f>IFERROR(INDEX(Job_Training[[Solar]:[Wind]],MATCH(AL$1,Job_Training[[`Typical Entry Level Education`]:[`Typical Entry Level Education`]],0),MATCH(LEFT($D780,5),Job_Training[[#Headers],[Solar]:[Wind]],0)),0)</f>
        <v>0</v>
      </c>
      <c r="AM780" s="63">
        <f>IFERROR(INDEX(Job_Training[[Solar]:[Wind]],MATCH(AM$1,Job_Training[[`Typical Entry Level Education`]:[`Typical Entry Level Education`]],0),MATCH(LEFT($D780,5),Job_Training[[#Headers],[Solar]:[Wind]],0)),0)</f>
        <v>0</v>
      </c>
      <c r="AN780" s="63">
        <f>IFERROR(INDEX(Job_Training[[Solar]:[Wind]],MATCH(AN$1,Job_Training[[`Typical Entry Level Education`]:[`Typical Entry Level Education`]],0),MATCH(LEFT($D780,5),Job_Training[[#Headers],[Solar]:[Wind]],0)),0)</f>
        <v>0</v>
      </c>
      <c r="AO780" s="63">
        <f>IFERROR(INDEX(Job_Training[[Solar]:[Wind]],MATCH(AO$1,Job_Training[[`Typical Entry Level Education`]:[`Typical Entry Level Education`]],0),MATCH(LEFT($D780,5),Job_Training[[#Headers],[Solar]:[Wind]],0)),0)</f>
        <v>0</v>
      </c>
      <c r="AP780">
        <f t="shared" si="230"/>
        <v>0</v>
      </c>
      <c r="AQ780" s="63">
        <f>IF(AP780&gt;0,IFERROR(INDEX(Assumptions!$C$165:$D$165,MATCH(LEFT($D780,5),Job_Training[[#Headers],[Solar]:[Wind]],0)),0),0)</f>
        <v>0</v>
      </c>
      <c r="AR780">
        <f>IF(AP780&gt;0,IFERROR(INDEX(Assumptions!$C$166:$D$166,MATCH(LEFT($D780,5),Job_Training[[#Headers],[Solar]:[Wind]],0)),0),0)</f>
        <v>0</v>
      </c>
    </row>
    <row r="781" spans="1:44" hidden="1" x14ac:dyDescent="0.35">
      <c r="A781" t="str">
        <f>UserInput!$B$82</f>
        <v>Incremental Buildout</v>
      </c>
      <c r="B781">
        <v>2027</v>
      </c>
      <c r="C781" t="s">
        <v>78</v>
      </c>
      <c r="D781" t="s">
        <v>79</v>
      </c>
      <c r="E781" s="66">
        <f>INDEX(UserInput!$C$82:$M$102,MATCH(UserMade_Scenario!B781,UserInput!$A$82:$A$102,0),MATCH(LEFT(IF(RIGHT(C781,2)="H2",UserMade_Scenario!C781,D781),3),UserInput!$C$25:$M$25,0))</f>
        <v>1428.5714285714287</v>
      </c>
      <c r="F781" s="14" t="s">
        <v>75</v>
      </c>
      <c r="G781" s="14">
        <f t="shared" si="220"/>
        <v>1.7142857142857143E-4</v>
      </c>
      <c r="H781" s="63">
        <f t="shared" si="221"/>
        <v>1.5094703472233156E-2</v>
      </c>
      <c r="I781" s="63">
        <f t="shared" si="222"/>
        <v>1.47711212301806E-2</v>
      </c>
      <c r="J781" s="63">
        <f t="shared" si="223"/>
        <v>1.5418285714285714E-2</v>
      </c>
      <c r="K781" s="30">
        <f>IF(OR(LEFT($D781,5)="Solar",$D781="Wind"),INDEX(Land_Use[AVG],MATCH(LEFT($D781,5),Land_Use[Tech],0)),0)*$E781</f>
        <v>0</v>
      </c>
      <c r="L781" s="30">
        <f>IF(OR(LEFT($D781,5)="Solar",$D781="Wind"),INDEX(Land_Use[MIN],MATCH(LEFT($D781,5),Land_Use[Tech],0)),0)*$E781</f>
        <v>0</v>
      </c>
      <c r="M781" s="30">
        <f>IF(OR(LEFT($D781,5)="Solar",$D781="Wind"),INDEX(Land_Use[MAX],MATCH(LEFT($D781,5),Land_Use[Tech],0)),0)*$E781</f>
        <v>0</v>
      </c>
      <c r="N781" s="13">
        <f t="shared" si="215"/>
        <v>5.8571428571428577</v>
      </c>
      <c r="O781" s="13">
        <f t="shared" si="216"/>
        <v>0</v>
      </c>
      <c r="P781" s="13">
        <f t="shared" si="217"/>
        <v>0</v>
      </c>
      <c r="Q781" s="13">
        <f t="shared" si="218"/>
        <v>0</v>
      </c>
      <c r="R781" s="13">
        <f t="shared" si="219"/>
        <v>0</v>
      </c>
      <c r="S781" s="30">
        <f t="shared" si="224"/>
        <v>0</v>
      </c>
      <c r="T781" s="30">
        <f t="shared" si="225"/>
        <v>0</v>
      </c>
      <c r="U781" s="30">
        <f t="shared" si="226"/>
        <v>0</v>
      </c>
      <c r="V781" s="30">
        <f t="shared" si="227"/>
        <v>0</v>
      </c>
      <c r="W781" s="30">
        <f t="shared" si="228"/>
        <v>0</v>
      </c>
      <c r="X781" s="30">
        <f t="shared" si="229"/>
        <v>0</v>
      </c>
      <c r="Z781" s="23" t="s">
        <v>76</v>
      </c>
      <c r="AA781" s="40" t="str">
        <f>IF(C781="Electricity",E781*SUMIFS(Electricity!S:S,Electricity!P:P,UserMade_Scenario!B781,Electricity!M:M,UserMade_Scenario!Z781,Electricity!O:O,UserMade_Scenario!D781),"")</f>
        <v/>
      </c>
      <c r="AB781" s="76">
        <f>1000*Assumptions!$B$17/1000000000000</f>
        <v>1.1999999999999999E-7</v>
      </c>
      <c r="AC781" s="67" t="s">
        <v>77</v>
      </c>
      <c r="AD781" s="39">
        <f>SUMIFS(Hydrogen!AK:AK,Hydrogen!$AA:$AA,UserMade_Scenario!$Z781,Hydrogen!$Y:$Y,UserMade_Scenario!$D781,Hydrogen!$AB:$AB,UserMade_Scenario!$B781,Hydrogen!$Z:$Z,UserMade_Scenario!$C781)</f>
        <v>-88.052436921360083</v>
      </c>
      <c r="AE781" s="39">
        <f>SUMIFS(Hydrogen!AL:AL,Hydrogen!$AA:$AA,UserMade_Scenario!$Z781,Hydrogen!$Y:$Y,UserMade_Scenario!$D781,Hydrogen!$AB:$AB,UserMade_Scenario!$B781,Hydrogen!$Z:$Z,UserMade_Scenario!$C781)</f>
        <v>-86.164873842720169</v>
      </c>
      <c r="AF781" s="39">
        <f>SUMIFS(Hydrogen!AM:AM,Hydrogen!$AA:$AA,UserMade_Scenario!$Z781,Hydrogen!$Y:$Y,UserMade_Scenario!$D781,Hydrogen!$AB:$AB,UserMade_Scenario!$B781,Hydrogen!$Z:$Z,UserMade_Scenario!$C781)</f>
        <v>-89.94</v>
      </c>
      <c r="AG781" s="68">
        <f>IFERROR(INDEX(WaterUseH2[Average Direct Water Consumption (Gal/ kg h2)],MATCH(LEFT(D781,3),WaterUseH2[Key],0)),0)</f>
        <v>4.0999999999999996</v>
      </c>
      <c r="AH781">
        <v>14</v>
      </c>
      <c r="AI781">
        <v>1.4</v>
      </c>
      <c r="AJ781">
        <v>250</v>
      </c>
      <c r="AK781">
        <v>0.31</v>
      </c>
      <c r="AL781" s="63">
        <f>IFERROR(INDEX(Job_Training[[Solar]:[Wind]],MATCH(AL$1,Job_Training[[`Typical Entry Level Education`]:[`Typical Entry Level Education`]],0),MATCH(LEFT($D781,5),Job_Training[[#Headers],[Solar]:[Wind]],0)),0)</f>
        <v>0</v>
      </c>
      <c r="AM781" s="63">
        <f>IFERROR(INDEX(Job_Training[[Solar]:[Wind]],MATCH(AM$1,Job_Training[[`Typical Entry Level Education`]:[`Typical Entry Level Education`]],0),MATCH(LEFT($D781,5),Job_Training[[#Headers],[Solar]:[Wind]],0)),0)</f>
        <v>0</v>
      </c>
      <c r="AN781" s="63">
        <f>IFERROR(INDEX(Job_Training[[Solar]:[Wind]],MATCH(AN$1,Job_Training[[`Typical Entry Level Education`]:[`Typical Entry Level Education`]],0),MATCH(LEFT($D781,5),Job_Training[[#Headers],[Solar]:[Wind]],0)),0)</f>
        <v>0</v>
      </c>
      <c r="AO781" s="63">
        <f>IFERROR(INDEX(Job_Training[[Solar]:[Wind]],MATCH(AO$1,Job_Training[[`Typical Entry Level Education`]:[`Typical Entry Level Education`]],0),MATCH(LEFT($D781,5),Job_Training[[#Headers],[Solar]:[Wind]],0)),0)</f>
        <v>0</v>
      </c>
      <c r="AP781">
        <f t="shared" si="230"/>
        <v>0</v>
      </c>
      <c r="AQ781" s="63">
        <f>IF(AP781&gt;0,IFERROR(INDEX(Assumptions!$C$165:$D$165,MATCH(LEFT($D781,5),Job_Training[[#Headers],[Solar]:[Wind]],0)),0),0)</f>
        <v>0</v>
      </c>
      <c r="AR781">
        <f>IF(AP781&gt;0,IFERROR(INDEX(Assumptions!$C$166:$D$166,MATCH(LEFT($D781,5),Job_Training[[#Headers],[Solar]:[Wind]],0)),0),0)</f>
        <v>0</v>
      </c>
    </row>
    <row r="782" spans="1:44" hidden="1" x14ac:dyDescent="0.35">
      <c r="A782" t="str">
        <f>UserInput!$B$82</f>
        <v>Incremental Buildout</v>
      </c>
      <c r="B782">
        <v>2028</v>
      </c>
      <c r="C782" t="s">
        <v>78</v>
      </c>
      <c r="D782" t="s">
        <v>79</v>
      </c>
      <c r="E782" s="66">
        <f>INDEX(UserInput!$C$82:$M$102,MATCH(UserMade_Scenario!B782,UserInput!$A$82:$A$102,0),MATCH(LEFT(IF(RIGHT(C782,2)="H2",UserMade_Scenario!C782,D782),3),UserInput!$C$25:$M$25,0))</f>
        <v>1904.7619047619048</v>
      </c>
      <c r="F782" s="14" t="s">
        <v>75</v>
      </c>
      <c r="G782" s="14">
        <f t="shared" si="220"/>
        <v>2.2857142857142857E-4</v>
      </c>
      <c r="H782" s="63">
        <f t="shared" si="221"/>
        <v>2.0018028364404993E-2</v>
      </c>
      <c r="I782" s="63">
        <f t="shared" si="222"/>
        <v>1.9478342443095702E-2</v>
      </c>
      <c r="J782" s="63">
        <f t="shared" si="223"/>
        <v>2.0557714285714283E-2</v>
      </c>
      <c r="K782" s="30">
        <f>IF(OR(LEFT($D782,5)="Solar",$D782="Wind"),INDEX(Land_Use[AVG],MATCH(LEFT($D782,5),Land_Use[Tech],0)),0)*$E782</f>
        <v>0</v>
      </c>
      <c r="L782" s="30">
        <f>IF(OR(LEFT($D782,5)="Solar",$D782="Wind"),INDEX(Land_Use[MIN],MATCH(LEFT($D782,5),Land_Use[Tech],0)),0)*$E782</f>
        <v>0</v>
      </c>
      <c r="M782" s="30">
        <f>IF(OR(LEFT($D782,5)="Solar",$D782="Wind"),INDEX(Land_Use[MAX],MATCH(LEFT($D782,5),Land_Use[Tech],0)),0)*$E782</f>
        <v>0</v>
      </c>
      <c r="N782" s="13">
        <f t="shared" si="215"/>
        <v>7.8095238095238084</v>
      </c>
      <c r="O782" s="13">
        <f t="shared" si="216"/>
        <v>0</v>
      </c>
      <c r="P782" s="13">
        <f t="shared" si="217"/>
        <v>0</v>
      </c>
      <c r="Q782" s="13">
        <f t="shared" si="218"/>
        <v>0</v>
      </c>
      <c r="R782" s="13">
        <f t="shared" si="219"/>
        <v>0</v>
      </c>
      <c r="S782" s="30">
        <f t="shared" si="224"/>
        <v>0</v>
      </c>
      <c r="T782" s="30">
        <f t="shared" si="225"/>
        <v>0</v>
      </c>
      <c r="U782" s="30">
        <f t="shared" si="226"/>
        <v>0</v>
      </c>
      <c r="V782" s="30">
        <f t="shared" si="227"/>
        <v>0</v>
      </c>
      <c r="W782" s="30">
        <f t="shared" si="228"/>
        <v>0</v>
      </c>
      <c r="X782" s="30">
        <f t="shared" si="229"/>
        <v>0</v>
      </c>
      <c r="Z782" s="23" t="s">
        <v>76</v>
      </c>
      <c r="AA782" s="40" t="str">
        <f>IF(C782="Electricity",E782*SUMIFS(Electricity!S:S,Electricity!P:P,UserMade_Scenario!B782,Electricity!M:M,UserMade_Scenario!Z782,Electricity!O:O,UserMade_Scenario!D782),"")</f>
        <v/>
      </c>
      <c r="AB782" s="76">
        <f>1000*Assumptions!$B$17/1000000000000</f>
        <v>1.1999999999999999E-7</v>
      </c>
      <c r="AC782" s="67" t="s">
        <v>77</v>
      </c>
      <c r="AD782" s="39">
        <f>SUMIFS(Hydrogen!AK:AK,Hydrogen!$AA:$AA,UserMade_Scenario!$Z782,Hydrogen!$Y:$Y,UserMade_Scenario!$D782,Hydrogen!$AB:$AB,UserMade_Scenario!$B782,Hydrogen!$Z:$Z,UserMade_Scenario!$C782)</f>
        <v>-87.578874094271839</v>
      </c>
      <c r="AE782" s="39">
        <f>SUMIFS(Hydrogen!AL:AL,Hydrogen!$AA:$AA,UserMade_Scenario!$Z782,Hydrogen!$Y:$Y,UserMade_Scenario!$D782,Hydrogen!$AB:$AB,UserMade_Scenario!$B782,Hydrogen!$Z:$Z,UserMade_Scenario!$C782)</f>
        <v>-85.217748188543695</v>
      </c>
      <c r="AF782" s="39">
        <f>SUMIFS(Hydrogen!AM:AM,Hydrogen!$AA:$AA,UserMade_Scenario!$Z782,Hydrogen!$Y:$Y,UserMade_Scenario!$D782,Hydrogen!$AB:$AB,UserMade_Scenario!$B782,Hydrogen!$Z:$Z,UserMade_Scenario!$C782)</f>
        <v>-89.94</v>
      </c>
      <c r="AG782" s="68">
        <f>IFERROR(INDEX(WaterUseH2[Average Direct Water Consumption (Gal/ kg h2)],MATCH(LEFT(D782,3),WaterUseH2[Key],0)),0)</f>
        <v>4.0999999999999996</v>
      </c>
      <c r="AH782">
        <v>14</v>
      </c>
      <c r="AI782">
        <v>1.4</v>
      </c>
      <c r="AJ782">
        <v>250</v>
      </c>
      <c r="AK782">
        <v>0.31</v>
      </c>
      <c r="AL782" s="63">
        <f>IFERROR(INDEX(Job_Training[[Solar]:[Wind]],MATCH(AL$1,Job_Training[[`Typical Entry Level Education`]:[`Typical Entry Level Education`]],0),MATCH(LEFT($D782,5),Job_Training[[#Headers],[Solar]:[Wind]],0)),0)</f>
        <v>0</v>
      </c>
      <c r="AM782" s="63">
        <f>IFERROR(INDEX(Job_Training[[Solar]:[Wind]],MATCH(AM$1,Job_Training[[`Typical Entry Level Education`]:[`Typical Entry Level Education`]],0),MATCH(LEFT($D782,5),Job_Training[[#Headers],[Solar]:[Wind]],0)),0)</f>
        <v>0</v>
      </c>
      <c r="AN782" s="63">
        <f>IFERROR(INDEX(Job_Training[[Solar]:[Wind]],MATCH(AN$1,Job_Training[[`Typical Entry Level Education`]:[`Typical Entry Level Education`]],0),MATCH(LEFT($D782,5),Job_Training[[#Headers],[Solar]:[Wind]],0)),0)</f>
        <v>0</v>
      </c>
      <c r="AO782" s="63">
        <f>IFERROR(INDEX(Job_Training[[Solar]:[Wind]],MATCH(AO$1,Job_Training[[`Typical Entry Level Education`]:[`Typical Entry Level Education`]],0),MATCH(LEFT($D782,5),Job_Training[[#Headers],[Solar]:[Wind]],0)),0)</f>
        <v>0</v>
      </c>
      <c r="AP782">
        <f t="shared" si="230"/>
        <v>0</v>
      </c>
      <c r="AQ782" s="63">
        <f>IF(AP782&gt;0,IFERROR(INDEX(Assumptions!$C$165:$D$165,MATCH(LEFT($D782,5),Job_Training[[#Headers],[Solar]:[Wind]],0)),0),0)</f>
        <v>0</v>
      </c>
      <c r="AR782">
        <f>IF(AP782&gt;0,IFERROR(INDEX(Assumptions!$C$166:$D$166,MATCH(LEFT($D782,5),Job_Training[[#Headers],[Solar]:[Wind]],0)),0),0)</f>
        <v>0</v>
      </c>
    </row>
    <row r="783" spans="1:44" hidden="1" x14ac:dyDescent="0.35">
      <c r="A783" t="str">
        <f>UserInput!$B$82</f>
        <v>Incremental Buildout</v>
      </c>
      <c r="B783">
        <v>2029</v>
      </c>
      <c r="C783" t="s">
        <v>78</v>
      </c>
      <c r="D783" t="s">
        <v>79</v>
      </c>
      <c r="E783" s="66">
        <f>INDEX(UserInput!$C$82:$M$102,MATCH(UserMade_Scenario!B783,UserInput!$A$82:$A$102,0),MATCH(LEFT(IF(RIGHT(C783,2)="H2",UserMade_Scenario!C783,D783),3),UserInput!$C$25:$M$25,0))</f>
        <v>2380.9523809523812</v>
      </c>
      <c r="F783" s="14" t="s">
        <v>75</v>
      </c>
      <c r="G783" s="14">
        <f t="shared" si="220"/>
        <v>2.8571428571428574E-4</v>
      </c>
      <c r="H783" s="63">
        <f t="shared" si="221"/>
        <v>2.4867105108422813E-2</v>
      </c>
      <c r="I783" s="63">
        <f t="shared" si="222"/>
        <v>2.403706735970277E-2</v>
      </c>
      <c r="J783" s="63">
        <f t="shared" si="223"/>
        <v>2.5697142857142859E-2</v>
      </c>
      <c r="K783" s="30">
        <f>IF(OR(LEFT($D783,5)="Solar",$D783="Wind"),INDEX(Land_Use[AVG],MATCH(LEFT($D783,5),Land_Use[Tech],0)),0)*$E783</f>
        <v>0</v>
      </c>
      <c r="L783" s="30">
        <f>IF(OR(LEFT($D783,5)="Solar",$D783="Wind"),INDEX(Land_Use[MIN],MATCH(LEFT($D783,5),Land_Use[Tech],0)),0)*$E783</f>
        <v>0</v>
      </c>
      <c r="M783" s="30">
        <f>IF(OR(LEFT($D783,5)="Solar",$D783="Wind"),INDEX(Land_Use[MAX],MATCH(LEFT($D783,5),Land_Use[Tech],0)),0)*$E783</f>
        <v>0</v>
      </c>
      <c r="N783" s="13">
        <f t="shared" si="215"/>
        <v>9.761904761904761</v>
      </c>
      <c r="O783" s="13">
        <f t="shared" si="216"/>
        <v>0</v>
      </c>
      <c r="P783" s="13">
        <f t="shared" si="217"/>
        <v>0</v>
      </c>
      <c r="Q783" s="13">
        <f t="shared" si="218"/>
        <v>0</v>
      </c>
      <c r="R783" s="13">
        <f t="shared" si="219"/>
        <v>0</v>
      </c>
      <c r="S783" s="30">
        <f t="shared" si="224"/>
        <v>0</v>
      </c>
      <c r="T783" s="30">
        <f t="shared" si="225"/>
        <v>0</v>
      </c>
      <c r="U783" s="30">
        <f t="shared" si="226"/>
        <v>0</v>
      </c>
      <c r="V783" s="30">
        <f t="shared" si="227"/>
        <v>0</v>
      </c>
      <c r="W783" s="30">
        <f t="shared" si="228"/>
        <v>0</v>
      </c>
      <c r="X783" s="30">
        <f t="shared" si="229"/>
        <v>0</v>
      </c>
      <c r="Z783" s="23" t="s">
        <v>76</v>
      </c>
      <c r="AA783" s="40" t="str">
        <f>IF(C783="Electricity",E783*SUMIFS(Electricity!S:S,Electricity!P:P,UserMade_Scenario!B783,Electricity!M:M,UserMade_Scenario!Z783,Electricity!O:O,UserMade_Scenario!D783),"")</f>
        <v/>
      </c>
      <c r="AB783" s="76">
        <f>1000*Assumptions!$B$17/1000000000000</f>
        <v>1.1999999999999999E-7</v>
      </c>
      <c r="AC783" s="67" t="s">
        <v>77</v>
      </c>
      <c r="AD783" s="39">
        <f>SUMIFS(Hydrogen!AK:AK,Hydrogen!$AA:$AA,UserMade_Scenario!$Z783,Hydrogen!$Y:$Y,UserMade_Scenario!$D783,Hydrogen!$AB:$AB,UserMade_Scenario!$B783,Hydrogen!$Z:$Z,UserMade_Scenario!$C783)</f>
        <v>-87.034867879479833</v>
      </c>
      <c r="AE783" s="39">
        <f>SUMIFS(Hydrogen!AL:AL,Hydrogen!$AA:$AA,UserMade_Scenario!$Z783,Hydrogen!$Y:$Y,UserMade_Scenario!$D783,Hydrogen!$AB:$AB,UserMade_Scenario!$B783,Hydrogen!$Z:$Z,UserMade_Scenario!$C783)</f>
        <v>-84.129735758959683</v>
      </c>
      <c r="AF783" s="39">
        <f>SUMIFS(Hydrogen!AM:AM,Hydrogen!$AA:$AA,UserMade_Scenario!$Z783,Hydrogen!$Y:$Y,UserMade_Scenario!$D783,Hydrogen!$AB:$AB,UserMade_Scenario!$B783,Hydrogen!$Z:$Z,UserMade_Scenario!$C783)</f>
        <v>-89.94</v>
      </c>
      <c r="AG783" s="68">
        <f>IFERROR(INDEX(WaterUseH2[Average Direct Water Consumption (Gal/ kg h2)],MATCH(LEFT(D783,3),WaterUseH2[Key],0)),0)</f>
        <v>4.0999999999999996</v>
      </c>
      <c r="AH783">
        <v>14</v>
      </c>
      <c r="AI783">
        <v>1.4</v>
      </c>
      <c r="AJ783">
        <v>250</v>
      </c>
      <c r="AK783">
        <v>0.31</v>
      </c>
      <c r="AL783" s="63">
        <f>IFERROR(INDEX(Job_Training[[Solar]:[Wind]],MATCH(AL$1,Job_Training[[`Typical Entry Level Education`]:[`Typical Entry Level Education`]],0),MATCH(LEFT($D783,5),Job_Training[[#Headers],[Solar]:[Wind]],0)),0)</f>
        <v>0</v>
      </c>
      <c r="AM783" s="63">
        <f>IFERROR(INDEX(Job_Training[[Solar]:[Wind]],MATCH(AM$1,Job_Training[[`Typical Entry Level Education`]:[`Typical Entry Level Education`]],0),MATCH(LEFT($D783,5),Job_Training[[#Headers],[Solar]:[Wind]],0)),0)</f>
        <v>0</v>
      </c>
      <c r="AN783" s="63">
        <f>IFERROR(INDEX(Job_Training[[Solar]:[Wind]],MATCH(AN$1,Job_Training[[`Typical Entry Level Education`]:[`Typical Entry Level Education`]],0),MATCH(LEFT($D783,5),Job_Training[[#Headers],[Solar]:[Wind]],0)),0)</f>
        <v>0</v>
      </c>
      <c r="AO783" s="63">
        <f>IFERROR(INDEX(Job_Training[[Solar]:[Wind]],MATCH(AO$1,Job_Training[[`Typical Entry Level Education`]:[`Typical Entry Level Education`]],0),MATCH(LEFT($D783,5),Job_Training[[#Headers],[Solar]:[Wind]],0)),0)</f>
        <v>0</v>
      </c>
      <c r="AP783">
        <f t="shared" si="230"/>
        <v>0</v>
      </c>
      <c r="AQ783" s="63">
        <f>IF(AP783&gt;0,IFERROR(INDEX(Assumptions!$C$165:$D$165,MATCH(LEFT($D783,5),Job_Training[[#Headers],[Solar]:[Wind]],0)),0),0)</f>
        <v>0</v>
      </c>
      <c r="AR783">
        <f>IF(AP783&gt;0,IFERROR(INDEX(Assumptions!$C$166:$D$166,MATCH(LEFT($D783,5),Job_Training[[#Headers],[Solar]:[Wind]],0)),0),0)</f>
        <v>0</v>
      </c>
    </row>
    <row r="784" spans="1:44" hidden="1" x14ac:dyDescent="0.35">
      <c r="A784" t="str">
        <f>UserInput!$B$82</f>
        <v>Incremental Buildout</v>
      </c>
      <c r="B784">
        <v>2030</v>
      </c>
      <c r="C784" t="s">
        <v>78</v>
      </c>
      <c r="D784" t="s">
        <v>79</v>
      </c>
      <c r="E784" s="66">
        <f>INDEX(UserInput!$C$82:$M$102,MATCH(UserMade_Scenario!B784,UserInput!$A$82:$A$102,0),MATCH(LEFT(IF(RIGHT(C784,2)="H2",UserMade_Scenario!C784,D784),3),UserInput!$C$25:$M$25,0))</f>
        <v>2857.1428571428573</v>
      </c>
      <c r="F784" s="14" t="s">
        <v>75</v>
      </c>
      <c r="G784" s="14">
        <f t="shared" si="220"/>
        <v>3.4285714285714285E-4</v>
      </c>
      <c r="H784" s="63">
        <f t="shared" si="221"/>
        <v>2.9627867776284643E-2</v>
      </c>
      <c r="I784" s="63">
        <f t="shared" si="222"/>
        <v>2.8419164123997861E-2</v>
      </c>
      <c r="J784" s="63">
        <f t="shared" si="223"/>
        <v>3.0836571428571428E-2</v>
      </c>
      <c r="K784" s="30">
        <f>IF(OR(LEFT($D784,5)="Solar",$D784="Wind"),INDEX(Land_Use[AVG],MATCH(LEFT($D784,5),Land_Use[Tech],0)),0)*$E784</f>
        <v>0</v>
      </c>
      <c r="L784" s="30">
        <f>IF(OR(LEFT($D784,5)="Solar",$D784="Wind"),INDEX(Land_Use[MIN],MATCH(LEFT($D784,5),Land_Use[Tech],0)),0)*$E784</f>
        <v>0</v>
      </c>
      <c r="M784" s="30">
        <f>IF(OR(LEFT($D784,5)="Solar",$D784="Wind"),INDEX(Land_Use[MAX],MATCH(LEFT($D784,5),Land_Use[Tech],0)),0)*$E784</f>
        <v>0</v>
      </c>
      <c r="N784" s="13">
        <f t="shared" si="215"/>
        <v>11.714285714285715</v>
      </c>
      <c r="O784" s="13">
        <f t="shared" si="216"/>
        <v>0</v>
      </c>
      <c r="P784" s="13">
        <f t="shared" si="217"/>
        <v>0</v>
      </c>
      <c r="Q784" s="13">
        <f t="shared" si="218"/>
        <v>0</v>
      </c>
      <c r="R784" s="13">
        <f t="shared" si="219"/>
        <v>0</v>
      </c>
      <c r="S784" s="30">
        <f t="shared" si="224"/>
        <v>0</v>
      </c>
      <c r="T784" s="30">
        <f t="shared" si="225"/>
        <v>0</v>
      </c>
      <c r="U784" s="30">
        <f t="shared" si="226"/>
        <v>0</v>
      </c>
      <c r="V784" s="30">
        <f t="shared" si="227"/>
        <v>0</v>
      </c>
      <c r="W784" s="30">
        <f t="shared" si="228"/>
        <v>0</v>
      </c>
      <c r="X784" s="30">
        <f t="shared" si="229"/>
        <v>0</v>
      </c>
      <c r="Z784" s="23" t="s">
        <v>76</v>
      </c>
      <c r="AA784" s="40" t="str">
        <f>IF(C784="Electricity",E784*SUMIFS(Electricity!S:S,Electricity!P:P,UserMade_Scenario!B784,Electricity!M:M,UserMade_Scenario!Z784,Electricity!O:O,UserMade_Scenario!D784),"")</f>
        <v/>
      </c>
      <c r="AB784" s="76">
        <f>1000*Assumptions!$B$17/1000000000000</f>
        <v>1.1999999999999999E-7</v>
      </c>
      <c r="AC784" s="67" t="s">
        <v>77</v>
      </c>
      <c r="AD784" s="39">
        <f>SUMIFS(Hydrogen!AK:AK,Hydrogen!$AA:$AA,UserMade_Scenario!$Z784,Hydrogen!$Y:$Y,UserMade_Scenario!$D784,Hydrogen!$AB:$AB,UserMade_Scenario!$B784,Hydrogen!$Z:$Z,UserMade_Scenario!$C784)</f>
        <v>-86.41461434749688</v>
      </c>
      <c r="AE784" s="39">
        <f>SUMIFS(Hydrogen!AL:AL,Hydrogen!$AA:$AA,UserMade_Scenario!$Z784,Hydrogen!$Y:$Y,UserMade_Scenario!$D784,Hydrogen!$AB:$AB,UserMade_Scenario!$B784,Hydrogen!$Z:$Z,UserMade_Scenario!$C784)</f>
        <v>-82.889228694993761</v>
      </c>
      <c r="AF784" s="39">
        <f>SUMIFS(Hydrogen!AM:AM,Hydrogen!$AA:$AA,UserMade_Scenario!$Z784,Hydrogen!$Y:$Y,UserMade_Scenario!$D784,Hydrogen!$AB:$AB,UserMade_Scenario!$B784,Hydrogen!$Z:$Z,UserMade_Scenario!$C784)</f>
        <v>-89.94</v>
      </c>
      <c r="AG784" s="68">
        <f>IFERROR(INDEX(WaterUseH2[Average Direct Water Consumption (Gal/ kg h2)],MATCH(LEFT(D784,3),WaterUseH2[Key],0)),0)</f>
        <v>4.0999999999999996</v>
      </c>
      <c r="AH784">
        <v>14</v>
      </c>
      <c r="AI784">
        <v>1.4</v>
      </c>
      <c r="AJ784">
        <v>250</v>
      </c>
      <c r="AK784">
        <v>0.31</v>
      </c>
      <c r="AL784" s="63">
        <f>IFERROR(INDEX(Job_Training[[Solar]:[Wind]],MATCH(AL$1,Job_Training[[`Typical Entry Level Education`]:[`Typical Entry Level Education`]],0),MATCH(LEFT($D784,5),Job_Training[[#Headers],[Solar]:[Wind]],0)),0)</f>
        <v>0</v>
      </c>
      <c r="AM784" s="63">
        <f>IFERROR(INDEX(Job_Training[[Solar]:[Wind]],MATCH(AM$1,Job_Training[[`Typical Entry Level Education`]:[`Typical Entry Level Education`]],0),MATCH(LEFT($D784,5),Job_Training[[#Headers],[Solar]:[Wind]],0)),0)</f>
        <v>0</v>
      </c>
      <c r="AN784" s="63">
        <f>IFERROR(INDEX(Job_Training[[Solar]:[Wind]],MATCH(AN$1,Job_Training[[`Typical Entry Level Education`]:[`Typical Entry Level Education`]],0),MATCH(LEFT($D784,5),Job_Training[[#Headers],[Solar]:[Wind]],0)),0)</f>
        <v>0</v>
      </c>
      <c r="AO784" s="63">
        <f>IFERROR(INDEX(Job_Training[[Solar]:[Wind]],MATCH(AO$1,Job_Training[[`Typical Entry Level Education`]:[`Typical Entry Level Education`]],0),MATCH(LEFT($D784,5),Job_Training[[#Headers],[Solar]:[Wind]],0)),0)</f>
        <v>0</v>
      </c>
      <c r="AP784">
        <f t="shared" si="230"/>
        <v>0</v>
      </c>
      <c r="AQ784" s="63">
        <f>IF(AP784&gt;0,IFERROR(INDEX(Assumptions!$C$165:$D$165,MATCH(LEFT($D784,5),Job_Training[[#Headers],[Solar]:[Wind]],0)),0),0)</f>
        <v>0</v>
      </c>
      <c r="AR784">
        <f>IF(AP784&gt;0,IFERROR(INDEX(Assumptions!$C$166:$D$166,MATCH(LEFT($D784,5),Job_Training[[#Headers],[Solar]:[Wind]],0)),0),0)</f>
        <v>0</v>
      </c>
    </row>
    <row r="785" spans="1:44" hidden="1" x14ac:dyDescent="0.35">
      <c r="A785" t="str">
        <f>UserInput!$B$82</f>
        <v>Incremental Buildout</v>
      </c>
      <c r="B785">
        <v>2031</v>
      </c>
      <c r="C785" t="s">
        <v>78</v>
      </c>
      <c r="D785" t="s">
        <v>79</v>
      </c>
      <c r="E785" s="66">
        <f>INDEX(UserInput!$C$82:$M$102,MATCH(UserMade_Scenario!B785,UserInput!$A$82:$A$102,0),MATCH(LEFT(IF(RIGHT(C785,2)="H2",UserMade_Scenario!C785,D785),3),UserInput!$C$25:$M$25,0))</f>
        <v>3333.3333333333335</v>
      </c>
      <c r="F785" s="14" t="s">
        <v>75</v>
      </c>
      <c r="G785" s="14">
        <f t="shared" si="220"/>
        <v>3.9999999999999996E-4</v>
      </c>
      <c r="H785" s="63">
        <f t="shared" si="221"/>
        <v>3.4283950987814817E-2</v>
      </c>
      <c r="I785" s="63">
        <f t="shared" si="222"/>
        <v>3.2591901975629639E-2</v>
      </c>
      <c r="J785" s="63">
        <f t="shared" si="223"/>
        <v>3.5975999999999994E-2</v>
      </c>
      <c r="K785" s="30">
        <f>IF(OR(LEFT($D785,5)="Solar",$D785="Wind"),INDEX(Land_Use[AVG],MATCH(LEFT($D785,5),Land_Use[Tech],0)),0)*$E785</f>
        <v>0</v>
      </c>
      <c r="L785" s="30">
        <f>IF(OR(LEFT($D785,5)="Solar",$D785="Wind"),INDEX(Land_Use[MIN],MATCH(LEFT($D785,5),Land_Use[Tech],0)),0)*$E785</f>
        <v>0</v>
      </c>
      <c r="M785" s="30">
        <f>IF(OR(LEFT($D785,5)="Solar",$D785="Wind"),INDEX(Land_Use[MAX],MATCH(LEFT($D785,5),Land_Use[Tech],0)),0)*$E785</f>
        <v>0</v>
      </c>
      <c r="N785" s="13">
        <f t="shared" si="215"/>
        <v>13.666666666666666</v>
      </c>
      <c r="O785" s="13">
        <f t="shared" si="216"/>
        <v>0</v>
      </c>
      <c r="P785" s="13">
        <f t="shared" si="217"/>
        <v>0</v>
      </c>
      <c r="Q785" s="13">
        <f t="shared" si="218"/>
        <v>0</v>
      </c>
      <c r="R785" s="13">
        <f t="shared" si="219"/>
        <v>0</v>
      </c>
      <c r="S785" s="30">
        <f t="shared" si="224"/>
        <v>0</v>
      </c>
      <c r="T785" s="30">
        <f t="shared" si="225"/>
        <v>0</v>
      </c>
      <c r="U785" s="30">
        <f t="shared" si="226"/>
        <v>0</v>
      </c>
      <c r="V785" s="30">
        <f t="shared" si="227"/>
        <v>0</v>
      </c>
      <c r="W785" s="30">
        <f t="shared" si="228"/>
        <v>0</v>
      </c>
      <c r="X785" s="30">
        <f t="shared" si="229"/>
        <v>0</v>
      </c>
      <c r="Z785" s="23" t="s">
        <v>76</v>
      </c>
      <c r="AA785" s="40" t="str">
        <f>IF(C785="Electricity",E785*SUMIFS(Electricity!S:S,Electricity!P:P,UserMade_Scenario!B785,Electricity!M:M,UserMade_Scenario!Z785,Electricity!O:O,UserMade_Scenario!D785),"")</f>
        <v/>
      </c>
      <c r="AB785" s="76">
        <f>1000*Assumptions!$B$17/1000000000000</f>
        <v>1.1999999999999999E-7</v>
      </c>
      <c r="AC785" s="67" t="s">
        <v>77</v>
      </c>
      <c r="AD785" s="39">
        <f>SUMIFS(Hydrogen!AK:AK,Hydrogen!$AA:$AA,UserMade_Scenario!$Z785,Hydrogen!$Y:$Y,UserMade_Scenario!$D785,Hydrogen!$AB:$AB,UserMade_Scenario!$B785,Hydrogen!$Z:$Z,UserMade_Scenario!$C785)</f>
        <v>-85.709877469537048</v>
      </c>
      <c r="AE785" s="39">
        <f>SUMIFS(Hydrogen!AL:AL,Hydrogen!$AA:$AA,UserMade_Scenario!$Z785,Hydrogen!$Y:$Y,UserMade_Scenario!$D785,Hydrogen!$AB:$AB,UserMade_Scenario!$B785,Hydrogen!$Z:$Z,UserMade_Scenario!$C785)</f>
        <v>-81.479754939074112</v>
      </c>
      <c r="AF785" s="39">
        <f>SUMIFS(Hydrogen!AM:AM,Hydrogen!$AA:$AA,UserMade_Scenario!$Z785,Hydrogen!$Y:$Y,UserMade_Scenario!$D785,Hydrogen!$AB:$AB,UserMade_Scenario!$B785,Hydrogen!$Z:$Z,UserMade_Scenario!$C785)</f>
        <v>-89.94</v>
      </c>
      <c r="AG785" s="68">
        <f>IFERROR(INDEX(WaterUseH2[Average Direct Water Consumption (Gal/ kg h2)],MATCH(LEFT(D785,3),WaterUseH2[Key],0)),0)</f>
        <v>4.0999999999999996</v>
      </c>
      <c r="AH785">
        <v>14</v>
      </c>
      <c r="AI785">
        <v>1.4</v>
      </c>
      <c r="AJ785">
        <v>250</v>
      </c>
      <c r="AK785">
        <v>0.31</v>
      </c>
      <c r="AL785" s="63">
        <f>IFERROR(INDEX(Job_Training[[Solar]:[Wind]],MATCH(AL$1,Job_Training[[`Typical Entry Level Education`]:[`Typical Entry Level Education`]],0),MATCH(LEFT($D785,5),Job_Training[[#Headers],[Solar]:[Wind]],0)),0)</f>
        <v>0</v>
      </c>
      <c r="AM785" s="63">
        <f>IFERROR(INDEX(Job_Training[[Solar]:[Wind]],MATCH(AM$1,Job_Training[[`Typical Entry Level Education`]:[`Typical Entry Level Education`]],0),MATCH(LEFT($D785,5),Job_Training[[#Headers],[Solar]:[Wind]],0)),0)</f>
        <v>0</v>
      </c>
      <c r="AN785" s="63">
        <f>IFERROR(INDEX(Job_Training[[Solar]:[Wind]],MATCH(AN$1,Job_Training[[`Typical Entry Level Education`]:[`Typical Entry Level Education`]],0),MATCH(LEFT($D785,5),Job_Training[[#Headers],[Solar]:[Wind]],0)),0)</f>
        <v>0</v>
      </c>
      <c r="AO785" s="63">
        <f>IFERROR(INDEX(Job_Training[[Solar]:[Wind]],MATCH(AO$1,Job_Training[[`Typical Entry Level Education`]:[`Typical Entry Level Education`]],0),MATCH(LEFT($D785,5),Job_Training[[#Headers],[Solar]:[Wind]],0)),0)</f>
        <v>0</v>
      </c>
      <c r="AP785">
        <f t="shared" si="230"/>
        <v>0</v>
      </c>
      <c r="AQ785" s="63">
        <f>IF(AP785&gt;0,IFERROR(INDEX(Assumptions!$C$165:$D$165,MATCH(LEFT($D785,5),Job_Training[[#Headers],[Solar]:[Wind]],0)),0),0)</f>
        <v>0</v>
      </c>
      <c r="AR785">
        <f>IF(AP785&gt;0,IFERROR(INDEX(Assumptions!$C$166:$D$166,MATCH(LEFT($D785,5),Job_Training[[#Headers],[Solar]:[Wind]],0)),0),0)</f>
        <v>0</v>
      </c>
    </row>
    <row r="786" spans="1:44" hidden="1" x14ac:dyDescent="0.35">
      <c r="A786" t="str">
        <f>UserInput!$B$82</f>
        <v>Incremental Buildout</v>
      </c>
      <c r="B786">
        <v>2032</v>
      </c>
      <c r="C786" t="s">
        <v>78</v>
      </c>
      <c r="D786" t="s">
        <v>79</v>
      </c>
      <c r="E786" s="66">
        <f>INDEX(UserInput!$C$82:$M$102,MATCH(UserMade_Scenario!B786,UserInput!$A$82:$A$102,0),MATCH(LEFT(IF(RIGHT(C786,2)="H2",UserMade_Scenario!C786,D786),3),UserInput!$C$25:$M$25,0))</f>
        <v>3809.5238095238096</v>
      </c>
      <c r="F786" s="14" t="s">
        <v>75</v>
      </c>
      <c r="G786" s="14">
        <f t="shared" si="220"/>
        <v>4.5714285714285713E-4</v>
      </c>
      <c r="H786" s="63">
        <f t="shared" si="221"/>
        <v>3.8821125920234761E-2</v>
      </c>
      <c r="I786" s="63">
        <f t="shared" si="222"/>
        <v>3.6526823269040942E-2</v>
      </c>
      <c r="J786" s="63">
        <f t="shared" si="223"/>
        <v>4.1115428571428567E-2</v>
      </c>
      <c r="K786" s="30">
        <f>IF(OR(LEFT($D786,5)="Solar",$D786="Wind"),INDEX(Land_Use[AVG],MATCH(LEFT($D786,5),Land_Use[Tech],0)),0)*$E786</f>
        <v>0</v>
      </c>
      <c r="L786" s="30">
        <f>IF(OR(LEFT($D786,5)="Solar",$D786="Wind"),INDEX(Land_Use[MIN],MATCH(LEFT($D786,5),Land_Use[Tech],0)),0)*$E786</f>
        <v>0</v>
      </c>
      <c r="M786" s="30">
        <f>IF(OR(LEFT($D786,5)="Solar",$D786="Wind"),INDEX(Land_Use[MAX],MATCH(LEFT($D786,5),Land_Use[Tech],0)),0)*$E786</f>
        <v>0</v>
      </c>
      <c r="N786" s="13">
        <f t="shared" si="215"/>
        <v>15.619047619047617</v>
      </c>
      <c r="O786" s="13">
        <f t="shared" si="216"/>
        <v>0</v>
      </c>
      <c r="P786" s="13">
        <f t="shared" si="217"/>
        <v>0</v>
      </c>
      <c r="Q786" s="13">
        <f t="shared" si="218"/>
        <v>0</v>
      </c>
      <c r="R786" s="13">
        <f t="shared" si="219"/>
        <v>0</v>
      </c>
      <c r="S786" s="30">
        <f t="shared" si="224"/>
        <v>0</v>
      </c>
      <c r="T786" s="30">
        <f t="shared" si="225"/>
        <v>0</v>
      </c>
      <c r="U786" s="30">
        <f t="shared" si="226"/>
        <v>0</v>
      </c>
      <c r="V786" s="30">
        <f t="shared" si="227"/>
        <v>0</v>
      </c>
      <c r="W786" s="30">
        <f t="shared" si="228"/>
        <v>0</v>
      </c>
      <c r="X786" s="30">
        <f t="shared" si="229"/>
        <v>0</v>
      </c>
      <c r="Z786" s="23" t="s">
        <v>76</v>
      </c>
      <c r="AA786" s="40" t="str">
        <f>IF(C786="Electricity",E786*SUMIFS(Electricity!S:S,Electricity!P:P,UserMade_Scenario!B786,Electricity!M:M,UserMade_Scenario!Z786,Electricity!O:O,UserMade_Scenario!D786),"")</f>
        <v/>
      </c>
      <c r="AB786" s="76">
        <f>1000*Assumptions!$B$17/1000000000000</f>
        <v>1.1999999999999999E-7</v>
      </c>
      <c r="AC786" s="67" t="s">
        <v>77</v>
      </c>
      <c r="AD786" s="39">
        <f>SUMIFS(Hydrogen!AK:AK,Hydrogen!$AA:$AA,UserMade_Scenario!$Z786,Hydrogen!$Y:$Y,UserMade_Scenario!$D786,Hydrogen!$AB:$AB,UserMade_Scenario!$B786,Hydrogen!$Z:$Z,UserMade_Scenario!$C786)</f>
        <v>-84.921212950513535</v>
      </c>
      <c r="AE786" s="39">
        <f>SUMIFS(Hydrogen!AL:AL,Hydrogen!$AA:$AA,UserMade_Scenario!$Z786,Hydrogen!$Y:$Y,UserMade_Scenario!$D786,Hydrogen!$AB:$AB,UserMade_Scenario!$B786,Hydrogen!$Z:$Z,UserMade_Scenario!$C786)</f>
        <v>-79.902425901027058</v>
      </c>
      <c r="AF786" s="39">
        <f>SUMIFS(Hydrogen!AM:AM,Hydrogen!$AA:$AA,UserMade_Scenario!$Z786,Hydrogen!$Y:$Y,UserMade_Scenario!$D786,Hydrogen!$AB:$AB,UserMade_Scenario!$B786,Hydrogen!$Z:$Z,UserMade_Scenario!$C786)</f>
        <v>-89.94</v>
      </c>
      <c r="AG786" s="68">
        <f>IFERROR(INDEX(WaterUseH2[Average Direct Water Consumption (Gal/ kg h2)],MATCH(LEFT(D786,3),WaterUseH2[Key],0)),0)</f>
        <v>4.0999999999999996</v>
      </c>
      <c r="AH786">
        <v>14</v>
      </c>
      <c r="AI786">
        <v>1.4</v>
      </c>
      <c r="AJ786">
        <v>250</v>
      </c>
      <c r="AK786">
        <v>0.31</v>
      </c>
      <c r="AL786" s="63">
        <f>IFERROR(INDEX(Job_Training[[Solar]:[Wind]],MATCH(AL$1,Job_Training[[`Typical Entry Level Education`]:[`Typical Entry Level Education`]],0),MATCH(LEFT($D786,5),Job_Training[[#Headers],[Solar]:[Wind]],0)),0)</f>
        <v>0</v>
      </c>
      <c r="AM786" s="63">
        <f>IFERROR(INDEX(Job_Training[[Solar]:[Wind]],MATCH(AM$1,Job_Training[[`Typical Entry Level Education`]:[`Typical Entry Level Education`]],0),MATCH(LEFT($D786,5),Job_Training[[#Headers],[Solar]:[Wind]],0)),0)</f>
        <v>0</v>
      </c>
      <c r="AN786" s="63">
        <f>IFERROR(INDEX(Job_Training[[Solar]:[Wind]],MATCH(AN$1,Job_Training[[`Typical Entry Level Education`]:[`Typical Entry Level Education`]],0),MATCH(LEFT($D786,5),Job_Training[[#Headers],[Solar]:[Wind]],0)),0)</f>
        <v>0</v>
      </c>
      <c r="AO786" s="63">
        <f>IFERROR(INDEX(Job_Training[[Solar]:[Wind]],MATCH(AO$1,Job_Training[[`Typical Entry Level Education`]:[`Typical Entry Level Education`]],0),MATCH(LEFT($D786,5),Job_Training[[#Headers],[Solar]:[Wind]],0)),0)</f>
        <v>0</v>
      </c>
      <c r="AP786">
        <f t="shared" si="230"/>
        <v>0</v>
      </c>
      <c r="AQ786" s="63">
        <f>IF(AP786&gt;0,IFERROR(INDEX(Assumptions!$C$165:$D$165,MATCH(LEFT($D786,5),Job_Training[[#Headers],[Solar]:[Wind]],0)),0),0)</f>
        <v>0</v>
      </c>
      <c r="AR786">
        <f>IF(AP786&gt;0,IFERROR(INDEX(Assumptions!$C$166:$D$166,MATCH(LEFT($D786,5),Job_Training[[#Headers],[Solar]:[Wind]],0)),0),0)</f>
        <v>0</v>
      </c>
    </row>
    <row r="787" spans="1:44" hidden="1" x14ac:dyDescent="0.35">
      <c r="A787" t="str">
        <f>UserInput!$B$82</f>
        <v>Incremental Buildout</v>
      </c>
      <c r="B787">
        <v>2033</v>
      </c>
      <c r="C787" t="s">
        <v>78</v>
      </c>
      <c r="D787" t="s">
        <v>79</v>
      </c>
      <c r="E787" s="66">
        <f>INDEX(UserInput!$C$82:$M$102,MATCH(UserMade_Scenario!B787,UserInput!$A$82:$A$102,0),MATCH(LEFT(IF(RIGHT(C787,2)="H2",UserMade_Scenario!C787,D787),3),UserInput!$C$25:$M$25,0))</f>
        <v>4285.7142857142862</v>
      </c>
      <c r="F787" s="14" t="s">
        <v>75</v>
      </c>
      <c r="G787" s="14">
        <f t="shared" si="220"/>
        <v>5.142857142857143E-4</v>
      </c>
      <c r="H787" s="63">
        <f t="shared" si="221"/>
        <v>4.3207969346793176E-2</v>
      </c>
      <c r="I787" s="63">
        <f t="shared" si="222"/>
        <v>4.0161081550729213E-2</v>
      </c>
      <c r="J787" s="63">
        <f t="shared" si="223"/>
        <v>4.6254857142857146E-2</v>
      </c>
      <c r="K787" s="30">
        <f>IF(OR(LEFT($D787,5)="Solar",$D787="Wind"),INDEX(Land_Use[AVG],MATCH(LEFT($D787,5),Land_Use[Tech],0)),0)*$E787</f>
        <v>0</v>
      </c>
      <c r="L787" s="30">
        <f>IF(OR(LEFT($D787,5)="Solar",$D787="Wind"),INDEX(Land_Use[MIN],MATCH(LEFT($D787,5),Land_Use[Tech],0)),0)*$E787</f>
        <v>0</v>
      </c>
      <c r="M787" s="30">
        <f>IF(OR(LEFT($D787,5)="Solar",$D787="Wind"),INDEX(Land_Use[MAX],MATCH(LEFT($D787,5),Land_Use[Tech],0)),0)*$E787</f>
        <v>0</v>
      </c>
      <c r="N787" s="13">
        <f t="shared" si="215"/>
        <v>17.571428571428569</v>
      </c>
      <c r="O787" s="13">
        <f t="shared" si="216"/>
        <v>0</v>
      </c>
      <c r="P787" s="13">
        <f t="shared" si="217"/>
        <v>0</v>
      </c>
      <c r="Q787" s="13">
        <f t="shared" si="218"/>
        <v>0</v>
      </c>
      <c r="R787" s="13">
        <f t="shared" si="219"/>
        <v>0</v>
      </c>
      <c r="S787" s="30">
        <f t="shared" si="224"/>
        <v>0</v>
      </c>
      <c r="T787" s="30">
        <f t="shared" si="225"/>
        <v>0</v>
      </c>
      <c r="U787" s="30">
        <f t="shared" si="226"/>
        <v>0</v>
      </c>
      <c r="V787" s="30">
        <f t="shared" si="227"/>
        <v>0</v>
      </c>
      <c r="W787" s="30">
        <f t="shared" si="228"/>
        <v>0</v>
      </c>
      <c r="X787" s="30">
        <f t="shared" si="229"/>
        <v>0</v>
      </c>
      <c r="Z787" s="23" t="s">
        <v>76</v>
      </c>
      <c r="AA787" s="40" t="str">
        <f>IF(C787="Electricity",E787*SUMIFS(Electricity!S:S,Electricity!P:P,UserMade_Scenario!B787,Electricity!M:M,UserMade_Scenario!Z787,Electricity!O:O,UserMade_Scenario!D787),"")</f>
        <v/>
      </c>
      <c r="AB787" s="76">
        <f>1000*Assumptions!$B$17/1000000000000</f>
        <v>1.1999999999999999E-7</v>
      </c>
      <c r="AC787" s="67" t="s">
        <v>77</v>
      </c>
      <c r="AD787" s="39">
        <f>SUMIFS(Hydrogen!AK:AK,Hydrogen!$AA:$AA,UserMade_Scenario!$Z787,Hydrogen!$Y:$Y,UserMade_Scenario!$D787,Hydrogen!$AB:$AB,UserMade_Scenario!$B787,Hydrogen!$Z:$Z,UserMade_Scenario!$C787)</f>
        <v>-84.015495952097837</v>
      </c>
      <c r="AE787" s="39">
        <f>SUMIFS(Hydrogen!AL:AL,Hydrogen!$AA:$AA,UserMade_Scenario!$Z787,Hydrogen!$Y:$Y,UserMade_Scenario!$D787,Hydrogen!$AB:$AB,UserMade_Scenario!$B787,Hydrogen!$Z:$Z,UserMade_Scenario!$C787)</f>
        <v>-78.09099190419569</v>
      </c>
      <c r="AF787" s="39">
        <f>SUMIFS(Hydrogen!AM:AM,Hydrogen!$AA:$AA,UserMade_Scenario!$Z787,Hydrogen!$Y:$Y,UserMade_Scenario!$D787,Hydrogen!$AB:$AB,UserMade_Scenario!$B787,Hydrogen!$Z:$Z,UserMade_Scenario!$C787)</f>
        <v>-89.94</v>
      </c>
      <c r="AG787" s="68">
        <f>IFERROR(INDEX(WaterUseH2[Average Direct Water Consumption (Gal/ kg h2)],MATCH(LEFT(D787,3),WaterUseH2[Key],0)),0)</f>
        <v>4.0999999999999996</v>
      </c>
      <c r="AH787">
        <v>14</v>
      </c>
      <c r="AI787">
        <v>1.4</v>
      </c>
      <c r="AJ787">
        <v>250</v>
      </c>
      <c r="AK787">
        <v>0.31</v>
      </c>
      <c r="AL787" s="63">
        <f>IFERROR(INDEX(Job_Training[[Solar]:[Wind]],MATCH(AL$1,Job_Training[[`Typical Entry Level Education`]:[`Typical Entry Level Education`]],0),MATCH(LEFT($D787,5),Job_Training[[#Headers],[Solar]:[Wind]],0)),0)</f>
        <v>0</v>
      </c>
      <c r="AM787" s="63">
        <f>IFERROR(INDEX(Job_Training[[Solar]:[Wind]],MATCH(AM$1,Job_Training[[`Typical Entry Level Education`]:[`Typical Entry Level Education`]],0),MATCH(LEFT($D787,5),Job_Training[[#Headers],[Solar]:[Wind]],0)),0)</f>
        <v>0</v>
      </c>
      <c r="AN787" s="63">
        <f>IFERROR(INDEX(Job_Training[[Solar]:[Wind]],MATCH(AN$1,Job_Training[[`Typical Entry Level Education`]:[`Typical Entry Level Education`]],0),MATCH(LEFT($D787,5),Job_Training[[#Headers],[Solar]:[Wind]],0)),0)</f>
        <v>0</v>
      </c>
      <c r="AO787" s="63">
        <f>IFERROR(INDEX(Job_Training[[Solar]:[Wind]],MATCH(AO$1,Job_Training[[`Typical Entry Level Education`]:[`Typical Entry Level Education`]],0),MATCH(LEFT($D787,5),Job_Training[[#Headers],[Solar]:[Wind]],0)),0)</f>
        <v>0</v>
      </c>
      <c r="AP787">
        <f t="shared" si="230"/>
        <v>0</v>
      </c>
      <c r="AQ787" s="63">
        <f>IF(AP787&gt;0,IFERROR(INDEX(Assumptions!$C$165:$D$165,MATCH(LEFT($D787,5),Job_Training[[#Headers],[Solar]:[Wind]],0)),0),0)</f>
        <v>0</v>
      </c>
      <c r="AR787">
        <f>IF(AP787&gt;0,IFERROR(INDEX(Assumptions!$C$166:$D$166,MATCH(LEFT($D787,5),Job_Training[[#Headers],[Solar]:[Wind]],0)),0),0)</f>
        <v>0</v>
      </c>
    </row>
    <row r="788" spans="1:44" hidden="1" x14ac:dyDescent="0.35">
      <c r="A788" t="str">
        <f>UserInput!$B$82</f>
        <v>Incremental Buildout</v>
      </c>
      <c r="B788">
        <v>2034</v>
      </c>
      <c r="C788" t="s">
        <v>78</v>
      </c>
      <c r="D788" t="s">
        <v>79</v>
      </c>
      <c r="E788" s="66">
        <f>INDEX(UserInput!$C$82:$M$102,MATCH(UserMade_Scenario!B788,UserInput!$A$82:$A$102,0),MATCH(LEFT(IF(RIGHT(C788,2)="H2",UserMade_Scenario!C788,D788),3),UserInput!$C$25:$M$25,0))</f>
        <v>4761.9047619047624</v>
      </c>
      <c r="F788" s="14" t="s">
        <v>75</v>
      </c>
      <c r="G788" s="14">
        <f t="shared" si="220"/>
        <v>5.7142857142857147E-4</v>
      </c>
      <c r="H788" s="63">
        <f t="shared" si="221"/>
        <v>4.7431541897435606E-2</v>
      </c>
      <c r="I788" s="63">
        <f t="shared" si="222"/>
        <v>4.34687980805855E-2</v>
      </c>
      <c r="J788" s="63">
        <f t="shared" si="223"/>
        <v>5.1394285714285719E-2</v>
      </c>
      <c r="K788" s="30">
        <f>IF(OR(LEFT($D788,5)="Solar",$D788="Wind"),INDEX(Land_Use[AVG],MATCH(LEFT($D788,5),Land_Use[Tech],0)),0)*$E788</f>
        <v>0</v>
      </c>
      <c r="L788" s="30">
        <f>IF(OR(LEFT($D788,5)="Solar",$D788="Wind"),INDEX(Land_Use[MIN],MATCH(LEFT($D788,5),Land_Use[Tech],0)),0)*$E788</f>
        <v>0</v>
      </c>
      <c r="M788" s="30">
        <f>IF(OR(LEFT($D788,5)="Solar",$D788="Wind"),INDEX(Land_Use[MAX],MATCH(LEFT($D788,5),Land_Use[Tech],0)),0)*$E788</f>
        <v>0</v>
      </c>
      <c r="N788" s="13">
        <f t="shared" si="215"/>
        <v>19.523809523809522</v>
      </c>
      <c r="O788" s="13">
        <f t="shared" si="216"/>
        <v>0</v>
      </c>
      <c r="P788" s="13">
        <f t="shared" si="217"/>
        <v>0</v>
      </c>
      <c r="Q788" s="13">
        <f t="shared" si="218"/>
        <v>0</v>
      </c>
      <c r="R788" s="13">
        <f t="shared" si="219"/>
        <v>0</v>
      </c>
      <c r="S788" s="30">
        <f t="shared" si="224"/>
        <v>0</v>
      </c>
      <c r="T788" s="30">
        <f t="shared" si="225"/>
        <v>0</v>
      </c>
      <c r="U788" s="30">
        <f t="shared" si="226"/>
        <v>0</v>
      </c>
      <c r="V788" s="30">
        <f t="shared" si="227"/>
        <v>0</v>
      </c>
      <c r="W788" s="30">
        <f t="shared" si="228"/>
        <v>0</v>
      </c>
      <c r="X788" s="30">
        <f t="shared" si="229"/>
        <v>0</v>
      </c>
      <c r="Z788" s="23" t="s">
        <v>76</v>
      </c>
      <c r="AA788" s="40" t="str">
        <f>IF(C788="Electricity",E788*SUMIFS(Electricity!S:S,Electricity!P:P,UserMade_Scenario!B788,Electricity!M:M,UserMade_Scenario!Z788,Electricity!O:O,UserMade_Scenario!D788),"")</f>
        <v/>
      </c>
      <c r="AB788" s="76">
        <f>1000*Assumptions!$B$17/1000000000000</f>
        <v>1.1999999999999999E-7</v>
      </c>
      <c r="AC788" s="67" t="s">
        <v>77</v>
      </c>
      <c r="AD788" s="39">
        <f>SUMIFS(Hydrogen!AK:AK,Hydrogen!$AA:$AA,UserMade_Scenario!$Z788,Hydrogen!$Y:$Y,UserMade_Scenario!$D788,Hydrogen!$AB:$AB,UserMade_Scenario!$B788,Hydrogen!$Z:$Z,UserMade_Scenario!$C788)</f>
        <v>-83.005198320512307</v>
      </c>
      <c r="AE788" s="39">
        <f>SUMIFS(Hydrogen!AL:AL,Hydrogen!$AA:$AA,UserMade_Scenario!$Z788,Hydrogen!$Y:$Y,UserMade_Scenario!$D788,Hydrogen!$AB:$AB,UserMade_Scenario!$B788,Hydrogen!$Z:$Z,UserMade_Scenario!$C788)</f>
        <v>-76.070396641024615</v>
      </c>
      <c r="AF788" s="39">
        <f>SUMIFS(Hydrogen!AM:AM,Hydrogen!$AA:$AA,UserMade_Scenario!$Z788,Hydrogen!$Y:$Y,UserMade_Scenario!$D788,Hydrogen!$AB:$AB,UserMade_Scenario!$B788,Hydrogen!$Z:$Z,UserMade_Scenario!$C788)</f>
        <v>-89.94</v>
      </c>
      <c r="AG788" s="68">
        <f>IFERROR(INDEX(WaterUseH2[Average Direct Water Consumption (Gal/ kg h2)],MATCH(LEFT(D788,3),WaterUseH2[Key],0)),0)</f>
        <v>4.0999999999999996</v>
      </c>
      <c r="AH788">
        <v>14</v>
      </c>
      <c r="AI788">
        <v>1.4</v>
      </c>
      <c r="AJ788">
        <v>250</v>
      </c>
      <c r="AK788">
        <v>0.31</v>
      </c>
      <c r="AL788" s="63">
        <f>IFERROR(INDEX(Job_Training[[Solar]:[Wind]],MATCH(AL$1,Job_Training[[`Typical Entry Level Education`]:[`Typical Entry Level Education`]],0),MATCH(LEFT($D788,5),Job_Training[[#Headers],[Solar]:[Wind]],0)),0)</f>
        <v>0</v>
      </c>
      <c r="AM788" s="63">
        <f>IFERROR(INDEX(Job_Training[[Solar]:[Wind]],MATCH(AM$1,Job_Training[[`Typical Entry Level Education`]:[`Typical Entry Level Education`]],0),MATCH(LEFT($D788,5),Job_Training[[#Headers],[Solar]:[Wind]],0)),0)</f>
        <v>0</v>
      </c>
      <c r="AN788" s="63">
        <f>IFERROR(INDEX(Job_Training[[Solar]:[Wind]],MATCH(AN$1,Job_Training[[`Typical Entry Level Education`]:[`Typical Entry Level Education`]],0),MATCH(LEFT($D788,5),Job_Training[[#Headers],[Solar]:[Wind]],0)),0)</f>
        <v>0</v>
      </c>
      <c r="AO788" s="63">
        <f>IFERROR(INDEX(Job_Training[[Solar]:[Wind]],MATCH(AO$1,Job_Training[[`Typical Entry Level Education`]:[`Typical Entry Level Education`]],0),MATCH(LEFT($D788,5),Job_Training[[#Headers],[Solar]:[Wind]],0)),0)</f>
        <v>0</v>
      </c>
      <c r="AP788">
        <f t="shared" si="230"/>
        <v>0</v>
      </c>
      <c r="AQ788" s="63">
        <f>IF(AP788&gt;0,IFERROR(INDEX(Assumptions!$C$165:$D$165,MATCH(LEFT($D788,5),Job_Training[[#Headers],[Solar]:[Wind]],0)),0),0)</f>
        <v>0</v>
      </c>
      <c r="AR788">
        <f>IF(AP788&gt;0,IFERROR(INDEX(Assumptions!$C$166:$D$166,MATCH(LEFT($D788,5),Job_Training[[#Headers],[Solar]:[Wind]],0)),0),0)</f>
        <v>0</v>
      </c>
    </row>
    <row r="789" spans="1:44" hidden="1" x14ac:dyDescent="0.35">
      <c r="A789" t="str">
        <f>UserInput!$B$82</f>
        <v>Incremental Buildout</v>
      </c>
      <c r="B789">
        <v>2035</v>
      </c>
      <c r="C789" t="s">
        <v>78</v>
      </c>
      <c r="D789" t="s">
        <v>79</v>
      </c>
      <c r="E789" s="66">
        <f>INDEX(UserInput!$C$82:$M$102,MATCH(UserMade_Scenario!B789,UserInput!$A$82:$A$102,0),MATCH(LEFT(IF(RIGHT(C789,2)="H2",UserMade_Scenario!C789,D789),3),UserInput!$C$25:$M$25,0))</f>
        <v>5238.0952380952385</v>
      </c>
      <c r="F789" s="14" t="s">
        <v>75</v>
      </c>
      <c r="G789" s="14">
        <f t="shared" si="220"/>
        <v>6.2857142857142853E-4</v>
      </c>
      <c r="H789" s="63">
        <f t="shared" si="221"/>
        <v>5.1449614178209771E-2</v>
      </c>
      <c r="I789" s="63">
        <f t="shared" si="222"/>
        <v>4.6365514070705251E-2</v>
      </c>
      <c r="J789" s="63">
        <f t="shared" si="223"/>
        <v>5.6533714285714277E-2</v>
      </c>
      <c r="K789" s="30">
        <f>IF(OR(LEFT($D789,5)="Solar",$D789="Wind"),INDEX(Land_Use[AVG],MATCH(LEFT($D789,5),Land_Use[Tech],0)),0)*$E789</f>
        <v>0</v>
      </c>
      <c r="L789" s="30">
        <f>IF(OR(LEFT($D789,5)="Solar",$D789="Wind"),INDEX(Land_Use[MIN],MATCH(LEFT($D789,5),Land_Use[Tech],0)),0)*$E789</f>
        <v>0</v>
      </c>
      <c r="M789" s="30">
        <f>IF(OR(LEFT($D789,5)="Solar",$D789="Wind"),INDEX(Land_Use[MAX],MATCH(LEFT($D789,5),Land_Use[Tech],0)),0)*$E789</f>
        <v>0</v>
      </c>
      <c r="N789" s="13">
        <f t="shared" si="215"/>
        <v>21.476190476190478</v>
      </c>
      <c r="O789" s="13">
        <f t="shared" si="216"/>
        <v>0</v>
      </c>
      <c r="P789" s="13">
        <f t="shared" si="217"/>
        <v>0</v>
      </c>
      <c r="Q789" s="13">
        <f t="shared" si="218"/>
        <v>0</v>
      </c>
      <c r="R789" s="13">
        <f t="shared" si="219"/>
        <v>0</v>
      </c>
      <c r="S789" s="30">
        <f t="shared" si="224"/>
        <v>0</v>
      </c>
      <c r="T789" s="30">
        <f t="shared" si="225"/>
        <v>0</v>
      </c>
      <c r="U789" s="30">
        <f t="shared" si="226"/>
        <v>0</v>
      </c>
      <c r="V789" s="30">
        <f t="shared" si="227"/>
        <v>0</v>
      </c>
      <c r="W789" s="30">
        <f t="shared" si="228"/>
        <v>0</v>
      </c>
      <c r="X789" s="30">
        <f t="shared" si="229"/>
        <v>0</v>
      </c>
      <c r="Z789" s="23" t="s">
        <v>76</v>
      </c>
      <c r="AA789" s="40" t="str">
        <f>IF(C789="Electricity",E789*SUMIFS(Electricity!S:S,Electricity!P:P,UserMade_Scenario!B789,Electricity!M:M,UserMade_Scenario!Z789,Electricity!O:O,UserMade_Scenario!D789),"")</f>
        <v/>
      </c>
      <c r="AB789" s="76">
        <f>1000*Assumptions!$B$17/1000000000000</f>
        <v>1.1999999999999999E-7</v>
      </c>
      <c r="AC789" s="67" t="s">
        <v>77</v>
      </c>
      <c r="AD789" s="39">
        <f>SUMIFS(Hydrogen!AK:AK,Hydrogen!$AA:$AA,UserMade_Scenario!$Z789,Hydrogen!$Y:$Y,UserMade_Scenario!$D789,Hydrogen!$AB:$AB,UserMade_Scenario!$B789,Hydrogen!$Z:$Z,UserMade_Scenario!$C789)</f>
        <v>-81.851658919879185</v>
      </c>
      <c r="AE789" s="39">
        <f>SUMIFS(Hydrogen!AL:AL,Hydrogen!$AA:$AA,UserMade_Scenario!$Z789,Hydrogen!$Y:$Y,UserMade_Scenario!$D789,Hydrogen!$AB:$AB,UserMade_Scenario!$B789,Hydrogen!$Z:$Z,UserMade_Scenario!$C789)</f>
        <v>-73.763317839758358</v>
      </c>
      <c r="AF789" s="39">
        <f>SUMIFS(Hydrogen!AM:AM,Hydrogen!$AA:$AA,UserMade_Scenario!$Z789,Hydrogen!$Y:$Y,UserMade_Scenario!$D789,Hydrogen!$AB:$AB,UserMade_Scenario!$B789,Hydrogen!$Z:$Z,UserMade_Scenario!$C789)</f>
        <v>-89.94</v>
      </c>
      <c r="AG789" s="68">
        <f>IFERROR(INDEX(WaterUseH2[Average Direct Water Consumption (Gal/ kg h2)],MATCH(LEFT(D789,3),WaterUseH2[Key],0)),0)</f>
        <v>4.0999999999999996</v>
      </c>
      <c r="AH789">
        <v>14</v>
      </c>
      <c r="AI789">
        <v>1.4</v>
      </c>
      <c r="AJ789">
        <v>250</v>
      </c>
      <c r="AK789">
        <v>0.31</v>
      </c>
      <c r="AL789" s="63">
        <f>IFERROR(INDEX(Job_Training[[Solar]:[Wind]],MATCH(AL$1,Job_Training[[`Typical Entry Level Education`]:[`Typical Entry Level Education`]],0),MATCH(LEFT($D789,5),Job_Training[[#Headers],[Solar]:[Wind]],0)),0)</f>
        <v>0</v>
      </c>
      <c r="AM789" s="63">
        <f>IFERROR(INDEX(Job_Training[[Solar]:[Wind]],MATCH(AM$1,Job_Training[[`Typical Entry Level Education`]:[`Typical Entry Level Education`]],0),MATCH(LEFT($D789,5),Job_Training[[#Headers],[Solar]:[Wind]],0)),0)</f>
        <v>0</v>
      </c>
      <c r="AN789" s="63">
        <f>IFERROR(INDEX(Job_Training[[Solar]:[Wind]],MATCH(AN$1,Job_Training[[`Typical Entry Level Education`]:[`Typical Entry Level Education`]],0),MATCH(LEFT($D789,5),Job_Training[[#Headers],[Solar]:[Wind]],0)),0)</f>
        <v>0</v>
      </c>
      <c r="AO789" s="63">
        <f>IFERROR(INDEX(Job_Training[[Solar]:[Wind]],MATCH(AO$1,Job_Training[[`Typical Entry Level Education`]:[`Typical Entry Level Education`]],0),MATCH(LEFT($D789,5),Job_Training[[#Headers],[Solar]:[Wind]],0)),0)</f>
        <v>0</v>
      </c>
      <c r="AP789">
        <f t="shared" si="230"/>
        <v>0</v>
      </c>
      <c r="AQ789" s="63">
        <f>IF(AP789&gt;0,IFERROR(INDEX(Assumptions!$C$165:$D$165,MATCH(LEFT($D789,5),Job_Training[[#Headers],[Solar]:[Wind]],0)),0),0)</f>
        <v>0</v>
      </c>
      <c r="AR789">
        <f>IF(AP789&gt;0,IFERROR(INDEX(Assumptions!$C$166:$D$166,MATCH(LEFT($D789,5),Job_Training[[#Headers],[Solar]:[Wind]],0)),0),0)</f>
        <v>0</v>
      </c>
    </row>
    <row r="790" spans="1:44" hidden="1" x14ac:dyDescent="0.35">
      <c r="A790" t="str">
        <f>UserInput!$B$82</f>
        <v>Incremental Buildout</v>
      </c>
      <c r="B790">
        <v>2036</v>
      </c>
      <c r="C790" t="s">
        <v>78</v>
      </c>
      <c r="D790" t="s">
        <v>79</v>
      </c>
      <c r="E790" s="66">
        <f>INDEX(UserInput!$C$82:$M$102,MATCH(UserMade_Scenario!B790,UserInput!$A$82:$A$102,0),MATCH(LEFT(IF(RIGHT(C790,2)="H2",UserMade_Scenario!C790,D790),3),UserInput!$C$25:$M$25,0))</f>
        <v>5714.2857142857147</v>
      </c>
      <c r="F790" s="14" t="s">
        <v>75</v>
      </c>
      <c r="G790" s="14">
        <f t="shared" si="220"/>
        <v>6.857142857142857E-4</v>
      </c>
      <c r="H790" s="63">
        <f t="shared" si="221"/>
        <v>5.5278427304798733E-2</v>
      </c>
      <c r="I790" s="63">
        <f t="shared" si="222"/>
        <v>4.8883711752454623E-2</v>
      </c>
      <c r="J790" s="63">
        <f t="shared" si="223"/>
        <v>6.1673142857142857E-2</v>
      </c>
      <c r="K790" s="30">
        <f>IF(OR(LEFT($D790,5)="Solar",$D790="Wind"),INDEX(Land_Use[AVG],MATCH(LEFT($D790,5),Land_Use[Tech],0)),0)*$E790</f>
        <v>0</v>
      </c>
      <c r="L790" s="30">
        <f>IF(OR(LEFT($D790,5)="Solar",$D790="Wind"),INDEX(Land_Use[MIN],MATCH(LEFT($D790,5),Land_Use[Tech],0)),0)*$E790</f>
        <v>0</v>
      </c>
      <c r="M790" s="30">
        <f>IF(OR(LEFT($D790,5)="Solar",$D790="Wind"),INDEX(Land_Use[MAX],MATCH(LEFT($D790,5),Land_Use[Tech],0)),0)*$E790</f>
        <v>0</v>
      </c>
      <c r="N790" s="13">
        <f t="shared" si="215"/>
        <v>23.428571428571431</v>
      </c>
      <c r="O790" s="13">
        <f t="shared" si="216"/>
        <v>0</v>
      </c>
      <c r="P790" s="13">
        <f t="shared" si="217"/>
        <v>0</v>
      </c>
      <c r="Q790" s="13">
        <f t="shared" si="218"/>
        <v>0</v>
      </c>
      <c r="R790" s="13">
        <f t="shared" si="219"/>
        <v>0</v>
      </c>
      <c r="S790" s="30">
        <f t="shared" si="224"/>
        <v>0</v>
      </c>
      <c r="T790" s="30">
        <f t="shared" si="225"/>
        <v>0</v>
      </c>
      <c r="U790" s="30">
        <f t="shared" si="226"/>
        <v>0</v>
      </c>
      <c r="V790" s="30">
        <f t="shared" si="227"/>
        <v>0</v>
      </c>
      <c r="W790" s="30">
        <f t="shared" si="228"/>
        <v>0</v>
      </c>
      <c r="X790" s="30">
        <f t="shared" si="229"/>
        <v>0</v>
      </c>
      <c r="Z790" s="23" t="s">
        <v>76</v>
      </c>
      <c r="AA790" s="40" t="str">
        <f>IF(C790="Electricity",E790*SUMIFS(Electricity!S:S,Electricity!P:P,UserMade_Scenario!B790,Electricity!M:M,UserMade_Scenario!Z790,Electricity!O:O,UserMade_Scenario!D790),"")</f>
        <v/>
      </c>
      <c r="AB790" s="76">
        <f>1000*Assumptions!$B$17/1000000000000</f>
        <v>1.1999999999999999E-7</v>
      </c>
      <c r="AC790" s="67" t="s">
        <v>77</v>
      </c>
      <c r="AD790" s="39">
        <f>SUMIFS(Hydrogen!AK:AK,Hydrogen!$AA:$AA,UserMade_Scenario!$Z790,Hydrogen!$Y:$Y,UserMade_Scenario!$D790,Hydrogen!$AB:$AB,UserMade_Scenario!$B790,Hydrogen!$Z:$Z,UserMade_Scenario!$C790)</f>
        <v>-80.61437315283149</v>
      </c>
      <c r="AE790" s="39">
        <f>SUMIFS(Hydrogen!AL:AL,Hydrogen!$AA:$AA,UserMade_Scenario!$Z790,Hydrogen!$Y:$Y,UserMade_Scenario!$D790,Hydrogen!$AB:$AB,UserMade_Scenario!$B790,Hydrogen!$Z:$Z,UserMade_Scenario!$C790)</f>
        <v>-71.288746305662997</v>
      </c>
      <c r="AF790" s="39">
        <f>SUMIFS(Hydrogen!AM:AM,Hydrogen!$AA:$AA,UserMade_Scenario!$Z790,Hydrogen!$Y:$Y,UserMade_Scenario!$D790,Hydrogen!$AB:$AB,UserMade_Scenario!$B790,Hydrogen!$Z:$Z,UserMade_Scenario!$C790)</f>
        <v>-89.94</v>
      </c>
      <c r="AG790" s="68">
        <f>IFERROR(INDEX(WaterUseH2[Average Direct Water Consumption (Gal/ kg h2)],MATCH(LEFT(D790,3),WaterUseH2[Key],0)),0)</f>
        <v>4.0999999999999996</v>
      </c>
      <c r="AH790">
        <v>14</v>
      </c>
      <c r="AI790">
        <v>1.4</v>
      </c>
      <c r="AJ790">
        <v>250</v>
      </c>
      <c r="AK790">
        <v>0.31</v>
      </c>
      <c r="AL790" s="63">
        <f>IFERROR(INDEX(Job_Training[[Solar]:[Wind]],MATCH(AL$1,Job_Training[[`Typical Entry Level Education`]:[`Typical Entry Level Education`]],0),MATCH(LEFT($D790,5),Job_Training[[#Headers],[Solar]:[Wind]],0)),0)</f>
        <v>0</v>
      </c>
      <c r="AM790" s="63">
        <f>IFERROR(INDEX(Job_Training[[Solar]:[Wind]],MATCH(AM$1,Job_Training[[`Typical Entry Level Education`]:[`Typical Entry Level Education`]],0),MATCH(LEFT($D790,5),Job_Training[[#Headers],[Solar]:[Wind]],0)),0)</f>
        <v>0</v>
      </c>
      <c r="AN790" s="63">
        <f>IFERROR(INDEX(Job_Training[[Solar]:[Wind]],MATCH(AN$1,Job_Training[[`Typical Entry Level Education`]:[`Typical Entry Level Education`]],0),MATCH(LEFT($D790,5),Job_Training[[#Headers],[Solar]:[Wind]],0)),0)</f>
        <v>0</v>
      </c>
      <c r="AO790" s="63">
        <f>IFERROR(INDEX(Job_Training[[Solar]:[Wind]],MATCH(AO$1,Job_Training[[`Typical Entry Level Education`]:[`Typical Entry Level Education`]],0),MATCH(LEFT($D790,5),Job_Training[[#Headers],[Solar]:[Wind]],0)),0)</f>
        <v>0</v>
      </c>
      <c r="AP790">
        <f t="shared" si="230"/>
        <v>0</v>
      </c>
      <c r="AQ790" s="63">
        <f>IF(AP790&gt;0,IFERROR(INDEX(Assumptions!$C$165:$D$165,MATCH(LEFT($D790,5),Job_Training[[#Headers],[Solar]:[Wind]],0)),0),0)</f>
        <v>0</v>
      </c>
      <c r="AR790">
        <f>IF(AP790&gt;0,IFERROR(INDEX(Assumptions!$C$166:$D$166,MATCH(LEFT($D790,5),Job_Training[[#Headers],[Solar]:[Wind]],0)),0),0)</f>
        <v>0</v>
      </c>
    </row>
    <row r="791" spans="1:44" hidden="1" x14ac:dyDescent="0.35">
      <c r="A791" t="str">
        <f>UserInput!$B$82</f>
        <v>Incremental Buildout</v>
      </c>
      <c r="B791">
        <v>2037</v>
      </c>
      <c r="C791" t="s">
        <v>78</v>
      </c>
      <c r="D791" t="s">
        <v>79</v>
      </c>
      <c r="E791" s="66">
        <f>INDEX(UserInput!$C$82:$M$102,MATCH(UserMade_Scenario!B791,UserInput!$A$82:$A$102,0),MATCH(LEFT(IF(RIGHT(C791,2)="H2",UserMade_Scenario!C791,D791),3),UserInput!$C$25:$M$25,0))</f>
        <v>6190.4761904761908</v>
      </c>
      <c r="F791" s="14" t="s">
        <v>75</v>
      </c>
      <c r="G791" s="14">
        <f t="shared" si="220"/>
        <v>7.4285714285714287E-4</v>
      </c>
      <c r="H791" s="63">
        <f t="shared" si="221"/>
        <v>5.8935228068641016E-2</v>
      </c>
      <c r="I791" s="63">
        <f t="shared" si="222"/>
        <v>5.1057884708710616E-2</v>
      </c>
      <c r="J791" s="63">
        <f t="shared" si="223"/>
        <v>6.6812571428571429E-2</v>
      </c>
      <c r="K791" s="30">
        <f>IF(OR(LEFT($D791,5)="Solar",$D791="Wind"),INDEX(Land_Use[AVG],MATCH(LEFT($D791,5),Land_Use[Tech],0)),0)*$E791</f>
        <v>0</v>
      </c>
      <c r="L791" s="30">
        <f>IF(OR(LEFT($D791,5)="Solar",$D791="Wind"),INDEX(Land_Use[MIN],MATCH(LEFT($D791,5),Land_Use[Tech],0)),0)*$E791</f>
        <v>0</v>
      </c>
      <c r="M791" s="30">
        <f>IF(OR(LEFT($D791,5)="Solar",$D791="Wind"),INDEX(Land_Use[MAX],MATCH(LEFT($D791,5),Land_Use[Tech],0)),0)*$E791</f>
        <v>0</v>
      </c>
      <c r="N791" s="13">
        <f t="shared" si="215"/>
        <v>25.38095238095238</v>
      </c>
      <c r="O791" s="13">
        <f t="shared" si="216"/>
        <v>0</v>
      </c>
      <c r="P791" s="13">
        <f t="shared" si="217"/>
        <v>0</v>
      </c>
      <c r="Q791" s="13">
        <f t="shared" si="218"/>
        <v>0</v>
      </c>
      <c r="R791" s="13">
        <f t="shared" si="219"/>
        <v>0</v>
      </c>
      <c r="S791" s="30">
        <f t="shared" si="224"/>
        <v>0</v>
      </c>
      <c r="T791" s="30">
        <f t="shared" si="225"/>
        <v>0</v>
      </c>
      <c r="U791" s="30">
        <f t="shared" si="226"/>
        <v>0</v>
      </c>
      <c r="V791" s="30">
        <f t="shared" si="227"/>
        <v>0</v>
      </c>
      <c r="W791" s="30">
        <f t="shared" si="228"/>
        <v>0</v>
      </c>
      <c r="X791" s="30">
        <f t="shared" si="229"/>
        <v>0</v>
      </c>
      <c r="Z791" s="23" t="s">
        <v>76</v>
      </c>
      <c r="AA791" s="40" t="str">
        <f>IF(C791="Electricity",E791*SUMIFS(Electricity!S:S,Electricity!P:P,UserMade_Scenario!B791,Electricity!M:M,UserMade_Scenario!Z791,Electricity!O:O,UserMade_Scenario!D791),"")</f>
        <v/>
      </c>
      <c r="AB791" s="76">
        <f>1000*Assumptions!$B$17/1000000000000</f>
        <v>1.1999999999999999E-7</v>
      </c>
      <c r="AC791" s="67" t="s">
        <v>77</v>
      </c>
      <c r="AD791" s="39">
        <f>SUMIFS(Hydrogen!AK:AK,Hydrogen!$AA:$AA,UserMade_Scenario!$Z791,Hydrogen!$Y:$Y,UserMade_Scenario!$D791,Hydrogen!$AB:$AB,UserMade_Scenario!$B791,Hydrogen!$Z:$Z,UserMade_Scenario!$C791)</f>
        <v>-79.335883938555213</v>
      </c>
      <c r="AE791" s="39">
        <f>SUMIFS(Hydrogen!AL:AL,Hydrogen!$AA:$AA,UserMade_Scenario!$Z791,Hydrogen!$Y:$Y,UserMade_Scenario!$D791,Hydrogen!$AB:$AB,UserMade_Scenario!$B791,Hydrogen!$Z:$Z,UserMade_Scenario!$C791)</f>
        <v>-68.731767877110443</v>
      </c>
      <c r="AF791" s="39">
        <f>SUMIFS(Hydrogen!AM:AM,Hydrogen!$AA:$AA,UserMade_Scenario!$Z791,Hydrogen!$Y:$Y,UserMade_Scenario!$D791,Hydrogen!$AB:$AB,UserMade_Scenario!$B791,Hydrogen!$Z:$Z,UserMade_Scenario!$C791)</f>
        <v>-89.94</v>
      </c>
      <c r="AG791" s="68">
        <f>IFERROR(INDEX(WaterUseH2[Average Direct Water Consumption (Gal/ kg h2)],MATCH(LEFT(D791,3),WaterUseH2[Key],0)),0)</f>
        <v>4.0999999999999996</v>
      </c>
      <c r="AH791">
        <v>14</v>
      </c>
      <c r="AI791">
        <v>1.4</v>
      </c>
      <c r="AJ791">
        <v>250</v>
      </c>
      <c r="AK791">
        <v>0.31</v>
      </c>
      <c r="AL791" s="63">
        <f>IFERROR(INDEX(Job_Training[[Solar]:[Wind]],MATCH(AL$1,Job_Training[[`Typical Entry Level Education`]:[`Typical Entry Level Education`]],0),MATCH(LEFT($D791,5),Job_Training[[#Headers],[Solar]:[Wind]],0)),0)</f>
        <v>0</v>
      </c>
      <c r="AM791" s="63">
        <f>IFERROR(INDEX(Job_Training[[Solar]:[Wind]],MATCH(AM$1,Job_Training[[`Typical Entry Level Education`]:[`Typical Entry Level Education`]],0),MATCH(LEFT($D791,5),Job_Training[[#Headers],[Solar]:[Wind]],0)),0)</f>
        <v>0</v>
      </c>
      <c r="AN791" s="63">
        <f>IFERROR(INDEX(Job_Training[[Solar]:[Wind]],MATCH(AN$1,Job_Training[[`Typical Entry Level Education`]:[`Typical Entry Level Education`]],0),MATCH(LEFT($D791,5),Job_Training[[#Headers],[Solar]:[Wind]],0)),0)</f>
        <v>0</v>
      </c>
      <c r="AO791" s="63">
        <f>IFERROR(INDEX(Job_Training[[Solar]:[Wind]],MATCH(AO$1,Job_Training[[`Typical Entry Level Education`]:[`Typical Entry Level Education`]],0),MATCH(LEFT($D791,5),Job_Training[[#Headers],[Solar]:[Wind]],0)),0)</f>
        <v>0</v>
      </c>
      <c r="AP791">
        <f t="shared" si="230"/>
        <v>0</v>
      </c>
      <c r="AQ791" s="63">
        <f>IF(AP791&gt;0,IFERROR(INDEX(Assumptions!$C$165:$D$165,MATCH(LEFT($D791,5),Job_Training[[#Headers],[Solar]:[Wind]],0)),0),0)</f>
        <v>0</v>
      </c>
      <c r="AR791">
        <f>IF(AP791&gt;0,IFERROR(INDEX(Assumptions!$C$166:$D$166,MATCH(LEFT($D791,5),Job_Training[[#Headers],[Solar]:[Wind]],0)),0),0)</f>
        <v>0</v>
      </c>
    </row>
    <row r="792" spans="1:44" hidden="1" x14ac:dyDescent="0.35">
      <c r="A792" t="str">
        <f>UserInput!$B$82</f>
        <v>Incremental Buildout</v>
      </c>
      <c r="B792">
        <v>2038</v>
      </c>
      <c r="C792" t="s">
        <v>78</v>
      </c>
      <c r="D792" t="s">
        <v>79</v>
      </c>
      <c r="E792" s="66">
        <f>INDEX(UserInput!$C$82:$M$102,MATCH(UserMade_Scenario!B792,UserInput!$A$82:$A$102,0),MATCH(LEFT(IF(RIGHT(C792,2)="H2",UserMade_Scenario!C792,D792),3),UserInput!$C$25:$M$25,0))</f>
        <v>6666.666666666667</v>
      </c>
      <c r="F792" s="14" t="s">
        <v>75</v>
      </c>
      <c r="G792" s="14">
        <f t="shared" si="220"/>
        <v>7.9999999999999993E-4</v>
      </c>
      <c r="H792" s="63">
        <f t="shared" si="221"/>
        <v>6.2451637750079537E-2</v>
      </c>
      <c r="I792" s="63">
        <f t="shared" si="222"/>
        <v>5.2951275500159087E-2</v>
      </c>
      <c r="J792" s="63">
        <f t="shared" si="223"/>
        <v>7.1951999999999988E-2</v>
      </c>
      <c r="K792" s="30">
        <f>IF(OR(LEFT($D792,5)="Solar",$D792="Wind"),INDEX(Land_Use[AVG],MATCH(LEFT($D792,5),Land_Use[Tech],0)),0)*$E792</f>
        <v>0</v>
      </c>
      <c r="L792" s="30">
        <f>IF(OR(LEFT($D792,5)="Solar",$D792="Wind"),INDEX(Land_Use[MIN],MATCH(LEFT($D792,5),Land_Use[Tech],0)),0)*$E792</f>
        <v>0</v>
      </c>
      <c r="M792" s="30">
        <f>IF(OR(LEFT($D792,5)="Solar",$D792="Wind"),INDEX(Land_Use[MAX],MATCH(LEFT($D792,5),Land_Use[Tech],0)),0)*$E792</f>
        <v>0</v>
      </c>
      <c r="N792" s="13">
        <f t="shared" si="215"/>
        <v>27.333333333333332</v>
      </c>
      <c r="O792" s="13">
        <f t="shared" si="216"/>
        <v>0</v>
      </c>
      <c r="P792" s="13">
        <f t="shared" si="217"/>
        <v>0</v>
      </c>
      <c r="Q792" s="13">
        <f t="shared" si="218"/>
        <v>0</v>
      </c>
      <c r="R792" s="13">
        <f t="shared" si="219"/>
        <v>0</v>
      </c>
      <c r="S792" s="30">
        <f t="shared" si="224"/>
        <v>0</v>
      </c>
      <c r="T792" s="30">
        <f t="shared" si="225"/>
        <v>0</v>
      </c>
      <c r="U792" s="30">
        <f t="shared" si="226"/>
        <v>0</v>
      </c>
      <c r="V792" s="30">
        <f t="shared" si="227"/>
        <v>0</v>
      </c>
      <c r="W792" s="30">
        <f t="shared" si="228"/>
        <v>0</v>
      </c>
      <c r="X792" s="30">
        <f t="shared" si="229"/>
        <v>0</v>
      </c>
      <c r="Z792" s="23" t="s">
        <v>76</v>
      </c>
      <c r="AA792" s="40" t="str">
        <f>IF(C792="Electricity",E792*SUMIFS(Electricity!S:S,Electricity!P:P,UserMade_Scenario!B792,Electricity!M:M,UserMade_Scenario!Z792,Electricity!O:O,UserMade_Scenario!D792),"")</f>
        <v/>
      </c>
      <c r="AB792" s="76">
        <f>1000*Assumptions!$B$17/1000000000000</f>
        <v>1.1999999999999999E-7</v>
      </c>
      <c r="AC792" s="67" t="s">
        <v>77</v>
      </c>
      <c r="AD792" s="39">
        <f>SUMIFS(Hydrogen!AK:AK,Hydrogen!$AA:$AA,UserMade_Scenario!$Z792,Hydrogen!$Y:$Y,UserMade_Scenario!$D792,Hydrogen!$AB:$AB,UserMade_Scenario!$B792,Hydrogen!$Z:$Z,UserMade_Scenario!$C792)</f>
        <v>-78.06454718759943</v>
      </c>
      <c r="AE792" s="39">
        <f>SUMIFS(Hydrogen!AL:AL,Hydrogen!$AA:$AA,UserMade_Scenario!$Z792,Hydrogen!$Y:$Y,UserMade_Scenario!$D792,Hydrogen!$AB:$AB,UserMade_Scenario!$B792,Hydrogen!$Z:$Z,UserMade_Scenario!$C792)</f>
        <v>-66.189094375198863</v>
      </c>
      <c r="AF792" s="39">
        <f>SUMIFS(Hydrogen!AM:AM,Hydrogen!$AA:$AA,UserMade_Scenario!$Z792,Hydrogen!$Y:$Y,UserMade_Scenario!$D792,Hydrogen!$AB:$AB,UserMade_Scenario!$B792,Hydrogen!$Z:$Z,UserMade_Scenario!$C792)</f>
        <v>-89.94</v>
      </c>
      <c r="AG792" s="68">
        <f>IFERROR(INDEX(WaterUseH2[Average Direct Water Consumption (Gal/ kg h2)],MATCH(LEFT(D792,3),WaterUseH2[Key],0)),0)</f>
        <v>4.0999999999999996</v>
      </c>
      <c r="AH792">
        <v>14</v>
      </c>
      <c r="AI792">
        <v>1.4</v>
      </c>
      <c r="AJ792">
        <v>250</v>
      </c>
      <c r="AK792">
        <v>0.31</v>
      </c>
      <c r="AL792" s="63">
        <f>IFERROR(INDEX(Job_Training[[Solar]:[Wind]],MATCH(AL$1,Job_Training[[`Typical Entry Level Education`]:[`Typical Entry Level Education`]],0),MATCH(LEFT($D792,5),Job_Training[[#Headers],[Solar]:[Wind]],0)),0)</f>
        <v>0</v>
      </c>
      <c r="AM792" s="63">
        <f>IFERROR(INDEX(Job_Training[[Solar]:[Wind]],MATCH(AM$1,Job_Training[[`Typical Entry Level Education`]:[`Typical Entry Level Education`]],0),MATCH(LEFT($D792,5),Job_Training[[#Headers],[Solar]:[Wind]],0)),0)</f>
        <v>0</v>
      </c>
      <c r="AN792" s="63">
        <f>IFERROR(INDEX(Job_Training[[Solar]:[Wind]],MATCH(AN$1,Job_Training[[`Typical Entry Level Education`]:[`Typical Entry Level Education`]],0),MATCH(LEFT($D792,5),Job_Training[[#Headers],[Solar]:[Wind]],0)),0)</f>
        <v>0</v>
      </c>
      <c r="AO792" s="63">
        <f>IFERROR(INDEX(Job_Training[[Solar]:[Wind]],MATCH(AO$1,Job_Training[[`Typical Entry Level Education`]:[`Typical Entry Level Education`]],0),MATCH(LEFT($D792,5),Job_Training[[#Headers],[Solar]:[Wind]],0)),0)</f>
        <v>0</v>
      </c>
      <c r="AP792">
        <f t="shared" si="230"/>
        <v>0</v>
      </c>
      <c r="AQ792" s="63">
        <f>IF(AP792&gt;0,IFERROR(INDEX(Assumptions!$C$165:$D$165,MATCH(LEFT($D792,5),Job_Training[[#Headers],[Solar]:[Wind]],0)),0),0)</f>
        <v>0</v>
      </c>
      <c r="AR792">
        <f>IF(AP792&gt;0,IFERROR(INDEX(Assumptions!$C$166:$D$166,MATCH(LEFT($D792,5),Job_Training[[#Headers],[Solar]:[Wind]],0)),0),0)</f>
        <v>0</v>
      </c>
    </row>
    <row r="793" spans="1:44" hidden="1" x14ac:dyDescent="0.35">
      <c r="A793" t="str">
        <f>UserInput!$B$82</f>
        <v>Incremental Buildout</v>
      </c>
      <c r="B793">
        <v>2039</v>
      </c>
      <c r="C793" t="s">
        <v>78</v>
      </c>
      <c r="D793" t="s">
        <v>79</v>
      </c>
      <c r="E793" s="66">
        <f>INDEX(UserInput!$C$82:$M$102,MATCH(UserMade_Scenario!B793,UserInput!$A$82:$A$102,0),MATCH(LEFT(IF(RIGHT(C793,2)="H2",UserMade_Scenario!C793,D793),3),UserInput!$C$25:$M$25,0))</f>
        <v>7142.8571428571431</v>
      </c>
      <c r="F793" s="14" t="s">
        <v>75</v>
      </c>
      <c r="G793" s="14">
        <f t="shared" si="220"/>
        <v>8.571428571428571E-4</v>
      </c>
      <c r="H793" s="63">
        <f t="shared" si="221"/>
        <v>6.5797267542802809E-2</v>
      </c>
      <c r="I793" s="63">
        <f t="shared" si="222"/>
        <v>5.4503106514177044E-2</v>
      </c>
      <c r="J793" s="63">
        <f t="shared" si="223"/>
        <v>7.7091428571428561E-2</v>
      </c>
      <c r="K793" s="30">
        <f>IF(OR(LEFT($D793,5)="Solar",$D793="Wind"),INDEX(Land_Use[AVG],MATCH(LEFT($D793,5),Land_Use[Tech],0)),0)*$E793</f>
        <v>0</v>
      </c>
      <c r="L793" s="30">
        <f>IF(OR(LEFT($D793,5)="Solar",$D793="Wind"),INDEX(Land_Use[MIN],MATCH(LEFT($D793,5),Land_Use[Tech],0)),0)*$E793</f>
        <v>0</v>
      </c>
      <c r="M793" s="30">
        <f>IF(OR(LEFT($D793,5)="Solar",$D793="Wind"),INDEX(Land_Use[MAX],MATCH(LEFT($D793,5),Land_Use[Tech],0)),0)*$E793</f>
        <v>0</v>
      </c>
      <c r="N793" s="13">
        <f t="shared" si="215"/>
        <v>29.285714285714285</v>
      </c>
      <c r="O793" s="13">
        <f t="shared" si="216"/>
        <v>0</v>
      </c>
      <c r="P793" s="13">
        <f t="shared" si="217"/>
        <v>0</v>
      </c>
      <c r="Q793" s="13">
        <f t="shared" si="218"/>
        <v>0</v>
      </c>
      <c r="R793" s="13">
        <f t="shared" si="219"/>
        <v>0</v>
      </c>
      <c r="S793" s="30">
        <f t="shared" si="224"/>
        <v>0</v>
      </c>
      <c r="T793" s="30">
        <f t="shared" si="225"/>
        <v>0</v>
      </c>
      <c r="U793" s="30">
        <f t="shared" si="226"/>
        <v>0</v>
      </c>
      <c r="V793" s="30">
        <f t="shared" si="227"/>
        <v>0</v>
      </c>
      <c r="W793" s="30">
        <f t="shared" si="228"/>
        <v>0</v>
      </c>
      <c r="X793" s="30">
        <f t="shared" si="229"/>
        <v>0</v>
      </c>
      <c r="Z793" s="23" t="s">
        <v>76</v>
      </c>
      <c r="AA793" s="40" t="str">
        <f>IF(C793="Electricity",E793*SUMIFS(Electricity!S:S,Electricity!P:P,UserMade_Scenario!B793,Electricity!M:M,UserMade_Scenario!Z793,Electricity!O:O,UserMade_Scenario!D793),"")</f>
        <v/>
      </c>
      <c r="AB793" s="76">
        <f>1000*Assumptions!$B$17/1000000000000</f>
        <v>1.1999999999999999E-7</v>
      </c>
      <c r="AC793" s="67" t="s">
        <v>77</v>
      </c>
      <c r="AD793" s="39">
        <f>SUMIFS(Hydrogen!AK:AK,Hydrogen!$AA:$AA,UserMade_Scenario!$Z793,Hydrogen!$Y:$Y,UserMade_Scenario!$D793,Hydrogen!$AB:$AB,UserMade_Scenario!$B793,Hydrogen!$Z:$Z,UserMade_Scenario!$C793)</f>
        <v>-76.763478799936607</v>
      </c>
      <c r="AE793" s="39">
        <f>SUMIFS(Hydrogen!AL:AL,Hydrogen!$AA:$AA,UserMade_Scenario!$Z793,Hydrogen!$Y:$Y,UserMade_Scenario!$D793,Hydrogen!$AB:$AB,UserMade_Scenario!$B793,Hydrogen!$Z:$Z,UserMade_Scenario!$C793)</f>
        <v>-63.586957599873223</v>
      </c>
      <c r="AF793" s="39">
        <f>SUMIFS(Hydrogen!AM:AM,Hydrogen!$AA:$AA,UserMade_Scenario!$Z793,Hydrogen!$Y:$Y,UserMade_Scenario!$D793,Hydrogen!$AB:$AB,UserMade_Scenario!$B793,Hydrogen!$Z:$Z,UserMade_Scenario!$C793)</f>
        <v>-89.94</v>
      </c>
      <c r="AG793" s="68">
        <f>IFERROR(INDEX(WaterUseH2[Average Direct Water Consumption (Gal/ kg h2)],MATCH(LEFT(D793,3),WaterUseH2[Key],0)),0)</f>
        <v>4.0999999999999996</v>
      </c>
      <c r="AH793">
        <v>14</v>
      </c>
      <c r="AI793">
        <v>1.4</v>
      </c>
      <c r="AJ793">
        <v>250</v>
      </c>
      <c r="AK793">
        <v>0.31</v>
      </c>
      <c r="AL793" s="63">
        <f>IFERROR(INDEX(Job_Training[[Solar]:[Wind]],MATCH(AL$1,Job_Training[[`Typical Entry Level Education`]:[`Typical Entry Level Education`]],0),MATCH(LEFT($D793,5),Job_Training[[#Headers],[Solar]:[Wind]],0)),0)</f>
        <v>0</v>
      </c>
      <c r="AM793" s="63">
        <f>IFERROR(INDEX(Job_Training[[Solar]:[Wind]],MATCH(AM$1,Job_Training[[`Typical Entry Level Education`]:[`Typical Entry Level Education`]],0),MATCH(LEFT($D793,5),Job_Training[[#Headers],[Solar]:[Wind]],0)),0)</f>
        <v>0</v>
      </c>
      <c r="AN793" s="63">
        <f>IFERROR(INDEX(Job_Training[[Solar]:[Wind]],MATCH(AN$1,Job_Training[[`Typical Entry Level Education`]:[`Typical Entry Level Education`]],0),MATCH(LEFT($D793,5),Job_Training[[#Headers],[Solar]:[Wind]],0)),0)</f>
        <v>0</v>
      </c>
      <c r="AO793" s="63">
        <f>IFERROR(INDEX(Job_Training[[Solar]:[Wind]],MATCH(AO$1,Job_Training[[`Typical Entry Level Education`]:[`Typical Entry Level Education`]],0),MATCH(LEFT($D793,5),Job_Training[[#Headers],[Solar]:[Wind]],0)),0)</f>
        <v>0</v>
      </c>
      <c r="AP793">
        <f t="shared" si="230"/>
        <v>0</v>
      </c>
      <c r="AQ793" s="63">
        <f>IF(AP793&gt;0,IFERROR(INDEX(Assumptions!$C$165:$D$165,MATCH(LEFT($D793,5),Job_Training[[#Headers],[Solar]:[Wind]],0)),0),0)</f>
        <v>0</v>
      </c>
      <c r="AR793">
        <f>IF(AP793&gt;0,IFERROR(INDEX(Assumptions!$C$166:$D$166,MATCH(LEFT($D793,5),Job_Training[[#Headers],[Solar]:[Wind]],0)),0),0)</f>
        <v>0</v>
      </c>
    </row>
    <row r="794" spans="1:44" hidden="1" x14ac:dyDescent="0.35">
      <c r="A794" t="str">
        <f>UserInput!$B$82</f>
        <v>Incremental Buildout</v>
      </c>
      <c r="B794">
        <v>2040</v>
      </c>
      <c r="C794" t="s">
        <v>78</v>
      </c>
      <c r="D794" t="s">
        <v>79</v>
      </c>
      <c r="E794" s="66">
        <f>INDEX(UserInput!$C$82:$M$102,MATCH(UserMade_Scenario!B794,UserInput!$A$82:$A$102,0),MATCH(LEFT(IF(RIGHT(C794,2)="H2",UserMade_Scenario!C794,D794),3),UserInput!$C$25:$M$25,0))</f>
        <v>7619.0476190476193</v>
      </c>
      <c r="F794" s="14" t="s">
        <v>75</v>
      </c>
      <c r="G794" s="14">
        <f t="shared" si="220"/>
        <v>9.1428571428571427E-4</v>
      </c>
      <c r="H794" s="63">
        <f t="shared" si="221"/>
        <v>6.8974880647114531E-2</v>
      </c>
      <c r="I794" s="63">
        <f t="shared" si="222"/>
        <v>5.5718904151371922E-2</v>
      </c>
      <c r="J794" s="63">
        <f t="shared" si="223"/>
        <v>8.2230857142857133E-2</v>
      </c>
      <c r="K794" s="30">
        <f>IF(OR(LEFT($D794,5)="Solar",$D794="Wind"),INDEX(Land_Use[AVG],MATCH(LEFT($D794,5),Land_Use[Tech],0)),0)*$E794</f>
        <v>0</v>
      </c>
      <c r="L794" s="30">
        <f>IF(OR(LEFT($D794,5)="Solar",$D794="Wind"),INDEX(Land_Use[MIN],MATCH(LEFT($D794,5),Land_Use[Tech],0)),0)*$E794</f>
        <v>0</v>
      </c>
      <c r="M794" s="30">
        <f>IF(OR(LEFT($D794,5)="Solar",$D794="Wind"),INDEX(Land_Use[MAX],MATCH(LEFT($D794,5),Land_Use[Tech],0)),0)*$E794</f>
        <v>0</v>
      </c>
      <c r="N794" s="13">
        <f t="shared" si="215"/>
        <v>31.238095238095234</v>
      </c>
      <c r="O794" s="13">
        <f t="shared" si="216"/>
        <v>0</v>
      </c>
      <c r="P794" s="13">
        <f t="shared" si="217"/>
        <v>0</v>
      </c>
      <c r="Q794" s="13">
        <f t="shared" si="218"/>
        <v>0</v>
      </c>
      <c r="R794" s="13">
        <f t="shared" si="219"/>
        <v>0</v>
      </c>
      <c r="S794" s="30">
        <f t="shared" si="224"/>
        <v>0</v>
      </c>
      <c r="T794" s="30">
        <f t="shared" si="225"/>
        <v>0</v>
      </c>
      <c r="U794" s="30">
        <f t="shared" si="226"/>
        <v>0</v>
      </c>
      <c r="V794" s="30">
        <f t="shared" si="227"/>
        <v>0</v>
      </c>
      <c r="W794" s="30">
        <f t="shared" si="228"/>
        <v>0</v>
      </c>
      <c r="X794" s="30">
        <f t="shared" si="229"/>
        <v>0</v>
      </c>
      <c r="Z794" s="23" t="s">
        <v>76</v>
      </c>
      <c r="AA794" s="40" t="str">
        <f>IF(C794="Electricity",E794*SUMIFS(Electricity!S:S,Electricity!P:P,UserMade_Scenario!B794,Electricity!M:M,UserMade_Scenario!Z794,Electricity!O:O,UserMade_Scenario!D794),"")</f>
        <v/>
      </c>
      <c r="AB794" s="76">
        <f>1000*Assumptions!$B$17/1000000000000</f>
        <v>1.1999999999999999E-7</v>
      </c>
      <c r="AC794" s="67" t="s">
        <v>77</v>
      </c>
      <c r="AD794" s="39">
        <f>SUMIFS(Hydrogen!AK:AK,Hydrogen!$AA:$AA,UserMade_Scenario!$Z794,Hydrogen!$Y:$Y,UserMade_Scenario!$D794,Hydrogen!$AB:$AB,UserMade_Scenario!$B794,Hydrogen!$Z:$Z,UserMade_Scenario!$C794)</f>
        <v>-75.441275707781514</v>
      </c>
      <c r="AE794" s="39">
        <f>SUMIFS(Hydrogen!AL:AL,Hydrogen!$AA:$AA,UserMade_Scenario!$Z794,Hydrogen!$Y:$Y,UserMade_Scenario!$D794,Hydrogen!$AB:$AB,UserMade_Scenario!$B794,Hydrogen!$Z:$Z,UserMade_Scenario!$C794)</f>
        <v>-60.942551415563038</v>
      </c>
      <c r="AF794" s="39">
        <f>SUMIFS(Hydrogen!AM:AM,Hydrogen!$AA:$AA,UserMade_Scenario!$Z794,Hydrogen!$Y:$Y,UserMade_Scenario!$D794,Hydrogen!$AB:$AB,UserMade_Scenario!$B794,Hydrogen!$Z:$Z,UserMade_Scenario!$C794)</f>
        <v>-89.94</v>
      </c>
      <c r="AG794" s="68">
        <f>IFERROR(INDEX(WaterUseH2[Average Direct Water Consumption (Gal/ kg h2)],MATCH(LEFT(D794,3),WaterUseH2[Key],0)),0)</f>
        <v>4.0999999999999996</v>
      </c>
      <c r="AH794">
        <v>14</v>
      </c>
      <c r="AI794">
        <v>1.4</v>
      </c>
      <c r="AJ794">
        <v>250</v>
      </c>
      <c r="AK794">
        <v>0.31</v>
      </c>
      <c r="AL794" s="63">
        <f>IFERROR(INDEX(Job_Training[[Solar]:[Wind]],MATCH(AL$1,Job_Training[[`Typical Entry Level Education`]:[`Typical Entry Level Education`]],0),MATCH(LEFT($D794,5),Job_Training[[#Headers],[Solar]:[Wind]],0)),0)</f>
        <v>0</v>
      </c>
      <c r="AM794" s="63">
        <f>IFERROR(INDEX(Job_Training[[Solar]:[Wind]],MATCH(AM$1,Job_Training[[`Typical Entry Level Education`]:[`Typical Entry Level Education`]],0),MATCH(LEFT($D794,5),Job_Training[[#Headers],[Solar]:[Wind]],0)),0)</f>
        <v>0</v>
      </c>
      <c r="AN794" s="63">
        <f>IFERROR(INDEX(Job_Training[[Solar]:[Wind]],MATCH(AN$1,Job_Training[[`Typical Entry Level Education`]:[`Typical Entry Level Education`]],0),MATCH(LEFT($D794,5),Job_Training[[#Headers],[Solar]:[Wind]],0)),0)</f>
        <v>0</v>
      </c>
      <c r="AO794" s="63">
        <f>IFERROR(INDEX(Job_Training[[Solar]:[Wind]],MATCH(AO$1,Job_Training[[`Typical Entry Level Education`]:[`Typical Entry Level Education`]],0),MATCH(LEFT($D794,5),Job_Training[[#Headers],[Solar]:[Wind]],0)),0)</f>
        <v>0</v>
      </c>
      <c r="AP794">
        <f t="shared" si="230"/>
        <v>0</v>
      </c>
      <c r="AQ794" s="63">
        <f>IF(AP794&gt;0,IFERROR(INDEX(Assumptions!$C$165:$D$165,MATCH(LEFT($D794,5),Job_Training[[#Headers],[Solar]:[Wind]],0)),0),0)</f>
        <v>0</v>
      </c>
      <c r="AR794">
        <f>IF(AP794&gt;0,IFERROR(INDEX(Assumptions!$C$166:$D$166,MATCH(LEFT($D794,5),Job_Training[[#Headers],[Solar]:[Wind]],0)),0),0)</f>
        <v>0</v>
      </c>
    </row>
    <row r="795" spans="1:44" hidden="1" x14ac:dyDescent="0.35">
      <c r="A795" t="str">
        <f>UserInput!$B$82</f>
        <v>Incremental Buildout</v>
      </c>
      <c r="B795">
        <v>2041</v>
      </c>
      <c r="C795" t="s">
        <v>78</v>
      </c>
      <c r="D795" t="s">
        <v>79</v>
      </c>
      <c r="E795" s="66">
        <f>INDEX(UserInput!$C$82:$M$102,MATCH(UserMade_Scenario!B795,UserInput!$A$82:$A$102,0),MATCH(LEFT(IF(RIGHT(C795,2)="H2",UserMade_Scenario!C795,D795),3),UserInput!$C$25:$M$25,0))</f>
        <v>8095.2380952380954</v>
      </c>
      <c r="F795" s="14" t="s">
        <v>75</v>
      </c>
      <c r="G795" s="14">
        <f t="shared" si="220"/>
        <v>9.7142857142857133E-4</v>
      </c>
      <c r="H795" s="63">
        <f t="shared" si="221"/>
        <v>7.2009324285954662E-2</v>
      </c>
      <c r="I795" s="63">
        <f t="shared" si="222"/>
        <v>5.6648362857623633E-2</v>
      </c>
      <c r="J795" s="63">
        <f t="shared" si="223"/>
        <v>8.7370285714285706E-2</v>
      </c>
      <c r="K795" s="30">
        <f>IF(OR(LEFT($D795,5)="Solar",$D795="Wind"),INDEX(Land_Use[AVG],MATCH(LEFT($D795,5),Land_Use[Tech],0)),0)*$E795</f>
        <v>0</v>
      </c>
      <c r="L795" s="30">
        <f>IF(OR(LEFT($D795,5)="Solar",$D795="Wind"),INDEX(Land_Use[MIN],MATCH(LEFT($D795,5),Land_Use[Tech],0)),0)*$E795</f>
        <v>0</v>
      </c>
      <c r="M795" s="30">
        <f>IF(OR(LEFT($D795,5)="Solar",$D795="Wind"),INDEX(Land_Use[MAX],MATCH(LEFT($D795,5),Land_Use[Tech],0)),0)*$E795</f>
        <v>0</v>
      </c>
      <c r="N795" s="13">
        <f t="shared" si="215"/>
        <v>33.19047619047619</v>
      </c>
      <c r="O795" s="13">
        <f t="shared" si="216"/>
        <v>0</v>
      </c>
      <c r="P795" s="13">
        <f t="shared" si="217"/>
        <v>0</v>
      </c>
      <c r="Q795" s="13">
        <f t="shared" si="218"/>
        <v>0</v>
      </c>
      <c r="R795" s="13">
        <f t="shared" si="219"/>
        <v>0</v>
      </c>
      <c r="S795" s="30">
        <f t="shared" si="224"/>
        <v>0</v>
      </c>
      <c r="T795" s="30">
        <f t="shared" si="225"/>
        <v>0</v>
      </c>
      <c r="U795" s="30">
        <f t="shared" si="226"/>
        <v>0</v>
      </c>
      <c r="V795" s="30">
        <f t="shared" si="227"/>
        <v>0</v>
      </c>
      <c r="W795" s="30">
        <f t="shared" si="228"/>
        <v>0</v>
      </c>
      <c r="X795" s="30">
        <f t="shared" si="229"/>
        <v>0</v>
      </c>
      <c r="Z795" s="23" t="s">
        <v>76</v>
      </c>
      <c r="AA795" s="40" t="str">
        <f>IF(C795="Electricity",E795*SUMIFS(Electricity!S:S,Electricity!P:P,UserMade_Scenario!B795,Electricity!M:M,UserMade_Scenario!Z795,Electricity!O:O,UserMade_Scenario!D795),"")</f>
        <v/>
      </c>
      <c r="AB795" s="76">
        <f>1000*Assumptions!$B$17/1000000000000</f>
        <v>1.1999999999999999E-7</v>
      </c>
      <c r="AC795" s="67" t="s">
        <v>77</v>
      </c>
      <c r="AD795" s="39">
        <f>SUMIFS(Hydrogen!AK:AK,Hydrogen!$AA:$AA,UserMade_Scenario!$Z795,Hydrogen!$Y:$Y,UserMade_Scenario!$D795,Hydrogen!$AB:$AB,UserMade_Scenario!$B795,Hydrogen!$Z:$Z,UserMade_Scenario!$C795)</f>
        <v>-74.127245588482751</v>
      </c>
      <c r="AE795" s="39">
        <f>SUMIFS(Hydrogen!AL:AL,Hydrogen!$AA:$AA,UserMade_Scenario!$Z795,Hydrogen!$Y:$Y,UserMade_Scenario!$D795,Hydrogen!$AB:$AB,UserMade_Scenario!$B795,Hydrogen!$Z:$Z,UserMade_Scenario!$C795)</f>
        <v>-58.314491176965511</v>
      </c>
      <c r="AF795" s="39">
        <f>SUMIFS(Hydrogen!AM:AM,Hydrogen!$AA:$AA,UserMade_Scenario!$Z795,Hydrogen!$Y:$Y,UserMade_Scenario!$D795,Hydrogen!$AB:$AB,UserMade_Scenario!$B795,Hydrogen!$Z:$Z,UserMade_Scenario!$C795)</f>
        <v>-89.94</v>
      </c>
      <c r="AG795" s="68">
        <f>IFERROR(INDEX(WaterUseH2[Average Direct Water Consumption (Gal/ kg h2)],MATCH(LEFT(D795,3),WaterUseH2[Key],0)),0)</f>
        <v>4.0999999999999996</v>
      </c>
      <c r="AH795">
        <v>14</v>
      </c>
      <c r="AI795">
        <v>1.4</v>
      </c>
      <c r="AJ795">
        <v>250</v>
      </c>
      <c r="AK795">
        <v>0.31</v>
      </c>
      <c r="AL795" s="63">
        <f>IFERROR(INDEX(Job_Training[[Solar]:[Wind]],MATCH(AL$1,Job_Training[[`Typical Entry Level Education`]:[`Typical Entry Level Education`]],0),MATCH(LEFT($D795,5),Job_Training[[#Headers],[Solar]:[Wind]],0)),0)</f>
        <v>0</v>
      </c>
      <c r="AM795" s="63">
        <f>IFERROR(INDEX(Job_Training[[Solar]:[Wind]],MATCH(AM$1,Job_Training[[`Typical Entry Level Education`]:[`Typical Entry Level Education`]],0),MATCH(LEFT($D795,5),Job_Training[[#Headers],[Solar]:[Wind]],0)),0)</f>
        <v>0</v>
      </c>
      <c r="AN795" s="63">
        <f>IFERROR(INDEX(Job_Training[[Solar]:[Wind]],MATCH(AN$1,Job_Training[[`Typical Entry Level Education`]:[`Typical Entry Level Education`]],0),MATCH(LEFT($D795,5),Job_Training[[#Headers],[Solar]:[Wind]],0)),0)</f>
        <v>0</v>
      </c>
      <c r="AO795" s="63">
        <f>IFERROR(INDEX(Job_Training[[Solar]:[Wind]],MATCH(AO$1,Job_Training[[`Typical Entry Level Education`]:[`Typical Entry Level Education`]],0),MATCH(LEFT($D795,5),Job_Training[[#Headers],[Solar]:[Wind]],0)),0)</f>
        <v>0</v>
      </c>
      <c r="AP795">
        <f t="shared" si="230"/>
        <v>0</v>
      </c>
      <c r="AQ795" s="63">
        <f>IF(AP795&gt;0,IFERROR(INDEX(Assumptions!$C$165:$D$165,MATCH(LEFT($D795,5),Job_Training[[#Headers],[Solar]:[Wind]],0)),0),0)</f>
        <v>0</v>
      </c>
      <c r="AR795">
        <f>IF(AP795&gt;0,IFERROR(INDEX(Assumptions!$C$166:$D$166,MATCH(LEFT($D795,5),Job_Training[[#Headers],[Solar]:[Wind]],0)),0),0)</f>
        <v>0</v>
      </c>
    </row>
    <row r="796" spans="1:44" hidden="1" x14ac:dyDescent="0.35">
      <c r="A796" t="str">
        <f>UserInput!$B$82</f>
        <v>Incremental Buildout</v>
      </c>
      <c r="B796">
        <v>2042</v>
      </c>
      <c r="C796" t="s">
        <v>78</v>
      </c>
      <c r="D796" t="s">
        <v>79</v>
      </c>
      <c r="E796" s="66">
        <f>INDEX(UserInput!$C$82:$M$102,MATCH(UserMade_Scenario!B796,UserInput!$A$82:$A$102,0),MATCH(LEFT(IF(RIGHT(C796,2)="H2",UserMade_Scenario!C796,D796),3),UserInput!$C$25:$M$25,0))</f>
        <v>8571.4285714285725</v>
      </c>
      <c r="F796" s="14" t="s">
        <v>75</v>
      </c>
      <c r="G796" s="14">
        <f t="shared" si="220"/>
        <v>1.0285714285714286E-3</v>
      </c>
      <c r="H796" s="63">
        <f t="shared" si="221"/>
        <v>7.4935857968012096E-2</v>
      </c>
      <c r="I796" s="63">
        <f t="shared" si="222"/>
        <v>5.7362001650309906E-2</v>
      </c>
      <c r="J796" s="63">
        <f t="shared" si="223"/>
        <v>9.2509714285714292E-2</v>
      </c>
      <c r="K796" s="30">
        <f>IF(OR(LEFT($D796,5)="Solar",$D796="Wind"),INDEX(Land_Use[AVG],MATCH(LEFT($D796,5),Land_Use[Tech],0)),0)*$E796</f>
        <v>0</v>
      </c>
      <c r="L796" s="30">
        <f>IF(OR(LEFT($D796,5)="Solar",$D796="Wind"),INDEX(Land_Use[MIN],MATCH(LEFT($D796,5),Land_Use[Tech],0)),0)*$E796</f>
        <v>0</v>
      </c>
      <c r="M796" s="30">
        <f>IF(OR(LEFT($D796,5)="Solar",$D796="Wind"),INDEX(Land_Use[MAX],MATCH(LEFT($D796,5),Land_Use[Tech],0)),0)*$E796</f>
        <v>0</v>
      </c>
      <c r="N796" s="13">
        <f t="shared" si="215"/>
        <v>35.142857142857139</v>
      </c>
      <c r="O796" s="13">
        <f t="shared" si="216"/>
        <v>0</v>
      </c>
      <c r="P796" s="13">
        <f t="shared" si="217"/>
        <v>0</v>
      </c>
      <c r="Q796" s="13">
        <f t="shared" si="218"/>
        <v>0</v>
      </c>
      <c r="R796" s="13">
        <f t="shared" si="219"/>
        <v>0</v>
      </c>
      <c r="S796" s="30">
        <f t="shared" si="224"/>
        <v>0</v>
      </c>
      <c r="T796" s="30">
        <f t="shared" si="225"/>
        <v>0</v>
      </c>
      <c r="U796" s="30">
        <f t="shared" si="226"/>
        <v>0</v>
      </c>
      <c r="V796" s="30">
        <f t="shared" si="227"/>
        <v>0</v>
      </c>
      <c r="W796" s="30">
        <f t="shared" si="228"/>
        <v>0</v>
      </c>
      <c r="X796" s="30">
        <f t="shared" si="229"/>
        <v>0</v>
      </c>
      <c r="Z796" s="23" t="s">
        <v>76</v>
      </c>
      <c r="AA796" s="40" t="str">
        <f>IF(C796="Electricity",E796*SUMIFS(Electricity!S:S,Electricity!P:P,UserMade_Scenario!B796,Electricity!M:M,UserMade_Scenario!Z796,Electricity!O:O,UserMade_Scenario!D796),"")</f>
        <v/>
      </c>
      <c r="AB796" s="76">
        <f>1000*Assumptions!$B$17/1000000000000</f>
        <v>1.1999999999999999E-7</v>
      </c>
      <c r="AC796" s="67" t="s">
        <v>77</v>
      </c>
      <c r="AD796" s="39">
        <f>SUMIFS(Hydrogen!AK:AK,Hydrogen!$AA:$AA,UserMade_Scenario!$Z796,Hydrogen!$Y:$Y,UserMade_Scenario!$D796,Hydrogen!$AB:$AB,UserMade_Scenario!$B796,Hydrogen!$Z:$Z,UserMade_Scenario!$C796)</f>
        <v>-72.85430635778954</v>
      </c>
      <c r="AE796" s="39">
        <f>SUMIFS(Hydrogen!AL:AL,Hydrogen!$AA:$AA,UserMade_Scenario!$Z796,Hydrogen!$Y:$Y,UserMade_Scenario!$D796,Hydrogen!$AB:$AB,UserMade_Scenario!$B796,Hydrogen!$Z:$Z,UserMade_Scenario!$C796)</f>
        <v>-55.768612715579074</v>
      </c>
      <c r="AF796" s="39">
        <f>SUMIFS(Hydrogen!AM:AM,Hydrogen!$AA:$AA,UserMade_Scenario!$Z796,Hydrogen!$Y:$Y,UserMade_Scenario!$D796,Hydrogen!$AB:$AB,UserMade_Scenario!$B796,Hydrogen!$Z:$Z,UserMade_Scenario!$C796)</f>
        <v>-89.94</v>
      </c>
      <c r="AG796" s="68">
        <f>IFERROR(INDEX(WaterUseH2[Average Direct Water Consumption (Gal/ kg h2)],MATCH(LEFT(D796,3),WaterUseH2[Key],0)),0)</f>
        <v>4.0999999999999996</v>
      </c>
      <c r="AH796">
        <v>14</v>
      </c>
      <c r="AI796">
        <v>1.4</v>
      </c>
      <c r="AJ796">
        <v>250</v>
      </c>
      <c r="AK796">
        <v>0.31</v>
      </c>
      <c r="AL796" s="63">
        <f>IFERROR(INDEX(Job_Training[[Solar]:[Wind]],MATCH(AL$1,Job_Training[[`Typical Entry Level Education`]:[`Typical Entry Level Education`]],0),MATCH(LEFT($D796,5),Job_Training[[#Headers],[Solar]:[Wind]],0)),0)</f>
        <v>0</v>
      </c>
      <c r="AM796" s="63">
        <f>IFERROR(INDEX(Job_Training[[Solar]:[Wind]],MATCH(AM$1,Job_Training[[`Typical Entry Level Education`]:[`Typical Entry Level Education`]],0),MATCH(LEFT($D796,5),Job_Training[[#Headers],[Solar]:[Wind]],0)),0)</f>
        <v>0</v>
      </c>
      <c r="AN796" s="63">
        <f>IFERROR(INDEX(Job_Training[[Solar]:[Wind]],MATCH(AN$1,Job_Training[[`Typical Entry Level Education`]:[`Typical Entry Level Education`]],0),MATCH(LEFT($D796,5),Job_Training[[#Headers],[Solar]:[Wind]],0)),0)</f>
        <v>0</v>
      </c>
      <c r="AO796" s="63">
        <f>IFERROR(INDEX(Job_Training[[Solar]:[Wind]],MATCH(AO$1,Job_Training[[`Typical Entry Level Education`]:[`Typical Entry Level Education`]],0),MATCH(LEFT($D796,5),Job_Training[[#Headers],[Solar]:[Wind]],0)),0)</f>
        <v>0</v>
      </c>
      <c r="AP796">
        <f t="shared" si="230"/>
        <v>0</v>
      </c>
      <c r="AQ796" s="63">
        <f>IF(AP796&gt;0,IFERROR(INDEX(Assumptions!$C$165:$D$165,MATCH(LEFT($D796,5),Job_Training[[#Headers],[Solar]:[Wind]],0)),0),0)</f>
        <v>0</v>
      </c>
      <c r="AR796">
        <f>IF(AP796&gt;0,IFERROR(INDEX(Assumptions!$C$166:$D$166,MATCH(LEFT($D796,5),Job_Training[[#Headers],[Solar]:[Wind]],0)),0),0)</f>
        <v>0</v>
      </c>
    </row>
    <row r="797" spans="1:44" hidden="1" x14ac:dyDescent="0.35">
      <c r="A797" t="str">
        <f>UserInput!$B$82</f>
        <v>Incremental Buildout</v>
      </c>
      <c r="B797">
        <v>2043</v>
      </c>
      <c r="C797" t="s">
        <v>78</v>
      </c>
      <c r="D797" t="s">
        <v>79</v>
      </c>
      <c r="E797" s="66">
        <f>INDEX(UserInput!$C$82:$M$102,MATCH(UserMade_Scenario!B797,UserInput!$A$82:$A$102,0),MATCH(LEFT(IF(RIGHT(C797,2)="H2",UserMade_Scenario!C797,D797),3),UserInput!$C$25:$M$25,0))</f>
        <v>9047.6190476190495</v>
      </c>
      <c r="F797" s="14" t="s">
        <v>75</v>
      </c>
      <c r="G797" s="14">
        <f t="shared" si="220"/>
        <v>1.0857142857142858E-3</v>
      </c>
      <c r="H797" s="63">
        <f t="shared" si="221"/>
        <v>7.7772650341122018E-2</v>
      </c>
      <c r="I797" s="63">
        <f t="shared" si="222"/>
        <v>5.7896157825101179E-2</v>
      </c>
      <c r="J797" s="63">
        <f t="shared" si="223"/>
        <v>9.7649142857142865E-2</v>
      </c>
      <c r="K797" s="30">
        <f>IF(OR(LEFT($D797,5)="Solar",$D797="Wind"),INDEX(Land_Use[AVG],MATCH(LEFT($D797,5),Land_Use[Tech],0)),0)*$E797</f>
        <v>0</v>
      </c>
      <c r="L797" s="30">
        <f>IF(OR(LEFT($D797,5)="Solar",$D797="Wind"),INDEX(Land_Use[MIN],MATCH(LEFT($D797,5),Land_Use[Tech],0)),0)*$E797</f>
        <v>0</v>
      </c>
      <c r="M797" s="30">
        <f>IF(OR(LEFT($D797,5)="Solar",$D797="Wind"),INDEX(Land_Use[MAX],MATCH(LEFT($D797,5),Land_Use[Tech],0)),0)*$E797</f>
        <v>0</v>
      </c>
      <c r="N797" s="13">
        <f t="shared" si="215"/>
        <v>37.095238095238095</v>
      </c>
      <c r="O797" s="13">
        <f t="shared" si="216"/>
        <v>0</v>
      </c>
      <c r="P797" s="13">
        <f t="shared" si="217"/>
        <v>0</v>
      </c>
      <c r="Q797" s="13">
        <f t="shared" si="218"/>
        <v>0</v>
      </c>
      <c r="R797" s="13">
        <f t="shared" si="219"/>
        <v>0</v>
      </c>
      <c r="S797" s="30">
        <f t="shared" si="224"/>
        <v>0</v>
      </c>
      <c r="T797" s="30">
        <f t="shared" si="225"/>
        <v>0</v>
      </c>
      <c r="U797" s="30">
        <f t="shared" si="226"/>
        <v>0</v>
      </c>
      <c r="V797" s="30">
        <f t="shared" si="227"/>
        <v>0</v>
      </c>
      <c r="W797" s="30">
        <f t="shared" si="228"/>
        <v>0</v>
      </c>
      <c r="X797" s="30">
        <f t="shared" si="229"/>
        <v>0</v>
      </c>
      <c r="Z797" s="23" t="s">
        <v>76</v>
      </c>
      <c r="AA797" s="40" t="str">
        <f>IF(C797="Electricity",E797*SUMIFS(Electricity!S:S,Electricity!P:P,UserMade_Scenario!B797,Electricity!M:M,UserMade_Scenario!Z797,Electricity!O:O,UserMade_Scenario!D797),"")</f>
        <v/>
      </c>
      <c r="AB797" s="76">
        <f>1000*Assumptions!$B$17/1000000000000</f>
        <v>1.1999999999999999E-7</v>
      </c>
      <c r="AC797" s="67" t="s">
        <v>77</v>
      </c>
      <c r="AD797" s="39">
        <f>SUMIFS(Hydrogen!AK:AK,Hydrogen!$AA:$AA,UserMade_Scenario!$Z797,Hydrogen!$Y:$Y,UserMade_Scenario!$D797,Hydrogen!$AB:$AB,UserMade_Scenario!$B797,Hydrogen!$Z:$Z,UserMade_Scenario!$C797)</f>
        <v>-71.632704261559752</v>
      </c>
      <c r="AE797" s="39">
        <f>SUMIFS(Hydrogen!AL:AL,Hydrogen!$AA:$AA,UserMade_Scenario!$Z797,Hydrogen!$Y:$Y,UserMade_Scenario!$D797,Hydrogen!$AB:$AB,UserMade_Scenario!$B797,Hydrogen!$Z:$Z,UserMade_Scenario!$C797)</f>
        <v>-53.325408523119506</v>
      </c>
      <c r="AF797" s="39">
        <f>SUMIFS(Hydrogen!AM:AM,Hydrogen!$AA:$AA,UserMade_Scenario!$Z797,Hydrogen!$Y:$Y,UserMade_Scenario!$D797,Hydrogen!$AB:$AB,UserMade_Scenario!$B797,Hydrogen!$Z:$Z,UserMade_Scenario!$C797)</f>
        <v>-89.94</v>
      </c>
      <c r="AG797" s="68">
        <f>IFERROR(INDEX(WaterUseH2[Average Direct Water Consumption (Gal/ kg h2)],MATCH(LEFT(D797,3),WaterUseH2[Key],0)),0)</f>
        <v>4.0999999999999996</v>
      </c>
      <c r="AH797">
        <v>14</v>
      </c>
      <c r="AI797">
        <v>1.4</v>
      </c>
      <c r="AJ797">
        <v>250</v>
      </c>
      <c r="AK797">
        <v>0.31</v>
      </c>
      <c r="AL797" s="63">
        <f>IFERROR(INDEX(Job_Training[[Solar]:[Wind]],MATCH(AL$1,Job_Training[[`Typical Entry Level Education`]:[`Typical Entry Level Education`]],0),MATCH(LEFT($D797,5),Job_Training[[#Headers],[Solar]:[Wind]],0)),0)</f>
        <v>0</v>
      </c>
      <c r="AM797" s="63">
        <f>IFERROR(INDEX(Job_Training[[Solar]:[Wind]],MATCH(AM$1,Job_Training[[`Typical Entry Level Education`]:[`Typical Entry Level Education`]],0),MATCH(LEFT($D797,5),Job_Training[[#Headers],[Solar]:[Wind]],0)),0)</f>
        <v>0</v>
      </c>
      <c r="AN797" s="63">
        <f>IFERROR(INDEX(Job_Training[[Solar]:[Wind]],MATCH(AN$1,Job_Training[[`Typical Entry Level Education`]:[`Typical Entry Level Education`]],0),MATCH(LEFT($D797,5),Job_Training[[#Headers],[Solar]:[Wind]],0)),0)</f>
        <v>0</v>
      </c>
      <c r="AO797" s="63">
        <f>IFERROR(INDEX(Job_Training[[Solar]:[Wind]],MATCH(AO$1,Job_Training[[`Typical Entry Level Education`]:[`Typical Entry Level Education`]],0),MATCH(LEFT($D797,5),Job_Training[[#Headers],[Solar]:[Wind]],0)),0)</f>
        <v>0</v>
      </c>
      <c r="AP797">
        <f t="shared" si="230"/>
        <v>0</v>
      </c>
      <c r="AQ797" s="63">
        <f>IF(AP797&gt;0,IFERROR(INDEX(Assumptions!$C$165:$D$165,MATCH(LEFT($D797,5),Job_Training[[#Headers],[Solar]:[Wind]],0)),0),0)</f>
        <v>0</v>
      </c>
      <c r="AR797">
        <f>IF(AP797&gt;0,IFERROR(INDEX(Assumptions!$C$166:$D$166,MATCH(LEFT($D797,5),Job_Training[[#Headers],[Solar]:[Wind]],0)),0),0)</f>
        <v>0</v>
      </c>
    </row>
    <row r="798" spans="1:44" hidden="1" x14ac:dyDescent="0.35">
      <c r="A798" t="str">
        <f>UserInput!$B$82</f>
        <v>Incremental Buildout</v>
      </c>
      <c r="B798">
        <v>2044</v>
      </c>
      <c r="C798" t="s">
        <v>78</v>
      </c>
      <c r="D798" t="s">
        <v>79</v>
      </c>
      <c r="E798" s="66">
        <f>INDEX(UserInput!$C$82:$M$102,MATCH(UserMade_Scenario!B798,UserInput!$A$82:$A$102,0),MATCH(LEFT(IF(RIGHT(C798,2)="H2",UserMade_Scenario!C798,D798),3),UserInput!$C$25:$M$25,0))</f>
        <v>9523.8095238095266</v>
      </c>
      <c r="F798" s="14" t="s">
        <v>75</v>
      </c>
      <c r="G798" s="14">
        <f t="shared" si="220"/>
        <v>1.1428571428571432E-3</v>
      </c>
      <c r="H798" s="63">
        <f t="shared" si="221"/>
        <v>8.054877851027302E-2</v>
      </c>
      <c r="I798" s="63">
        <f t="shared" si="222"/>
        <v>5.8308985591974574E-2</v>
      </c>
      <c r="J798" s="63">
        <f t="shared" si="223"/>
        <v>0.10278857142857145</v>
      </c>
      <c r="K798" s="30">
        <f>IF(OR(LEFT($D798,5)="Solar",$D798="Wind"),INDEX(Land_Use[AVG],MATCH(LEFT($D798,5),Land_Use[Tech],0)),0)*$E798</f>
        <v>0</v>
      </c>
      <c r="L798" s="30">
        <f>IF(OR(LEFT($D798,5)="Solar",$D798="Wind"),INDEX(Land_Use[MIN],MATCH(LEFT($D798,5),Land_Use[Tech],0)),0)*$E798</f>
        <v>0</v>
      </c>
      <c r="M798" s="30">
        <f>IF(OR(LEFT($D798,5)="Solar",$D798="Wind"),INDEX(Land_Use[MAX],MATCH(LEFT($D798,5),Land_Use[Tech],0)),0)*$E798</f>
        <v>0</v>
      </c>
      <c r="N798" s="13">
        <f t="shared" si="215"/>
        <v>39.047619047619051</v>
      </c>
      <c r="O798" s="13">
        <f t="shared" si="216"/>
        <v>0</v>
      </c>
      <c r="P798" s="13">
        <f t="shared" si="217"/>
        <v>0</v>
      </c>
      <c r="Q798" s="13">
        <f t="shared" si="218"/>
        <v>0</v>
      </c>
      <c r="R798" s="13">
        <f t="shared" si="219"/>
        <v>0</v>
      </c>
      <c r="S798" s="30">
        <f t="shared" si="224"/>
        <v>0</v>
      </c>
      <c r="T798" s="30">
        <f t="shared" si="225"/>
        <v>0</v>
      </c>
      <c r="U798" s="30">
        <f t="shared" si="226"/>
        <v>0</v>
      </c>
      <c r="V798" s="30">
        <f t="shared" si="227"/>
        <v>0</v>
      </c>
      <c r="W798" s="30">
        <f t="shared" si="228"/>
        <v>0</v>
      </c>
      <c r="X798" s="30">
        <f t="shared" si="229"/>
        <v>0</v>
      </c>
      <c r="Z798" s="23" t="s">
        <v>76</v>
      </c>
      <c r="AA798" s="40" t="str">
        <f>IF(C798="Electricity",E798*SUMIFS(Electricity!S:S,Electricity!P:P,UserMade_Scenario!B798,Electricity!M:M,UserMade_Scenario!Z798,Electricity!O:O,UserMade_Scenario!D798),"")</f>
        <v/>
      </c>
      <c r="AB798" s="76">
        <f>1000*Assumptions!$B$17/1000000000000</f>
        <v>1.1999999999999999E-7</v>
      </c>
      <c r="AC798" s="67" t="s">
        <v>77</v>
      </c>
      <c r="AD798" s="39">
        <f>SUMIFS(Hydrogen!AK:AK,Hydrogen!$AA:$AA,UserMade_Scenario!$Z798,Hydrogen!$Y:$Y,UserMade_Scenario!$D798,Hydrogen!$AB:$AB,UserMade_Scenario!$B798,Hydrogen!$Z:$Z,UserMade_Scenario!$C798)</f>
        <v>-70.480181196488871</v>
      </c>
      <c r="AE798" s="39">
        <f>SUMIFS(Hydrogen!AL:AL,Hydrogen!$AA:$AA,UserMade_Scenario!$Z798,Hydrogen!$Y:$Y,UserMade_Scenario!$D798,Hydrogen!$AB:$AB,UserMade_Scenario!$B798,Hydrogen!$Z:$Z,UserMade_Scenario!$C798)</f>
        <v>-51.020362392977738</v>
      </c>
      <c r="AF798" s="39">
        <f>SUMIFS(Hydrogen!AM:AM,Hydrogen!$AA:$AA,UserMade_Scenario!$Z798,Hydrogen!$Y:$Y,UserMade_Scenario!$D798,Hydrogen!$AB:$AB,UserMade_Scenario!$B798,Hydrogen!$Z:$Z,UserMade_Scenario!$C798)</f>
        <v>-89.94</v>
      </c>
      <c r="AG798" s="68">
        <f>IFERROR(INDEX(WaterUseH2[Average Direct Water Consumption (Gal/ kg h2)],MATCH(LEFT(D798,3),WaterUseH2[Key],0)),0)</f>
        <v>4.0999999999999996</v>
      </c>
      <c r="AH798">
        <v>14</v>
      </c>
      <c r="AI798">
        <v>1.4</v>
      </c>
      <c r="AJ798">
        <v>250</v>
      </c>
      <c r="AK798">
        <v>0.31</v>
      </c>
      <c r="AL798" s="63">
        <f>IFERROR(INDEX(Job_Training[[Solar]:[Wind]],MATCH(AL$1,Job_Training[[`Typical Entry Level Education`]:[`Typical Entry Level Education`]],0),MATCH(LEFT($D798,5),Job_Training[[#Headers],[Solar]:[Wind]],0)),0)</f>
        <v>0</v>
      </c>
      <c r="AM798" s="63">
        <f>IFERROR(INDEX(Job_Training[[Solar]:[Wind]],MATCH(AM$1,Job_Training[[`Typical Entry Level Education`]:[`Typical Entry Level Education`]],0),MATCH(LEFT($D798,5),Job_Training[[#Headers],[Solar]:[Wind]],0)),0)</f>
        <v>0</v>
      </c>
      <c r="AN798" s="63">
        <f>IFERROR(INDEX(Job_Training[[Solar]:[Wind]],MATCH(AN$1,Job_Training[[`Typical Entry Level Education`]:[`Typical Entry Level Education`]],0),MATCH(LEFT($D798,5),Job_Training[[#Headers],[Solar]:[Wind]],0)),0)</f>
        <v>0</v>
      </c>
      <c r="AO798" s="63">
        <f>IFERROR(INDEX(Job_Training[[Solar]:[Wind]],MATCH(AO$1,Job_Training[[`Typical Entry Level Education`]:[`Typical Entry Level Education`]],0),MATCH(LEFT($D798,5),Job_Training[[#Headers],[Solar]:[Wind]],0)),0)</f>
        <v>0</v>
      </c>
      <c r="AP798">
        <f t="shared" si="230"/>
        <v>0</v>
      </c>
      <c r="AQ798" s="63">
        <f>IF(AP798&gt;0,IFERROR(INDEX(Assumptions!$C$165:$D$165,MATCH(LEFT($D798,5),Job_Training[[#Headers],[Solar]:[Wind]],0)),0),0)</f>
        <v>0</v>
      </c>
      <c r="AR798">
        <f>IF(AP798&gt;0,IFERROR(INDEX(Assumptions!$C$166:$D$166,MATCH(LEFT($D798,5),Job_Training[[#Headers],[Solar]:[Wind]],0)),0),0)</f>
        <v>0</v>
      </c>
    </row>
    <row r="799" spans="1:44" hidden="1" x14ac:dyDescent="0.35">
      <c r="A799" t="str">
        <f>UserInput!$B$82</f>
        <v>Incremental Buildout</v>
      </c>
      <c r="B799">
        <v>2045</v>
      </c>
      <c r="C799" t="s">
        <v>78</v>
      </c>
      <c r="D799" t="s">
        <v>79</v>
      </c>
      <c r="E799" s="66">
        <f>INDEX(UserInput!$C$82:$M$102,MATCH(UserMade_Scenario!B799,UserInput!$A$82:$A$102,0),MATCH(LEFT(IF(RIGHT(C799,2)="H2",UserMade_Scenario!C799,D799),3),UserInput!$C$25:$M$25,0))</f>
        <v>10000</v>
      </c>
      <c r="F799" s="14" t="s">
        <v>75</v>
      </c>
      <c r="G799" s="14">
        <f t="shared" si="220"/>
        <v>1.1999999999999999E-3</v>
      </c>
      <c r="H799" s="63">
        <f t="shared" si="221"/>
        <v>8.329265286498426E-2</v>
      </c>
      <c r="I799" s="63">
        <f t="shared" si="222"/>
        <v>5.8657305729968544E-2</v>
      </c>
      <c r="J799" s="63">
        <f t="shared" si="223"/>
        <v>0.10792799999999998</v>
      </c>
      <c r="K799" s="30">
        <f>IF(OR(LEFT($D799,5)="Solar",$D799="Wind"),INDEX(Land_Use[AVG],MATCH(LEFT($D799,5),Land_Use[Tech],0)),0)*$E799</f>
        <v>0</v>
      </c>
      <c r="L799" s="30">
        <f>IF(OR(LEFT($D799,5)="Solar",$D799="Wind"),INDEX(Land_Use[MIN],MATCH(LEFT($D799,5),Land_Use[Tech],0)),0)*$E799</f>
        <v>0</v>
      </c>
      <c r="M799" s="30">
        <f>IF(OR(LEFT($D799,5)="Solar",$D799="Wind"),INDEX(Land_Use[MAX],MATCH(LEFT($D799,5),Land_Use[Tech],0)),0)*$E799</f>
        <v>0</v>
      </c>
      <c r="N799" s="13">
        <f t="shared" si="215"/>
        <v>41</v>
      </c>
      <c r="O799" s="13">
        <f t="shared" si="216"/>
        <v>0</v>
      </c>
      <c r="P799" s="13">
        <f t="shared" si="217"/>
        <v>0</v>
      </c>
      <c r="Q799" s="13">
        <f t="shared" si="218"/>
        <v>0</v>
      </c>
      <c r="R799" s="13">
        <f t="shared" si="219"/>
        <v>0</v>
      </c>
      <c r="S799" s="30">
        <f t="shared" si="224"/>
        <v>0</v>
      </c>
      <c r="T799" s="30">
        <f t="shared" si="225"/>
        <v>0</v>
      </c>
      <c r="U799" s="30">
        <f t="shared" si="226"/>
        <v>0</v>
      </c>
      <c r="V799" s="30">
        <f t="shared" si="227"/>
        <v>0</v>
      </c>
      <c r="W799" s="30">
        <f t="shared" si="228"/>
        <v>0</v>
      </c>
      <c r="X799" s="30">
        <f t="shared" si="229"/>
        <v>0</v>
      </c>
      <c r="Z799" s="23" t="s">
        <v>76</v>
      </c>
      <c r="AA799" s="40" t="str">
        <f>IF(C799="Electricity",E799*SUMIFS(Electricity!S:S,Electricity!P:P,UserMade_Scenario!B799,Electricity!M:M,UserMade_Scenario!Z799,Electricity!O:O,UserMade_Scenario!D799),"")</f>
        <v/>
      </c>
      <c r="AB799" s="76">
        <f>1000*Assumptions!$B$17/1000000000000</f>
        <v>1.1999999999999999E-7</v>
      </c>
      <c r="AC799" s="67" t="s">
        <v>77</v>
      </c>
      <c r="AD799" s="39">
        <f>SUMIFS(Hydrogen!AK:AK,Hydrogen!$AA:$AA,UserMade_Scenario!$Z799,Hydrogen!$Y:$Y,UserMade_Scenario!$D799,Hydrogen!$AB:$AB,UserMade_Scenario!$B799,Hydrogen!$Z:$Z,UserMade_Scenario!$C799)</f>
        <v>-69.410544054153561</v>
      </c>
      <c r="AE799" s="39">
        <f>SUMIFS(Hydrogen!AL:AL,Hydrogen!$AA:$AA,UserMade_Scenario!$Z799,Hydrogen!$Y:$Y,UserMade_Scenario!$D799,Hydrogen!$AB:$AB,UserMade_Scenario!$B799,Hydrogen!$Z:$Z,UserMade_Scenario!$C799)</f>
        <v>-48.881088108307125</v>
      </c>
      <c r="AF799" s="39">
        <f>SUMIFS(Hydrogen!AM:AM,Hydrogen!$AA:$AA,UserMade_Scenario!$Z799,Hydrogen!$Y:$Y,UserMade_Scenario!$D799,Hydrogen!$AB:$AB,UserMade_Scenario!$B799,Hydrogen!$Z:$Z,UserMade_Scenario!$C799)</f>
        <v>-89.94</v>
      </c>
      <c r="AG799" s="68">
        <f>IFERROR(INDEX(WaterUseH2[Average Direct Water Consumption (Gal/ kg h2)],MATCH(LEFT(D799,3),WaterUseH2[Key],0)),0)</f>
        <v>4.0999999999999996</v>
      </c>
      <c r="AH799">
        <v>14</v>
      </c>
      <c r="AI799">
        <v>1.4</v>
      </c>
      <c r="AJ799">
        <v>250</v>
      </c>
      <c r="AK799">
        <v>0.31</v>
      </c>
      <c r="AL799" s="63">
        <f>IFERROR(INDEX(Job_Training[[Solar]:[Wind]],MATCH(AL$1,Job_Training[[`Typical Entry Level Education`]:[`Typical Entry Level Education`]],0),MATCH(LEFT($D799,5),Job_Training[[#Headers],[Solar]:[Wind]],0)),0)</f>
        <v>0</v>
      </c>
      <c r="AM799" s="63">
        <f>IFERROR(INDEX(Job_Training[[Solar]:[Wind]],MATCH(AM$1,Job_Training[[`Typical Entry Level Education`]:[`Typical Entry Level Education`]],0),MATCH(LEFT($D799,5),Job_Training[[#Headers],[Solar]:[Wind]],0)),0)</f>
        <v>0</v>
      </c>
      <c r="AN799" s="63">
        <f>IFERROR(INDEX(Job_Training[[Solar]:[Wind]],MATCH(AN$1,Job_Training[[`Typical Entry Level Education`]:[`Typical Entry Level Education`]],0),MATCH(LEFT($D799,5),Job_Training[[#Headers],[Solar]:[Wind]],0)),0)</f>
        <v>0</v>
      </c>
      <c r="AO799" s="63">
        <f>IFERROR(INDEX(Job_Training[[Solar]:[Wind]],MATCH(AO$1,Job_Training[[`Typical Entry Level Education`]:[`Typical Entry Level Education`]],0),MATCH(LEFT($D799,5),Job_Training[[#Headers],[Solar]:[Wind]],0)),0)</f>
        <v>0</v>
      </c>
      <c r="AP799">
        <f t="shared" si="230"/>
        <v>0</v>
      </c>
      <c r="AQ799" s="63">
        <f>IF(AP799&gt;0,IFERROR(INDEX(Assumptions!$C$165:$D$165,MATCH(LEFT($D799,5),Job_Training[[#Headers],[Solar]:[Wind]],0)),0),0)</f>
        <v>0</v>
      </c>
      <c r="AR799">
        <f>IF(AP799&gt;0,IFERROR(INDEX(Assumptions!$C$166:$D$166,MATCH(LEFT($D799,5),Job_Training[[#Headers],[Solar]:[Wind]],0)),0),0)</f>
        <v>0</v>
      </c>
    </row>
    <row r="800" spans="1:44" hidden="1" x14ac:dyDescent="0.35">
      <c r="A800" t="str">
        <f>UserInput!$B$82</f>
        <v>Incremental Buildout</v>
      </c>
      <c r="B800">
        <v>2025</v>
      </c>
      <c r="C800" t="s">
        <v>41</v>
      </c>
      <c r="D800" t="s">
        <v>80</v>
      </c>
      <c r="E800" s="120">
        <f>INDEX(UserInput!$C$82:$M$102,MATCH(UserMade_Scenario!B800,UserInput!$A$82:$A$102,0),MATCH(LEFT(IF(RIGHT(C800,2)="H2",UserMade_Scenario!C800,D800),3),UserInput!$C$25:$M$25,0))</f>
        <v>47.61904761904762</v>
      </c>
      <c r="F800" t="s">
        <v>81</v>
      </c>
      <c r="G800" s="14">
        <f>AA800*AB800</f>
        <v>3.9324389252660551E-4</v>
      </c>
      <c r="H800" s="63">
        <f t="shared" si="221"/>
        <v>1.573384993012128E-2</v>
      </c>
      <c r="I800" s="63">
        <f t="shared" si="222"/>
        <v>1.4425129723025072E-2</v>
      </c>
      <c r="J800" s="63">
        <f t="shared" si="223"/>
        <v>1.7042570027977683E-2</v>
      </c>
      <c r="K800" s="30">
        <f>IF(OR(LEFT($D800,5)="Solar",$D800="Wind"),INDEX(Land_Use[AVG],MATCH(LEFT($D800,5),Land_Use[Tech],0)),0)*$E800</f>
        <v>166.66666666666669</v>
      </c>
      <c r="L800" s="30">
        <f>IF(OR(LEFT($D800,5)="Solar",$D800="Wind"),INDEX(Land_Use[MIN],MATCH(LEFT($D800,5),Land_Use[Tech],0)),0)*$E800</f>
        <v>133.33333333333334</v>
      </c>
      <c r="M800" s="30">
        <f>IF(OR(LEFT($D800,5)="Solar",$D800="Wind"),INDEX(Land_Use[MAX],MATCH(LEFT($D800,5),Land_Use[Tech],0)),0)*$E800</f>
        <v>200</v>
      </c>
      <c r="N800" s="15">
        <f t="shared" si="215"/>
        <v>0</v>
      </c>
      <c r="O800" s="11">
        <f t="shared" si="216"/>
        <v>2333.3333333333335</v>
      </c>
      <c r="P800" s="11">
        <f t="shared" si="217"/>
        <v>233.33333333333334</v>
      </c>
      <c r="Q800" s="11">
        <f t="shared" si="218"/>
        <v>41666.666666666672</v>
      </c>
      <c r="R800" s="11">
        <f t="shared" si="219"/>
        <v>51.666666666666671</v>
      </c>
      <c r="S800" s="30">
        <f t="shared" si="224"/>
        <v>1.6476190476190475</v>
      </c>
      <c r="T800" s="30">
        <f t="shared" si="225"/>
        <v>1.342857142857143</v>
      </c>
      <c r="U800" s="30">
        <f t="shared" si="226"/>
        <v>1.5904761904761904</v>
      </c>
      <c r="V800" s="30">
        <f t="shared" si="227"/>
        <v>0.26761904761904765</v>
      </c>
      <c r="W800" s="30">
        <f t="shared" si="228"/>
        <v>4.8485714285714288</v>
      </c>
      <c r="X800" s="30">
        <f t="shared" si="229"/>
        <v>290.91428571428571</v>
      </c>
      <c r="Z800" s="23" t="s">
        <v>76</v>
      </c>
      <c r="AA800" s="40">
        <f>IF(C800="Electricity",E800*SUMIFS(Electricity!S:S,Electricity!P:P,UserMade_Scenario!B800,Electricity!M:M,UserMade_Scenario!Z800,Electricity!O:O,UserMade_Scenario!D800),"")</f>
        <v>109239.79865665619</v>
      </c>
      <c r="AB800" s="76">
        <f>1/Assumptions!$B$23/1000000000000</f>
        <v>3.5998225679871703E-9</v>
      </c>
      <c r="AC800" s="67" t="s">
        <v>82</v>
      </c>
      <c r="AD800" s="69">
        <f>INDEX(Table11[AVG
CO2e MT per MWh],MATCH(UserMade_Scenario!$B800,Table11[[Year]:[Year]],0))</f>
        <v>-0.14403038200000001</v>
      </c>
      <c r="AE800" s="69">
        <f>INDEX(Table11[MIN
CO2e MT per MWh],MATCH(UserMade_Scenario!$B800,Table11[[Year]:[Year]],0))</f>
        <v>-0.13205013099999999</v>
      </c>
      <c r="AF800" s="69">
        <f>INDEX(Table11[MAX CO2e MT per MWh],MATCH(UserMade_Scenario!$B800,Table11[[Year]:[Year]],0))</f>
        <v>-0.15601063200000001</v>
      </c>
      <c r="AG800" s="68">
        <f>IFERROR(INDEX(WaterUseH2[Average Direct Water Consumption (Gal/ kg h2)],MATCH(LEFT(D800,3),WaterUseH2[Key],0)),0)</f>
        <v>0</v>
      </c>
      <c r="AH800">
        <v>14</v>
      </c>
      <c r="AI800">
        <v>1.4</v>
      </c>
      <c r="AJ800">
        <v>250</v>
      </c>
      <c r="AK800">
        <v>0.31</v>
      </c>
      <c r="AL800" s="63">
        <f>IFERROR(INDEX(Job_Training[[Solar]:[Wind]],MATCH(AL$1,Job_Training[[`Typical Entry Level Education`]:[`Typical Entry Level Education`]],0),MATCH(LEFT($D800,5),Job_Training[[#Headers],[Solar]:[Wind]],0)),0)</f>
        <v>3.4599999999999999E-2</v>
      </c>
      <c r="AM800" s="63">
        <f>IFERROR(INDEX(Job_Training[[Solar]:[Wind]],MATCH(AM$1,Job_Training[[`Typical Entry Level Education`]:[`Typical Entry Level Education`]],0),MATCH(LEFT($D800,5),Job_Training[[#Headers],[Solar]:[Wind]],0)),0)</f>
        <v>2.8199999999999999E-2</v>
      </c>
      <c r="AN800" s="63">
        <f>IFERROR(INDEX(Job_Training[[Solar]:[Wind]],MATCH(AN$1,Job_Training[[`Typical Entry Level Education`]:[`Typical Entry Level Education`]],0),MATCH(LEFT($D800,5),Job_Training[[#Headers],[Solar]:[Wind]],0)),0)</f>
        <v>3.3399999999999999E-2</v>
      </c>
      <c r="AO800" s="63">
        <f>IFERROR(INDEX(Job_Training[[Solar]:[Wind]],MATCH(AO$1,Job_Training[[`Typical Entry Level Education`]:[`Typical Entry Level Education`]],0),MATCH(LEFT($D800,5),Job_Training[[#Headers],[Solar]:[Wind]],0)),0)</f>
        <v>5.62E-3</v>
      </c>
      <c r="AP800">
        <f t="shared" si="230"/>
        <v>47.61904761904762</v>
      </c>
      <c r="AQ800" s="63">
        <f>IF(AP800&gt;0,IFERROR(INDEX(Assumptions!$C$165:$D$165,MATCH(LEFT($D800,5),Job_Training[[#Headers],[Solar]:[Wind]],0)),0),0)</f>
        <v>0.10181999999999999</v>
      </c>
      <c r="AR800">
        <f>IF(AP800&gt;0,IFERROR(INDEX(Assumptions!$C$166:$D$166,MATCH(LEFT($D800,5),Job_Training[[#Headers],[Solar]:[Wind]],0)),0),0)</f>
        <v>6.1091999999999995</v>
      </c>
    </row>
    <row r="801" spans="1:44" hidden="1" x14ac:dyDescent="0.35">
      <c r="A801" t="str">
        <f>UserInput!$B$82</f>
        <v>Incremental Buildout</v>
      </c>
      <c r="B801">
        <v>2026</v>
      </c>
      <c r="C801" t="s">
        <v>41</v>
      </c>
      <c r="D801" t="s">
        <v>80</v>
      </c>
      <c r="E801" s="120">
        <f>INDEX(UserInput!$C$82:$M$102,MATCH(UserMade_Scenario!B801,UserInput!$A$82:$A$102,0),MATCH(LEFT(IF(RIGHT(C801,2)="H2",UserMade_Scenario!C801,D801),3),UserInput!$C$25:$M$25,0))</f>
        <v>95.238095238095241</v>
      </c>
      <c r="F801" t="s">
        <v>81</v>
      </c>
      <c r="G801" s="14">
        <f t="shared" ref="G801:G864" si="231">AA801*AB801</f>
        <v>7.6801714142374334E-4</v>
      </c>
      <c r="H801" s="63">
        <f t="shared" si="221"/>
        <v>2.9827513452190202E-2</v>
      </c>
      <c r="I801" s="63">
        <f t="shared" si="222"/>
        <v>2.7072309457482645E-2</v>
      </c>
      <c r="J801" s="63">
        <f t="shared" si="223"/>
        <v>3.2582717233549149E-2</v>
      </c>
      <c r="K801" s="30">
        <f>IF(OR(LEFT($D801,5)="Solar",$D801="Wind"),INDEX(Land_Use[AVG],MATCH(LEFT($D801,5),Land_Use[Tech],0)),0)*$E801</f>
        <v>333.33333333333337</v>
      </c>
      <c r="L801" s="30">
        <f>IF(OR(LEFT($D801,5)="Solar",$D801="Wind"),INDEX(Land_Use[MIN],MATCH(LEFT($D801,5),Land_Use[Tech],0)),0)*$E801</f>
        <v>266.66666666666669</v>
      </c>
      <c r="M801" s="30">
        <f>IF(OR(LEFT($D801,5)="Solar",$D801="Wind"),INDEX(Land_Use[MAX],MATCH(LEFT($D801,5),Land_Use[Tech],0)),0)*$E801</f>
        <v>400</v>
      </c>
      <c r="N801" s="15">
        <f t="shared" si="215"/>
        <v>0</v>
      </c>
      <c r="O801" s="11">
        <f t="shared" si="216"/>
        <v>4666.666666666667</v>
      </c>
      <c r="P801" s="11">
        <f t="shared" si="217"/>
        <v>466.66666666666669</v>
      </c>
      <c r="Q801" s="11">
        <f t="shared" si="218"/>
        <v>83333.333333333343</v>
      </c>
      <c r="R801" s="11">
        <f t="shared" si="219"/>
        <v>103.33333333333334</v>
      </c>
      <c r="S801" s="30">
        <f t="shared" si="224"/>
        <v>1.6476190476190475</v>
      </c>
      <c r="T801" s="30">
        <f t="shared" si="225"/>
        <v>1.342857142857143</v>
      </c>
      <c r="U801" s="30">
        <f t="shared" si="226"/>
        <v>1.5904761904761904</v>
      </c>
      <c r="V801" s="30">
        <f t="shared" si="227"/>
        <v>0.26761904761904765</v>
      </c>
      <c r="W801" s="30">
        <f t="shared" si="228"/>
        <v>4.8485714285714288</v>
      </c>
      <c r="X801" s="30">
        <f t="shared" si="229"/>
        <v>290.91428571428571</v>
      </c>
      <c r="Z801" s="23" t="s">
        <v>76</v>
      </c>
      <c r="AA801" s="40">
        <f>IF(C801="Electricity",E801*SUMIFS(Electricity!S:S,Electricity!P:P,UserMade_Scenario!B801,Electricity!M:M,UserMade_Scenario!Z801,Electricity!O:O,UserMade_Scenario!D801),"")</f>
        <v>213348.61008251796</v>
      </c>
      <c r="AB801" s="76">
        <f>1/Assumptions!$B$23/1000000000000</f>
        <v>3.5998225679871703E-9</v>
      </c>
      <c r="AC801" s="67" t="s">
        <v>82</v>
      </c>
      <c r="AD801" s="69">
        <f>INDEX(Table11[AVG
CO2e MT per MWh],MATCH(UserMade_Scenario!$B801,Table11[[Year]:[Year]],0))</f>
        <v>-0.13980645780000001</v>
      </c>
      <c r="AE801" s="69">
        <f>INDEX(Table11[MIN
CO2e MT per MWh],MATCH(UserMade_Scenario!$B801,Table11[[Year]:[Year]],0))</f>
        <v>-0.12689236385</v>
      </c>
      <c r="AF801" s="69">
        <f>INDEX(Table11[MAX CO2e MT per MWh],MATCH(UserMade_Scenario!$B801,Table11[[Year]:[Year]],0))</f>
        <v>-0.15272055075000002</v>
      </c>
      <c r="AG801" s="68">
        <f>IFERROR(INDEX(WaterUseH2[Average Direct Water Consumption (Gal/ kg h2)],MATCH(LEFT(D801,3),WaterUseH2[Key],0)),0)</f>
        <v>0</v>
      </c>
      <c r="AH801">
        <v>14</v>
      </c>
      <c r="AI801">
        <v>1.4</v>
      </c>
      <c r="AJ801">
        <v>250</v>
      </c>
      <c r="AK801">
        <v>0.31</v>
      </c>
      <c r="AL801" s="63">
        <f>IFERROR(INDEX(Job_Training[[Solar]:[Wind]],MATCH(AL$1,Job_Training[[`Typical Entry Level Education`]:[`Typical Entry Level Education`]],0),MATCH(LEFT($D801,5),Job_Training[[#Headers],[Solar]:[Wind]],0)),0)</f>
        <v>3.4599999999999999E-2</v>
      </c>
      <c r="AM801" s="63">
        <f>IFERROR(INDEX(Job_Training[[Solar]:[Wind]],MATCH(AM$1,Job_Training[[`Typical Entry Level Education`]:[`Typical Entry Level Education`]],0),MATCH(LEFT($D801,5),Job_Training[[#Headers],[Solar]:[Wind]],0)),0)</f>
        <v>2.8199999999999999E-2</v>
      </c>
      <c r="AN801" s="63">
        <f>IFERROR(INDEX(Job_Training[[Solar]:[Wind]],MATCH(AN$1,Job_Training[[`Typical Entry Level Education`]:[`Typical Entry Level Education`]],0),MATCH(LEFT($D801,5),Job_Training[[#Headers],[Solar]:[Wind]],0)),0)</f>
        <v>3.3399999999999999E-2</v>
      </c>
      <c r="AO801" s="63">
        <f>IFERROR(INDEX(Job_Training[[Solar]:[Wind]],MATCH(AO$1,Job_Training[[`Typical Entry Level Education`]:[`Typical Entry Level Education`]],0),MATCH(LEFT($D801,5),Job_Training[[#Headers],[Solar]:[Wind]],0)),0)</f>
        <v>5.62E-3</v>
      </c>
      <c r="AP801">
        <f t="shared" si="230"/>
        <v>47.61904761904762</v>
      </c>
      <c r="AQ801" s="63">
        <f>IF(AP801&gt;0,IFERROR(INDEX(Assumptions!$C$165:$D$165,MATCH(LEFT($D801,5),Job_Training[[#Headers],[Solar]:[Wind]],0)),0),0)</f>
        <v>0.10181999999999999</v>
      </c>
      <c r="AR801">
        <f>IF(AP801&gt;0,IFERROR(INDEX(Assumptions!$C$166:$D$166,MATCH(LEFT($D801,5),Job_Training[[#Headers],[Solar]:[Wind]],0)),0),0)</f>
        <v>6.1091999999999995</v>
      </c>
    </row>
    <row r="802" spans="1:44" hidden="1" x14ac:dyDescent="0.35">
      <c r="A802" t="str">
        <f>UserInput!$B$82</f>
        <v>Incremental Buildout</v>
      </c>
      <c r="B802">
        <v>2027</v>
      </c>
      <c r="C802" t="s">
        <v>41</v>
      </c>
      <c r="D802" t="s">
        <v>80</v>
      </c>
      <c r="E802" s="120">
        <f>INDEX(UserInput!$C$82:$M$102,MATCH(UserMade_Scenario!B802,UserInput!$A$82:$A$102,0),MATCH(LEFT(IF(RIGHT(C802,2)="H2",UserMade_Scenario!C802,D802),3),UserInput!$C$25:$M$25,0))</f>
        <v>142.85714285714286</v>
      </c>
      <c r="F802" t="s">
        <v>81</v>
      </c>
      <c r="G802" s="14">
        <f t="shared" si="231"/>
        <v>1.1243197466914131E-3</v>
      </c>
      <c r="H802" s="63">
        <f t="shared" si="221"/>
        <v>4.2346009269608888E-2</v>
      </c>
      <c r="I802" s="63">
        <f t="shared" si="222"/>
        <v>3.8020932515530896E-2</v>
      </c>
      <c r="J802" s="63">
        <f t="shared" si="223"/>
        <v>4.6671085711360458E-2</v>
      </c>
      <c r="K802" s="30">
        <f>IF(OR(LEFT($D802,5)="Solar",$D802="Wind"),INDEX(Land_Use[AVG],MATCH(LEFT($D802,5),Land_Use[Tech],0)),0)*$E802</f>
        <v>500</v>
      </c>
      <c r="L802" s="30">
        <f>IF(OR(LEFT($D802,5)="Solar",$D802="Wind"),INDEX(Land_Use[MIN],MATCH(LEFT($D802,5),Land_Use[Tech],0)),0)*$E802</f>
        <v>400</v>
      </c>
      <c r="M802" s="30">
        <f>IF(OR(LEFT($D802,5)="Solar",$D802="Wind"),INDEX(Land_Use[MAX],MATCH(LEFT($D802,5),Land_Use[Tech],0)),0)*$E802</f>
        <v>600</v>
      </c>
      <c r="N802" s="15">
        <f t="shared" si="215"/>
        <v>0</v>
      </c>
      <c r="O802" s="11">
        <f t="shared" si="216"/>
        <v>7000</v>
      </c>
      <c r="P802" s="11">
        <f t="shared" si="217"/>
        <v>700</v>
      </c>
      <c r="Q802" s="11">
        <f t="shared" si="218"/>
        <v>125000</v>
      </c>
      <c r="R802" s="11">
        <f t="shared" si="219"/>
        <v>155</v>
      </c>
      <c r="S802" s="30">
        <f t="shared" si="224"/>
        <v>1.6476190476190475</v>
      </c>
      <c r="T802" s="30">
        <f t="shared" si="225"/>
        <v>1.342857142857143</v>
      </c>
      <c r="U802" s="30">
        <f t="shared" si="226"/>
        <v>1.5904761904761904</v>
      </c>
      <c r="V802" s="30">
        <f t="shared" si="227"/>
        <v>0.26761904761904765</v>
      </c>
      <c r="W802" s="30">
        <f t="shared" si="228"/>
        <v>4.8485714285714288</v>
      </c>
      <c r="X802" s="30">
        <f t="shared" si="229"/>
        <v>290.91428571428571</v>
      </c>
      <c r="Z802" s="23" t="s">
        <v>76</v>
      </c>
      <c r="AA802" s="40">
        <f>IF(C802="Electricity",E802*SUMIFS(Electricity!S:S,Electricity!P:P,UserMade_Scenario!B802,Electricity!M:M,UserMade_Scenario!Z802,Electricity!O:O,UserMade_Scenario!D802),"")</f>
        <v>312326.43427758524</v>
      </c>
      <c r="AB802" s="76">
        <f>1/Assumptions!$B$23/1000000000000</f>
        <v>3.5998225679871703E-9</v>
      </c>
      <c r="AC802" s="67" t="s">
        <v>82</v>
      </c>
      <c r="AD802" s="69">
        <f>INDEX(Table11[AVG
CO2e MT per MWh],MATCH(UserMade_Scenario!$B802,Table11[[Year]:[Year]],0))</f>
        <v>-0.1355825336</v>
      </c>
      <c r="AE802" s="69">
        <f>INDEX(Table11[MIN
CO2e MT per MWh],MATCH(UserMade_Scenario!$B802,Table11[[Year]:[Year]],0))</f>
        <v>-0.1217345967</v>
      </c>
      <c r="AF802" s="69">
        <f>INDEX(Table11[MAX CO2e MT per MWh],MATCH(UserMade_Scenario!$B802,Table11[[Year]:[Year]],0))</f>
        <v>-0.14943046950000002</v>
      </c>
      <c r="AG802" s="68">
        <f>IFERROR(INDEX(WaterUseH2[Average Direct Water Consumption (Gal/ kg h2)],MATCH(LEFT(D802,3),WaterUseH2[Key],0)),0)</f>
        <v>0</v>
      </c>
      <c r="AH802">
        <v>14</v>
      </c>
      <c r="AI802">
        <v>1.4</v>
      </c>
      <c r="AJ802">
        <v>250</v>
      </c>
      <c r="AK802">
        <v>0.31</v>
      </c>
      <c r="AL802" s="63">
        <f>IFERROR(INDEX(Job_Training[[Solar]:[Wind]],MATCH(AL$1,Job_Training[[`Typical Entry Level Education`]:[`Typical Entry Level Education`]],0),MATCH(LEFT($D802,5),Job_Training[[#Headers],[Solar]:[Wind]],0)),0)</f>
        <v>3.4599999999999999E-2</v>
      </c>
      <c r="AM802" s="63">
        <f>IFERROR(INDEX(Job_Training[[Solar]:[Wind]],MATCH(AM$1,Job_Training[[`Typical Entry Level Education`]:[`Typical Entry Level Education`]],0),MATCH(LEFT($D802,5),Job_Training[[#Headers],[Solar]:[Wind]],0)),0)</f>
        <v>2.8199999999999999E-2</v>
      </c>
      <c r="AN802" s="63">
        <f>IFERROR(INDEX(Job_Training[[Solar]:[Wind]],MATCH(AN$1,Job_Training[[`Typical Entry Level Education`]:[`Typical Entry Level Education`]],0),MATCH(LEFT($D802,5),Job_Training[[#Headers],[Solar]:[Wind]],0)),0)</f>
        <v>3.3399999999999999E-2</v>
      </c>
      <c r="AO802" s="63">
        <f>IFERROR(INDEX(Job_Training[[Solar]:[Wind]],MATCH(AO$1,Job_Training[[`Typical Entry Level Education`]:[`Typical Entry Level Education`]],0),MATCH(LEFT($D802,5),Job_Training[[#Headers],[Solar]:[Wind]],0)),0)</f>
        <v>5.62E-3</v>
      </c>
      <c r="AP802">
        <f t="shared" si="230"/>
        <v>47.61904761904762</v>
      </c>
      <c r="AQ802" s="63">
        <f>IF(AP802&gt;0,IFERROR(INDEX(Assumptions!$C$165:$D$165,MATCH(LEFT($D802,5),Job_Training[[#Headers],[Solar]:[Wind]],0)),0),0)</f>
        <v>0.10181999999999999</v>
      </c>
      <c r="AR802">
        <f>IF(AP802&gt;0,IFERROR(INDEX(Assumptions!$C$166:$D$166,MATCH(LEFT($D802,5),Job_Training[[#Headers],[Solar]:[Wind]],0)),0),0)</f>
        <v>6.1091999999999995</v>
      </c>
    </row>
    <row r="803" spans="1:44" hidden="1" x14ac:dyDescent="0.35">
      <c r="A803" t="str">
        <f>UserInput!$B$82</f>
        <v>Incremental Buildout</v>
      </c>
      <c r="B803">
        <v>2028</v>
      </c>
      <c r="C803" t="s">
        <v>41</v>
      </c>
      <c r="D803" t="s">
        <v>80</v>
      </c>
      <c r="E803" s="120">
        <f>INDEX(UserInput!$C$82:$M$102,MATCH(UserMade_Scenario!B803,UserInput!$A$82:$A$102,0),MATCH(LEFT(IF(RIGHT(C803,2)="H2",UserMade_Scenario!C803,D803),3),UserInput!$C$25:$M$25,0))</f>
        <v>190.47619047619048</v>
      </c>
      <c r="F803" t="s">
        <v>81</v>
      </c>
      <c r="G803" s="14">
        <f t="shared" si="231"/>
        <v>1.4621517083296153E-3</v>
      </c>
      <c r="H803" s="63">
        <f t="shared" si="221"/>
        <v>5.3354356085779493E-2</v>
      </c>
      <c r="I803" s="63">
        <f t="shared" si="222"/>
        <v>4.7350392209328018E-2</v>
      </c>
      <c r="J803" s="63">
        <f t="shared" si="223"/>
        <v>5.935831955605772E-2</v>
      </c>
      <c r="K803" s="30">
        <f>IF(OR(LEFT($D803,5)="Solar",$D803="Wind"),INDEX(Land_Use[AVG],MATCH(LEFT($D803,5),Land_Use[Tech],0)),0)*$E803</f>
        <v>666.66666666666674</v>
      </c>
      <c r="L803" s="30">
        <f>IF(OR(LEFT($D803,5)="Solar",$D803="Wind"),INDEX(Land_Use[MIN],MATCH(LEFT($D803,5),Land_Use[Tech],0)),0)*$E803</f>
        <v>533.33333333333337</v>
      </c>
      <c r="M803" s="30">
        <f>IF(OR(LEFT($D803,5)="Solar",$D803="Wind"),INDEX(Land_Use[MAX],MATCH(LEFT($D803,5),Land_Use[Tech],0)),0)*$E803</f>
        <v>800</v>
      </c>
      <c r="N803" s="15">
        <f t="shared" si="215"/>
        <v>0</v>
      </c>
      <c r="O803" s="11">
        <f t="shared" si="216"/>
        <v>9333.3333333333339</v>
      </c>
      <c r="P803" s="11">
        <f t="shared" si="217"/>
        <v>933.33333333333337</v>
      </c>
      <c r="Q803" s="11">
        <f t="shared" si="218"/>
        <v>166666.66666666669</v>
      </c>
      <c r="R803" s="11">
        <f t="shared" si="219"/>
        <v>206.66666666666669</v>
      </c>
      <c r="S803" s="30">
        <f t="shared" si="224"/>
        <v>1.6476190476190475</v>
      </c>
      <c r="T803" s="30">
        <f t="shared" si="225"/>
        <v>1.342857142857143</v>
      </c>
      <c r="U803" s="30">
        <f t="shared" si="226"/>
        <v>1.5904761904761904</v>
      </c>
      <c r="V803" s="30">
        <f t="shared" si="227"/>
        <v>0.26761904761904765</v>
      </c>
      <c r="W803" s="30">
        <f t="shared" si="228"/>
        <v>4.8485714285714288</v>
      </c>
      <c r="X803" s="30">
        <f t="shared" si="229"/>
        <v>290.91428571428571</v>
      </c>
      <c r="Z803" s="23" t="s">
        <v>76</v>
      </c>
      <c r="AA803" s="40">
        <f>IF(C803="Electricity",E803*SUMIFS(Electricity!S:S,Electricity!P:P,UserMade_Scenario!B803,Electricity!M:M,UserMade_Scenario!Z803,Electricity!O:O,UserMade_Scenario!D803),"")</f>
        <v>406173.27124185814</v>
      </c>
      <c r="AB803" s="76">
        <f>1/Assumptions!$B$23/1000000000000</f>
        <v>3.5998225679871703E-9</v>
      </c>
      <c r="AC803" s="67" t="s">
        <v>82</v>
      </c>
      <c r="AD803" s="69">
        <f>INDEX(Table11[AVG
CO2e MT per MWh],MATCH(UserMade_Scenario!$B803,Table11[[Year]:[Year]],0))</f>
        <v>-0.13135860939999999</v>
      </c>
      <c r="AE803" s="69">
        <f>INDEX(Table11[MIN
CO2e MT per MWh],MATCH(UserMade_Scenario!$B803,Table11[[Year]:[Year]],0))</f>
        <v>-0.11657682955000001</v>
      </c>
      <c r="AF803" s="69">
        <f>INDEX(Table11[MAX CO2e MT per MWh],MATCH(UserMade_Scenario!$B803,Table11[[Year]:[Year]],0))</f>
        <v>-0.14614038825000003</v>
      </c>
      <c r="AG803" s="68">
        <f>IFERROR(INDEX(WaterUseH2[Average Direct Water Consumption (Gal/ kg h2)],MATCH(LEFT(D803,3),WaterUseH2[Key],0)),0)</f>
        <v>0</v>
      </c>
      <c r="AH803">
        <v>14</v>
      </c>
      <c r="AI803">
        <v>1.4</v>
      </c>
      <c r="AJ803">
        <v>250</v>
      </c>
      <c r="AK803">
        <v>0.31</v>
      </c>
      <c r="AL803" s="63">
        <f>IFERROR(INDEX(Job_Training[[Solar]:[Wind]],MATCH(AL$1,Job_Training[[`Typical Entry Level Education`]:[`Typical Entry Level Education`]],0),MATCH(LEFT($D803,5),Job_Training[[#Headers],[Solar]:[Wind]],0)),0)</f>
        <v>3.4599999999999999E-2</v>
      </c>
      <c r="AM803" s="63">
        <f>IFERROR(INDEX(Job_Training[[Solar]:[Wind]],MATCH(AM$1,Job_Training[[`Typical Entry Level Education`]:[`Typical Entry Level Education`]],0),MATCH(LEFT($D803,5),Job_Training[[#Headers],[Solar]:[Wind]],0)),0)</f>
        <v>2.8199999999999999E-2</v>
      </c>
      <c r="AN803" s="63">
        <f>IFERROR(INDEX(Job_Training[[Solar]:[Wind]],MATCH(AN$1,Job_Training[[`Typical Entry Level Education`]:[`Typical Entry Level Education`]],0),MATCH(LEFT($D803,5),Job_Training[[#Headers],[Solar]:[Wind]],0)),0)</f>
        <v>3.3399999999999999E-2</v>
      </c>
      <c r="AO803" s="63">
        <f>IFERROR(INDEX(Job_Training[[Solar]:[Wind]],MATCH(AO$1,Job_Training[[`Typical Entry Level Education`]:[`Typical Entry Level Education`]],0),MATCH(LEFT($D803,5),Job_Training[[#Headers],[Solar]:[Wind]],0)),0)</f>
        <v>5.62E-3</v>
      </c>
      <c r="AP803">
        <f t="shared" si="230"/>
        <v>47.61904761904762</v>
      </c>
      <c r="AQ803" s="63">
        <f>IF(AP803&gt;0,IFERROR(INDEX(Assumptions!$C$165:$D$165,MATCH(LEFT($D803,5),Job_Training[[#Headers],[Solar]:[Wind]],0)),0),0)</f>
        <v>0.10181999999999999</v>
      </c>
      <c r="AR803">
        <f>IF(AP803&gt;0,IFERROR(INDEX(Assumptions!$C$166:$D$166,MATCH(LEFT($D803,5),Job_Training[[#Headers],[Solar]:[Wind]],0)),0),0)</f>
        <v>6.1091999999999995</v>
      </c>
    </row>
    <row r="804" spans="1:44" hidden="1" x14ac:dyDescent="0.35">
      <c r="A804" t="str">
        <f>UserInput!$B$82</f>
        <v>Incremental Buildout</v>
      </c>
      <c r="B804">
        <v>2029</v>
      </c>
      <c r="C804" t="s">
        <v>41</v>
      </c>
      <c r="D804" t="s">
        <v>80</v>
      </c>
      <c r="E804" s="120">
        <f>INDEX(UserInput!$C$82:$M$102,MATCH(UserMade_Scenario!B804,UserInput!$A$82:$A$102,0),MATCH(LEFT(IF(RIGHT(C804,2)="H2",UserMade_Scenario!C804,D804),3),UserInput!$C$25:$M$25,0))</f>
        <v>238.0952380952381</v>
      </c>
      <c r="F804" t="s">
        <v>81</v>
      </c>
      <c r="G804" s="14">
        <f t="shared" si="231"/>
        <v>1.7815130263383494E-3</v>
      </c>
      <c r="H804" s="63">
        <f t="shared" si="221"/>
        <v>6.2917572604104133E-2</v>
      </c>
      <c r="I804" s="63">
        <f t="shared" si="222"/>
        <v>5.514008185103219E-2</v>
      </c>
      <c r="J804" s="63">
        <f t="shared" si="223"/>
        <v>7.0695062862286995E-2</v>
      </c>
      <c r="K804" s="30">
        <f>IF(OR(LEFT($D804,5)="Solar",$D804="Wind"),INDEX(Land_Use[AVG],MATCH(LEFT($D804,5),Land_Use[Tech],0)),0)*$E804</f>
        <v>833.33333333333337</v>
      </c>
      <c r="L804" s="30">
        <f>IF(OR(LEFT($D804,5)="Solar",$D804="Wind"),INDEX(Land_Use[MIN],MATCH(LEFT($D804,5),Land_Use[Tech],0)),0)*$E804</f>
        <v>666.66666666666663</v>
      </c>
      <c r="M804" s="30">
        <f>IF(OR(LEFT($D804,5)="Solar",$D804="Wind"),INDEX(Land_Use[MAX],MATCH(LEFT($D804,5),Land_Use[Tech],0)),0)*$E804</f>
        <v>1000.0000000000001</v>
      </c>
      <c r="N804" s="15">
        <f t="shared" si="215"/>
        <v>0</v>
      </c>
      <c r="O804" s="11">
        <f t="shared" si="216"/>
        <v>11666.666666666668</v>
      </c>
      <c r="P804" s="11">
        <f t="shared" si="217"/>
        <v>1166.6666666666667</v>
      </c>
      <c r="Q804" s="11">
        <f t="shared" si="218"/>
        <v>208333.33333333334</v>
      </c>
      <c r="R804" s="11">
        <f t="shared" si="219"/>
        <v>258.33333333333337</v>
      </c>
      <c r="S804" s="30">
        <f t="shared" si="224"/>
        <v>1.6476190476190475</v>
      </c>
      <c r="T804" s="30">
        <f t="shared" si="225"/>
        <v>1.342857142857143</v>
      </c>
      <c r="U804" s="30">
        <f t="shared" si="226"/>
        <v>1.5904761904761904</v>
      </c>
      <c r="V804" s="30">
        <f t="shared" si="227"/>
        <v>0.26761904761904765</v>
      </c>
      <c r="W804" s="30">
        <f t="shared" si="228"/>
        <v>4.8485714285714288</v>
      </c>
      <c r="X804" s="30">
        <f t="shared" si="229"/>
        <v>290.91428571428571</v>
      </c>
      <c r="Z804" s="23" t="s">
        <v>76</v>
      </c>
      <c r="AA804" s="40">
        <f>IF(C804="Electricity",E804*SUMIFS(Electricity!S:S,Electricity!P:P,UserMade_Scenario!B804,Electricity!M:M,UserMade_Scenario!Z804,Electricity!O:O,UserMade_Scenario!D804),"")</f>
        <v>494889.12097533658</v>
      </c>
      <c r="AB804" s="76">
        <f>1/Assumptions!$B$23/1000000000000</f>
        <v>3.5998225679871703E-9</v>
      </c>
      <c r="AC804" s="67" t="s">
        <v>82</v>
      </c>
      <c r="AD804" s="69">
        <f>INDEX(Table11[AVG
CO2e MT per MWh],MATCH(UserMade_Scenario!$B804,Table11[[Year]:[Year]],0))</f>
        <v>-0.12713468519999999</v>
      </c>
      <c r="AE804" s="69">
        <f>INDEX(Table11[MIN
CO2e MT per MWh],MATCH(UserMade_Scenario!$B804,Table11[[Year]:[Year]],0))</f>
        <v>-0.11141906240000002</v>
      </c>
      <c r="AF804" s="69">
        <f>INDEX(Table11[MAX CO2e MT per MWh],MATCH(UserMade_Scenario!$B804,Table11[[Year]:[Year]],0))</f>
        <v>-0.14285030700000004</v>
      </c>
      <c r="AG804" s="68">
        <f>IFERROR(INDEX(WaterUseH2[Average Direct Water Consumption (Gal/ kg h2)],MATCH(LEFT(D804,3),WaterUseH2[Key],0)),0)</f>
        <v>0</v>
      </c>
      <c r="AH804">
        <v>14</v>
      </c>
      <c r="AI804">
        <v>1.4</v>
      </c>
      <c r="AJ804">
        <v>250</v>
      </c>
      <c r="AK804">
        <v>0.31</v>
      </c>
      <c r="AL804" s="63">
        <f>IFERROR(INDEX(Job_Training[[Solar]:[Wind]],MATCH(AL$1,Job_Training[[`Typical Entry Level Education`]:[`Typical Entry Level Education`]],0),MATCH(LEFT($D804,5),Job_Training[[#Headers],[Solar]:[Wind]],0)),0)</f>
        <v>3.4599999999999999E-2</v>
      </c>
      <c r="AM804" s="63">
        <f>IFERROR(INDEX(Job_Training[[Solar]:[Wind]],MATCH(AM$1,Job_Training[[`Typical Entry Level Education`]:[`Typical Entry Level Education`]],0),MATCH(LEFT($D804,5),Job_Training[[#Headers],[Solar]:[Wind]],0)),0)</f>
        <v>2.8199999999999999E-2</v>
      </c>
      <c r="AN804" s="63">
        <f>IFERROR(INDEX(Job_Training[[Solar]:[Wind]],MATCH(AN$1,Job_Training[[`Typical Entry Level Education`]:[`Typical Entry Level Education`]],0),MATCH(LEFT($D804,5),Job_Training[[#Headers],[Solar]:[Wind]],0)),0)</f>
        <v>3.3399999999999999E-2</v>
      </c>
      <c r="AO804" s="63">
        <f>IFERROR(INDEX(Job_Training[[Solar]:[Wind]],MATCH(AO$1,Job_Training[[`Typical Entry Level Education`]:[`Typical Entry Level Education`]],0),MATCH(LEFT($D804,5),Job_Training[[#Headers],[Solar]:[Wind]],0)),0)</f>
        <v>5.62E-3</v>
      </c>
      <c r="AP804">
        <f t="shared" si="230"/>
        <v>47.61904761904762</v>
      </c>
      <c r="AQ804" s="63">
        <f>IF(AP804&gt;0,IFERROR(INDEX(Assumptions!$C$165:$D$165,MATCH(LEFT($D804,5),Job_Training[[#Headers],[Solar]:[Wind]],0)),0),0)</f>
        <v>0.10181999999999999</v>
      </c>
      <c r="AR804">
        <f>IF(AP804&gt;0,IFERROR(INDEX(Assumptions!$C$166:$D$166,MATCH(LEFT($D804,5),Job_Training[[#Headers],[Solar]:[Wind]],0)),0),0)</f>
        <v>6.1091999999999995</v>
      </c>
    </row>
    <row r="805" spans="1:44" hidden="1" x14ac:dyDescent="0.35">
      <c r="A805" t="str">
        <f>UserInput!$B$82</f>
        <v>Incremental Buildout</v>
      </c>
      <c r="B805">
        <v>2030</v>
      </c>
      <c r="C805" t="s">
        <v>41</v>
      </c>
      <c r="D805" t="s">
        <v>80</v>
      </c>
      <c r="E805" s="120">
        <f>INDEX(UserInput!$C$82:$M$102,MATCH(UserMade_Scenario!B805,UserInput!$A$82:$A$102,0),MATCH(LEFT(IF(RIGHT(C805,2)="H2",UserMade_Scenario!C805,D805),3),UserInput!$C$25:$M$25,0))</f>
        <v>285.71428571428572</v>
      </c>
      <c r="F805" t="s">
        <v>81</v>
      </c>
      <c r="G805" s="14">
        <f t="shared" si="231"/>
        <v>2.0824037007176163E-3</v>
      </c>
      <c r="H805" s="63">
        <f t="shared" si="221"/>
        <v>7.1100677527984921E-2</v>
      </c>
      <c r="I805" s="63">
        <f t="shared" si="222"/>
        <v>6.1469394752801582E-2</v>
      </c>
      <c r="J805" s="63">
        <f t="shared" si="223"/>
        <v>8.0731959724694352E-2</v>
      </c>
      <c r="K805" s="30">
        <f>IF(OR(LEFT($D805,5)="Solar",$D805="Wind"),INDEX(Land_Use[AVG],MATCH(LEFT($D805,5),Land_Use[Tech],0)),0)*$E805</f>
        <v>1000</v>
      </c>
      <c r="L805" s="30">
        <f>IF(OR(LEFT($D805,5)="Solar",$D805="Wind"),INDEX(Land_Use[MIN],MATCH(LEFT($D805,5),Land_Use[Tech],0)),0)*$E805</f>
        <v>800</v>
      </c>
      <c r="M805" s="30">
        <f>IF(OR(LEFT($D805,5)="Solar",$D805="Wind"),INDEX(Land_Use[MAX],MATCH(LEFT($D805,5),Land_Use[Tech],0)),0)*$E805</f>
        <v>1200</v>
      </c>
      <c r="N805" s="15">
        <f t="shared" si="215"/>
        <v>0</v>
      </c>
      <c r="O805" s="11">
        <f t="shared" si="216"/>
        <v>14000</v>
      </c>
      <c r="P805" s="11">
        <f t="shared" si="217"/>
        <v>1400</v>
      </c>
      <c r="Q805" s="11">
        <f t="shared" si="218"/>
        <v>250000</v>
      </c>
      <c r="R805" s="11">
        <f t="shared" si="219"/>
        <v>310</v>
      </c>
      <c r="S805" s="30">
        <f t="shared" si="224"/>
        <v>1.6476190476190475</v>
      </c>
      <c r="T805" s="30">
        <f t="shared" si="225"/>
        <v>1.342857142857143</v>
      </c>
      <c r="U805" s="30">
        <f t="shared" si="226"/>
        <v>1.5904761904761904</v>
      </c>
      <c r="V805" s="30">
        <f t="shared" si="227"/>
        <v>0.26761904761904765</v>
      </c>
      <c r="W805" s="30">
        <f t="shared" si="228"/>
        <v>4.8485714285714288</v>
      </c>
      <c r="X805" s="30">
        <f t="shared" si="229"/>
        <v>290.91428571428571</v>
      </c>
      <c r="Z805" s="23" t="s">
        <v>76</v>
      </c>
      <c r="AA805" s="40">
        <f>IF(C805="Electricity",E805*SUMIFS(Electricity!S:S,Electricity!P:P,UserMade_Scenario!B805,Electricity!M:M,UserMade_Scenario!Z805,Electricity!O:O,UserMade_Scenario!D805),"")</f>
        <v>578473.98347802064</v>
      </c>
      <c r="AB805" s="76">
        <f>1/Assumptions!$B$23/1000000000000</f>
        <v>3.5998225679871703E-9</v>
      </c>
      <c r="AC805" s="67" t="s">
        <v>82</v>
      </c>
      <c r="AD805" s="69">
        <f>INDEX(Table11[AVG
CO2e MT per MWh],MATCH(UserMade_Scenario!$B805,Table11[[Year]:[Year]],0))</f>
        <v>-0.12291076099999998</v>
      </c>
      <c r="AE805" s="69">
        <f>INDEX(Table11[MIN
CO2e MT per MWh],MATCH(UserMade_Scenario!$B805,Table11[[Year]:[Year]],0))</f>
        <v>-0.10626129525000003</v>
      </c>
      <c r="AF805" s="69">
        <f>INDEX(Table11[MAX CO2e MT per MWh],MATCH(UserMade_Scenario!$B805,Table11[[Year]:[Year]],0))</f>
        <v>-0.13956022575000004</v>
      </c>
      <c r="AG805" s="68">
        <f>IFERROR(INDEX(WaterUseH2[Average Direct Water Consumption (Gal/ kg h2)],MATCH(LEFT(D805,3),WaterUseH2[Key],0)),0)</f>
        <v>0</v>
      </c>
      <c r="AH805">
        <v>14</v>
      </c>
      <c r="AI805">
        <v>1.4</v>
      </c>
      <c r="AJ805">
        <v>250</v>
      </c>
      <c r="AK805">
        <v>0.31</v>
      </c>
      <c r="AL805" s="63">
        <f>IFERROR(INDEX(Job_Training[[Solar]:[Wind]],MATCH(AL$1,Job_Training[[`Typical Entry Level Education`]:[`Typical Entry Level Education`]],0),MATCH(LEFT($D805,5),Job_Training[[#Headers],[Solar]:[Wind]],0)),0)</f>
        <v>3.4599999999999999E-2</v>
      </c>
      <c r="AM805" s="63">
        <f>IFERROR(INDEX(Job_Training[[Solar]:[Wind]],MATCH(AM$1,Job_Training[[`Typical Entry Level Education`]:[`Typical Entry Level Education`]],0),MATCH(LEFT($D805,5),Job_Training[[#Headers],[Solar]:[Wind]],0)),0)</f>
        <v>2.8199999999999999E-2</v>
      </c>
      <c r="AN805" s="63">
        <f>IFERROR(INDEX(Job_Training[[Solar]:[Wind]],MATCH(AN$1,Job_Training[[`Typical Entry Level Education`]:[`Typical Entry Level Education`]],0),MATCH(LEFT($D805,5),Job_Training[[#Headers],[Solar]:[Wind]],0)),0)</f>
        <v>3.3399999999999999E-2</v>
      </c>
      <c r="AO805" s="63">
        <f>IFERROR(INDEX(Job_Training[[Solar]:[Wind]],MATCH(AO$1,Job_Training[[`Typical Entry Level Education`]:[`Typical Entry Level Education`]],0),MATCH(LEFT($D805,5),Job_Training[[#Headers],[Solar]:[Wind]],0)),0)</f>
        <v>5.62E-3</v>
      </c>
      <c r="AP805">
        <f t="shared" si="230"/>
        <v>47.61904761904762</v>
      </c>
      <c r="AQ805" s="63">
        <f>IF(AP805&gt;0,IFERROR(INDEX(Assumptions!$C$165:$D$165,MATCH(LEFT($D805,5),Job_Training[[#Headers],[Solar]:[Wind]],0)),0),0)</f>
        <v>0.10181999999999999</v>
      </c>
      <c r="AR805">
        <f>IF(AP805&gt;0,IFERROR(INDEX(Assumptions!$C$166:$D$166,MATCH(LEFT($D805,5),Job_Training[[#Headers],[Solar]:[Wind]],0)),0),0)</f>
        <v>6.1091999999999995</v>
      </c>
    </row>
    <row r="806" spans="1:44" hidden="1" x14ac:dyDescent="0.35">
      <c r="A806" t="str">
        <f>UserInput!$B$82</f>
        <v>Incremental Buildout</v>
      </c>
      <c r="B806">
        <v>2031</v>
      </c>
      <c r="C806" t="s">
        <v>41</v>
      </c>
      <c r="D806" t="s">
        <v>80</v>
      </c>
      <c r="E806" s="120">
        <f>INDEX(UserInput!$C$82:$M$102,MATCH(UserMade_Scenario!B806,UserInput!$A$82:$A$102,0),MATCH(LEFT(IF(RIGHT(C806,2)="H2",UserMade_Scenario!C806,D806),3),UserInput!$C$25:$M$25,0))</f>
        <v>333.33333333333337</v>
      </c>
      <c r="F806" t="s">
        <v>81</v>
      </c>
      <c r="G806" s="14">
        <f t="shared" si="231"/>
        <v>2.3648237314674151E-3</v>
      </c>
      <c r="H806" s="63">
        <f t="shared" si="221"/>
        <v>7.7968689560824034E-2</v>
      </c>
      <c r="I806" s="63">
        <f t="shared" si="222"/>
        <v>6.64177242267944E-2</v>
      </c>
      <c r="J806" s="63">
        <f t="shared" si="223"/>
        <v>8.9519654237925891E-2</v>
      </c>
      <c r="K806" s="30">
        <f>IF(OR(LEFT($D806,5)="Solar",$D806="Wind"),INDEX(Land_Use[AVG],MATCH(LEFT($D806,5),Land_Use[Tech],0)),0)*$E806</f>
        <v>1166.6666666666667</v>
      </c>
      <c r="L806" s="30">
        <f>IF(OR(LEFT($D806,5)="Solar",$D806="Wind"),INDEX(Land_Use[MIN],MATCH(LEFT($D806,5),Land_Use[Tech],0)),0)*$E806</f>
        <v>933.33333333333337</v>
      </c>
      <c r="M806" s="30">
        <f>IF(OR(LEFT($D806,5)="Solar",$D806="Wind"),INDEX(Land_Use[MAX],MATCH(LEFT($D806,5),Land_Use[Tech],0)),0)*$E806</f>
        <v>1400.0000000000002</v>
      </c>
      <c r="N806" s="15">
        <f t="shared" si="215"/>
        <v>0</v>
      </c>
      <c r="O806" s="11">
        <f t="shared" si="216"/>
        <v>16333.333333333334</v>
      </c>
      <c r="P806" s="11">
        <f t="shared" si="217"/>
        <v>1633.3333333333333</v>
      </c>
      <c r="Q806" s="11">
        <f t="shared" si="218"/>
        <v>291666.66666666669</v>
      </c>
      <c r="R806" s="11">
        <f t="shared" si="219"/>
        <v>361.66666666666669</v>
      </c>
      <c r="S806" s="30">
        <f t="shared" si="224"/>
        <v>1.6476190476190486</v>
      </c>
      <c r="T806" s="30">
        <f t="shared" si="225"/>
        <v>1.3428571428571436</v>
      </c>
      <c r="U806" s="30">
        <f t="shared" si="226"/>
        <v>1.5904761904761915</v>
      </c>
      <c r="V806" s="30">
        <f t="shared" si="227"/>
        <v>0.26761904761904781</v>
      </c>
      <c r="W806" s="30">
        <f t="shared" si="228"/>
        <v>4.8485714285714314</v>
      </c>
      <c r="X806" s="30">
        <f t="shared" si="229"/>
        <v>290.91428571428588</v>
      </c>
      <c r="Z806" s="23" t="s">
        <v>76</v>
      </c>
      <c r="AA806" s="40">
        <f>IF(C806="Electricity",E806*SUMIFS(Electricity!S:S,Electricity!P:P,UserMade_Scenario!B806,Electricity!M:M,UserMade_Scenario!Z806,Electricity!O:O,UserMade_Scenario!D806),"")</f>
        <v>656927.85874991026</v>
      </c>
      <c r="AB806" s="76">
        <f>1/Assumptions!$B$23/1000000000000</f>
        <v>3.5998225679871703E-9</v>
      </c>
      <c r="AC806" s="67" t="s">
        <v>82</v>
      </c>
      <c r="AD806" s="69">
        <f>INDEX(Table11[AVG
CO2e MT per MWh],MATCH(UserMade_Scenario!$B806,Table11[[Year]:[Year]],0))</f>
        <v>-0.11868683679999997</v>
      </c>
      <c r="AE806" s="69">
        <f>INDEX(Table11[MIN
CO2e MT per MWh],MATCH(UserMade_Scenario!$B806,Table11[[Year]:[Year]],0))</f>
        <v>-0.10110352810000003</v>
      </c>
      <c r="AF806" s="69">
        <f>INDEX(Table11[MAX CO2e MT per MWh],MATCH(UserMade_Scenario!$B806,Table11[[Year]:[Year]],0))</f>
        <v>-0.13627014450000005</v>
      </c>
      <c r="AG806" s="68">
        <f>IFERROR(INDEX(WaterUseH2[Average Direct Water Consumption (Gal/ kg h2)],MATCH(LEFT(D806,3),WaterUseH2[Key],0)),0)</f>
        <v>0</v>
      </c>
      <c r="AH806">
        <v>14</v>
      </c>
      <c r="AI806">
        <v>1.4</v>
      </c>
      <c r="AJ806">
        <v>250</v>
      </c>
      <c r="AK806">
        <v>0.31</v>
      </c>
      <c r="AL806" s="63">
        <f>IFERROR(INDEX(Job_Training[[Solar]:[Wind]],MATCH(AL$1,Job_Training[[`Typical Entry Level Education`]:[`Typical Entry Level Education`]],0),MATCH(LEFT($D806,5),Job_Training[[#Headers],[Solar]:[Wind]],0)),0)</f>
        <v>3.4599999999999999E-2</v>
      </c>
      <c r="AM806" s="63">
        <f>IFERROR(INDEX(Job_Training[[Solar]:[Wind]],MATCH(AM$1,Job_Training[[`Typical Entry Level Education`]:[`Typical Entry Level Education`]],0),MATCH(LEFT($D806,5),Job_Training[[#Headers],[Solar]:[Wind]],0)),0)</f>
        <v>2.8199999999999999E-2</v>
      </c>
      <c r="AN806" s="63">
        <f>IFERROR(INDEX(Job_Training[[Solar]:[Wind]],MATCH(AN$1,Job_Training[[`Typical Entry Level Education`]:[`Typical Entry Level Education`]],0),MATCH(LEFT($D806,5),Job_Training[[#Headers],[Solar]:[Wind]],0)),0)</f>
        <v>3.3399999999999999E-2</v>
      </c>
      <c r="AO806" s="63">
        <f>IFERROR(INDEX(Job_Training[[Solar]:[Wind]],MATCH(AO$1,Job_Training[[`Typical Entry Level Education`]:[`Typical Entry Level Education`]],0),MATCH(LEFT($D806,5),Job_Training[[#Headers],[Solar]:[Wind]],0)),0)</f>
        <v>5.62E-3</v>
      </c>
      <c r="AP806">
        <f t="shared" si="230"/>
        <v>47.619047619047649</v>
      </c>
      <c r="AQ806" s="63">
        <f>IF(AP806&gt;0,IFERROR(INDEX(Assumptions!$C$165:$D$165,MATCH(LEFT($D806,5),Job_Training[[#Headers],[Solar]:[Wind]],0)),0),0)</f>
        <v>0.10181999999999999</v>
      </c>
      <c r="AR806">
        <f>IF(AP806&gt;0,IFERROR(INDEX(Assumptions!$C$166:$D$166,MATCH(LEFT($D806,5),Job_Training[[#Headers],[Solar]:[Wind]],0)),0),0)</f>
        <v>6.1091999999999995</v>
      </c>
    </row>
    <row r="807" spans="1:44" hidden="1" x14ac:dyDescent="0.35">
      <c r="A807" t="str">
        <f>UserInput!$B$82</f>
        <v>Incremental Buildout</v>
      </c>
      <c r="B807">
        <v>2032</v>
      </c>
      <c r="C807" t="s">
        <v>41</v>
      </c>
      <c r="D807" t="s">
        <v>80</v>
      </c>
      <c r="E807" s="120">
        <f>INDEX(UserInput!$C$82:$M$102,MATCH(UserMade_Scenario!B807,UserInput!$A$82:$A$102,0),MATCH(LEFT(IF(RIGHT(C807,2)="H2",UserMade_Scenario!C807,D807),3),UserInput!$C$25:$M$25,0))</f>
        <v>380.95238095238096</v>
      </c>
      <c r="F807" t="s">
        <v>81</v>
      </c>
      <c r="G807" s="14">
        <f t="shared" si="231"/>
        <v>2.628773118587746E-3</v>
      </c>
      <c r="H807" s="63">
        <f t="shared" si="221"/>
        <v>8.3586627406023559E-2</v>
      </c>
      <c r="I807" s="63">
        <f t="shared" si="222"/>
        <v>7.0064463585168824E-2</v>
      </c>
      <c r="J807" s="63">
        <f t="shared" si="223"/>
        <v>9.7108790496627684E-2</v>
      </c>
      <c r="K807" s="30">
        <f>IF(OR(LEFT($D807,5)="Solar",$D807="Wind"),INDEX(Land_Use[AVG],MATCH(LEFT($D807,5),Land_Use[Tech],0)),0)*$E807</f>
        <v>1333.3333333333335</v>
      </c>
      <c r="L807" s="30">
        <f>IF(OR(LEFT($D807,5)="Solar",$D807="Wind"),INDEX(Land_Use[MIN],MATCH(LEFT($D807,5),Land_Use[Tech],0)),0)*$E807</f>
        <v>1066.6666666666667</v>
      </c>
      <c r="M807" s="30">
        <f>IF(OR(LEFT($D807,5)="Solar",$D807="Wind"),INDEX(Land_Use[MAX],MATCH(LEFT($D807,5),Land_Use[Tech],0)),0)*$E807</f>
        <v>1600</v>
      </c>
      <c r="N807" s="15">
        <f t="shared" si="215"/>
        <v>0</v>
      </c>
      <c r="O807" s="11">
        <f t="shared" si="216"/>
        <v>18666.666666666668</v>
      </c>
      <c r="P807" s="11">
        <f t="shared" si="217"/>
        <v>1866.6666666666667</v>
      </c>
      <c r="Q807" s="11">
        <f t="shared" si="218"/>
        <v>333333.33333333337</v>
      </c>
      <c r="R807" s="11">
        <f t="shared" si="219"/>
        <v>413.33333333333337</v>
      </c>
      <c r="S807" s="30">
        <f t="shared" si="224"/>
        <v>1.6476190476190467</v>
      </c>
      <c r="T807" s="30">
        <f t="shared" si="225"/>
        <v>1.3428571428571421</v>
      </c>
      <c r="U807" s="30">
        <f t="shared" si="226"/>
        <v>1.5904761904761895</v>
      </c>
      <c r="V807" s="30">
        <f t="shared" si="227"/>
        <v>0.26761904761904748</v>
      </c>
      <c r="W807" s="30">
        <f t="shared" si="228"/>
        <v>4.8485714285714252</v>
      </c>
      <c r="X807" s="30">
        <f t="shared" si="229"/>
        <v>290.91428571428554</v>
      </c>
      <c r="Z807" s="23" t="s">
        <v>76</v>
      </c>
      <c r="AA807" s="40">
        <f>IF(C807="Electricity",E807*SUMIFS(Electricity!S:S,Electricity!P:P,UserMade_Scenario!B807,Electricity!M:M,UserMade_Scenario!Z807,Electricity!O:O,UserMade_Scenario!D807),"")</f>
        <v>730250.74679100548</v>
      </c>
      <c r="AB807" s="76">
        <f>1/Assumptions!$B$23/1000000000000</f>
        <v>3.5998225679871703E-9</v>
      </c>
      <c r="AC807" s="67" t="s">
        <v>82</v>
      </c>
      <c r="AD807" s="69">
        <f>INDEX(Table11[AVG
CO2e MT per MWh],MATCH(UserMade_Scenario!$B807,Table11[[Year]:[Year]],0))</f>
        <v>-0.11446291259999997</v>
      </c>
      <c r="AE807" s="69">
        <f>INDEX(Table11[MIN
CO2e MT per MWh],MATCH(UserMade_Scenario!$B807,Table11[[Year]:[Year]],0))</f>
        <v>-9.5945760950000042E-2</v>
      </c>
      <c r="AF807" s="69">
        <f>INDEX(Table11[MAX CO2e MT per MWh],MATCH(UserMade_Scenario!$B807,Table11[[Year]:[Year]],0))</f>
        <v>-0.13298006325000006</v>
      </c>
      <c r="AG807" s="68">
        <f>IFERROR(INDEX(WaterUseH2[Average Direct Water Consumption (Gal/ kg h2)],MATCH(LEFT(D807,3),WaterUseH2[Key],0)),0)</f>
        <v>0</v>
      </c>
      <c r="AH807">
        <v>14</v>
      </c>
      <c r="AI807">
        <v>1.4</v>
      </c>
      <c r="AJ807">
        <v>250</v>
      </c>
      <c r="AK807">
        <v>0.31</v>
      </c>
      <c r="AL807" s="63">
        <f>IFERROR(INDEX(Job_Training[[Solar]:[Wind]],MATCH(AL$1,Job_Training[[`Typical Entry Level Education`]:[`Typical Entry Level Education`]],0),MATCH(LEFT($D807,5),Job_Training[[#Headers],[Solar]:[Wind]],0)),0)</f>
        <v>3.4599999999999999E-2</v>
      </c>
      <c r="AM807" s="63">
        <f>IFERROR(INDEX(Job_Training[[Solar]:[Wind]],MATCH(AM$1,Job_Training[[`Typical Entry Level Education`]:[`Typical Entry Level Education`]],0),MATCH(LEFT($D807,5),Job_Training[[#Headers],[Solar]:[Wind]],0)),0)</f>
        <v>2.8199999999999999E-2</v>
      </c>
      <c r="AN807" s="63">
        <f>IFERROR(INDEX(Job_Training[[Solar]:[Wind]],MATCH(AN$1,Job_Training[[`Typical Entry Level Education`]:[`Typical Entry Level Education`]],0),MATCH(LEFT($D807,5),Job_Training[[#Headers],[Solar]:[Wind]],0)),0)</f>
        <v>3.3399999999999999E-2</v>
      </c>
      <c r="AO807" s="63">
        <f>IFERROR(INDEX(Job_Training[[Solar]:[Wind]],MATCH(AO$1,Job_Training[[`Typical Entry Level Education`]:[`Typical Entry Level Education`]],0),MATCH(LEFT($D807,5),Job_Training[[#Headers],[Solar]:[Wind]],0)),0)</f>
        <v>5.62E-3</v>
      </c>
      <c r="AP807">
        <f t="shared" si="230"/>
        <v>47.619047619047592</v>
      </c>
      <c r="AQ807" s="63">
        <f>IF(AP807&gt;0,IFERROR(INDEX(Assumptions!$C$165:$D$165,MATCH(LEFT($D807,5),Job_Training[[#Headers],[Solar]:[Wind]],0)),0),0)</f>
        <v>0.10181999999999999</v>
      </c>
      <c r="AR807">
        <f>IF(AP807&gt;0,IFERROR(INDEX(Assumptions!$C$166:$D$166,MATCH(LEFT($D807,5),Job_Training[[#Headers],[Solar]:[Wind]],0)),0),0)</f>
        <v>6.1091999999999995</v>
      </c>
    </row>
    <row r="808" spans="1:44" hidden="1" x14ac:dyDescent="0.35">
      <c r="A808" t="str">
        <f>UserInput!$B$82</f>
        <v>Incremental Buildout</v>
      </c>
      <c r="B808">
        <v>2033</v>
      </c>
      <c r="C808" t="s">
        <v>41</v>
      </c>
      <c r="D808" t="s">
        <v>80</v>
      </c>
      <c r="E808" s="120">
        <f>INDEX(UserInput!$C$82:$M$102,MATCH(UserMade_Scenario!B808,UserInput!$A$82:$A$102,0),MATCH(LEFT(IF(RIGHT(C808,2)="H2",UserMade_Scenario!C808,D808),3),UserInput!$C$25:$M$25,0))</f>
        <v>428.57142857142856</v>
      </c>
      <c r="F808" t="s">
        <v>81</v>
      </c>
      <c r="G808" s="14">
        <f t="shared" si="231"/>
        <v>2.8742518620786094E-3</v>
      </c>
      <c r="H808" s="63">
        <f t="shared" si="221"/>
        <v>8.8019509766985651E-2</v>
      </c>
      <c r="I808" s="63">
        <f t="shared" si="222"/>
        <v>7.2489006140083009E-2</v>
      </c>
      <c r="J808" s="63">
        <f t="shared" si="223"/>
        <v>0.1035500125954458</v>
      </c>
      <c r="K808" s="30">
        <f>IF(OR(LEFT($D808,5)="Solar",$D808="Wind"),INDEX(Land_Use[AVG],MATCH(LEFT($D808,5),Land_Use[Tech],0)),0)*$E808</f>
        <v>1500</v>
      </c>
      <c r="L808" s="30">
        <f>IF(OR(LEFT($D808,5)="Solar",$D808="Wind"),INDEX(Land_Use[MIN],MATCH(LEFT($D808,5),Land_Use[Tech],0)),0)*$E808</f>
        <v>1199.9999999999998</v>
      </c>
      <c r="M808" s="30">
        <f>IF(OR(LEFT($D808,5)="Solar",$D808="Wind"),INDEX(Land_Use[MAX],MATCH(LEFT($D808,5),Land_Use[Tech],0)),0)*$E808</f>
        <v>1800</v>
      </c>
      <c r="N808" s="15">
        <f t="shared" si="215"/>
        <v>0</v>
      </c>
      <c r="O808" s="11">
        <f t="shared" si="216"/>
        <v>21000</v>
      </c>
      <c r="P808" s="11">
        <f t="shared" si="217"/>
        <v>2100</v>
      </c>
      <c r="Q808" s="11">
        <f t="shared" si="218"/>
        <v>375000</v>
      </c>
      <c r="R808" s="11">
        <f t="shared" si="219"/>
        <v>465</v>
      </c>
      <c r="S808" s="30">
        <f t="shared" si="224"/>
        <v>1.6476190476190467</v>
      </c>
      <c r="T808" s="30">
        <f t="shared" si="225"/>
        <v>1.3428571428571421</v>
      </c>
      <c r="U808" s="30">
        <f t="shared" si="226"/>
        <v>1.5904761904761895</v>
      </c>
      <c r="V808" s="30">
        <f t="shared" si="227"/>
        <v>0.26761904761904748</v>
      </c>
      <c r="W808" s="30">
        <f t="shared" si="228"/>
        <v>4.8485714285714252</v>
      </c>
      <c r="X808" s="30">
        <f t="shared" si="229"/>
        <v>290.91428571428554</v>
      </c>
      <c r="Z808" s="23" t="s">
        <v>76</v>
      </c>
      <c r="AA808" s="40">
        <f>IF(C808="Electricity",E808*SUMIFS(Electricity!S:S,Electricity!P:P,UserMade_Scenario!B808,Electricity!M:M,UserMade_Scenario!Z808,Electricity!O:O,UserMade_Scenario!D808),"")</f>
        <v>798442.64760130621</v>
      </c>
      <c r="AB808" s="76">
        <f>1/Assumptions!$B$23/1000000000000</f>
        <v>3.5998225679871703E-9</v>
      </c>
      <c r="AC808" s="67" t="s">
        <v>82</v>
      </c>
      <c r="AD808" s="69">
        <f>INDEX(Table11[AVG
CO2e MT per MWh],MATCH(UserMade_Scenario!$B808,Table11[[Year]:[Year]],0))</f>
        <v>-0.11023898839999996</v>
      </c>
      <c r="AE808" s="69">
        <f>INDEX(Table11[MIN
CO2e MT per MWh],MATCH(UserMade_Scenario!$B808,Table11[[Year]:[Year]],0))</f>
        <v>-9.078799380000005E-2</v>
      </c>
      <c r="AF808" s="69">
        <f>INDEX(Table11[MAX CO2e MT per MWh],MATCH(UserMade_Scenario!$B808,Table11[[Year]:[Year]],0))</f>
        <v>-0.12968998200000006</v>
      </c>
      <c r="AG808" s="68">
        <f>IFERROR(INDEX(WaterUseH2[Average Direct Water Consumption (Gal/ kg h2)],MATCH(LEFT(D808,3),WaterUseH2[Key],0)),0)</f>
        <v>0</v>
      </c>
      <c r="AH808">
        <v>14</v>
      </c>
      <c r="AI808">
        <v>1.4</v>
      </c>
      <c r="AJ808">
        <v>250</v>
      </c>
      <c r="AK808">
        <v>0.31</v>
      </c>
      <c r="AL808" s="63">
        <f>IFERROR(INDEX(Job_Training[[Solar]:[Wind]],MATCH(AL$1,Job_Training[[`Typical Entry Level Education`]:[`Typical Entry Level Education`]],0),MATCH(LEFT($D808,5),Job_Training[[#Headers],[Solar]:[Wind]],0)),0)</f>
        <v>3.4599999999999999E-2</v>
      </c>
      <c r="AM808" s="63">
        <f>IFERROR(INDEX(Job_Training[[Solar]:[Wind]],MATCH(AM$1,Job_Training[[`Typical Entry Level Education`]:[`Typical Entry Level Education`]],0),MATCH(LEFT($D808,5),Job_Training[[#Headers],[Solar]:[Wind]],0)),0)</f>
        <v>2.8199999999999999E-2</v>
      </c>
      <c r="AN808" s="63">
        <f>IFERROR(INDEX(Job_Training[[Solar]:[Wind]],MATCH(AN$1,Job_Training[[`Typical Entry Level Education`]:[`Typical Entry Level Education`]],0),MATCH(LEFT($D808,5),Job_Training[[#Headers],[Solar]:[Wind]],0)),0)</f>
        <v>3.3399999999999999E-2</v>
      </c>
      <c r="AO808" s="63">
        <f>IFERROR(INDEX(Job_Training[[Solar]:[Wind]],MATCH(AO$1,Job_Training[[`Typical Entry Level Education`]:[`Typical Entry Level Education`]],0),MATCH(LEFT($D808,5),Job_Training[[#Headers],[Solar]:[Wind]],0)),0)</f>
        <v>5.62E-3</v>
      </c>
      <c r="AP808">
        <f t="shared" si="230"/>
        <v>47.619047619047592</v>
      </c>
      <c r="AQ808" s="63">
        <f>IF(AP808&gt;0,IFERROR(INDEX(Assumptions!$C$165:$D$165,MATCH(LEFT($D808,5),Job_Training[[#Headers],[Solar]:[Wind]],0)),0),0)</f>
        <v>0.10181999999999999</v>
      </c>
      <c r="AR808">
        <f>IF(AP808&gt;0,IFERROR(INDEX(Assumptions!$C$166:$D$166,MATCH(LEFT($D808,5),Job_Training[[#Headers],[Solar]:[Wind]],0)),0),0)</f>
        <v>6.1091999999999995</v>
      </c>
    </row>
    <row r="809" spans="1:44" hidden="1" x14ac:dyDescent="0.35">
      <c r="A809" t="str">
        <f>UserInput!$B$82</f>
        <v>Incremental Buildout</v>
      </c>
      <c r="B809">
        <v>2034</v>
      </c>
      <c r="C809" t="s">
        <v>41</v>
      </c>
      <c r="D809" t="s">
        <v>80</v>
      </c>
      <c r="E809" s="120">
        <f>INDEX(UserInput!$C$82:$M$102,MATCH(UserMade_Scenario!B809,UserInput!$A$82:$A$102,0),MATCH(LEFT(IF(RIGHT(C809,2)="H2",UserMade_Scenario!C809,D809),3),UserInput!$C$25:$M$25,0))</f>
        <v>476.19047619047615</v>
      </c>
      <c r="F809" t="s">
        <v>81</v>
      </c>
      <c r="G809" s="14">
        <f t="shared" si="231"/>
        <v>3.101259961940005E-3</v>
      </c>
      <c r="H809" s="63">
        <f t="shared" si="221"/>
        <v>9.1332355347112426E-2</v>
      </c>
      <c r="I809" s="63">
        <f t="shared" si="222"/>
        <v>7.3770745203695171E-2</v>
      </c>
      <c r="J809" s="63">
        <f t="shared" si="223"/>
        <v>0.10889396462902631</v>
      </c>
      <c r="K809" s="30">
        <f>IF(OR(LEFT($D809,5)="Solar",$D809="Wind"),INDEX(Land_Use[AVG],MATCH(LEFT($D809,5),Land_Use[Tech],0)),0)*$E809</f>
        <v>1666.6666666666665</v>
      </c>
      <c r="L809" s="30">
        <f>IF(OR(LEFT($D809,5)="Solar",$D809="Wind"),INDEX(Land_Use[MIN],MATCH(LEFT($D809,5),Land_Use[Tech],0)),0)*$E809</f>
        <v>1333.333333333333</v>
      </c>
      <c r="M809" s="30">
        <f>IF(OR(LEFT($D809,5)="Solar",$D809="Wind"),INDEX(Land_Use[MAX],MATCH(LEFT($D809,5),Land_Use[Tech],0)),0)*$E809</f>
        <v>2000</v>
      </c>
      <c r="N809" s="15">
        <f t="shared" si="215"/>
        <v>0</v>
      </c>
      <c r="O809" s="11">
        <f t="shared" si="216"/>
        <v>23333.333333333332</v>
      </c>
      <c r="P809" s="11">
        <f t="shared" si="217"/>
        <v>2333.333333333333</v>
      </c>
      <c r="Q809" s="11">
        <f t="shared" si="218"/>
        <v>416666.66666666663</v>
      </c>
      <c r="R809" s="11">
        <f t="shared" si="219"/>
        <v>516.66666666666663</v>
      </c>
      <c r="S809" s="30">
        <f t="shared" si="224"/>
        <v>1.6476190476190467</v>
      </c>
      <c r="T809" s="30">
        <f t="shared" si="225"/>
        <v>1.3428571428571421</v>
      </c>
      <c r="U809" s="30">
        <f t="shared" si="226"/>
        <v>1.5904761904761895</v>
      </c>
      <c r="V809" s="30">
        <f t="shared" si="227"/>
        <v>0.26761904761904748</v>
      </c>
      <c r="W809" s="30">
        <f t="shared" si="228"/>
        <v>4.8485714285714252</v>
      </c>
      <c r="X809" s="30">
        <f t="shared" si="229"/>
        <v>290.91428571428554</v>
      </c>
      <c r="Z809" s="23" t="s">
        <v>76</v>
      </c>
      <c r="AA809" s="40">
        <f>IF(C809="Electricity",E809*SUMIFS(Electricity!S:S,Electricity!P:P,UserMade_Scenario!B809,Electricity!M:M,UserMade_Scenario!Z809,Electricity!O:O,UserMade_Scenario!D809),"")</f>
        <v>861503.56118081254</v>
      </c>
      <c r="AB809" s="76">
        <f>1/Assumptions!$B$23/1000000000000</f>
        <v>3.5998225679871703E-9</v>
      </c>
      <c r="AC809" s="67" t="s">
        <v>82</v>
      </c>
      <c r="AD809" s="69">
        <f>INDEX(Table11[AVG
CO2e MT per MWh],MATCH(UserMade_Scenario!$B809,Table11[[Year]:[Year]],0))</f>
        <v>-0.10601506419999995</v>
      </c>
      <c r="AE809" s="69">
        <f>INDEX(Table11[MIN
CO2e MT per MWh],MATCH(UserMade_Scenario!$B809,Table11[[Year]:[Year]],0))</f>
        <v>-8.5630226650000058E-2</v>
      </c>
      <c r="AF809" s="69">
        <f>INDEX(Table11[MAX CO2e MT per MWh],MATCH(UserMade_Scenario!$B809,Table11[[Year]:[Year]],0))</f>
        <v>-0.12639990075000007</v>
      </c>
      <c r="AG809" s="68">
        <f>IFERROR(INDEX(WaterUseH2[Average Direct Water Consumption (Gal/ kg h2)],MATCH(LEFT(D809,3),WaterUseH2[Key],0)),0)</f>
        <v>0</v>
      </c>
      <c r="AH809">
        <v>14</v>
      </c>
      <c r="AI809">
        <v>1.4</v>
      </c>
      <c r="AJ809">
        <v>250</v>
      </c>
      <c r="AK809">
        <v>0.31</v>
      </c>
      <c r="AL809" s="63">
        <f>IFERROR(INDEX(Job_Training[[Solar]:[Wind]],MATCH(AL$1,Job_Training[[`Typical Entry Level Education`]:[`Typical Entry Level Education`]],0),MATCH(LEFT($D809,5),Job_Training[[#Headers],[Solar]:[Wind]],0)),0)</f>
        <v>3.4599999999999999E-2</v>
      </c>
      <c r="AM809" s="63">
        <f>IFERROR(INDEX(Job_Training[[Solar]:[Wind]],MATCH(AM$1,Job_Training[[`Typical Entry Level Education`]:[`Typical Entry Level Education`]],0),MATCH(LEFT($D809,5),Job_Training[[#Headers],[Solar]:[Wind]],0)),0)</f>
        <v>2.8199999999999999E-2</v>
      </c>
      <c r="AN809" s="63">
        <f>IFERROR(INDEX(Job_Training[[Solar]:[Wind]],MATCH(AN$1,Job_Training[[`Typical Entry Level Education`]:[`Typical Entry Level Education`]],0),MATCH(LEFT($D809,5),Job_Training[[#Headers],[Solar]:[Wind]],0)),0)</f>
        <v>3.3399999999999999E-2</v>
      </c>
      <c r="AO809" s="63">
        <f>IFERROR(INDEX(Job_Training[[Solar]:[Wind]],MATCH(AO$1,Job_Training[[`Typical Entry Level Education`]:[`Typical Entry Level Education`]],0),MATCH(LEFT($D809,5),Job_Training[[#Headers],[Solar]:[Wind]],0)),0)</f>
        <v>5.62E-3</v>
      </c>
      <c r="AP809">
        <f t="shared" si="230"/>
        <v>47.619047619047592</v>
      </c>
      <c r="AQ809" s="63">
        <f>IF(AP809&gt;0,IFERROR(INDEX(Assumptions!$C$165:$D$165,MATCH(LEFT($D809,5),Job_Training[[#Headers],[Solar]:[Wind]],0)),0),0)</f>
        <v>0.10181999999999999</v>
      </c>
      <c r="AR809">
        <f>IF(AP809&gt;0,IFERROR(INDEX(Assumptions!$C$166:$D$166,MATCH(LEFT($D809,5),Job_Training[[#Headers],[Solar]:[Wind]],0)),0),0)</f>
        <v>6.1091999999999995</v>
      </c>
    </row>
    <row r="810" spans="1:44" hidden="1" x14ac:dyDescent="0.35">
      <c r="A810" t="str">
        <f>UserInput!$B$82</f>
        <v>Incremental Buildout</v>
      </c>
      <c r="B810">
        <v>2035</v>
      </c>
      <c r="C810" t="s">
        <v>41</v>
      </c>
      <c r="D810" t="s">
        <v>80</v>
      </c>
      <c r="E810" s="120">
        <f>INDEX(UserInput!$C$82:$M$102,MATCH(UserMade_Scenario!B810,UserInput!$A$82:$A$102,0),MATCH(LEFT(IF(RIGHT(C810,2)="H2",UserMade_Scenario!C810,D810),3),UserInput!$C$25:$M$25,0))</f>
        <v>523.80952380952374</v>
      </c>
      <c r="F810" t="s">
        <v>81</v>
      </c>
      <c r="G810" s="14">
        <f t="shared" si="231"/>
        <v>3.3097974181719326E-3</v>
      </c>
      <c r="H810" s="63">
        <f t="shared" si="221"/>
        <v>9.3590182849806025E-2</v>
      </c>
      <c r="I810" s="63">
        <f t="shared" si="222"/>
        <v>7.3989074088163478E-2</v>
      </c>
      <c r="J810" s="63">
        <f t="shared" si="223"/>
        <v>0.11319129069201532</v>
      </c>
      <c r="K810" s="30">
        <f>IF(OR(LEFT($D810,5)="Solar",$D810="Wind"),INDEX(Land_Use[AVG],MATCH(LEFT($D810,5),Land_Use[Tech],0)),0)*$E810</f>
        <v>1833.333333333333</v>
      </c>
      <c r="L810" s="30">
        <f>IF(OR(LEFT($D810,5)="Solar",$D810="Wind"),INDEX(Land_Use[MIN],MATCH(LEFT($D810,5),Land_Use[Tech],0)),0)*$E810</f>
        <v>1466.6666666666663</v>
      </c>
      <c r="M810" s="30">
        <f>IF(OR(LEFT($D810,5)="Solar",$D810="Wind"),INDEX(Land_Use[MAX],MATCH(LEFT($D810,5),Land_Use[Tech],0)),0)*$E810</f>
        <v>2200</v>
      </c>
      <c r="N810" s="15">
        <f t="shared" si="215"/>
        <v>0</v>
      </c>
      <c r="O810" s="11">
        <f t="shared" si="216"/>
        <v>25666.666666666664</v>
      </c>
      <c r="P810" s="11">
        <f t="shared" si="217"/>
        <v>2566.6666666666661</v>
      </c>
      <c r="Q810" s="11">
        <f t="shared" si="218"/>
        <v>458333.33333333326</v>
      </c>
      <c r="R810" s="11">
        <f t="shared" si="219"/>
        <v>568.33333333333326</v>
      </c>
      <c r="S810" s="30">
        <f t="shared" si="224"/>
        <v>1.6476190476190467</v>
      </c>
      <c r="T810" s="30">
        <f t="shared" si="225"/>
        <v>1.3428571428571421</v>
      </c>
      <c r="U810" s="30">
        <f t="shared" si="226"/>
        <v>1.5904761904761895</v>
      </c>
      <c r="V810" s="30">
        <f t="shared" si="227"/>
        <v>0.26761904761904748</v>
      </c>
      <c r="W810" s="30">
        <f t="shared" si="228"/>
        <v>4.8485714285714252</v>
      </c>
      <c r="X810" s="30">
        <f t="shared" si="229"/>
        <v>290.91428571428554</v>
      </c>
      <c r="Z810" s="23" t="s">
        <v>76</v>
      </c>
      <c r="AA810" s="40">
        <f>IF(C810="Electricity",E810*SUMIFS(Electricity!S:S,Electricity!P:P,UserMade_Scenario!B810,Electricity!M:M,UserMade_Scenario!Z810,Electricity!O:O,UserMade_Scenario!D810),"")</f>
        <v>919433.48752952449</v>
      </c>
      <c r="AB810" s="76">
        <f>1/Assumptions!$B$23/1000000000000</f>
        <v>3.5998225679871703E-9</v>
      </c>
      <c r="AC810" s="67" t="s">
        <v>82</v>
      </c>
      <c r="AD810" s="69">
        <f>INDEX(Table11[AVG
CO2e MT per MWh],MATCH(UserMade_Scenario!$B810,Table11[[Year]:[Year]],0))</f>
        <v>-0.10179113999999995</v>
      </c>
      <c r="AE810" s="69">
        <f>INDEX(Table11[MIN
CO2e MT per MWh],MATCH(UserMade_Scenario!$B810,Table11[[Year]:[Year]],0))</f>
        <v>-8.0472459500000065E-2</v>
      </c>
      <c r="AF810" s="69">
        <f>INDEX(Table11[MAX CO2e MT per MWh],MATCH(UserMade_Scenario!$B810,Table11[[Year]:[Year]],0))</f>
        <v>-0.12310981950000006</v>
      </c>
      <c r="AG810" s="68">
        <f>IFERROR(INDEX(WaterUseH2[Average Direct Water Consumption (Gal/ kg h2)],MATCH(LEFT(D810,3),WaterUseH2[Key],0)),0)</f>
        <v>0</v>
      </c>
      <c r="AH810">
        <v>14</v>
      </c>
      <c r="AI810">
        <v>1.4</v>
      </c>
      <c r="AJ810">
        <v>250</v>
      </c>
      <c r="AK810">
        <v>0.31</v>
      </c>
      <c r="AL810" s="63">
        <f>IFERROR(INDEX(Job_Training[[Solar]:[Wind]],MATCH(AL$1,Job_Training[[`Typical Entry Level Education`]:[`Typical Entry Level Education`]],0),MATCH(LEFT($D810,5),Job_Training[[#Headers],[Solar]:[Wind]],0)),0)</f>
        <v>3.4599999999999999E-2</v>
      </c>
      <c r="AM810" s="63">
        <f>IFERROR(INDEX(Job_Training[[Solar]:[Wind]],MATCH(AM$1,Job_Training[[`Typical Entry Level Education`]:[`Typical Entry Level Education`]],0),MATCH(LEFT($D810,5),Job_Training[[#Headers],[Solar]:[Wind]],0)),0)</f>
        <v>2.8199999999999999E-2</v>
      </c>
      <c r="AN810" s="63">
        <f>IFERROR(INDEX(Job_Training[[Solar]:[Wind]],MATCH(AN$1,Job_Training[[`Typical Entry Level Education`]:[`Typical Entry Level Education`]],0),MATCH(LEFT($D810,5),Job_Training[[#Headers],[Solar]:[Wind]],0)),0)</f>
        <v>3.3399999999999999E-2</v>
      </c>
      <c r="AO810" s="63">
        <f>IFERROR(INDEX(Job_Training[[Solar]:[Wind]],MATCH(AO$1,Job_Training[[`Typical Entry Level Education`]:[`Typical Entry Level Education`]],0),MATCH(LEFT($D810,5),Job_Training[[#Headers],[Solar]:[Wind]],0)),0)</f>
        <v>5.62E-3</v>
      </c>
      <c r="AP810">
        <f t="shared" si="230"/>
        <v>47.619047619047592</v>
      </c>
      <c r="AQ810" s="63">
        <f>IF(AP810&gt;0,IFERROR(INDEX(Assumptions!$C$165:$D$165,MATCH(LEFT($D810,5),Job_Training[[#Headers],[Solar]:[Wind]],0)),0),0)</f>
        <v>0.10181999999999999</v>
      </c>
      <c r="AR810">
        <f>IF(AP810&gt;0,IFERROR(INDEX(Assumptions!$C$166:$D$166,MATCH(LEFT($D810,5),Job_Training[[#Headers],[Solar]:[Wind]],0)),0),0)</f>
        <v>6.1091999999999995</v>
      </c>
    </row>
    <row r="811" spans="1:44" hidden="1" x14ac:dyDescent="0.35">
      <c r="A811" t="str">
        <f>UserInput!$B$82</f>
        <v>Incremental Buildout</v>
      </c>
      <c r="B811">
        <v>2036</v>
      </c>
      <c r="C811" t="s">
        <v>41</v>
      </c>
      <c r="D811" t="s">
        <v>80</v>
      </c>
      <c r="E811" s="120">
        <f>INDEX(UserInput!$C$82:$M$102,MATCH(UserMade_Scenario!B811,UserInput!$A$82:$A$102,0),MATCH(LEFT(IF(RIGHT(C811,2)="H2",UserMade_Scenario!C811,D811),3),UserInput!$C$25:$M$25,0))</f>
        <v>571.42857142857133</v>
      </c>
      <c r="F811" t="s">
        <v>81</v>
      </c>
      <c r="G811" s="14">
        <f t="shared" si="231"/>
        <v>3.4998642307743928E-3</v>
      </c>
      <c r="H811" s="63">
        <f t="shared" si="221"/>
        <v>9.4858010978468577E-2</v>
      </c>
      <c r="I811" s="63">
        <f t="shared" si="222"/>
        <v>7.3223386105646104E-2</v>
      </c>
      <c r="J811" s="63">
        <f t="shared" si="223"/>
        <v>0.11649263487905887</v>
      </c>
      <c r="K811" s="30">
        <f>IF(OR(LEFT($D811,5)="Solar",$D811="Wind"),INDEX(Land_Use[AVG],MATCH(LEFT($D811,5),Land_Use[Tech],0)),0)*$E811</f>
        <v>1999.9999999999995</v>
      </c>
      <c r="L811" s="30">
        <f>IF(OR(LEFT($D811,5)="Solar",$D811="Wind"),INDEX(Land_Use[MIN],MATCH(LEFT($D811,5),Land_Use[Tech],0)),0)*$E811</f>
        <v>1599.9999999999995</v>
      </c>
      <c r="M811" s="30">
        <f>IF(OR(LEFT($D811,5)="Solar",$D811="Wind"),INDEX(Land_Use[MAX],MATCH(LEFT($D811,5),Land_Use[Tech],0)),0)*$E811</f>
        <v>2399.9999999999995</v>
      </c>
      <c r="N811" s="15">
        <f t="shared" si="215"/>
        <v>0</v>
      </c>
      <c r="O811" s="11">
        <f t="shared" si="216"/>
        <v>27999.999999999993</v>
      </c>
      <c r="P811" s="11">
        <f t="shared" si="217"/>
        <v>2799.9999999999991</v>
      </c>
      <c r="Q811" s="11">
        <f t="shared" si="218"/>
        <v>499999.99999999988</v>
      </c>
      <c r="R811" s="11">
        <f t="shared" si="219"/>
        <v>619.99999999999989</v>
      </c>
      <c r="S811" s="30">
        <f t="shared" si="224"/>
        <v>1.6476190476190467</v>
      </c>
      <c r="T811" s="30">
        <f t="shared" si="225"/>
        <v>1.3428571428571421</v>
      </c>
      <c r="U811" s="30">
        <f t="shared" si="226"/>
        <v>1.5904761904761895</v>
      </c>
      <c r="V811" s="30">
        <f t="shared" si="227"/>
        <v>0.26761904761904748</v>
      </c>
      <c r="W811" s="30">
        <f t="shared" si="228"/>
        <v>4.8485714285714252</v>
      </c>
      <c r="X811" s="30">
        <f t="shared" si="229"/>
        <v>290.91428571428554</v>
      </c>
      <c r="Z811" s="23" t="s">
        <v>76</v>
      </c>
      <c r="AA811" s="40">
        <f>IF(C811="Electricity",E811*SUMIFS(Electricity!S:S,Electricity!P:P,UserMade_Scenario!B811,Electricity!M:M,UserMade_Scenario!Z811,Electricity!O:O,UserMade_Scenario!D811),"")</f>
        <v>972232.42664744193</v>
      </c>
      <c r="AB811" s="76">
        <f>1/Assumptions!$B$23/1000000000000</f>
        <v>3.5998225679871703E-9</v>
      </c>
      <c r="AC811" s="67" t="s">
        <v>82</v>
      </c>
      <c r="AD811" s="69">
        <f>INDEX(Table11[AVG
CO2e MT per MWh],MATCH(UserMade_Scenario!$B811,Table11[[Year]:[Year]],0))</f>
        <v>-9.756721579999994E-2</v>
      </c>
      <c r="AE811" s="69">
        <f>INDEX(Table11[MIN
CO2e MT per MWh],MATCH(UserMade_Scenario!$B811,Table11[[Year]:[Year]],0))</f>
        <v>-7.5314692350000073E-2</v>
      </c>
      <c r="AF811" s="69">
        <f>INDEX(Table11[MAX CO2e MT per MWh],MATCH(UserMade_Scenario!$B811,Table11[[Year]:[Year]],0))</f>
        <v>-0.11981973825000006</v>
      </c>
      <c r="AG811" s="68">
        <f>IFERROR(INDEX(WaterUseH2[Average Direct Water Consumption (Gal/ kg h2)],MATCH(LEFT(D811,3),WaterUseH2[Key],0)),0)</f>
        <v>0</v>
      </c>
      <c r="AH811">
        <v>14</v>
      </c>
      <c r="AI811">
        <v>1.4</v>
      </c>
      <c r="AJ811">
        <v>250</v>
      </c>
      <c r="AK811">
        <v>0.31</v>
      </c>
      <c r="AL811" s="63">
        <f>IFERROR(INDEX(Job_Training[[Solar]:[Wind]],MATCH(AL$1,Job_Training[[`Typical Entry Level Education`]:[`Typical Entry Level Education`]],0),MATCH(LEFT($D811,5),Job_Training[[#Headers],[Solar]:[Wind]],0)),0)</f>
        <v>3.4599999999999999E-2</v>
      </c>
      <c r="AM811" s="63">
        <f>IFERROR(INDEX(Job_Training[[Solar]:[Wind]],MATCH(AM$1,Job_Training[[`Typical Entry Level Education`]:[`Typical Entry Level Education`]],0),MATCH(LEFT($D811,5),Job_Training[[#Headers],[Solar]:[Wind]],0)),0)</f>
        <v>2.8199999999999999E-2</v>
      </c>
      <c r="AN811" s="63">
        <f>IFERROR(INDEX(Job_Training[[Solar]:[Wind]],MATCH(AN$1,Job_Training[[`Typical Entry Level Education`]:[`Typical Entry Level Education`]],0),MATCH(LEFT($D811,5),Job_Training[[#Headers],[Solar]:[Wind]],0)),0)</f>
        <v>3.3399999999999999E-2</v>
      </c>
      <c r="AO811" s="63">
        <f>IFERROR(INDEX(Job_Training[[Solar]:[Wind]],MATCH(AO$1,Job_Training[[`Typical Entry Level Education`]:[`Typical Entry Level Education`]],0),MATCH(LEFT($D811,5),Job_Training[[#Headers],[Solar]:[Wind]],0)),0)</f>
        <v>5.62E-3</v>
      </c>
      <c r="AP811">
        <f t="shared" si="230"/>
        <v>47.619047619047592</v>
      </c>
      <c r="AQ811" s="63">
        <f>IF(AP811&gt;0,IFERROR(INDEX(Assumptions!$C$165:$D$165,MATCH(LEFT($D811,5),Job_Training[[#Headers],[Solar]:[Wind]],0)),0),0)</f>
        <v>0.10181999999999999</v>
      </c>
      <c r="AR811">
        <f>IF(AP811&gt;0,IFERROR(INDEX(Assumptions!$C$166:$D$166,MATCH(LEFT($D811,5),Job_Training[[#Headers],[Solar]:[Wind]],0)),0),0)</f>
        <v>6.1091999999999995</v>
      </c>
    </row>
    <row r="812" spans="1:44" hidden="1" x14ac:dyDescent="0.35">
      <c r="A812" t="str">
        <f>UserInput!$B$82</f>
        <v>Incremental Buildout</v>
      </c>
      <c r="B812">
        <v>2037</v>
      </c>
      <c r="C812" t="s">
        <v>41</v>
      </c>
      <c r="D812" t="s">
        <v>80</v>
      </c>
      <c r="E812" s="120">
        <f>INDEX(UserInput!$C$82:$M$102,MATCH(UserMade_Scenario!B812,UserInput!$A$82:$A$102,0),MATCH(LEFT(IF(RIGHT(C812,2)="H2",UserMade_Scenario!C812,D812),3),UserInput!$C$25:$M$25,0))</f>
        <v>619.04761904761892</v>
      </c>
      <c r="F812" t="s">
        <v>81</v>
      </c>
      <c r="G812" s="14">
        <f t="shared" si="231"/>
        <v>3.6714603997473846E-3</v>
      </c>
      <c r="H812" s="63">
        <f t="shared" si="221"/>
        <v>9.5200858436502223E-2</v>
      </c>
      <c r="I812" s="63">
        <f t="shared" si="222"/>
        <v>7.1553074568301248E-2</v>
      </c>
      <c r="J812" s="63">
        <f t="shared" si="223"/>
        <v>0.11884864128480307</v>
      </c>
      <c r="K812" s="30">
        <f>IF(OR(LEFT($D812,5)="Solar",$D812="Wind"),INDEX(Land_Use[AVG],MATCH(LEFT($D812,5),Land_Use[Tech],0)),0)*$E812</f>
        <v>2166.6666666666661</v>
      </c>
      <c r="L812" s="30">
        <f>IF(OR(LEFT($D812,5)="Solar",$D812="Wind"),INDEX(Land_Use[MIN],MATCH(LEFT($D812,5),Land_Use[Tech],0)),0)*$E812</f>
        <v>1733.3333333333328</v>
      </c>
      <c r="M812" s="30">
        <f>IF(OR(LEFT($D812,5)="Solar",$D812="Wind"),INDEX(Land_Use[MAX],MATCH(LEFT($D812,5),Land_Use[Tech],0)),0)*$E812</f>
        <v>2599.9999999999995</v>
      </c>
      <c r="N812" s="15">
        <f t="shared" si="215"/>
        <v>0</v>
      </c>
      <c r="O812" s="11">
        <f t="shared" si="216"/>
        <v>30333.333333333325</v>
      </c>
      <c r="P812" s="11">
        <f t="shared" si="217"/>
        <v>3033.3333333333321</v>
      </c>
      <c r="Q812" s="11">
        <f t="shared" si="218"/>
        <v>541666.66666666651</v>
      </c>
      <c r="R812" s="11">
        <f t="shared" si="219"/>
        <v>671.66666666666652</v>
      </c>
      <c r="S812" s="30">
        <f t="shared" si="224"/>
        <v>1.6476190476190467</v>
      </c>
      <c r="T812" s="30">
        <f t="shared" si="225"/>
        <v>1.3428571428571421</v>
      </c>
      <c r="U812" s="30">
        <f t="shared" si="226"/>
        <v>1.5904761904761895</v>
      </c>
      <c r="V812" s="30">
        <f t="shared" si="227"/>
        <v>0.26761904761904748</v>
      </c>
      <c r="W812" s="30">
        <f t="shared" si="228"/>
        <v>4.8485714285714252</v>
      </c>
      <c r="X812" s="30">
        <f t="shared" si="229"/>
        <v>290.91428571428554</v>
      </c>
      <c r="Z812" s="23" t="s">
        <v>76</v>
      </c>
      <c r="AA812" s="40">
        <f>IF(C812="Electricity",E812*SUMIFS(Electricity!S:S,Electricity!P:P,UserMade_Scenario!B812,Electricity!M:M,UserMade_Scenario!Z812,Electricity!O:O,UserMade_Scenario!D812),"")</f>
        <v>1019900.378534565</v>
      </c>
      <c r="AB812" s="76">
        <f>1/Assumptions!$B$23/1000000000000</f>
        <v>3.5998225679871703E-9</v>
      </c>
      <c r="AC812" s="67" t="s">
        <v>82</v>
      </c>
      <c r="AD812" s="69">
        <f>INDEX(Table11[AVG
CO2e MT per MWh],MATCH(UserMade_Scenario!$B812,Table11[[Year]:[Year]],0))</f>
        <v>-9.3343291599999934E-2</v>
      </c>
      <c r="AE812" s="69">
        <f>INDEX(Table11[MIN
CO2e MT per MWh],MATCH(UserMade_Scenario!$B812,Table11[[Year]:[Year]],0))</f>
        <v>-7.0156925200000081E-2</v>
      </c>
      <c r="AF812" s="69">
        <f>INDEX(Table11[MAX CO2e MT per MWh],MATCH(UserMade_Scenario!$B812,Table11[[Year]:[Year]],0))</f>
        <v>-0.11652965700000005</v>
      </c>
      <c r="AG812" s="68">
        <f>IFERROR(INDEX(WaterUseH2[Average Direct Water Consumption (Gal/ kg h2)],MATCH(LEFT(D812,3),WaterUseH2[Key],0)),0)</f>
        <v>0</v>
      </c>
      <c r="AH812">
        <v>14</v>
      </c>
      <c r="AI812">
        <v>1.4</v>
      </c>
      <c r="AJ812">
        <v>250</v>
      </c>
      <c r="AK812">
        <v>0.31</v>
      </c>
      <c r="AL812" s="63">
        <f>IFERROR(INDEX(Job_Training[[Solar]:[Wind]],MATCH(AL$1,Job_Training[[`Typical Entry Level Education`]:[`Typical Entry Level Education`]],0),MATCH(LEFT($D812,5),Job_Training[[#Headers],[Solar]:[Wind]],0)),0)</f>
        <v>3.4599999999999999E-2</v>
      </c>
      <c r="AM812" s="63">
        <f>IFERROR(INDEX(Job_Training[[Solar]:[Wind]],MATCH(AM$1,Job_Training[[`Typical Entry Level Education`]:[`Typical Entry Level Education`]],0),MATCH(LEFT($D812,5),Job_Training[[#Headers],[Solar]:[Wind]],0)),0)</f>
        <v>2.8199999999999999E-2</v>
      </c>
      <c r="AN812" s="63">
        <f>IFERROR(INDEX(Job_Training[[Solar]:[Wind]],MATCH(AN$1,Job_Training[[`Typical Entry Level Education`]:[`Typical Entry Level Education`]],0),MATCH(LEFT($D812,5),Job_Training[[#Headers],[Solar]:[Wind]],0)),0)</f>
        <v>3.3399999999999999E-2</v>
      </c>
      <c r="AO812" s="63">
        <f>IFERROR(INDEX(Job_Training[[Solar]:[Wind]],MATCH(AO$1,Job_Training[[`Typical Entry Level Education`]:[`Typical Entry Level Education`]],0),MATCH(LEFT($D812,5),Job_Training[[#Headers],[Solar]:[Wind]],0)),0)</f>
        <v>5.62E-3</v>
      </c>
      <c r="AP812">
        <f t="shared" si="230"/>
        <v>47.619047619047592</v>
      </c>
      <c r="AQ812" s="63">
        <f>IF(AP812&gt;0,IFERROR(INDEX(Assumptions!$C$165:$D$165,MATCH(LEFT($D812,5),Job_Training[[#Headers],[Solar]:[Wind]],0)),0),0)</f>
        <v>0.10181999999999999</v>
      </c>
      <c r="AR812">
        <f>IF(AP812&gt;0,IFERROR(INDEX(Assumptions!$C$166:$D$166,MATCH(LEFT($D812,5),Job_Training[[#Headers],[Solar]:[Wind]],0)),0),0)</f>
        <v>6.1091999999999995</v>
      </c>
    </row>
    <row r="813" spans="1:44" hidden="1" x14ac:dyDescent="0.35">
      <c r="A813" t="str">
        <f>UserInput!$B$82</f>
        <v>Incremental Buildout</v>
      </c>
      <c r="B813">
        <v>2038</v>
      </c>
      <c r="C813" t="s">
        <v>41</v>
      </c>
      <c r="D813" t="s">
        <v>80</v>
      </c>
      <c r="E813" s="120">
        <f>INDEX(UserInput!$C$82:$M$102,MATCH(UserMade_Scenario!B813,UserInput!$A$82:$A$102,0),MATCH(LEFT(IF(RIGHT(C813,2)="H2",UserMade_Scenario!C813,D813),3),UserInput!$C$25:$M$25,0))</f>
        <v>666.66666666666652</v>
      </c>
      <c r="F813" t="s">
        <v>81</v>
      </c>
      <c r="G813" s="14">
        <f t="shared" si="231"/>
        <v>3.8245859250909098E-3</v>
      </c>
      <c r="H813" s="63">
        <f t="shared" si="221"/>
        <v>9.4683743927309078E-2</v>
      </c>
      <c r="I813" s="63">
        <f t="shared" si="222"/>
        <v>6.9057532788287093E-2</v>
      </c>
      <c r="J813" s="63">
        <f t="shared" si="223"/>
        <v>0.12030995400389401</v>
      </c>
      <c r="K813" s="30">
        <f>IF(OR(LEFT($D813,5)="Solar",$D813="Wind"),INDEX(Land_Use[AVG],MATCH(LEFT($D813,5),Land_Use[Tech],0)),0)*$E813</f>
        <v>2333.333333333333</v>
      </c>
      <c r="L813" s="30">
        <f>IF(OR(LEFT($D813,5)="Solar",$D813="Wind"),INDEX(Land_Use[MIN],MATCH(LEFT($D813,5),Land_Use[Tech],0)),0)*$E813</f>
        <v>1866.6666666666661</v>
      </c>
      <c r="M813" s="30">
        <f>IF(OR(LEFT($D813,5)="Solar",$D813="Wind"),INDEX(Land_Use[MAX],MATCH(LEFT($D813,5),Land_Use[Tech],0)),0)*$E813</f>
        <v>2799.9999999999995</v>
      </c>
      <c r="N813" s="15">
        <f t="shared" si="215"/>
        <v>0</v>
      </c>
      <c r="O813" s="11">
        <f t="shared" si="216"/>
        <v>32666.666666666664</v>
      </c>
      <c r="P813" s="11">
        <f t="shared" si="217"/>
        <v>3266.6666666666661</v>
      </c>
      <c r="Q813" s="11">
        <f t="shared" si="218"/>
        <v>583333.33333333326</v>
      </c>
      <c r="R813" s="11">
        <f t="shared" si="219"/>
        <v>723.33333333333326</v>
      </c>
      <c r="S813" s="30">
        <f t="shared" si="224"/>
        <v>1.6476190476190467</v>
      </c>
      <c r="T813" s="30">
        <f t="shared" si="225"/>
        <v>1.3428571428571421</v>
      </c>
      <c r="U813" s="30">
        <f t="shared" si="226"/>
        <v>1.5904761904761895</v>
      </c>
      <c r="V813" s="30">
        <f t="shared" si="227"/>
        <v>0.26761904761904748</v>
      </c>
      <c r="W813" s="30">
        <f t="shared" si="228"/>
        <v>4.8485714285714252</v>
      </c>
      <c r="X813" s="30">
        <f t="shared" si="229"/>
        <v>290.91428571428554</v>
      </c>
      <c r="Z813" s="23" t="s">
        <v>76</v>
      </c>
      <c r="AA813" s="40">
        <f>IF(C813="Electricity",E813*SUMIFS(Electricity!S:S,Electricity!P:P,UserMade_Scenario!B813,Electricity!M:M,UserMade_Scenario!Z813,Electricity!O:O,UserMade_Scenario!D813),"")</f>
        <v>1062437.3431908938</v>
      </c>
      <c r="AB813" s="76">
        <f>1/Assumptions!$B$23/1000000000000</f>
        <v>3.5998225679871703E-9</v>
      </c>
      <c r="AC813" s="67" t="s">
        <v>82</v>
      </c>
      <c r="AD813" s="69">
        <f>INDEX(Table11[AVG
CO2e MT per MWh],MATCH(UserMade_Scenario!$B813,Table11[[Year]:[Year]],0))</f>
        <v>-8.9119367399999927E-2</v>
      </c>
      <c r="AE813" s="69">
        <f>INDEX(Table11[MIN
CO2e MT per MWh],MATCH(UserMade_Scenario!$B813,Table11[[Year]:[Year]],0))</f>
        <v>-6.4999158050000089E-2</v>
      </c>
      <c r="AF813" s="69">
        <f>INDEX(Table11[MAX CO2e MT per MWh],MATCH(UserMade_Scenario!$B813,Table11[[Year]:[Year]],0))</f>
        <v>-0.11323957575000004</v>
      </c>
      <c r="AG813" s="68">
        <f>IFERROR(INDEX(WaterUseH2[Average Direct Water Consumption (Gal/ kg h2)],MATCH(LEFT(D813,3),WaterUseH2[Key],0)),0)</f>
        <v>0</v>
      </c>
      <c r="AH813">
        <v>14</v>
      </c>
      <c r="AI813">
        <v>1.4</v>
      </c>
      <c r="AJ813">
        <v>250</v>
      </c>
      <c r="AK813">
        <v>0.31</v>
      </c>
      <c r="AL813" s="63">
        <f>IFERROR(INDEX(Job_Training[[Solar]:[Wind]],MATCH(AL$1,Job_Training[[`Typical Entry Level Education`]:[`Typical Entry Level Education`]],0),MATCH(LEFT($D813,5),Job_Training[[#Headers],[Solar]:[Wind]],0)),0)</f>
        <v>3.4599999999999999E-2</v>
      </c>
      <c r="AM813" s="63">
        <f>IFERROR(INDEX(Job_Training[[Solar]:[Wind]],MATCH(AM$1,Job_Training[[`Typical Entry Level Education`]:[`Typical Entry Level Education`]],0),MATCH(LEFT($D813,5),Job_Training[[#Headers],[Solar]:[Wind]],0)),0)</f>
        <v>2.8199999999999999E-2</v>
      </c>
      <c r="AN813" s="63">
        <f>IFERROR(INDEX(Job_Training[[Solar]:[Wind]],MATCH(AN$1,Job_Training[[`Typical Entry Level Education`]:[`Typical Entry Level Education`]],0),MATCH(LEFT($D813,5),Job_Training[[#Headers],[Solar]:[Wind]],0)),0)</f>
        <v>3.3399999999999999E-2</v>
      </c>
      <c r="AO813" s="63">
        <f>IFERROR(INDEX(Job_Training[[Solar]:[Wind]],MATCH(AO$1,Job_Training[[`Typical Entry Level Education`]:[`Typical Entry Level Education`]],0),MATCH(LEFT($D813,5),Job_Training[[#Headers],[Solar]:[Wind]],0)),0)</f>
        <v>5.62E-3</v>
      </c>
      <c r="AP813">
        <f t="shared" si="230"/>
        <v>47.619047619047592</v>
      </c>
      <c r="AQ813" s="63">
        <f>IF(AP813&gt;0,IFERROR(INDEX(Assumptions!$C$165:$D$165,MATCH(LEFT($D813,5),Job_Training[[#Headers],[Solar]:[Wind]],0)),0),0)</f>
        <v>0.10181999999999999</v>
      </c>
      <c r="AR813">
        <f>IF(AP813&gt;0,IFERROR(INDEX(Assumptions!$C$166:$D$166,MATCH(LEFT($D813,5),Job_Training[[#Headers],[Solar]:[Wind]],0)),0),0)</f>
        <v>6.1091999999999995</v>
      </c>
    </row>
    <row r="814" spans="1:44" hidden="1" x14ac:dyDescent="0.35">
      <c r="A814" t="str">
        <f>UserInput!$B$82</f>
        <v>Incremental Buildout</v>
      </c>
      <c r="B814">
        <v>2039</v>
      </c>
      <c r="C814" t="s">
        <v>41</v>
      </c>
      <c r="D814" t="s">
        <v>80</v>
      </c>
      <c r="E814" s="120">
        <f>INDEX(UserInput!$C$82:$M$102,MATCH(UserMade_Scenario!B814,UserInput!$A$82:$A$102,0),MATCH(LEFT(IF(RIGHT(C814,2)="H2",UserMade_Scenario!C814,D814),3),UserInput!$C$25:$M$25,0))</f>
        <v>714.28571428571411</v>
      </c>
      <c r="F814" t="s">
        <v>81</v>
      </c>
      <c r="G814" s="14">
        <f t="shared" si="231"/>
        <v>3.9592408068049659E-3</v>
      </c>
      <c r="H814" s="63">
        <f t="shared" si="221"/>
        <v>9.3371686154291242E-2</v>
      </c>
      <c r="I814" s="63">
        <f t="shared" si="222"/>
        <v>6.5816154077761785E-2</v>
      </c>
      <c r="J814" s="63">
        <f t="shared" si="223"/>
        <v>0.1209272171309777</v>
      </c>
      <c r="K814" s="30">
        <f>IF(OR(LEFT($D814,5)="Solar",$D814="Wind"),INDEX(Land_Use[AVG],MATCH(LEFT($D814,5),Land_Use[Tech],0)),0)*$E814</f>
        <v>2499.9999999999995</v>
      </c>
      <c r="L814" s="30">
        <f>IF(OR(LEFT($D814,5)="Solar",$D814="Wind"),INDEX(Land_Use[MIN],MATCH(LEFT($D814,5),Land_Use[Tech],0)),0)*$E814</f>
        <v>1999.9999999999993</v>
      </c>
      <c r="M814" s="30">
        <f>IF(OR(LEFT($D814,5)="Solar",$D814="Wind"),INDEX(Land_Use[MAX],MATCH(LEFT($D814,5),Land_Use[Tech],0)),0)*$E814</f>
        <v>2999.9999999999995</v>
      </c>
      <c r="N814" s="15">
        <f t="shared" si="215"/>
        <v>0</v>
      </c>
      <c r="O814" s="11">
        <f t="shared" si="216"/>
        <v>34999.999999999993</v>
      </c>
      <c r="P814" s="11">
        <f t="shared" si="217"/>
        <v>3499.9999999999991</v>
      </c>
      <c r="Q814" s="11">
        <f t="shared" si="218"/>
        <v>624999.99999999988</v>
      </c>
      <c r="R814" s="11">
        <f t="shared" si="219"/>
        <v>774.99999999999989</v>
      </c>
      <c r="S814" s="30">
        <f t="shared" si="224"/>
        <v>1.6476190476190467</v>
      </c>
      <c r="T814" s="30">
        <f t="shared" si="225"/>
        <v>1.3428571428571421</v>
      </c>
      <c r="U814" s="30">
        <f t="shared" si="226"/>
        <v>1.5904761904761895</v>
      </c>
      <c r="V814" s="30">
        <f t="shared" si="227"/>
        <v>0.26761904761904748</v>
      </c>
      <c r="W814" s="30">
        <f t="shared" si="228"/>
        <v>4.8485714285714252</v>
      </c>
      <c r="X814" s="30">
        <f t="shared" si="229"/>
        <v>290.91428571428554</v>
      </c>
      <c r="Z814" s="23" t="s">
        <v>76</v>
      </c>
      <c r="AA814" s="40">
        <f>IF(C814="Electricity",E814*SUMIFS(Electricity!S:S,Electricity!P:P,UserMade_Scenario!B814,Electricity!M:M,UserMade_Scenario!Z814,Electricity!O:O,UserMade_Scenario!D814),"")</f>
        <v>1099843.3206164278</v>
      </c>
      <c r="AB814" s="76">
        <f>1/Assumptions!$B$23/1000000000000</f>
        <v>3.5998225679871703E-9</v>
      </c>
      <c r="AC814" s="67" t="s">
        <v>82</v>
      </c>
      <c r="AD814" s="69">
        <f>INDEX(Table11[AVG
CO2e MT per MWh],MATCH(UserMade_Scenario!$B814,Table11[[Year]:[Year]],0))</f>
        <v>-8.489544319999992E-2</v>
      </c>
      <c r="AE814" s="69">
        <f>INDEX(Table11[MIN
CO2e MT per MWh],MATCH(UserMade_Scenario!$B814,Table11[[Year]:[Year]],0))</f>
        <v>-5.984139090000009E-2</v>
      </c>
      <c r="AF814" s="69">
        <f>INDEX(Table11[MAX CO2e MT per MWh],MATCH(UserMade_Scenario!$B814,Table11[[Year]:[Year]],0))</f>
        <v>-0.10994949450000004</v>
      </c>
      <c r="AG814" s="68">
        <f>IFERROR(INDEX(WaterUseH2[Average Direct Water Consumption (Gal/ kg h2)],MATCH(LEFT(D814,3),WaterUseH2[Key],0)),0)</f>
        <v>0</v>
      </c>
      <c r="AH814">
        <v>14</v>
      </c>
      <c r="AI814">
        <v>1.4</v>
      </c>
      <c r="AJ814">
        <v>250</v>
      </c>
      <c r="AK814">
        <v>0.31</v>
      </c>
      <c r="AL814" s="63">
        <f>IFERROR(INDEX(Job_Training[[Solar]:[Wind]],MATCH(AL$1,Job_Training[[`Typical Entry Level Education`]:[`Typical Entry Level Education`]],0),MATCH(LEFT($D814,5),Job_Training[[#Headers],[Solar]:[Wind]],0)),0)</f>
        <v>3.4599999999999999E-2</v>
      </c>
      <c r="AM814" s="63">
        <f>IFERROR(INDEX(Job_Training[[Solar]:[Wind]],MATCH(AM$1,Job_Training[[`Typical Entry Level Education`]:[`Typical Entry Level Education`]],0),MATCH(LEFT($D814,5),Job_Training[[#Headers],[Solar]:[Wind]],0)),0)</f>
        <v>2.8199999999999999E-2</v>
      </c>
      <c r="AN814" s="63">
        <f>IFERROR(INDEX(Job_Training[[Solar]:[Wind]],MATCH(AN$1,Job_Training[[`Typical Entry Level Education`]:[`Typical Entry Level Education`]],0),MATCH(LEFT($D814,5),Job_Training[[#Headers],[Solar]:[Wind]],0)),0)</f>
        <v>3.3399999999999999E-2</v>
      </c>
      <c r="AO814" s="63">
        <f>IFERROR(INDEX(Job_Training[[Solar]:[Wind]],MATCH(AO$1,Job_Training[[`Typical Entry Level Education`]:[`Typical Entry Level Education`]],0),MATCH(LEFT($D814,5),Job_Training[[#Headers],[Solar]:[Wind]],0)),0)</f>
        <v>5.62E-3</v>
      </c>
      <c r="AP814">
        <f t="shared" si="230"/>
        <v>47.619047619047592</v>
      </c>
      <c r="AQ814" s="63">
        <f>IF(AP814&gt;0,IFERROR(INDEX(Assumptions!$C$165:$D$165,MATCH(LEFT($D814,5),Job_Training[[#Headers],[Solar]:[Wind]],0)),0),0)</f>
        <v>0.10181999999999999</v>
      </c>
      <c r="AR814">
        <f>IF(AP814&gt;0,IFERROR(INDEX(Assumptions!$C$166:$D$166,MATCH(LEFT($D814,5),Job_Training[[#Headers],[Solar]:[Wind]],0)),0),0)</f>
        <v>6.1091999999999995</v>
      </c>
    </row>
    <row r="815" spans="1:44" hidden="1" x14ac:dyDescent="0.35">
      <c r="A815" t="str">
        <f>UserInput!$B$82</f>
        <v>Incremental Buildout</v>
      </c>
      <c r="B815">
        <v>2040</v>
      </c>
      <c r="C815" t="s">
        <v>41</v>
      </c>
      <c r="D815" t="s">
        <v>80</v>
      </c>
      <c r="E815" s="120">
        <f>INDEX(UserInput!$C$82:$M$102,MATCH(UserMade_Scenario!B815,UserInput!$A$82:$A$102,0),MATCH(LEFT(IF(RIGHT(C815,2)="H2",UserMade_Scenario!C815,D815),3),UserInput!$C$25:$M$25,0))</f>
        <v>761.9047619047617</v>
      </c>
      <c r="F815" t="s">
        <v>81</v>
      </c>
      <c r="G815" s="14">
        <f t="shared" si="231"/>
        <v>4.0754250448895553E-3</v>
      </c>
      <c r="H815" s="63">
        <f t="shared" si="221"/>
        <v>9.1329703820850941E-2</v>
      </c>
      <c r="I815" s="63">
        <f t="shared" si="222"/>
        <v>6.1908331748883563E-2</v>
      </c>
      <c r="J815" s="63">
        <f t="shared" si="223"/>
        <v>0.12075107476070034</v>
      </c>
      <c r="K815" s="30">
        <f>IF(OR(LEFT($D815,5)="Solar",$D815="Wind"),INDEX(Land_Use[AVG],MATCH(LEFT($D815,5),Land_Use[Tech],0)),0)*$E815</f>
        <v>2666.6666666666661</v>
      </c>
      <c r="L815" s="30">
        <f>IF(OR(LEFT($D815,5)="Solar",$D815="Wind"),INDEX(Land_Use[MIN],MATCH(LEFT($D815,5),Land_Use[Tech],0)),0)*$E815</f>
        <v>2133.3333333333326</v>
      </c>
      <c r="M815" s="30">
        <f>IF(OR(LEFT($D815,5)="Solar",$D815="Wind"),INDEX(Land_Use[MAX],MATCH(LEFT($D815,5),Land_Use[Tech],0)),0)*$E815</f>
        <v>3199.9999999999991</v>
      </c>
      <c r="N815" s="15">
        <f t="shared" si="215"/>
        <v>0</v>
      </c>
      <c r="O815" s="11">
        <f t="shared" si="216"/>
        <v>37333.333333333328</v>
      </c>
      <c r="P815" s="11">
        <f t="shared" si="217"/>
        <v>3733.3333333333321</v>
      </c>
      <c r="Q815" s="11">
        <f t="shared" si="218"/>
        <v>666666.66666666651</v>
      </c>
      <c r="R815" s="11">
        <f t="shared" si="219"/>
        <v>826.66666666666652</v>
      </c>
      <c r="S815" s="30">
        <f t="shared" si="224"/>
        <v>1.6476190476190467</v>
      </c>
      <c r="T815" s="30">
        <f t="shared" si="225"/>
        <v>1.3428571428571421</v>
      </c>
      <c r="U815" s="30">
        <f t="shared" si="226"/>
        <v>1.5904761904761895</v>
      </c>
      <c r="V815" s="30">
        <f t="shared" si="227"/>
        <v>0.26761904761904748</v>
      </c>
      <c r="W815" s="30">
        <f t="shared" si="228"/>
        <v>4.8485714285714252</v>
      </c>
      <c r="X815" s="30">
        <f t="shared" si="229"/>
        <v>290.91428571428554</v>
      </c>
      <c r="Z815" s="23" t="s">
        <v>76</v>
      </c>
      <c r="AA815" s="40">
        <f>IF(C815="Electricity",E815*SUMIFS(Electricity!S:S,Electricity!P:P,UserMade_Scenario!B815,Electricity!M:M,UserMade_Scenario!Z815,Electricity!O:O,UserMade_Scenario!D815),"")</f>
        <v>1132118.3108111678</v>
      </c>
      <c r="AB815" s="76">
        <f>1/Assumptions!$B$23/1000000000000</f>
        <v>3.5998225679871703E-9</v>
      </c>
      <c r="AC815" s="67" t="s">
        <v>82</v>
      </c>
      <c r="AD815" s="69">
        <f>INDEX(Table11[AVG
CO2e MT per MWh],MATCH(UserMade_Scenario!$B815,Table11[[Year]:[Year]],0))</f>
        <v>-8.0671518999999914E-2</v>
      </c>
      <c r="AE815" s="69">
        <f>INDEX(Table11[MIN
CO2e MT per MWh],MATCH(UserMade_Scenario!$B815,Table11[[Year]:[Year]],0))</f>
        <v>-5.468362375000009E-2</v>
      </c>
      <c r="AF815" s="69">
        <f>INDEX(Table11[MAX CO2e MT per MWh],MATCH(UserMade_Scenario!$B815,Table11[[Year]:[Year]],0))</f>
        <v>-0.10665941325000003</v>
      </c>
      <c r="AG815" s="68">
        <f>IFERROR(INDEX(WaterUseH2[Average Direct Water Consumption (Gal/ kg h2)],MATCH(LEFT(D815,3),WaterUseH2[Key],0)),0)</f>
        <v>0</v>
      </c>
      <c r="AH815">
        <v>14</v>
      </c>
      <c r="AI815">
        <v>1.4</v>
      </c>
      <c r="AJ815">
        <v>250</v>
      </c>
      <c r="AK815">
        <v>0.31</v>
      </c>
      <c r="AL815" s="63">
        <f>IFERROR(INDEX(Job_Training[[Solar]:[Wind]],MATCH(AL$1,Job_Training[[`Typical Entry Level Education`]:[`Typical Entry Level Education`]],0),MATCH(LEFT($D815,5),Job_Training[[#Headers],[Solar]:[Wind]],0)),0)</f>
        <v>3.4599999999999999E-2</v>
      </c>
      <c r="AM815" s="63">
        <f>IFERROR(INDEX(Job_Training[[Solar]:[Wind]],MATCH(AM$1,Job_Training[[`Typical Entry Level Education`]:[`Typical Entry Level Education`]],0),MATCH(LEFT($D815,5),Job_Training[[#Headers],[Solar]:[Wind]],0)),0)</f>
        <v>2.8199999999999999E-2</v>
      </c>
      <c r="AN815" s="63">
        <f>IFERROR(INDEX(Job_Training[[Solar]:[Wind]],MATCH(AN$1,Job_Training[[`Typical Entry Level Education`]:[`Typical Entry Level Education`]],0),MATCH(LEFT($D815,5),Job_Training[[#Headers],[Solar]:[Wind]],0)),0)</f>
        <v>3.3399999999999999E-2</v>
      </c>
      <c r="AO815" s="63">
        <f>IFERROR(INDEX(Job_Training[[Solar]:[Wind]],MATCH(AO$1,Job_Training[[`Typical Entry Level Education`]:[`Typical Entry Level Education`]],0),MATCH(LEFT($D815,5),Job_Training[[#Headers],[Solar]:[Wind]],0)),0)</f>
        <v>5.62E-3</v>
      </c>
      <c r="AP815">
        <f t="shared" si="230"/>
        <v>47.619047619047592</v>
      </c>
      <c r="AQ815" s="63">
        <f>IF(AP815&gt;0,IFERROR(INDEX(Assumptions!$C$165:$D$165,MATCH(LEFT($D815,5),Job_Training[[#Headers],[Solar]:[Wind]],0)),0),0)</f>
        <v>0.10181999999999999</v>
      </c>
      <c r="AR815">
        <f>IF(AP815&gt;0,IFERROR(INDEX(Assumptions!$C$166:$D$166,MATCH(LEFT($D815,5),Job_Training[[#Headers],[Solar]:[Wind]],0)),0),0)</f>
        <v>6.1091999999999995</v>
      </c>
    </row>
    <row r="816" spans="1:44" hidden="1" x14ac:dyDescent="0.35">
      <c r="A816" t="str">
        <f>UserInput!$B$82</f>
        <v>Incremental Buildout</v>
      </c>
      <c r="B816">
        <v>2041</v>
      </c>
      <c r="C816" t="s">
        <v>41</v>
      </c>
      <c r="D816" t="s">
        <v>80</v>
      </c>
      <c r="E816" s="120">
        <f>INDEX(UserInput!$C$82:$M$102,MATCH(UserMade_Scenario!B816,UserInput!$A$82:$A$102,0),MATCH(LEFT(IF(RIGHT(C816,2)="H2",UserMade_Scenario!C816,D816),3),UserInput!$C$25:$M$25,0))</f>
        <v>809.52380952380929</v>
      </c>
      <c r="F816" t="s">
        <v>81</v>
      </c>
      <c r="G816" s="14">
        <f t="shared" si="231"/>
        <v>4.173138639344676E-3</v>
      </c>
      <c r="H816" s="63">
        <f t="shared" si="221"/>
        <v>8.8622815630390192E-2</v>
      </c>
      <c r="I816" s="63">
        <f t="shared" si="222"/>
        <v>5.7413459113810558E-2</v>
      </c>
      <c r="J816" s="63">
        <f t="shared" si="223"/>
        <v>0.11983217098770786</v>
      </c>
      <c r="K816" s="30">
        <f>IF(OR(LEFT($D816,5)="Solar",$D816="Wind"),INDEX(Land_Use[AVG],MATCH(LEFT($D816,5),Land_Use[Tech],0)),0)*$E816</f>
        <v>2833.3333333333326</v>
      </c>
      <c r="L816" s="30">
        <f>IF(OR(LEFT($D816,5)="Solar",$D816="Wind"),INDEX(Land_Use[MIN],MATCH(LEFT($D816,5),Land_Use[Tech],0)),0)*$E816</f>
        <v>2266.6666666666661</v>
      </c>
      <c r="M816" s="30">
        <f>IF(OR(LEFT($D816,5)="Solar",$D816="Wind"),INDEX(Land_Use[MAX],MATCH(LEFT($D816,5),Land_Use[Tech],0)),0)*$E816</f>
        <v>3399.9999999999991</v>
      </c>
      <c r="N816" s="15">
        <f t="shared" si="215"/>
        <v>0</v>
      </c>
      <c r="O816" s="11">
        <f t="shared" si="216"/>
        <v>39666.666666666657</v>
      </c>
      <c r="P816" s="11">
        <f t="shared" si="217"/>
        <v>3966.6666666666652</v>
      </c>
      <c r="Q816" s="11">
        <f t="shared" si="218"/>
        <v>708333.33333333314</v>
      </c>
      <c r="R816" s="11">
        <f t="shared" si="219"/>
        <v>878.33333333333314</v>
      </c>
      <c r="S816" s="30">
        <f t="shared" si="224"/>
        <v>1.6476190476190467</v>
      </c>
      <c r="T816" s="30">
        <f t="shared" si="225"/>
        <v>1.3428571428571421</v>
      </c>
      <c r="U816" s="30">
        <f t="shared" si="226"/>
        <v>1.5904761904761895</v>
      </c>
      <c r="V816" s="30">
        <f t="shared" si="227"/>
        <v>0.26761904761904748</v>
      </c>
      <c r="W816" s="30">
        <f t="shared" si="228"/>
        <v>4.8485714285714252</v>
      </c>
      <c r="X816" s="30">
        <f t="shared" si="229"/>
        <v>290.91428571428554</v>
      </c>
      <c r="Z816" s="23" t="s">
        <v>76</v>
      </c>
      <c r="AA816" s="40">
        <f>IF(C816="Electricity",E816*SUMIFS(Electricity!S:S,Electricity!P:P,UserMade_Scenario!B816,Electricity!M:M,UserMade_Scenario!Z816,Electricity!O:O,UserMade_Scenario!D816),"")</f>
        <v>1159262.3137751131</v>
      </c>
      <c r="AB816" s="76">
        <f>1/Assumptions!$B$23/1000000000000</f>
        <v>3.5998225679871703E-9</v>
      </c>
      <c r="AC816" s="67" t="s">
        <v>82</v>
      </c>
      <c r="AD816" s="69">
        <f>INDEX(Table11[AVG
CO2e MT per MWh],MATCH(UserMade_Scenario!$B816,Table11[[Year]:[Year]],0))</f>
        <v>-7.6447594799999907E-2</v>
      </c>
      <c r="AE816" s="69">
        <f>INDEX(Table11[MIN
CO2e MT per MWh],MATCH(UserMade_Scenario!$B816,Table11[[Year]:[Year]],0))</f>
        <v>-4.9525856600000091E-2</v>
      </c>
      <c r="AF816" s="69">
        <f>INDEX(Table11[MAX CO2e MT per MWh],MATCH(UserMade_Scenario!$B816,Table11[[Year]:[Year]],0))</f>
        <v>-0.10336933200000002</v>
      </c>
      <c r="AG816" s="68">
        <f>IFERROR(INDEX(WaterUseH2[Average Direct Water Consumption (Gal/ kg h2)],MATCH(LEFT(D816,3),WaterUseH2[Key],0)),0)</f>
        <v>0</v>
      </c>
      <c r="AH816">
        <v>14</v>
      </c>
      <c r="AI816">
        <v>1.4</v>
      </c>
      <c r="AJ816">
        <v>250</v>
      </c>
      <c r="AK816">
        <v>0.31</v>
      </c>
      <c r="AL816" s="63">
        <f>IFERROR(INDEX(Job_Training[[Solar]:[Wind]],MATCH(AL$1,Job_Training[[`Typical Entry Level Education`]:[`Typical Entry Level Education`]],0),MATCH(LEFT($D816,5),Job_Training[[#Headers],[Solar]:[Wind]],0)),0)</f>
        <v>3.4599999999999999E-2</v>
      </c>
      <c r="AM816" s="63">
        <f>IFERROR(INDEX(Job_Training[[Solar]:[Wind]],MATCH(AM$1,Job_Training[[`Typical Entry Level Education`]:[`Typical Entry Level Education`]],0),MATCH(LEFT($D816,5),Job_Training[[#Headers],[Solar]:[Wind]],0)),0)</f>
        <v>2.8199999999999999E-2</v>
      </c>
      <c r="AN816" s="63">
        <f>IFERROR(INDEX(Job_Training[[Solar]:[Wind]],MATCH(AN$1,Job_Training[[`Typical Entry Level Education`]:[`Typical Entry Level Education`]],0),MATCH(LEFT($D816,5),Job_Training[[#Headers],[Solar]:[Wind]],0)),0)</f>
        <v>3.3399999999999999E-2</v>
      </c>
      <c r="AO816" s="63">
        <f>IFERROR(INDEX(Job_Training[[Solar]:[Wind]],MATCH(AO$1,Job_Training[[`Typical Entry Level Education`]:[`Typical Entry Level Education`]],0),MATCH(LEFT($D816,5),Job_Training[[#Headers],[Solar]:[Wind]],0)),0)</f>
        <v>5.62E-3</v>
      </c>
      <c r="AP816">
        <f t="shared" si="230"/>
        <v>47.619047619047592</v>
      </c>
      <c r="AQ816" s="63">
        <f>IF(AP816&gt;0,IFERROR(INDEX(Assumptions!$C$165:$D$165,MATCH(LEFT($D816,5),Job_Training[[#Headers],[Solar]:[Wind]],0)),0),0)</f>
        <v>0.10181999999999999</v>
      </c>
      <c r="AR816">
        <f>IF(AP816&gt;0,IFERROR(INDEX(Assumptions!$C$166:$D$166,MATCH(LEFT($D816,5),Job_Training[[#Headers],[Solar]:[Wind]],0)),0),0)</f>
        <v>6.1091999999999995</v>
      </c>
    </row>
    <row r="817" spans="1:44" hidden="1" x14ac:dyDescent="0.35">
      <c r="A817" t="str">
        <f>UserInput!$B$82</f>
        <v>Incremental Buildout</v>
      </c>
      <c r="B817">
        <v>2042</v>
      </c>
      <c r="C817" t="s">
        <v>41</v>
      </c>
      <c r="D817" t="s">
        <v>80</v>
      </c>
      <c r="E817" s="120">
        <f>INDEX(UserInput!$C$82:$M$102,MATCH(UserMade_Scenario!B817,UserInput!$A$82:$A$102,0),MATCH(LEFT(IF(RIGHT(C817,2)="H2",UserMade_Scenario!C817,D817),3),UserInput!$C$25:$M$25,0))</f>
        <v>857.14285714285688</v>
      </c>
      <c r="F817" t="s">
        <v>81</v>
      </c>
      <c r="G817" s="14">
        <f t="shared" si="231"/>
        <v>4.2523815901703297E-3</v>
      </c>
      <c r="H817" s="63">
        <f t="shared" si="221"/>
        <v>8.5316040286311207E-2</v>
      </c>
      <c r="I817" s="63">
        <f t="shared" si="222"/>
        <v>5.2410929484700997E-2</v>
      </c>
      <c r="J817" s="63">
        <f t="shared" si="223"/>
        <v>0.11822114990664645</v>
      </c>
      <c r="K817" s="30">
        <f>IF(OR(LEFT($D817,5)="Solar",$D817="Wind"),INDEX(Land_Use[AVG],MATCH(LEFT($D817,5),Land_Use[Tech],0)),0)*$E817</f>
        <v>2999.9999999999991</v>
      </c>
      <c r="L817" s="30">
        <f>IF(OR(LEFT($D817,5)="Solar",$D817="Wind"),INDEX(Land_Use[MIN],MATCH(LEFT($D817,5),Land_Use[Tech],0)),0)*$E817</f>
        <v>2399.9999999999991</v>
      </c>
      <c r="M817" s="30">
        <f>IF(OR(LEFT($D817,5)="Solar",$D817="Wind"),INDEX(Land_Use[MAX],MATCH(LEFT($D817,5),Land_Use[Tech],0)),0)*$E817</f>
        <v>3599.9999999999991</v>
      </c>
      <c r="N817" s="15">
        <f t="shared" si="215"/>
        <v>0</v>
      </c>
      <c r="O817" s="11">
        <f t="shared" si="216"/>
        <v>41999.999999999985</v>
      </c>
      <c r="P817" s="11">
        <f t="shared" si="217"/>
        <v>4199.9999999999982</v>
      </c>
      <c r="Q817" s="11">
        <f t="shared" si="218"/>
        <v>749999.99999999977</v>
      </c>
      <c r="R817" s="11">
        <f t="shared" si="219"/>
        <v>929.99999999999966</v>
      </c>
      <c r="S817" s="30">
        <f t="shared" si="224"/>
        <v>1.6476190476190467</v>
      </c>
      <c r="T817" s="30">
        <f t="shared" si="225"/>
        <v>1.3428571428571421</v>
      </c>
      <c r="U817" s="30">
        <f t="shared" si="226"/>
        <v>1.5904761904761895</v>
      </c>
      <c r="V817" s="30">
        <f t="shared" si="227"/>
        <v>0.26761904761904748</v>
      </c>
      <c r="W817" s="30">
        <f t="shared" si="228"/>
        <v>4.8485714285714252</v>
      </c>
      <c r="X817" s="30">
        <f t="shared" si="229"/>
        <v>290.91428571428554</v>
      </c>
      <c r="Z817" s="23" t="s">
        <v>76</v>
      </c>
      <c r="AA817" s="40">
        <f>IF(C817="Electricity",E817*SUMIFS(Electricity!S:S,Electricity!P:P,UserMade_Scenario!B817,Electricity!M:M,UserMade_Scenario!Z817,Electricity!O:O,UserMade_Scenario!D817),"")</f>
        <v>1181275.3295082641</v>
      </c>
      <c r="AB817" s="76">
        <f>1/Assumptions!$B$23/1000000000000</f>
        <v>3.5998225679871703E-9</v>
      </c>
      <c r="AC817" s="67" t="s">
        <v>82</v>
      </c>
      <c r="AD817" s="69">
        <f>INDEX(Table11[AVG
CO2e MT per MWh],MATCH(UserMade_Scenario!$B817,Table11[[Year]:[Year]],0))</f>
        <v>-7.2223670599999901E-2</v>
      </c>
      <c r="AE817" s="69">
        <f>INDEX(Table11[MIN
CO2e MT per MWh],MATCH(UserMade_Scenario!$B817,Table11[[Year]:[Year]],0))</f>
        <v>-4.4368089450000092E-2</v>
      </c>
      <c r="AF817" s="69">
        <f>INDEX(Table11[MAX CO2e MT per MWh],MATCH(UserMade_Scenario!$B817,Table11[[Year]:[Year]],0))</f>
        <v>-0.10007925075000002</v>
      </c>
      <c r="AG817" s="68">
        <f>IFERROR(INDEX(WaterUseH2[Average Direct Water Consumption (Gal/ kg h2)],MATCH(LEFT(D817,3),WaterUseH2[Key],0)),0)</f>
        <v>0</v>
      </c>
      <c r="AH817">
        <v>14</v>
      </c>
      <c r="AI817">
        <v>1.4</v>
      </c>
      <c r="AJ817">
        <v>250</v>
      </c>
      <c r="AK817">
        <v>0.31</v>
      </c>
      <c r="AL817" s="63">
        <f>IFERROR(INDEX(Job_Training[[Solar]:[Wind]],MATCH(AL$1,Job_Training[[`Typical Entry Level Education`]:[`Typical Entry Level Education`]],0),MATCH(LEFT($D817,5),Job_Training[[#Headers],[Solar]:[Wind]],0)),0)</f>
        <v>3.4599999999999999E-2</v>
      </c>
      <c r="AM817" s="63">
        <f>IFERROR(INDEX(Job_Training[[Solar]:[Wind]],MATCH(AM$1,Job_Training[[`Typical Entry Level Education`]:[`Typical Entry Level Education`]],0),MATCH(LEFT($D817,5),Job_Training[[#Headers],[Solar]:[Wind]],0)),0)</f>
        <v>2.8199999999999999E-2</v>
      </c>
      <c r="AN817" s="63">
        <f>IFERROR(INDEX(Job_Training[[Solar]:[Wind]],MATCH(AN$1,Job_Training[[`Typical Entry Level Education`]:[`Typical Entry Level Education`]],0),MATCH(LEFT($D817,5),Job_Training[[#Headers],[Solar]:[Wind]],0)),0)</f>
        <v>3.3399999999999999E-2</v>
      </c>
      <c r="AO817" s="63">
        <f>IFERROR(INDEX(Job_Training[[Solar]:[Wind]],MATCH(AO$1,Job_Training[[`Typical Entry Level Education`]:[`Typical Entry Level Education`]],0),MATCH(LEFT($D817,5),Job_Training[[#Headers],[Solar]:[Wind]],0)),0)</f>
        <v>5.62E-3</v>
      </c>
      <c r="AP817">
        <f t="shared" si="230"/>
        <v>47.619047619047592</v>
      </c>
      <c r="AQ817" s="63">
        <f>IF(AP817&gt;0,IFERROR(INDEX(Assumptions!$C$165:$D$165,MATCH(LEFT($D817,5),Job_Training[[#Headers],[Solar]:[Wind]],0)),0),0)</f>
        <v>0.10181999999999999</v>
      </c>
      <c r="AR817">
        <f>IF(AP817&gt;0,IFERROR(INDEX(Assumptions!$C$166:$D$166,MATCH(LEFT($D817,5),Job_Training[[#Headers],[Solar]:[Wind]],0)),0),0)</f>
        <v>6.1091999999999995</v>
      </c>
    </row>
    <row r="818" spans="1:44" hidden="1" x14ac:dyDescent="0.35">
      <c r="A818" t="str">
        <f>UserInput!$B$82</f>
        <v>Incremental Buildout</v>
      </c>
      <c r="B818">
        <v>2043</v>
      </c>
      <c r="C818" t="s">
        <v>41</v>
      </c>
      <c r="D818" t="s">
        <v>80</v>
      </c>
      <c r="E818" s="120">
        <f>INDEX(UserInput!$C$82:$M$102,MATCH(UserMade_Scenario!B818,UserInput!$A$82:$A$102,0),MATCH(LEFT(IF(RIGHT(C818,2)="H2",UserMade_Scenario!C818,D818),3),UserInput!$C$25:$M$25,0))</f>
        <v>904.76190476190447</v>
      </c>
      <c r="F818" t="s">
        <v>81</v>
      </c>
      <c r="G818" s="14">
        <f t="shared" si="231"/>
        <v>4.3131538973665163E-3</v>
      </c>
      <c r="H818" s="63">
        <f t="shared" si="221"/>
        <v>8.1474396492016099E-2</v>
      </c>
      <c r="I818" s="63">
        <f t="shared" si="222"/>
        <v>4.6980136173713043E-2</v>
      </c>
      <c r="J818" s="63">
        <f t="shared" si="223"/>
        <v>0.11596865561216217</v>
      </c>
      <c r="K818" s="30">
        <f>IF(OR(LEFT($D818,5)="Solar",$D818="Wind"),INDEX(Land_Use[AVG],MATCH(LEFT($D818,5),Land_Use[Tech],0)),0)*$E818</f>
        <v>3166.6666666666656</v>
      </c>
      <c r="L818" s="30">
        <f>IF(OR(LEFT($D818,5)="Solar",$D818="Wind"),INDEX(Land_Use[MIN],MATCH(LEFT($D818,5),Land_Use[Tech],0)),0)*$E818</f>
        <v>2533.3333333333326</v>
      </c>
      <c r="M818" s="30">
        <f>IF(OR(LEFT($D818,5)="Solar",$D818="Wind"),INDEX(Land_Use[MAX],MATCH(LEFT($D818,5),Land_Use[Tech],0)),0)*$E818</f>
        <v>3799.9999999999991</v>
      </c>
      <c r="N818" s="15">
        <f t="shared" si="215"/>
        <v>0</v>
      </c>
      <c r="O818" s="11">
        <f t="shared" si="216"/>
        <v>44333.333333333321</v>
      </c>
      <c r="P818" s="11">
        <f t="shared" si="217"/>
        <v>4433.3333333333312</v>
      </c>
      <c r="Q818" s="11">
        <f t="shared" si="218"/>
        <v>791666.6666666664</v>
      </c>
      <c r="R818" s="11">
        <f t="shared" si="219"/>
        <v>981.66666666666629</v>
      </c>
      <c r="S818" s="30">
        <f t="shared" si="224"/>
        <v>1.6476190476190467</v>
      </c>
      <c r="T818" s="30">
        <f t="shared" si="225"/>
        <v>1.3428571428571421</v>
      </c>
      <c r="U818" s="30">
        <f t="shared" si="226"/>
        <v>1.5904761904761895</v>
      </c>
      <c r="V818" s="30">
        <f t="shared" si="227"/>
        <v>0.26761904761904748</v>
      </c>
      <c r="W818" s="30">
        <f t="shared" si="228"/>
        <v>4.8485714285714252</v>
      </c>
      <c r="X818" s="30">
        <f t="shared" si="229"/>
        <v>290.91428571428554</v>
      </c>
      <c r="Z818" s="23" t="s">
        <v>76</v>
      </c>
      <c r="AA818" s="40">
        <f>IF(C818="Electricity",E818*SUMIFS(Electricity!S:S,Electricity!P:P,UserMade_Scenario!B818,Electricity!M:M,UserMade_Scenario!Z818,Electricity!O:O,UserMade_Scenario!D818),"")</f>
        <v>1198157.3580106208</v>
      </c>
      <c r="AB818" s="76">
        <f>1/Assumptions!$B$23/1000000000000</f>
        <v>3.5998225679871703E-9</v>
      </c>
      <c r="AC818" s="67" t="s">
        <v>82</v>
      </c>
      <c r="AD818" s="69">
        <f>INDEX(Table11[AVG
CO2e MT per MWh],MATCH(UserMade_Scenario!$B818,Table11[[Year]:[Year]],0))</f>
        <v>-6.7999746399999894E-2</v>
      </c>
      <c r="AE818" s="69">
        <f>INDEX(Table11[MIN
CO2e MT per MWh],MATCH(UserMade_Scenario!$B818,Table11[[Year]:[Year]],0))</f>
        <v>-3.9210322300000093E-2</v>
      </c>
      <c r="AF818" s="69">
        <f>INDEX(Table11[MAX CO2e MT per MWh],MATCH(UserMade_Scenario!$B818,Table11[[Year]:[Year]],0))</f>
        <v>-9.6789169500000008E-2</v>
      </c>
      <c r="AG818" s="68">
        <f>IFERROR(INDEX(WaterUseH2[Average Direct Water Consumption (Gal/ kg h2)],MATCH(LEFT(D818,3),WaterUseH2[Key],0)),0)</f>
        <v>0</v>
      </c>
      <c r="AH818">
        <v>14</v>
      </c>
      <c r="AI818">
        <v>1.4</v>
      </c>
      <c r="AJ818">
        <v>250</v>
      </c>
      <c r="AK818">
        <v>0.31</v>
      </c>
      <c r="AL818" s="63">
        <f>IFERROR(INDEX(Job_Training[[Solar]:[Wind]],MATCH(AL$1,Job_Training[[`Typical Entry Level Education`]:[`Typical Entry Level Education`]],0),MATCH(LEFT($D818,5),Job_Training[[#Headers],[Solar]:[Wind]],0)),0)</f>
        <v>3.4599999999999999E-2</v>
      </c>
      <c r="AM818" s="63">
        <f>IFERROR(INDEX(Job_Training[[Solar]:[Wind]],MATCH(AM$1,Job_Training[[`Typical Entry Level Education`]:[`Typical Entry Level Education`]],0),MATCH(LEFT($D818,5),Job_Training[[#Headers],[Solar]:[Wind]],0)),0)</f>
        <v>2.8199999999999999E-2</v>
      </c>
      <c r="AN818" s="63">
        <f>IFERROR(INDEX(Job_Training[[Solar]:[Wind]],MATCH(AN$1,Job_Training[[`Typical Entry Level Education`]:[`Typical Entry Level Education`]],0),MATCH(LEFT($D818,5),Job_Training[[#Headers],[Solar]:[Wind]],0)),0)</f>
        <v>3.3399999999999999E-2</v>
      </c>
      <c r="AO818" s="63">
        <f>IFERROR(INDEX(Job_Training[[Solar]:[Wind]],MATCH(AO$1,Job_Training[[`Typical Entry Level Education`]:[`Typical Entry Level Education`]],0),MATCH(LEFT($D818,5),Job_Training[[#Headers],[Solar]:[Wind]],0)),0)</f>
        <v>5.62E-3</v>
      </c>
      <c r="AP818">
        <f t="shared" si="230"/>
        <v>47.619047619047592</v>
      </c>
      <c r="AQ818" s="63">
        <f>IF(AP818&gt;0,IFERROR(INDEX(Assumptions!$C$165:$D$165,MATCH(LEFT($D818,5),Job_Training[[#Headers],[Solar]:[Wind]],0)),0),0)</f>
        <v>0.10181999999999999</v>
      </c>
      <c r="AR818">
        <f>IF(AP818&gt;0,IFERROR(INDEX(Assumptions!$C$166:$D$166,MATCH(LEFT($D818,5),Job_Training[[#Headers],[Solar]:[Wind]],0)),0),0)</f>
        <v>6.1091999999999995</v>
      </c>
    </row>
    <row r="819" spans="1:44" hidden="1" x14ac:dyDescent="0.35">
      <c r="A819" t="str">
        <f>UserInput!$B$82</f>
        <v>Incremental Buildout</v>
      </c>
      <c r="B819">
        <v>2044</v>
      </c>
      <c r="C819" t="s">
        <v>41</v>
      </c>
      <c r="D819" t="s">
        <v>80</v>
      </c>
      <c r="E819" s="120">
        <f>INDEX(UserInput!$C$82:$M$102,MATCH(UserMade_Scenario!B819,UserInput!$A$82:$A$102,0),MATCH(LEFT(IF(RIGHT(C819,2)="H2",UserMade_Scenario!C819,D819),3),UserInput!$C$25:$M$25,0))</f>
        <v>952.38095238095207</v>
      </c>
      <c r="F819" t="s">
        <v>81</v>
      </c>
      <c r="G819" s="14">
        <f t="shared" si="231"/>
        <v>4.3554555609332342E-3</v>
      </c>
      <c r="H819" s="63">
        <f t="shared" si="221"/>
        <v>7.716290295090697E-2</v>
      </c>
      <c r="I819" s="63">
        <f t="shared" si="222"/>
        <v>4.1200472493004868E-2</v>
      </c>
      <c r="J819" s="63">
        <f t="shared" si="223"/>
        <v>0.11312533219890106</v>
      </c>
      <c r="K819" s="30">
        <f>IF(OR(LEFT($D819,5)="Solar",$D819="Wind"),INDEX(Land_Use[AVG],MATCH(LEFT($D819,5),Land_Use[Tech],0)),0)*$E819</f>
        <v>3333.3333333333321</v>
      </c>
      <c r="L819" s="30">
        <f>IF(OR(LEFT($D819,5)="Solar",$D819="Wind"),INDEX(Land_Use[MIN],MATCH(LEFT($D819,5),Land_Use[Tech],0)),0)*$E819</f>
        <v>2666.6666666666656</v>
      </c>
      <c r="M819" s="30">
        <f>IF(OR(LEFT($D819,5)="Solar",$D819="Wind"),INDEX(Land_Use[MAX],MATCH(LEFT($D819,5),Land_Use[Tech],0)),0)*$E819</f>
        <v>3999.9999999999986</v>
      </c>
      <c r="N819" s="15">
        <f t="shared" si="215"/>
        <v>0</v>
      </c>
      <c r="O819" s="11">
        <f t="shared" si="216"/>
        <v>46666.66666666665</v>
      </c>
      <c r="P819" s="11">
        <f t="shared" si="217"/>
        <v>4666.6666666666642</v>
      </c>
      <c r="Q819" s="11">
        <f t="shared" si="218"/>
        <v>833333.33333333302</v>
      </c>
      <c r="R819" s="11">
        <f t="shared" si="219"/>
        <v>1033.333333333333</v>
      </c>
      <c r="S819" s="30">
        <f t="shared" si="224"/>
        <v>1.6476190476190467</v>
      </c>
      <c r="T819" s="30">
        <f t="shared" si="225"/>
        <v>1.3428571428571421</v>
      </c>
      <c r="U819" s="30">
        <f t="shared" si="226"/>
        <v>1.5904761904761895</v>
      </c>
      <c r="V819" s="30">
        <f t="shared" si="227"/>
        <v>0.26761904761904748</v>
      </c>
      <c r="W819" s="30">
        <f t="shared" si="228"/>
        <v>4.8485714285714252</v>
      </c>
      <c r="X819" s="30">
        <f t="shared" si="229"/>
        <v>290.91428571428554</v>
      </c>
      <c r="Z819" s="23" t="s">
        <v>76</v>
      </c>
      <c r="AA819" s="40">
        <f>IF(C819="Electricity",E819*SUMIFS(Electricity!S:S,Electricity!P:P,UserMade_Scenario!B819,Electricity!M:M,UserMade_Scenario!Z819,Electricity!O:O,UserMade_Scenario!D819),"")</f>
        <v>1209908.3992821828</v>
      </c>
      <c r="AB819" s="76">
        <f>1/Assumptions!$B$23/1000000000000</f>
        <v>3.5998225679871703E-9</v>
      </c>
      <c r="AC819" s="67" t="s">
        <v>82</v>
      </c>
      <c r="AD819" s="69">
        <f>INDEX(Table11[AVG
CO2e MT per MWh],MATCH(UserMade_Scenario!$B819,Table11[[Year]:[Year]],0))</f>
        <v>-6.3775822199999888E-2</v>
      </c>
      <c r="AE819" s="69">
        <f>INDEX(Table11[MIN
CO2e MT per MWh],MATCH(UserMade_Scenario!$B819,Table11[[Year]:[Year]],0))</f>
        <v>-3.4052555150000094E-2</v>
      </c>
      <c r="AF819" s="69">
        <f>INDEX(Table11[MAX CO2e MT per MWh],MATCH(UserMade_Scenario!$B819,Table11[[Year]:[Year]],0))</f>
        <v>-9.3499088250000001E-2</v>
      </c>
      <c r="AG819" s="68">
        <f>IFERROR(INDEX(WaterUseH2[Average Direct Water Consumption (Gal/ kg h2)],MATCH(LEFT(D819,3),WaterUseH2[Key],0)),0)</f>
        <v>0</v>
      </c>
      <c r="AH819">
        <v>14</v>
      </c>
      <c r="AI819">
        <v>1.4</v>
      </c>
      <c r="AJ819">
        <v>250</v>
      </c>
      <c r="AK819">
        <v>0.31</v>
      </c>
      <c r="AL819" s="63">
        <f>IFERROR(INDEX(Job_Training[[Solar]:[Wind]],MATCH(AL$1,Job_Training[[`Typical Entry Level Education`]:[`Typical Entry Level Education`]],0),MATCH(LEFT($D819,5),Job_Training[[#Headers],[Solar]:[Wind]],0)),0)</f>
        <v>3.4599999999999999E-2</v>
      </c>
      <c r="AM819" s="63">
        <f>IFERROR(INDEX(Job_Training[[Solar]:[Wind]],MATCH(AM$1,Job_Training[[`Typical Entry Level Education`]:[`Typical Entry Level Education`]],0),MATCH(LEFT($D819,5),Job_Training[[#Headers],[Solar]:[Wind]],0)),0)</f>
        <v>2.8199999999999999E-2</v>
      </c>
      <c r="AN819" s="63">
        <f>IFERROR(INDEX(Job_Training[[Solar]:[Wind]],MATCH(AN$1,Job_Training[[`Typical Entry Level Education`]:[`Typical Entry Level Education`]],0),MATCH(LEFT($D819,5),Job_Training[[#Headers],[Solar]:[Wind]],0)),0)</f>
        <v>3.3399999999999999E-2</v>
      </c>
      <c r="AO819" s="63">
        <f>IFERROR(INDEX(Job_Training[[Solar]:[Wind]],MATCH(AO$1,Job_Training[[`Typical Entry Level Education`]:[`Typical Entry Level Education`]],0),MATCH(LEFT($D819,5),Job_Training[[#Headers],[Solar]:[Wind]],0)),0)</f>
        <v>5.62E-3</v>
      </c>
      <c r="AP819">
        <f t="shared" si="230"/>
        <v>47.619047619047592</v>
      </c>
      <c r="AQ819" s="63">
        <f>IF(AP819&gt;0,IFERROR(INDEX(Assumptions!$C$165:$D$165,MATCH(LEFT($D819,5),Job_Training[[#Headers],[Solar]:[Wind]],0)),0),0)</f>
        <v>0.10181999999999999</v>
      </c>
      <c r="AR819">
        <f>IF(AP819&gt;0,IFERROR(INDEX(Assumptions!$C$166:$D$166,MATCH(LEFT($D819,5),Job_Training[[#Headers],[Solar]:[Wind]],0)),0),0)</f>
        <v>6.1091999999999995</v>
      </c>
    </row>
    <row r="820" spans="1:44" hidden="1" x14ac:dyDescent="0.35">
      <c r="A820" t="str">
        <f>UserInput!$B$82</f>
        <v>Incremental Buildout</v>
      </c>
      <c r="B820">
        <v>2045</v>
      </c>
      <c r="C820" t="s">
        <v>41</v>
      </c>
      <c r="D820" t="s">
        <v>80</v>
      </c>
      <c r="E820" s="120">
        <f>INDEX(UserInput!$C$82:$M$102,MATCH(UserMade_Scenario!B820,UserInput!$A$82:$A$102,0),MATCH(LEFT(IF(RIGHT(C820,2)="H2",UserMade_Scenario!C820,D820),3),UserInput!$C$25:$M$25,0))</f>
        <v>1000</v>
      </c>
      <c r="F820" t="s">
        <v>81</v>
      </c>
      <c r="G820" s="14">
        <f t="shared" si="231"/>
        <v>4.3792865808704859E-3</v>
      </c>
      <c r="H820" s="63">
        <f t="shared" si="221"/>
        <v>7.2446578366386002E-2</v>
      </c>
      <c r="I820" s="63">
        <f t="shared" si="222"/>
        <v>3.5151331754734678E-2</v>
      </c>
      <c r="J820" s="63">
        <f t="shared" si="223"/>
        <v>0.10974182376150925</v>
      </c>
      <c r="K820" s="30">
        <f>IF(OR(LEFT($D820,5)="Solar",$D820="Wind"),INDEX(Land_Use[AVG],MATCH(LEFT($D820,5),Land_Use[Tech],0)),0)*$E820</f>
        <v>3500</v>
      </c>
      <c r="L820" s="30">
        <f>IF(OR(LEFT($D820,5)="Solar",$D820="Wind"),INDEX(Land_Use[MIN],MATCH(LEFT($D820,5),Land_Use[Tech],0)),0)*$E820</f>
        <v>2800</v>
      </c>
      <c r="M820" s="30">
        <f>IF(OR(LEFT($D820,5)="Solar",$D820="Wind"),INDEX(Land_Use[MAX],MATCH(LEFT($D820,5),Land_Use[Tech],0)),0)*$E820</f>
        <v>4200</v>
      </c>
      <c r="N820" s="15">
        <f t="shared" si="215"/>
        <v>0</v>
      </c>
      <c r="O820" s="11">
        <f t="shared" si="216"/>
        <v>49000</v>
      </c>
      <c r="P820" s="11">
        <f t="shared" si="217"/>
        <v>4900</v>
      </c>
      <c r="Q820" s="11">
        <f t="shared" si="218"/>
        <v>875000</v>
      </c>
      <c r="R820" s="11">
        <f t="shared" si="219"/>
        <v>1085</v>
      </c>
      <c r="S820" s="30">
        <f t="shared" si="224"/>
        <v>1.6476190476190584</v>
      </c>
      <c r="T820" s="30">
        <f t="shared" si="225"/>
        <v>1.3428571428571516</v>
      </c>
      <c r="U820" s="30">
        <f t="shared" si="226"/>
        <v>1.5904761904762008</v>
      </c>
      <c r="V820" s="30">
        <f t="shared" si="227"/>
        <v>0.26761904761904937</v>
      </c>
      <c r="W820" s="30">
        <f t="shared" si="228"/>
        <v>4.8485714285714598</v>
      </c>
      <c r="X820" s="30">
        <f t="shared" si="229"/>
        <v>290.91428571428759</v>
      </c>
      <c r="Z820" s="23" t="s">
        <v>76</v>
      </c>
      <c r="AA820" s="40">
        <f>IF(C820="Electricity",E820*SUMIFS(Electricity!S:S,Electricity!P:P,UserMade_Scenario!B820,Electricity!M:M,UserMade_Scenario!Z820,Electricity!O:O,UserMade_Scenario!D820),"")</f>
        <v>1216528.453322951</v>
      </c>
      <c r="AB820" s="76">
        <f>1/Assumptions!$B$23/1000000000000</f>
        <v>3.5998225679871703E-9</v>
      </c>
      <c r="AC820" s="67" t="s">
        <v>82</v>
      </c>
      <c r="AD820" s="69">
        <f>INDEX(Table11[AVG
CO2e MT per MWh],MATCH(UserMade_Scenario!$B820,Table11[[Year]:[Year]],0))</f>
        <v>-5.9551897999999888E-2</v>
      </c>
      <c r="AE820" s="69">
        <f>INDEX(Table11[MIN
CO2e MT per MWh],MATCH(UserMade_Scenario!$B820,Table11[[Year]:[Year]],0))</f>
        <v>-2.8894788000000095E-2</v>
      </c>
      <c r="AF820" s="69">
        <f>INDEX(Table11[MAX CO2e MT per MWh],MATCH(UserMade_Scenario!$B820,Table11[[Year]:[Year]],0))</f>
        <v>-9.0209006999999994E-2</v>
      </c>
      <c r="AG820" s="68">
        <f>IFERROR(INDEX(WaterUseH2[Average Direct Water Consumption (Gal/ kg h2)],MATCH(LEFT(D820,3),WaterUseH2[Key],0)),0)</f>
        <v>0</v>
      </c>
      <c r="AH820">
        <v>14</v>
      </c>
      <c r="AI820">
        <v>1.4</v>
      </c>
      <c r="AJ820">
        <v>250</v>
      </c>
      <c r="AK820">
        <v>0.31</v>
      </c>
      <c r="AL820" s="63">
        <f>IFERROR(INDEX(Job_Training[[Solar]:[Wind]],MATCH(AL$1,Job_Training[[`Typical Entry Level Education`]:[`Typical Entry Level Education`]],0),MATCH(LEFT($D820,5),Job_Training[[#Headers],[Solar]:[Wind]],0)),0)</f>
        <v>3.4599999999999999E-2</v>
      </c>
      <c r="AM820" s="63">
        <f>IFERROR(INDEX(Job_Training[[Solar]:[Wind]],MATCH(AM$1,Job_Training[[`Typical Entry Level Education`]:[`Typical Entry Level Education`]],0),MATCH(LEFT($D820,5),Job_Training[[#Headers],[Solar]:[Wind]],0)),0)</f>
        <v>2.8199999999999999E-2</v>
      </c>
      <c r="AN820" s="63">
        <f>IFERROR(INDEX(Job_Training[[Solar]:[Wind]],MATCH(AN$1,Job_Training[[`Typical Entry Level Education`]:[`Typical Entry Level Education`]],0),MATCH(LEFT($D820,5),Job_Training[[#Headers],[Solar]:[Wind]],0)),0)</f>
        <v>3.3399999999999999E-2</v>
      </c>
      <c r="AO820" s="63">
        <f>IFERROR(INDEX(Job_Training[[Solar]:[Wind]],MATCH(AO$1,Job_Training[[`Typical Entry Level Education`]:[`Typical Entry Level Education`]],0),MATCH(LEFT($D820,5),Job_Training[[#Headers],[Solar]:[Wind]],0)),0)</f>
        <v>5.62E-3</v>
      </c>
      <c r="AP820">
        <f t="shared" si="230"/>
        <v>47.619047619047933</v>
      </c>
      <c r="AQ820" s="63">
        <f>IF(AP820&gt;0,IFERROR(INDEX(Assumptions!$C$165:$D$165,MATCH(LEFT($D820,5),Job_Training[[#Headers],[Solar]:[Wind]],0)),0),0)</f>
        <v>0.10181999999999999</v>
      </c>
      <c r="AR820">
        <f>IF(AP820&gt;0,IFERROR(INDEX(Assumptions!$C$166:$D$166,MATCH(LEFT($D820,5),Job_Training[[#Headers],[Solar]:[Wind]],0)),0),0)</f>
        <v>6.1091999999999995</v>
      </c>
    </row>
    <row r="821" spans="1:44" hidden="1" x14ac:dyDescent="0.35">
      <c r="A821" t="str">
        <f>UserInput!$B$82</f>
        <v>Incremental Buildout</v>
      </c>
      <c r="B821">
        <v>2025</v>
      </c>
      <c r="C821" t="s">
        <v>41</v>
      </c>
      <c r="D821" t="s">
        <v>83</v>
      </c>
      <c r="E821" s="120">
        <f>INDEX(UserInput!$C$82:$M$102,MATCH(UserMade_Scenario!B821,UserInput!$A$82:$A$102,0),MATCH(LEFT(IF(RIGHT(C821,2)="H2",UserMade_Scenario!C821,D821),3),UserInput!$C$25:$M$25,0))</f>
        <v>9.5238095238095237</v>
      </c>
      <c r="F821" t="s">
        <v>81</v>
      </c>
      <c r="G821" s="14">
        <f t="shared" si="231"/>
        <v>8.5806354342679911E-5</v>
      </c>
      <c r="H821" s="63">
        <f t="shared" si="221"/>
        <v>3.4331475400783129E-3</v>
      </c>
      <c r="I821" s="63">
        <f t="shared" si="222"/>
        <v>3.1475830037697799E-3</v>
      </c>
      <c r="J821" s="63">
        <f t="shared" si="223"/>
        <v>3.7187120525505714E-3</v>
      </c>
      <c r="K821" s="30">
        <f>IF(OR(LEFT($D821,5)="Solar",$D821="Wind"),INDEX(Land_Use[AVG],MATCH(LEFT($D821,5),Land_Use[Tech],0)),0)*$E821</f>
        <v>23.80952380952381</v>
      </c>
      <c r="L821" s="30">
        <f>IF(OR(LEFT($D821,5)="Solar",$D821="Wind"),INDEX(Land_Use[MIN],MATCH(LEFT($D821,5),Land_Use[Tech],0)),0)*$E821</f>
        <v>7.6190476190476195</v>
      </c>
      <c r="M821" s="30">
        <f>IF(OR(LEFT($D821,5)="Solar",$D821="Wind"),INDEX(Land_Use[MAX],MATCH(LEFT($D821,5),Land_Use[Tech],0)),0)*$E821</f>
        <v>40</v>
      </c>
      <c r="N821" s="15">
        <f t="shared" ref="N821:N894" si="232">E821*AG821*1000/1000000</f>
        <v>0</v>
      </c>
      <c r="O821" s="11">
        <f t="shared" ref="O821:O894" si="233">$K821*AH$2</f>
        <v>333.33333333333337</v>
      </c>
      <c r="P821" s="11">
        <f t="shared" ref="P821:P894" si="234">$K821*AI$2</f>
        <v>33.333333333333336</v>
      </c>
      <c r="Q821" s="11">
        <f t="shared" ref="Q821:Q894" si="235">$K821*AJ$2</f>
        <v>5952.3809523809523</v>
      </c>
      <c r="R821" s="11">
        <f t="shared" ref="R821:R894" si="236">$K821*AK$2</f>
        <v>7.3809523809523814</v>
      </c>
      <c r="S821" s="30">
        <f t="shared" si="224"/>
        <v>0.22476190476190475</v>
      </c>
      <c r="T821" s="30">
        <f t="shared" si="225"/>
        <v>0.38952380952380949</v>
      </c>
      <c r="U821" s="30">
        <f t="shared" si="226"/>
        <v>0.19047619047619047</v>
      </c>
      <c r="V821" s="30">
        <f t="shared" si="227"/>
        <v>1.0761904761904761E-2</v>
      </c>
      <c r="W821" s="30">
        <f t="shared" si="228"/>
        <v>0.81552380952380965</v>
      </c>
      <c r="X821" s="30">
        <f t="shared" si="229"/>
        <v>6.5241904761904772</v>
      </c>
      <c r="Z821" s="23" t="s">
        <v>76</v>
      </c>
      <c r="AA821" s="40">
        <f>IF(C821="Electricity",E821*SUMIFS(Electricity!S:S,Electricity!P:P,UserMade_Scenario!B821,Electricity!M:M,UserMade_Scenario!Z821,Electricity!O:O,UserMade_Scenario!D821),"")</f>
        <v>23836.273239060854</v>
      </c>
      <c r="AB821" s="76">
        <f>1/Assumptions!$B$23/1000000000000</f>
        <v>3.5998225679871703E-9</v>
      </c>
      <c r="AC821" s="67" t="s">
        <v>82</v>
      </c>
      <c r="AD821" s="69">
        <f>INDEX(Table11[AVG
CO2e MT per MWh],MATCH(UserMade_Scenario!$B821,Table11[[Year]:[Year]],0))</f>
        <v>-0.14403038200000001</v>
      </c>
      <c r="AE821" s="69">
        <f>INDEX(Table11[MIN
CO2e MT per MWh],MATCH(UserMade_Scenario!$B821,Table11[[Year]:[Year]],0))</f>
        <v>-0.13205013099999999</v>
      </c>
      <c r="AF821" s="69">
        <f>INDEX(Table11[MAX CO2e MT per MWh],MATCH(UserMade_Scenario!$B821,Table11[[Year]:[Year]],0))</f>
        <v>-0.15601063200000001</v>
      </c>
      <c r="AG821" s="68">
        <f>IFERROR(INDEX(WaterUseH2[Average Direct Water Consumption (Gal/ kg h2)],MATCH(LEFT(D821,3),WaterUseH2[Key],0)),0)</f>
        <v>0</v>
      </c>
      <c r="AH821">
        <v>14</v>
      </c>
      <c r="AI821">
        <v>1.4</v>
      </c>
      <c r="AJ821">
        <v>250</v>
      </c>
      <c r="AK821">
        <v>0.31</v>
      </c>
      <c r="AL821" s="63">
        <f>IFERROR(INDEX(Job_Training[[Solar]:[Wind]],MATCH(AL$1,Job_Training[[`Typical Entry Level Education`]:[`Typical Entry Level Education`]],0),MATCH(LEFT($D821,5),Job_Training[[#Headers],[Solar]:[Wind]],0)),0)</f>
        <v>2.3599999999999999E-2</v>
      </c>
      <c r="AM821" s="63">
        <f>IFERROR(INDEX(Job_Training[[Solar]:[Wind]],MATCH(AM$1,Job_Training[[`Typical Entry Level Education`]:[`Typical Entry Level Education`]],0),MATCH(LEFT($D821,5),Job_Training[[#Headers],[Solar]:[Wind]],0)),0)</f>
        <v>4.0899999999999999E-2</v>
      </c>
      <c r="AN821" s="63">
        <f>IFERROR(INDEX(Job_Training[[Solar]:[Wind]],MATCH(AN$1,Job_Training[[`Typical Entry Level Education`]:[`Typical Entry Level Education`]],0),MATCH(LEFT($D821,5),Job_Training[[#Headers],[Solar]:[Wind]],0)),0)</f>
        <v>0.02</v>
      </c>
      <c r="AO821" s="63">
        <f>IFERROR(INDEX(Job_Training[[Solar]:[Wind]],MATCH(AO$1,Job_Training[[`Typical Entry Level Education`]:[`Typical Entry Level Education`]],0),MATCH(LEFT($D821,5),Job_Training[[#Headers],[Solar]:[Wind]],0)),0)</f>
        <v>1.1299999999999999E-3</v>
      </c>
      <c r="AP821">
        <f t="shared" si="230"/>
        <v>9.5238095238095237</v>
      </c>
      <c r="AQ821" s="63">
        <f>IF(AP821&gt;0,IFERROR(INDEX(Assumptions!$C$165:$D$165,MATCH(LEFT($D821,5),Job_Training[[#Headers],[Solar]:[Wind]],0)),0),0)</f>
        <v>8.5630000000000012E-2</v>
      </c>
      <c r="AR821">
        <f>IF(AP821&gt;0,IFERROR(INDEX(Assumptions!$C$166:$D$166,MATCH(LEFT($D821,5),Job_Training[[#Headers],[Solar]:[Wind]],0)),0),0)</f>
        <v>0.68504000000000009</v>
      </c>
    </row>
    <row r="822" spans="1:44" hidden="1" x14ac:dyDescent="0.35">
      <c r="A822" t="str">
        <f>UserInput!$B$82</f>
        <v>Incremental Buildout</v>
      </c>
      <c r="B822">
        <v>2026</v>
      </c>
      <c r="C822" t="s">
        <v>41</v>
      </c>
      <c r="D822" t="s">
        <v>83</v>
      </c>
      <c r="E822" s="120">
        <f>INDEX(UserInput!$C$82:$M$102,MATCH(UserMade_Scenario!B822,UserInput!$A$82:$A$102,0),MATCH(LEFT(IF(RIGHT(C822,2)="H2",UserMade_Scenario!C822,D822),3),UserInput!$C$25:$M$25,0))</f>
        <v>19.047619047619047</v>
      </c>
      <c r="F822" t="s">
        <v>81</v>
      </c>
      <c r="G822" s="14">
        <f t="shared" si="231"/>
        <v>1.7023849769863219E-4</v>
      </c>
      <c r="H822" s="63">
        <f t="shared" si="221"/>
        <v>6.6115595685448366E-3</v>
      </c>
      <c r="I822" s="63">
        <f t="shared" si="222"/>
        <v>6.000841703520653E-3</v>
      </c>
      <c r="J822" s="63">
        <f t="shared" si="223"/>
        <v>7.2222773862782169E-3</v>
      </c>
      <c r="K822" s="30">
        <f>IF(OR(LEFT($D822,5)="Solar",$D822="Wind"),INDEX(Land_Use[AVG],MATCH(LEFT($D822,5),Land_Use[Tech],0)),0)*$E822</f>
        <v>47.61904761904762</v>
      </c>
      <c r="L822" s="30">
        <f>IF(OR(LEFT($D822,5)="Solar",$D822="Wind"),INDEX(Land_Use[MIN],MATCH(LEFT($D822,5),Land_Use[Tech],0)),0)*$E822</f>
        <v>15.238095238095239</v>
      </c>
      <c r="M822" s="30">
        <f>IF(OR(LEFT($D822,5)="Solar",$D822="Wind"),INDEX(Land_Use[MAX],MATCH(LEFT($D822,5),Land_Use[Tech],0)),0)*$E822</f>
        <v>80</v>
      </c>
      <c r="N822" s="15">
        <f t="shared" si="232"/>
        <v>0</v>
      </c>
      <c r="O822" s="11">
        <f t="shared" si="233"/>
        <v>666.66666666666674</v>
      </c>
      <c r="P822" s="11">
        <f t="shared" si="234"/>
        <v>66.666666666666671</v>
      </c>
      <c r="Q822" s="11">
        <f t="shared" si="235"/>
        <v>11904.761904761905</v>
      </c>
      <c r="R822" s="11">
        <f t="shared" si="236"/>
        <v>14.761904761904763</v>
      </c>
      <c r="S822" s="30">
        <f t="shared" si="224"/>
        <v>0.22476190476190475</v>
      </c>
      <c r="T822" s="30">
        <f t="shared" si="225"/>
        <v>0.38952380952380949</v>
      </c>
      <c r="U822" s="30">
        <f t="shared" si="226"/>
        <v>0.19047619047619047</v>
      </c>
      <c r="V822" s="30">
        <f t="shared" si="227"/>
        <v>1.0761904761904761E-2</v>
      </c>
      <c r="W822" s="30">
        <f t="shared" si="228"/>
        <v>0.81552380952380965</v>
      </c>
      <c r="X822" s="30">
        <f t="shared" si="229"/>
        <v>6.5241904761904772</v>
      </c>
      <c r="Z822" s="23" t="s">
        <v>76</v>
      </c>
      <c r="AA822" s="40">
        <f>IF(C822="Electricity",E822*SUMIFS(Electricity!S:S,Electricity!P:P,UserMade_Scenario!B822,Electricity!M:M,UserMade_Scenario!Z822,Electricity!O:O,UserMade_Scenario!D822),"")</f>
        <v>47290.802389135672</v>
      </c>
      <c r="AB822" s="76">
        <f>1/Assumptions!$B$23/1000000000000</f>
        <v>3.5998225679871703E-9</v>
      </c>
      <c r="AC822" s="67" t="s">
        <v>82</v>
      </c>
      <c r="AD822" s="69">
        <f>INDEX(Table11[AVG
CO2e MT per MWh],MATCH(UserMade_Scenario!$B822,Table11[[Year]:[Year]],0))</f>
        <v>-0.13980645780000001</v>
      </c>
      <c r="AE822" s="69">
        <f>INDEX(Table11[MIN
CO2e MT per MWh],MATCH(UserMade_Scenario!$B822,Table11[[Year]:[Year]],0))</f>
        <v>-0.12689236385</v>
      </c>
      <c r="AF822" s="69">
        <f>INDEX(Table11[MAX CO2e MT per MWh],MATCH(UserMade_Scenario!$B822,Table11[[Year]:[Year]],0))</f>
        <v>-0.15272055075000002</v>
      </c>
      <c r="AG822" s="68">
        <f>IFERROR(INDEX(WaterUseH2[Average Direct Water Consumption (Gal/ kg h2)],MATCH(LEFT(D822,3),WaterUseH2[Key],0)),0)</f>
        <v>0</v>
      </c>
      <c r="AH822">
        <v>14</v>
      </c>
      <c r="AI822">
        <v>1.4</v>
      </c>
      <c r="AJ822">
        <v>250</v>
      </c>
      <c r="AK822">
        <v>0.31</v>
      </c>
      <c r="AL822" s="63">
        <f>IFERROR(INDEX(Job_Training[[Solar]:[Wind]],MATCH(AL$1,Job_Training[[`Typical Entry Level Education`]:[`Typical Entry Level Education`]],0),MATCH(LEFT($D822,5),Job_Training[[#Headers],[Solar]:[Wind]],0)),0)</f>
        <v>2.3599999999999999E-2</v>
      </c>
      <c r="AM822" s="63">
        <f>IFERROR(INDEX(Job_Training[[Solar]:[Wind]],MATCH(AM$1,Job_Training[[`Typical Entry Level Education`]:[`Typical Entry Level Education`]],0),MATCH(LEFT($D822,5),Job_Training[[#Headers],[Solar]:[Wind]],0)),0)</f>
        <v>4.0899999999999999E-2</v>
      </c>
      <c r="AN822" s="63">
        <f>IFERROR(INDEX(Job_Training[[Solar]:[Wind]],MATCH(AN$1,Job_Training[[`Typical Entry Level Education`]:[`Typical Entry Level Education`]],0),MATCH(LEFT($D822,5),Job_Training[[#Headers],[Solar]:[Wind]],0)),0)</f>
        <v>0.02</v>
      </c>
      <c r="AO822" s="63">
        <f>IFERROR(INDEX(Job_Training[[Solar]:[Wind]],MATCH(AO$1,Job_Training[[`Typical Entry Level Education`]:[`Typical Entry Level Education`]],0),MATCH(LEFT($D822,5),Job_Training[[#Headers],[Solar]:[Wind]],0)),0)</f>
        <v>1.1299999999999999E-3</v>
      </c>
      <c r="AP822">
        <f t="shared" si="230"/>
        <v>9.5238095238095237</v>
      </c>
      <c r="AQ822" s="63">
        <f>IF(AP822&gt;0,IFERROR(INDEX(Assumptions!$C$165:$D$165,MATCH(LEFT($D822,5),Job_Training[[#Headers],[Solar]:[Wind]],0)),0),0)</f>
        <v>8.5630000000000012E-2</v>
      </c>
      <c r="AR822">
        <f>IF(AP822&gt;0,IFERROR(INDEX(Assumptions!$C$166:$D$166,MATCH(LEFT($D822,5),Job_Training[[#Headers],[Solar]:[Wind]],0)),0),0)</f>
        <v>0.68504000000000009</v>
      </c>
    </row>
    <row r="823" spans="1:44" hidden="1" x14ac:dyDescent="0.35">
      <c r="A823" t="str">
        <f>UserInput!$B$82</f>
        <v>Incremental Buildout</v>
      </c>
      <c r="B823">
        <v>2027</v>
      </c>
      <c r="C823" t="s">
        <v>41</v>
      </c>
      <c r="D823" t="s">
        <v>83</v>
      </c>
      <c r="E823" s="120">
        <f>INDEX(UserInput!$C$82:$M$102,MATCH(UserMade_Scenario!B823,UserInput!$A$82:$A$102,0),MATCH(LEFT(IF(RIGHT(C823,2)="H2",UserMade_Scenario!C823,D823),3),UserInput!$C$25:$M$25,0))</f>
        <v>28.571428571428569</v>
      </c>
      <c r="F823" t="s">
        <v>81</v>
      </c>
      <c r="G823" s="14">
        <f t="shared" si="231"/>
        <v>2.5329643006785684E-4</v>
      </c>
      <c r="H823" s="63">
        <f t="shared" ref="H823:H886" si="237">IF($C823="Electricity",$AA823/1000000,$G823)*AD823*-1</f>
        <v>9.5400734596865957E-3</v>
      </c>
      <c r="I823" s="63">
        <f t="shared" ref="I823:I886" si="238">IF($C823="Electricity",$AA823/1000000,$G823)*AE823*-1</f>
        <v>8.5656829406182567E-3</v>
      </c>
      <c r="J823" s="63">
        <f t="shared" ref="J823:J886" si="239">IF($C823="Electricity",$AA823/1000000,$G823)*AF823*-1</f>
        <v>1.051446390839135E-2</v>
      </c>
      <c r="K823" s="30">
        <f>IF(OR(LEFT($D823,5)="Solar",$D823="Wind"),INDEX(Land_Use[AVG],MATCH(LEFT($D823,5),Land_Use[Tech],0)),0)*$E823</f>
        <v>71.428571428571416</v>
      </c>
      <c r="L823" s="30">
        <f>IF(OR(LEFT($D823,5)="Solar",$D823="Wind"),INDEX(Land_Use[MIN],MATCH(LEFT($D823,5),Land_Use[Tech],0)),0)*$E823</f>
        <v>22.857142857142858</v>
      </c>
      <c r="M823" s="30">
        <f>IF(OR(LEFT($D823,5)="Solar",$D823="Wind"),INDEX(Land_Use[MAX],MATCH(LEFT($D823,5),Land_Use[Tech],0)),0)*$E823</f>
        <v>120</v>
      </c>
      <c r="N823" s="15">
        <f t="shared" si="232"/>
        <v>0</v>
      </c>
      <c r="O823" s="11">
        <f t="shared" si="233"/>
        <v>999.99999999999977</v>
      </c>
      <c r="P823" s="11">
        <f t="shared" si="234"/>
        <v>99.999999999999972</v>
      </c>
      <c r="Q823" s="11">
        <f t="shared" si="235"/>
        <v>17857.142857142855</v>
      </c>
      <c r="R823" s="11">
        <f t="shared" si="236"/>
        <v>22.142857142857139</v>
      </c>
      <c r="S823" s="30">
        <f t="shared" si="224"/>
        <v>0.22476190476190472</v>
      </c>
      <c r="T823" s="30">
        <f t="shared" si="225"/>
        <v>0.38952380952380944</v>
      </c>
      <c r="U823" s="30">
        <f t="shared" si="226"/>
        <v>0.19047619047619044</v>
      </c>
      <c r="V823" s="30">
        <f t="shared" si="227"/>
        <v>1.0761904761904759E-2</v>
      </c>
      <c r="W823" s="30">
        <f t="shared" si="228"/>
        <v>0.81552380952380943</v>
      </c>
      <c r="X823" s="30">
        <f t="shared" si="229"/>
        <v>6.5241904761904754</v>
      </c>
      <c r="Z823" s="23" t="s">
        <v>76</v>
      </c>
      <c r="AA823" s="40">
        <f>IF(C823="Electricity",E823*SUMIFS(Electricity!S:S,Electricity!P:P,UserMade_Scenario!B823,Electricity!M:M,UserMade_Scenario!Z823,Electricity!O:O,UserMade_Scenario!D823),"")</f>
        <v>70363.587450224455</v>
      </c>
      <c r="AB823" s="76">
        <f>1/Assumptions!$B$23/1000000000000</f>
        <v>3.5998225679871703E-9</v>
      </c>
      <c r="AC823" s="67" t="s">
        <v>82</v>
      </c>
      <c r="AD823" s="69">
        <f>INDEX(Table11[AVG
CO2e MT per MWh],MATCH(UserMade_Scenario!$B823,Table11[[Year]:[Year]],0))</f>
        <v>-0.1355825336</v>
      </c>
      <c r="AE823" s="69">
        <f>INDEX(Table11[MIN
CO2e MT per MWh],MATCH(UserMade_Scenario!$B823,Table11[[Year]:[Year]],0))</f>
        <v>-0.1217345967</v>
      </c>
      <c r="AF823" s="69">
        <f>INDEX(Table11[MAX CO2e MT per MWh],MATCH(UserMade_Scenario!$B823,Table11[[Year]:[Year]],0))</f>
        <v>-0.14943046950000002</v>
      </c>
      <c r="AG823" s="68">
        <f>IFERROR(INDEX(WaterUseH2[Average Direct Water Consumption (Gal/ kg h2)],MATCH(LEFT(D823,3),WaterUseH2[Key],0)),0)</f>
        <v>0</v>
      </c>
      <c r="AH823">
        <v>14</v>
      </c>
      <c r="AI823">
        <v>1.4</v>
      </c>
      <c r="AJ823">
        <v>250</v>
      </c>
      <c r="AK823">
        <v>0.31</v>
      </c>
      <c r="AL823" s="63">
        <f>IFERROR(INDEX(Job_Training[[Solar]:[Wind]],MATCH(AL$1,Job_Training[[`Typical Entry Level Education`]:[`Typical Entry Level Education`]],0),MATCH(LEFT($D823,5),Job_Training[[#Headers],[Solar]:[Wind]],0)),0)</f>
        <v>2.3599999999999999E-2</v>
      </c>
      <c r="AM823" s="63">
        <f>IFERROR(INDEX(Job_Training[[Solar]:[Wind]],MATCH(AM$1,Job_Training[[`Typical Entry Level Education`]:[`Typical Entry Level Education`]],0),MATCH(LEFT($D823,5),Job_Training[[#Headers],[Solar]:[Wind]],0)),0)</f>
        <v>4.0899999999999999E-2</v>
      </c>
      <c r="AN823" s="63">
        <f>IFERROR(INDEX(Job_Training[[Solar]:[Wind]],MATCH(AN$1,Job_Training[[`Typical Entry Level Education`]:[`Typical Entry Level Education`]],0),MATCH(LEFT($D823,5),Job_Training[[#Headers],[Solar]:[Wind]],0)),0)</f>
        <v>0.02</v>
      </c>
      <c r="AO823" s="63">
        <f>IFERROR(INDEX(Job_Training[[Solar]:[Wind]],MATCH(AO$1,Job_Training[[`Typical Entry Level Education`]:[`Typical Entry Level Education`]],0),MATCH(LEFT($D823,5),Job_Training[[#Headers],[Solar]:[Wind]],0)),0)</f>
        <v>1.1299999999999999E-3</v>
      </c>
      <c r="AP823">
        <f t="shared" si="230"/>
        <v>9.5238095238095219</v>
      </c>
      <c r="AQ823" s="63">
        <f>IF(AP823&gt;0,IFERROR(INDEX(Assumptions!$C$165:$D$165,MATCH(LEFT($D823,5),Job_Training[[#Headers],[Solar]:[Wind]],0)),0),0)</f>
        <v>8.5630000000000012E-2</v>
      </c>
      <c r="AR823">
        <f>IF(AP823&gt;0,IFERROR(INDEX(Assumptions!$C$166:$D$166,MATCH(LEFT($D823,5),Job_Training[[#Headers],[Solar]:[Wind]],0)),0),0)</f>
        <v>0.68504000000000009</v>
      </c>
    </row>
    <row r="824" spans="1:44" hidden="1" x14ac:dyDescent="0.35">
      <c r="A824" t="str">
        <f>UserInput!$B$82</f>
        <v>Incremental Buildout</v>
      </c>
      <c r="B824">
        <v>2028</v>
      </c>
      <c r="C824" t="s">
        <v>41</v>
      </c>
      <c r="D824" t="s">
        <v>83</v>
      </c>
      <c r="E824" s="120">
        <f>INDEX(UserInput!$C$82:$M$102,MATCH(UserMade_Scenario!B824,UserInput!$A$82:$A$102,0),MATCH(LEFT(IF(RIGHT(C824,2)="H2",UserMade_Scenario!C824,D824),3),UserInput!$C$25:$M$25,0))</f>
        <v>38.095238095238095</v>
      </c>
      <c r="F824" t="s">
        <v>81</v>
      </c>
      <c r="G824" s="14">
        <f t="shared" si="231"/>
        <v>3.349801514503538E-4</v>
      </c>
      <c r="H824" s="63">
        <f t="shared" si="237"/>
        <v>1.2223526587790615E-2</v>
      </c>
      <c r="I824" s="63">
        <f t="shared" si="238"/>
        <v>1.0848013556428223E-2</v>
      </c>
      <c r="J824" s="63">
        <f t="shared" si="239"/>
        <v>1.3599039526098382E-2</v>
      </c>
      <c r="K824" s="30">
        <f>IF(OR(LEFT($D824,5)="Solar",$D824="Wind"),INDEX(Land_Use[AVG],MATCH(LEFT($D824,5),Land_Use[Tech],0)),0)*$E824</f>
        <v>95.238095238095241</v>
      </c>
      <c r="L824" s="30">
        <f>IF(OR(LEFT($D824,5)="Solar",$D824="Wind"),INDEX(Land_Use[MIN],MATCH(LEFT($D824,5),Land_Use[Tech],0)),0)*$E824</f>
        <v>30.476190476190478</v>
      </c>
      <c r="M824" s="30">
        <f>IF(OR(LEFT($D824,5)="Solar",$D824="Wind"),INDEX(Land_Use[MAX],MATCH(LEFT($D824,5),Land_Use[Tech],0)),0)*$E824</f>
        <v>160</v>
      </c>
      <c r="N824" s="15">
        <f t="shared" si="232"/>
        <v>0</v>
      </c>
      <c r="O824" s="11">
        <f t="shared" si="233"/>
        <v>1333.3333333333335</v>
      </c>
      <c r="P824" s="11">
        <f t="shared" si="234"/>
        <v>133.33333333333334</v>
      </c>
      <c r="Q824" s="11">
        <f t="shared" si="235"/>
        <v>23809.523809523809</v>
      </c>
      <c r="R824" s="11">
        <f t="shared" si="236"/>
        <v>29.523809523809526</v>
      </c>
      <c r="S824" s="30">
        <f t="shared" si="224"/>
        <v>0.2247619047619048</v>
      </c>
      <c r="T824" s="30">
        <f t="shared" si="225"/>
        <v>0.38952380952380961</v>
      </c>
      <c r="U824" s="30">
        <f t="shared" si="226"/>
        <v>0.19047619047619052</v>
      </c>
      <c r="V824" s="30">
        <f t="shared" si="227"/>
        <v>1.0761904761904762E-2</v>
      </c>
      <c r="W824" s="30">
        <f t="shared" si="228"/>
        <v>0.81552380952380976</v>
      </c>
      <c r="X824" s="30">
        <f t="shared" si="229"/>
        <v>6.5241904761904781</v>
      </c>
      <c r="Z824" s="23" t="s">
        <v>76</v>
      </c>
      <c r="AA824" s="40">
        <f>IF(C824="Electricity",E824*SUMIFS(Electricity!S:S,Electricity!P:P,UserMade_Scenario!B824,Electricity!M:M,UserMade_Scenario!Z824,Electricity!O:O,UserMade_Scenario!D824),"")</f>
        <v>93054.628422327194</v>
      </c>
      <c r="AB824" s="76">
        <f>1/Assumptions!$B$23/1000000000000</f>
        <v>3.5998225679871703E-9</v>
      </c>
      <c r="AC824" s="67" t="s">
        <v>82</v>
      </c>
      <c r="AD824" s="69">
        <f>INDEX(Table11[AVG
CO2e MT per MWh],MATCH(UserMade_Scenario!$B824,Table11[[Year]:[Year]],0))</f>
        <v>-0.13135860939999999</v>
      </c>
      <c r="AE824" s="69">
        <f>INDEX(Table11[MIN
CO2e MT per MWh],MATCH(UserMade_Scenario!$B824,Table11[[Year]:[Year]],0))</f>
        <v>-0.11657682955000001</v>
      </c>
      <c r="AF824" s="69">
        <f>INDEX(Table11[MAX CO2e MT per MWh],MATCH(UserMade_Scenario!$B824,Table11[[Year]:[Year]],0))</f>
        <v>-0.14614038825000003</v>
      </c>
      <c r="AG824" s="68">
        <f>IFERROR(INDEX(WaterUseH2[Average Direct Water Consumption (Gal/ kg h2)],MATCH(LEFT(D824,3),WaterUseH2[Key],0)),0)</f>
        <v>0</v>
      </c>
      <c r="AH824">
        <v>14</v>
      </c>
      <c r="AI824">
        <v>1.4</v>
      </c>
      <c r="AJ824">
        <v>250</v>
      </c>
      <c r="AK824">
        <v>0.31</v>
      </c>
      <c r="AL824" s="63">
        <f>IFERROR(INDEX(Job_Training[[Solar]:[Wind]],MATCH(AL$1,Job_Training[[`Typical Entry Level Education`]:[`Typical Entry Level Education`]],0),MATCH(LEFT($D824,5),Job_Training[[#Headers],[Solar]:[Wind]],0)),0)</f>
        <v>2.3599999999999999E-2</v>
      </c>
      <c r="AM824" s="63">
        <f>IFERROR(INDEX(Job_Training[[Solar]:[Wind]],MATCH(AM$1,Job_Training[[`Typical Entry Level Education`]:[`Typical Entry Level Education`]],0),MATCH(LEFT($D824,5),Job_Training[[#Headers],[Solar]:[Wind]],0)),0)</f>
        <v>4.0899999999999999E-2</v>
      </c>
      <c r="AN824" s="63">
        <f>IFERROR(INDEX(Job_Training[[Solar]:[Wind]],MATCH(AN$1,Job_Training[[`Typical Entry Level Education`]:[`Typical Entry Level Education`]],0),MATCH(LEFT($D824,5),Job_Training[[#Headers],[Solar]:[Wind]],0)),0)</f>
        <v>0.02</v>
      </c>
      <c r="AO824" s="63">
        <f>IFERROR(INDEX(Job_Training[[Solar]:[Wind]],MATCH(AO$1,Job_Training[[`Typical Entry Level Education`]:[`Typical Entry Level Education`]],0),MATCH(LEFT($D824,5),Job_Training[[#Headers],[Solar]:[Wind]],0)),0)</f>
        <v>1.1299999999999999E-3</v>
      </c>
      <c r="AP824">
        <f t="shared" si="230"/>
        <v>9.5238095238095255</v>
      </c>
      <c r="AQ824" s="63">
        <f>IF(AP824&gt;0,IFERROR(INDEX(Assumptions!$C$165:$D$165,MATCH(LEFT($D824,5),Job_Training[[#Headers],[Solar]:[Wind]],0)),0),0)</f>
        <v>8.5630000000000012E-2</v>
      </c>
      <c r="AR824">
        <f>IF(AP824&gt;0,IFERROR(INDEX(Assumptions!$C$166:$D$166,MATCH(LEFT($D824,5),Job_Training[[#Headers],[Solar]:[Wind]],0)),0),0)</f>
        <v>0.68504000000000009</v>
      </c>
    </row>
    <row r="825" spans="1:44" hidden="1" x14ac:dyDescent="0.35">
      <c r="A825" t="str">
        <f>UserInput!$B$82</f>
        <v>Incremental Buildout</v>
      </c>
      <c r="B825">
        <v>2029</v>
      </c>
      <c r="C825" t="s">
        <v>41</v>
      </c>
      <c r="D825" t="s">
        <v>83</v>
      </c>
      <c r="E825" s="120">
        <f>INDEX(UserInput!$C$82:$M$102,MATCH(UserMade_Scenario!B825,UserInput!$A$82:$A$102,0),MATCH(LEFT(IF(RIGHT(C825,2)="H2",UserMade_Scenario!C825,D825),3),UserInput!$C$25:$M$25,0))</f>
        <v>47.61904761904762</v>
      </c>
      <c r="F825" t="s">
        <v>81</v>
      </c>
      <c r="G825" s="14">
        <f t="shared" si="231"/>
        <v>4.1528966184612316E-4</v>
      </c>
      <c r="H825" s="63">
        <f t="shared" si="237"/>
        <v>1.4666756327143923E-2</v>
      </c>
      <c r="I825" s="63">
        <f t="shared" si="238"/>
        <v>1.2853740392316194E-2</v>
      </c>
      <c r="J825" s="63">
        <f t="shared" si="239"/>
        <v>1.6479772146607733E-2</v>
      </c>
      <c r="K825" s="30">
        <f>IF(OR(LEFT($D825,5)="Solar",$D825="Wind"),INDEX(Land_Use[AVG],MATCH(LEFT($D825,5),Land_Use[Tech],0)),0)*$E825</f>
        <v>119.04761904761905</v>
      </c>
      <c r="L825" s="30">
        <f>IF(OR(LEFT($D825,5)="Solar",$D825="Wind"),INDEX(Land_Use[MIN],MATCH(LEFT($D825,5),Land_Use[Tech],0)),0)*$E825</f>
        <v>38.095238095238095</v>
      </c>
      <c r="M825" s="30">
        <f>IF(OR(LEFT($D825,5)="Solar",$D825="Wind"),INDEX(Land_Use[MAX],MATCH(LEFT($D825,5),Land_Use[Tech],0)),0)*$E825</f>
        <v>200</v>
      </c>
      <c r="N825" s="15">
        <f t="shared" si="232"/>
        <v>0</v>
      </c>
      <c r="O825" s="11">
        <f t="shared" si="233"/>
        <v>1666.6666666666667</v>
      </c>
      <c r="P825" s="11">
        <f t="shared" si="234"/>
        <v>166.66666666666666</v>
      </c>
      <c r="Q825" s="11">
        <f t="shared" si="235"/>
        <v>29761.904761904763</v>
      </c>
      <c r="R825" s="11">
        <f t="shared" si="236"/>
        <v>36.904761904761905</v>
      </c>
      <c r="S825" s="30">
        <f t="shared" si="224"/>
        <v>0.2247619047619048</v>
      </c>
      <c r="T825" s="30">
        <f t="shared" si="225"/>
        <v>0.38952380952380961</v>
      </c>
      <c r="U825" s="30">
        <f t="shared" si="226"/>
        <v>0.19047619047619052</v>
      </c>
      <c r="V825" s="30">
        <f t="shared" si="227"/>
        <v>1.0761904761904762E-2</v>
      </c>
      <c r="W825" s="30">
        <f t="shared" si="228"/>
        <v>0.81552380952380976</v>
      </c>
      <c r="X825" s="30">
        <f t="shared" si="229"/>
        <v>6.5241904761904781</v>
      </c>
      <c r="Z825" s="23" t="s">
        <v>76</v>
      </c>
      <c r="AA825" s="40">
        <f>IF(C825="Electricity",E825*SUMIFS(Electricity!S:S,Electricity!P:P,UserMade_Scenario!B825,Electricity!M:M,UserMade_Scenario!Z825,Electricity!O:O,UserMade_Scenario!D825),"")</f>
        <v>115363.9253054439</v>
      </c>
      <c r="AB825" s="76">
        <f>1/Assumptions!$B$23/1000000000000</f>
        <v>3.5998225679871703E-9</v>
      </c>
      <c r="AC825" s="67" t="s">
        <v>82</v>
      </c>
      <c r="AD825" s="69">
        <f>INDEX(Table11[AVG
CO2e MT per MWh],MATCH(UserMade_Scenario!$B825,Table11[[Year]:[Year]],0))</f>
        <v>-0.12713468519999999</v>
      </c>
      <c r="AE825" s="69">
        <f>INDEX(Table11[MIN
CO2e MT per MWh],MATCH(UserMade_Scenario!$B825,Table11[[Year]:[Year]],0))</f>
        <v>-0.11141906240000002</v>
      </c>
      <c r="AF825" s="69">
        <f>INDEX(Table11[MAX CO2e MT per MWh],MATCH(UserMade_Scenario!$B825,Table11[[Year]:[Year]],0))</f>
        <v>-0.14285030700000004</v>
      </c>
      <c r="AG825" s="68">
        <f>IFERROR(INDEX(WaterUseH2[Average Direct Water Consumption (Gal/ kg h2)],MATCH(LEFT(D825,3),WaterUseH2[Key],0)),0)</f>
        <v>0</v>
      </c>
      <c r="AH825">
        <v>14</v>
      </c>
      <c r="AI825">
        <v>1.4</v>
      </c>
      <c r="AJ825">
        <v>250</v>
      </c>
      <c r="AK825">
        <v>0.31</v>
      </c>
      <c r="AL825" s="63">
        <f>IFERROR(INDEX(Job_Training[[Solar]:[Wind]],MATCH(AL$1,Job_Training[[`Typical Entry Level Education`]:[`Typical Entry Level Education`]],0),MATCH(LEFT($D825,5),Job_Training[[#Headers],[Solar]:[Wind]],0)),0)</f>
        <v>2.3599999999999999E-2</v>
      </c>
      <c r="AM825" s="63">
        <f>IFERROR(INDEX(Job_Training[[Solar]:[Wind]],MATCH(AM$1,Job_Training[[`Typical Entry Level Education`]:[`Typical Entry Level Education`]],0),MATCH(LEFT($D825,5),Job_Training[[#Headers],[Solar]:[Wind]],0)),0)</f>
        <v>4.0899999999999999E-2</v>
      </c>
      <c r="AN825" s="63">
        <f>IFERROR(INDEX(Job_Training[[Solar]:[Wind]],MATCH(AN$1,Job_Training[[`Typical Entry Level Education`]:[`Typical Entry Level Education`]],0),MATCH(LEFT($D825,5),Job_Training[[#Headers],[Solar]:[Wind]],0)),0)</f>
        <v>0.02</v>
      </c>
      <c r="AO825" s="63">
        <f>IFERROR(INDEX(Job_Training[[Solar]:[Wind]],MATCH(AO$1,Job_Training[[`Typical Entry Level Education`]:[`Typical Entry Level Education`]],0),MATCH(LEFT($D825,5),Job_Training[[#Headers],[Solar]:[Wind]],0)),0)</f>
        <v>1.1299999999999999E-3</v>
      </c>
      <c r="AP825">
        <f t="shared" si="230"/>
        <v>9.5238095238095255</v>
      </c>
      <c r="AQ825" s="63">
        <f>IF(AP825&gt;0,IFERROR(INDEX(Assumptions!$C$165:$D$165,MATCH(LEFT($D825,5),Job_Training[[#Headers],[Solar]:[Wind]],0)),0),0)</f>
        <v>8.5630000000000012E-2</v>
      </c>
      <c r="AR825">
        <f>IF(AP825&gt;0,IFERROR(INDEX(Assumptions!$C$166:$D$166,MATCH(LEFT($D825,5),Job_Training[[#Headers],[Solar]:[Wind]],0)),0),0)</f>
        <v>0.68504000000000009</v>
      </c>
    </row>
    <row r="826" spans="1:44" hidden="1" x14ac:dyDescent="0.35">
      <c r="A826" t="str">
        <f>UserInput!$B$82</f>
        <v>Incremental Buildout</v>
      </c>
      <c r="B826">
        <v>2030</v>
      </c>
      <c r="C826" t="s">
        <v>41</v>
      </c>
      <c r="D826" t="s">
        <v>83</v>
      </c>
      <c r="E826" s="120">
        <f>INDEX(UserInput!$C$82:$M$102,MATCH(UserMade_Scenario!B826,UserInput!$A$82:$A$102,0),MATCH(LEFT(IF(RIGHT(C826,2)="H2",UserMade_Scenario!C826,D826),3),UserInput!$C$25:$M$25,0))</f>
        <v>57.142857142857146</v>
      </c>
      <c r="F826" t="s">
        <v>81</v>
      </c>
      <c r="G826" s="14">
        <f t="shared" si="231"/>
        <v>4.9422496125516491E-4</v>
      </c>
      <c r="H826" s="63">
        <f t="shared" si="237"/>
        <v>1.6874600052033541E-2</v>
      </c>
      <c r="I826" s="63">
        <f t="shared" si="238"/>
        <v>1.4588770289647805E-2</v>
      </c>
      <c r="J826" s="63">
        <f t="shared" si="239"/>
        <v>1.9160429677127812E-2</v>
      </c>
      <c r="K826" s="30">
        <f>IF(OR(LEFT($D826,5)="Solar",$D826="Wind"),INDEX(Land_Use[AVG],MATCH(LEFT($D826,5),Land_Use[Tech],0)),0)*$E826</f>
        <v>142.85714285714286</v>
      </c>
      <c r="L826" s="30">
        <f>IF(OR(LEFT($D826,5)="Solar",$D826="Wind"),INDEX(Land_Use[MIN],MATCH(LEFT($D826,5),Land_Use[Tech],0)),0)*$E826</f>
        <v>45.714285714285722</v>
      </c>
      <c r="M826" s="30">
        <f>IF(OR(LEFT($D826,5)="Solar",$D826="Wind"),INDEX(Land_Use[MAX],MATCH(LEFT($D826,5),Land_Use[Tech],0)),0)*$E826</f>
        <v>240.00000000000003</v>
      </c>
      <c r="N826" s="15">
        <f t="shared" si="232"/>
        <v>0</v>
      </c>
      <c r="O826" s="11">
        <f t="shared" si="233"/>
        <v>2000</v>
      </c>
      <c r="P826" s="11">
        <f t="shared" si="234"/>
        <v>200</v>
      </c>
      <c r="Q826" s="11">
        <f t="shared" si="235"/>
        <v>35714.285714285717</v>
      </c>
      <c r="R826" s="11">
        <f t="shared" si="236"/>
        <v>44.285714285714285</v>
      </c>
      <c r="S826" s="30">
        <f t="shared" si="224"/>
        <v>0.2247619047619048</v>
      </c>
      <c r="T826" s="30">
        <f t="shared" si="225"/>
        <v>0.38952380952380961</v>
      </c>
      <c r="U826" s="30">
        <f t="shared" si="226"/>
        <v>0.19047619047619052</v>
      </c>
      <c r="V826" s="30">
        <f t="shared" si="227"/>
        <v>1.0761904761904762E-2</v>
      </c>
      <c r="W826" s="30">
        <f t="shared" si="228"/>
        <v>0.81552380952380976</v>
      </c>
      <c r="X826" s="30">
        <f t="shared" si="229"/>
        <v>6.5241904761904781</v>
      </c>
      <c r="Z826" s="23" t="s">
        <v>76</v>
      </c>
      <c r="AA826" s="40">
        <f>IF(C826="Electricity",E826*SUMIFS(Electricity!S:S,Electricity!P:P,UserMade_Scenario!B826,Electricity!M:M,UserMade_Scenario!Z826,Electricity!O:O,UserMade_Scenario!D826),"")</f>
        <v>137291.47809957457</v>
      </c>
      <c r="AB826" s="76">
        <f>1/Assumptions!$B$23/1000000000000</f>
        <v>3.5998225679871703E-9</v>
      </c>
      <c r="AC826" s="67" t="s">
        <v>82</v>
      </c>
      <c r="AD826" s="69">
        <f>INDEX(Table11[AVG
CO2e MT per MWh],MATCH(UserMade_Scenario!$B826,Table11[[Year]:[Year]],0))</f>
        <v>-0.12291076099999998</v>
      </c>
      <c r="AE826" s="69">
        <f>INDEX(Table11[MIN
CO2e MT per MWh],MATCH(UserMade_Scenario!$B826,Table11[[Year]:[Year]],0))</f>
        <v>-0.10626129525000003</v>
      </c>
      <c r="AF826" s="69">
        <f>INDEX(Table11[MAX CO2e MT per MWh],MATCH(UserMade_Scenario!$B826,Table11[[Year]:[Year]],0))</f>
        <v>-0.13956022575000004</v>
      </c>
      <c r="AG826" s="68">
        <f>IFERROR(INDEX(WaterUseH2[Average Direct Water Consumption (Gal/ kg h2)],MATCH(LEFT(D826,3),WaterUseH2[Key],0)),0)</f>
        <v>0</v>
      </c>
      <c r="AH826">
        <v>14</v>
      </c>
      <c r="AI826">
        <v>1.4</v>
      </c>
      <c r="AJ826">
        <v>250</v>
      </c>
      <c r="AK826">
        <v>0.31</v>
      </c>
      <c r="AL826" s="63">
        <f>IFERROR(INDEX(Job_Training[[Solar]:[Wind]],MATCH(AL$1,Job_Training[[`Typical Entry Level Education`]:[`Typical Entry Level Education`]],0),MATCH(LEFT($D826,5),Job_Training[[#Headers],[Solar]:[Wind]],0)),0)</f>
        <v>2.3599999999999999E-2</v>
      </c>
      <c r="AM826" s="63">
        <f>IFERROR(INDEX(Job_Training[[Solar]:[Wind]],MATCH(AM$1,Job_Training[[`Typical Entry Level Education`]:[`Typical Entry Level Education`]],0),MATCH(LEFT($D826,5),Job_Training[[#Headers],[Solar]:[Wind]],0)),0)</f>
        <v>4.0899999999999999E-2</v>
      </c>
      <c r="AN826" s="63">
        <f>IFERROR(INDEX(Job_Training[[Solar]:[Wind]],MATCH(AN$1,Job_Training[[`Typical Entry Level Education`]:[`Typical Entry Level Education`]],0),MATCH(LEFT($D826,5),Job_Training[[#Headers],[Solar]:[Wind]],0)),0)</f>
        <v>0.02</v>
      </c>
      <c r="AO826" s="63">
        <f>IFERROR(INDEX(Job_Training[[Solar]:[Wind]],MATCH(AO$1,Job_Training[[`Typical Entry Level Education`]:[`Typical Entry Level Education`]],0),MATCH(LEFT($D826,5),Job_Training[[#Headers],[Solar]:[Wind]],0)),0)</f>
        <v>1.1299999999999999E-3</v>
      </c>
      <c r="AP826">
        <f t="shared" si="230"/>
        <v>9.5238095238095255</v>
      </c>
      <c r="AQ826" s="63">
        <f>IF(AP826&gt;0,IFERROR(INDEX(Assumptions!$C$165:$D$165,MATCH(LEFT($D826,5),Job_Training[[#Headers],[Solar]:[Wind]],0)),0),0)</f>
        <v>8.5630000000000012E-2</v>
      </c>
      <c r="AR826">
        <f>IF(AP826&gt;0,IFERROR(INDEX(Assumptions!$C$166:$D$166,MATCH(LEFT($D826,5),Job_Training[[#Headers],[Solar]:[Wind]],0)),0),0)</f>
        <v>0.68504000000000009</v>
      </c>
    </row>
    <row r="827" spans="1:44" hidden="1" x14ac:dyDescent="0.35">
      <c r="A827" t="str">
        <f>UserInput!$B$82</f>
        <v>Incremental Buildout</v>
      </c>
      <c r="B827">
        <v>2031</v>
      </c>
      <c r="C827" t="s">
        <v>41</v>
      </c>
      <c r="D827" t="s">
        <v>83</v>
      </c>
      <c r="E827" s="120">
        <f>INDEX(UserInput!$C$82:$M$102,MATCH(UserMade_Scenario!B827,UserInput!$A$82:$A$102,0),MATCH(LEFT(IF(RIGHT(C827,2)="H2",UserMade_Scenario!C827,D827),3),UserInput!$C$25:$M$25,0))</f>
        <v>66.666666666666671</v>
      </c>
      <c r="F827" t="s">
        <v>81</v>
      </c>
      <c r="G827" s="14">
        <f t="shared" si="231"/>
        <v>5.7178604967747905E-4</v>
      </c>
      <c r="H827" s="63">
        <f t="shared" si="237"/>
        <v>1.88518951367465E-2</v>
      </c>
      <c r="I827" s="63">
        <f t="shared" si="238"/>
        <v>1.6059010089788696E-2</v>
      </c>
      <c r="J827" s="63">
        <f t="shared" si="239"/>
        <v>2.1644780024867041E-2</v>
      </c>
      <c r="K827" s="30">
        <f>IF(OR(LEFT($D827,5)="Solar",$D827="Wind"),INDEX(Land_Use[AVG],MATCH(LEFT($D827,5),Land_Use[Tech],0)),0)*$E827</f>
        <v>166.66666666666669</v>
      </c>
      <c r="L827" s="30">
        <f>IF(OR(LEFT($D827,5)="Solar",$D827="Wind"),INDEX(Land_Use[MIN],MATCH(LEFT($D827,5),Land_Use[Tech],0)),0)*$E827</f>
        <v>53.333333333333343</v>
      </c>
      <c r="M827" s="30">
        <f>IF(OR(LEFT($D827,5)="Solar",$D827="Wind"),INDEX(Land_Use[MAX],MATCH(LEFT($D827,5),Land_Use[Tech],0)),0)*$E827</f>
        <v>280.00000000000006</v>
      </c>
      <c r="N827" s="15">
        <f t="shared" si="232"/>
        <v>0</v>
      </c>
      <c r="O827" s="11">
        <f t="shared" si="233"/>
        <v>2333.3333333333335</v>
      </c>
      <c r="P827" s="11">
        <f t="shared" si="234"/>
        <v>233.33333333333334</v>
      </c>
      <c r="Q827" s="11">
        <f t="shared" si="235"/>
        <v>41666.666666666672</v>
      </c>
      <c r="R827" s="11">
        <f t="shared" si="236"/>
        <v>51.666666666666671</v>
      </c>
      <c r="S827" s="30">
        <f t="shared" si="224"/>
        <v>0.2247619047619048</v>
      </c>
      <c r="T827" s="30">
        <f t="shared" si="225"/>
        <v>0.38952380952380961</v>
      </c>
      <c r="U827" s="30">
        <f t="shared" si="226"/>
        <v>0.19047619047619052</v>
      </c>
      <c r="V827" s="30">
        <f t="shared" si="227"/>
        <v>1.0761904761904762E-2</v>
      </c>
      <c r="W827" s="30">
        <f t="shared" si="228"/>
        <v>0.81552380952380976</v>
      </c>
      <c r="X827" s="30">
        <f t="shared" si="229"/>
        <v>6.5241904761904781</v>
      </c>
      <c r="Z827" s="23" t="s">
        <v>76</v>
      </c>
      <c r="AA827" s="40">
        <f>IF(C827="Electricity",E827*SUMIFS(Electricity!S:S,Electricity!P:P,UserMade_Scenario!B827,Electricity!M:M,UserMade_Scenario!Z827,Electricity!O:O,UserMade_Scenario!D827),"")</f>
        <v>158837.28680471922</v>
      </c>
      <c r="AB827" s="76">
        <f>1/Assumptions!$B$23/1000000000000</f>
        <v>3.5998225679871703E-9</v>
      </c>
      <c r="AC827" s="67" t="s">
        <v>82</v>
      </c>
      <c r="AD827" s="69">
        <f>INDEX(Table11[AVG
CO2e MT per MWh],MATCH(UserMade_Scenario!$B827,Table11[[Year]:[Year]],0))</f>
        <v>-0.11868683679999997</v>
      </c>
      <c r="AE827" s="69">
        <f>INDEX(Table11[MIN
CO2e MT per MWh],MATCH(UserMade_Scenario!$B827,Table11[[Year]:[Year]],0))</f>
        <v>-0.10110352810000003</v>
      </c>
      <c r="AF827" s="69">
        <f>INDEX(Table11[MAX CO2e MT per MWh],MATCH(UserMade_Scenario!$B827,Table11[[Year]:[Year]],0))</f>
        <v>-0.13627014450000005</v>
      </c>
      <c r="AG827" s="68">
        <f>IFERROR(INDEX(WaterUseH2[Average Direct Water Consumption (Gal/ kg h2)],MATCH(LEFT(D827,3),WaterUseH2[Key],0)),0)</f>
        <v>0</v>
      </c>
      <c r="AH827">
        <v>14</v>
      </c>
      <c r="AI827">
        <v>1.4</v>
      </c>
      <c r="AJ827">
        <v>250</v>
      </c>
      <c r="AK827">
        <v>0.31</v>
      </c>
      <c r="AL827" s="63">
        <f>IFERROR(INDEX(Job_Training[[Solar]:[Wind]],MATCH(AL$1,Job_Training[[`Typical Entry Level Education`]:[`Typical Entry Level Education`]],0),MATCH(LEFT($D827,5),Job_Training[[#Headers],[Solar]:[Wind]],0)),0)</f>
        <v>2.3599999999999999E-2</v>
      </c>
      <c r="AM827" s="63">
        <f>IFERROR(INDEX(Job_Training[[Solar]:[Wind]],MATCH(AM$1,Job_Training[[`Typical Entry Level Education`]:[`Typical Entry Level Education`]],0),MATCH(LEFT($D827,5),Job_Training[[#Headers],[Solar]:[Wind]],0)),0)</f>
        <v>4.0899999999999999E-2</v>
      </c>
      <c r="AN827" s="63">
        <f>IFERROR(INDEX(Job_Training[[Solar]:[Wind]],MATCH(AN$1,Job_Training[[`Typical Entry Level Education`]:[`Typical Entry Level Education`]],0),MATCH(LEFT($D827,5),Job_Training[[#Headers],[Solar]:[Wind]],0)),0)</f>
        <v>0.02</v>
      </c>
      <c r="AO827" s="63">
        <f>IFERROR(INDEX(Job_Training[[Solar]:[Wind]],MATCH(AO$1,Job_Training[[`Typical Entry Level Education`]:[`Typical Entry Level Education`]],0),MATCH(LEFT($D827,5),Job_Training[[#Headers],[Solar]:[Wind]],0)),0)</f>
        <v>1.1299999999999999E-3</v>
      </c>
      <c r="AP827">
        <f t="shared" si="230"/>
        <v>9.5238095238095255</v>
      </c>
      <c r="AQ827" s="63">
        <f>IF(AP827&gt;0,IFERROR(INDEX(Assumptions!$C$165:$D$165,MATCH(LEFT($D827,5),Job_Training[[#Headers],[Solar]:[Wind]],0)),0),0)</f>
        <v>8.5630000000000012E-2</v>
      </c>
      <c r="AR827">
        <f>IF(AP827&gt;0,IFERROR(INDEX(Assumptions!$C$166:$D$166,MATCH(LEFT($D827,5),Job_Training[[#Headers],[Solar]:[Wind]],0)),0),0)</f>
        <v>0.68504000000000009</v>
      </c>
    </row>
    <row r="828" spans="1:44" hidden="1" x14ac:dyDescent="0.35">
      <c r="A828" t="str">
        <f>UserInput!$B$82</f>
        <v>Incremental Buildout</v>
      </c>
      <c r="B828">
        <v>2032</v>
      </c>
      <c r="C828" t="s">
        <v>41</v>
      </c>
      <c r="D828" t="s">
        <v>83</v>
      </c>
      <c r="E828" s="120">
        <f>INDEX(UserInput!$C$82:$M$102,MATCH(UserMade_Scenario!B828,UserInput!$A$82:$A$102,0),MATCH(LEFT(IF(RIGHT(C828,2)="H2",UserMade_Scenario!C828,D828),3),UserInput!$C$25:$M$25,0))</f>
        <v>76.19047619047619</v>
      </c>
      <c r="F828" t="s">
        <v>81</v>
      </c>
      <c r="G828" s="14">
        <f t="shared" si="231"/>
        <v>6.4797292711306538E-4</v>
      </c>
      <c r="H828" s="63">
        <f t="shared" si="237"/>
        <v>2.0603478955569812E-2</v>
      </c>
      <c r="I828" s="63">
        <f t="shared" si="238"/>
        <v>1.727036663410449E-2</v>
      </c>
      <c r="J828" s="63">
        <f t="shared" si="239"/>
        <v>2.3936591097033815E-2</v>
      </c>
      <c r="K828" s="30">
        <f>IF(OR(LEFT($D828,5)="Solar",$D828="Wind"),INDEX(Land_Use[AVG],MATCH(LEFT($D828,5),Land_Use[Tech],0)),0)*$E828</f>
        <v>190.47619047619048</v>
      </c>
      <c r="L828" s="30">
        <f>IF(OR(LEFT($D828,5)="Solar",$D828="Wind"),INDEX(Land_Use[MIN],MATCH(LEFT($D828,5),Land_Use[Tech],0)),0)*$E828</f>
        <v>60.952380952380956</v>
      </c>
      <c r="M828" s="30">
        <f>IF(OR(LEFT($D828,5)="Solar",$D828="Wind"),INDEX(Land_Use[MAX],MATCH(LEFT($D828,5),Land_Use[Tech],0)),0)*$E828</f>
        <v>320</v>
      </c>
      <c r="N828" s="15">
        <f t="shared" si="232"/>
        <v>0</v>
      </c>
      <c r="O828" s="11">
        <f t="shared" si="233"/>
        <v>2666.666666666667</v>
      </c>
      <c r="P828" s="11">
        <f t="shared" si="234"/>
        <v>266.66666666666669</v>
      </c>
      <c r="Q828" s="11">
        <f t="shared" si="235"/>
        <v>47619.047619047618</v>
      </c>
      <c r="R828" s="11">
        <f t="shared" si="236"/>
        <v>59.047619047619051</v>
      </c>
      <c r="S828" s="30">
        <f t="shared" si="224"/>
        <v>0.22476190476190464</v>
      </c>
      <c r="T828" s="30">
        <f t="shared" si="225"/>
        <v>0.38952380952380927</v>
      </c>
      <c r="U828" s="30">
        <f t="shared" si="226"/>
        <v>0.19047619047619038</v>
      </c>
      <c r="V828" s="30">
        <f t="shared" si="227"/>
        <v>1.0761904761904756E-2</v>
      </c>
      <c r="W828" s="30">
        <f t="shared" si="228"/>
        <v>0.81552380952380921</v>
      </c>
      <c r="X828" s="30">
        <f t="shared" si="229"/>
        <v>6.5241904761904737</v>
      </c>
      <c r="Z828" s="23" t="s">
        <v>76</v>
      </c>
      <c r="AA828" s="40">
        <f>IF(C828="Electricity",E828*SUMIFS(Electricity!S:S,Electricity!P:P,UserMade_Scenario!B828,Electricity!M:M,UserMade_Scenario!Z828,Electricity!O:O,UserMade_Scenario!D828),"")</f>
        <v>180001.35142087779</v>
      </c>
      <c r="AB828" s="76">
        <f>1/Assumptions!$B$23/1000000000000</f>
        <v>3.5998225679871703E-9</v>
      </c>
      <c r="AC828" s="67" t="s">
        <v>82</v>
      </c>
      <c r="AD828" s="69">
        <f>INDEX(Table11[AVG
CO2e MT per MWh],MATCH(UserMade_Scenario!$B828,Table11[[Year]:[Year]],0))</f>
        <v>-0.11446291259999997</v>
      </c>
      <c r="AE828" s="69">
        <f>INDEX(Table11[MIN
CO2e MT per MWh],MATCH(UserMade_Scenario!$B828,Table11[[Year]:[Year]],0))</f>
        <v>-9.5945760950000042E-2</v>
      </c>
      <c r="AF828" s="69">
        <f>INDEX(Table11[MAX CO2e MT per MWh],MATCH(UserMade_Scenario!$B828,Table11[[Year]:[Year]],0))</f>
        <v>-0.13298006325000006</v>
      </c>
      <c r="AG828" s="68">
        <f>IFERROR(INDEX(WaterUseH2[Average Direct Water Consumption (Gal/ kg h2)],MATCH(LEFT(D828,3),WaterUseH2[Key],0)),0)</f>
        <v>0</v>
      </c>
      <c r="AH828">
        <v>14</v>
      </c>
      <c r="AI828">
        <v>1.4</v>
      </c>
      <c r="AJ828">
        <v>250</v>
      </c>
      <c r="AK828">
        <v>0.31</v>
      </c>
      <c r="AL828" s="63">
        <f>IFERROR(INDEX(Job_Training[[Solar]:[Wind]],MATCH(AL$1,Job_Training[[`Typical Entry Level Education`]:[`Typical Entry Level Education`]],0),MATCH(LEFT($D828,5),Job_Training[[#Headers],[Solar]:[Wind]],0)),0)</f>
        <v>2.3599999999999999E-2</v>
      </c>
      <c r="AM828" s="63">
        <f>IFERROR(INDEX(Job_Training[[Solar]:[Wind]],MATCH(AM$1,Job_Training[[`Typical Entry Level Education`]:[`Typical Entry Level Education`]],0),MATCH(LEFT($D828,5),Job_Training[[#Headers],[Solar]:[Wind]],0)),0)</f>
        <v>4.0899999999999999E-2</v>
      </c>
      <c r="AN828" s="63">
        <f>IFERROR(INDEX(Job_Training[[Solar]:[Wind]],MATCH(AN$1,Job_Training[[`Typical Entry Level Education`]:[`Typical Entry Level Education`]],0),MATCH(LEFT($D828,5),Job_Training[[#Headers],[Solar]:[Wind]],0)),0)</f>
        <v>0.02</v>
      </c>
      <c r="AO828" s="63">
        <f>IFERROR(INDEX(Job_Training[[Solar]:[Wind]],MATCH(AO$1,Job_Training[[`Typical Entry Level Education`]:[`Typical Entry Level Education`]],0),MATCH(LEFT($D828,5),Job_Training[[#Headers],[Solar]:[Wind]],0)),0)</f>
        <v>1.1299999999999999E-3</v>
      </c>
      <c r="AP828">
        <f t="shared" si="230"/>
        <v>9.5238095238095184</v>
      </c>
      <c r="AQ828" s="63">
        <f>IF(AP828&gt;0,IFERROR(INDEX(Assumptions!$C$165:$D$165,MATCH(LEFT($D828,5),Job_Training[[#Headers],[Solar]:[Wind]],0)),0),0)</f>
        <v>8.5630000000000012E-2</v>
      </c>
      <c r="AR828">
        <f>IF(AP828&gt;0,IFERROR(INDEX(Assumptions!$C$166:$D$166,MATCH(LEFT($D828,5),Job_Training[[#Headers],[Solar]:[Wind]],0)),0),0)</f>
        <v>0.68504000000000009</v>
      </c>
    </row>
    <row r="829" spans="1:44" hidden="1" x14ac:dyDescent="0.35">
      <c r="A829" t="str">
        <f>UserInput!$B$82</f>
        <v>Incremental Buildout</v>
      </c>
      <c r="B829">
        <v>2033</v>
      </c>
      <c r="C829" t="s">
        <v>41</v>
      </c>
      <c r="D829" t="s">
        <v>83</v>
      </c>
      <c r="E829" s="120">
        <f>INDEX(UserInput!$C$82:$M$102,MATCH(UserMade_Scenario!B829,UserInput!$A$82:$A$102,0),MATCH(LEFT(IF(RIGHT(C829,2)="H2",UserMade_Scenario!C829,D829),3),UserInput!$C$25:$M$25,0))</f>
        <v>85.714285714285708</v>
      </c>
      <c r="F829" t="s">
        <v>81</v>
      </c>
      <c r="G829" s="14">
        <f t="shared" si="231"/>
        <v>7.227855935619241E-4</v>
      </c>
      <c r="H829" s="63">
        <f t="shared" si="237"/>
        <v>2.2134188882790517E-2</v>
      </c>
      <c r="I829" s="63">
        <f t="shared" si="238"/>
        <v>1.8228746763960836E-2</v>
      </c>
      <c r="J829" s="63">
        <f t="shared" si="239"/>
        <v>2.6039630800836565E-2</v>
      </c>
      <c r="K829" s="30">
        <f>IF(OR(LEFT($D829,5)="Solar",$D829="Wind"),INDEX(Land_Use[AVG],MATCH(LEFT($D829,5),Land_Use[Tech],0)),0)*$E829</f>
        <v>214.28571428571428</v>
      </c>
      <c r="L829" s="30">
        <f>IF(OR(LEFT($D829,5)="Solar",$D829="Wind"),INDEX(Land_Use[MIN],MATCH(LEFT($D829,5),Land_Use[Tech],0)),0)*$E829</f>
        <v>68.571428571428569</v>
      </c>
      <c r="M829" s="30">
        <f>IF(OR(LEFT($D829,5)="Solar",$D829="Wind"),INDEX(Land_Use[MAX],MATCH(LEFT($D829,5),Land_Use[Tech],0)),0)*$E829</f>
        <v>360</v>
      </c>
      <c r="N829" s="15">
        <f t="shared" si="232"/>
        <v>0</v>
      </c>
      <c r="O829" s="11">
        <f t="shared" si="233"/>
        <v>3000</v>
      </c>
      <c r="P829" s="11">
        <f t="shared" si="234"/>
        <v>299.99999999999994</v>
      </c>
      <c r="Q829" s="11">
        <f t="shared" si="235"/>
        <v>53571.428571428572</v>
      </c>
      <c r="R829" s="11">
        <f t="shared" si="236"/>
        <v>66.428571428571431</v>
      </c>
      <c r="S829" s="30">
        <f t="shared" si="224"/>
        <v>0.22476190476190464</v>
      </c>
      <c r="T829" s="30">
        <f t="shared" si="225"/>
        <v>0.38952380952380927</v>
      </c>
      <c r="U829" s="30">
        <f t="shared" si="226"/>
        <v>0.19047619047619038</v>
      </c>
      <c r="V829" s="30">
        <f t="shared" si="227"/>
        <v>1.0761904761904756E-2</v>
      </c>
      <c r="W829" s="30">
        <f t="shared" si="228"/>
        <v>0.81552380952380921</v>
      </c>
      <c r="X829" s="30">
        <f t="shared" si="229"/>
        <v>6.5241904761904737</v>
      </c>
      <c r="Z829" s="23" t="s">
        <v>76</v>
      </c>
      <c r="AA829" s="40">
        <f>IF(C829="Electricity",E829*SUMIFS(Electricity!S:S,Electricity!P:P,UserMade_Scenario!B829,Electricity!M:M,UserMade_Scenario!Z829,Electricity!O:O,UserMade_Scenario!D829),"")</f>
        <v>200783.67194805032</v>
      </c>
      <c r="AB829" s="76">
        <f>1/Assumptions!$B$23/1000000000000</f>
        <v>3.5998225679871703E-9</v>
      </c>
      <c r="AC829" s="67" t="s">
        <v>82</v>
      </c>
      <c r="AD829" s="69">
        <f>INDEX(Table11[AVG
CO2e MT per MWh],MATCH(UserMade_Scenario!$B829,Table11[[Year]:[Year]],0))</f>
        <v>-0.11023898839999996</v>
      </c>
      <c r="AE829" s="69">
        <f>INDEX(Table11[MIN
CO2e MT per MWh],MATCH(UserMade_Scenario!$B829,Table11[[Year]:[Year]],0))</f>
        <v>-9.078799380000005E-2</v>
      </c>
      <c r="AF829" s="69">
        <f>INDEX(Table11[MAX CO2e MT per MWh],MATCH(UserMade_Scenario!$B829,Table11[[Year]:[Year]],0))</f>
        <v>-0.12968998200000006</v>
      </c>
      <c r="AG829" s="68">
        <f>IFERROR(INDEX(WaterUseH2[Average Direct Water Consumption (Gal/ kg h2)],MATCH(LEFT(D829,3),WaterUseH2[Key],0)),0)</f>
        <v>0</v>
      </c>
      <c r="AH829">
        <v>14</v>
      </c>
      <c r="AI829">
        <v>1.4</v>
      </c>
      <c r="AJ829">
        <v>250</v>
      </c>
      <c r="AK829">
        <v>0.31</v>
      </c>
      <c r="AL829" s="63">
        <f>IFERROR(INDEX(Job_Training[[Solar]:[Wind]],MATCH(AL$1,Job_Training[[`Typical Entry Level Education`]:[`Typical Entry Level Education`]],0),MATCH(LEFT($D829,5),Job_Training[[#Headers],[Solar]:[Wind]],0)),0)</f>
        <v>2.3599999999999999E-2</v>
      </c>
      <c r="AM829" s="63">
        <f>IFERROR(INDEX(Job_Training[[Solar]:[Wind]],MATCH(AM$1,Job_Training[[`Typical Entry Level Education`]:[`Typical Entry Level Education`]],0),MATCH(LEFT($D829,5),Job_Training[[#Headers],[Solar]:[Wind]],0)),0)</f>
        <v>4.0899999999999999E-2</v>
      </c>
      <c r="AN829" s="63">
        <f>IFERROR(INDEX(Job_Training[[Solar]:[Wind]],MATCH(AN$1,Job_Training[[`Typical Entry Level Education`]:[`Typical Entry Level Education`]],0),MATCH(LEFT($D829,5),Job_Training[[#Headers],[Solar]:[Wind]],0)),0)</f>
        <v>0.02</v>
      </c>
      <c r="AO829" s="63">
        <f>IFERROR(INDEX(Job_Training[[Solar]:[Wind]],MATCH(AO$1,Job_Training[[`Typical Entry Level Education`]:[`Typical Entry Level Education`]],0),MATCH(LEFT($D829,5),Job_Training[[#Headers],[Solar]:[Wind]],0)),0)</f>
        <v>1.1299999999999999E-3</v>
      </c>
      <c r="AP829">
        <f t="shared" si="230"/>
        <v>9.5238095238095184</v>
      </c>
      <c r="AQ829" s="63">
        <f>IF(AP829&gt;0,IFERROR(INDEX(Assumptions!$C$165:$D$165,MATCH(LEFT($D829,5),Job_Training[[#Headers],[Solar]:[Wind]],0)),0),0)</f>
        <v>8.5630000000000012E-2</v>
      </c>
      <c r="AR829">
        <f>IF(AP829&gt;0,IFERROR(INDEX(Assumptions!$C$166:$D$166,MATCH(LEFT($D829,5),Job_Training[[#Headers],[Solar]:[Wind]],0)),0),0)</f>
        <v>0.68504000000000009</v>
      </c>
    </row>
    <row r="830" spans="1:44" hidden="1" x14ac:dyDescent="0.35">
      <c r="A830" t="str">
        <f>UserInput!$B$82</f>
        <v>Incremental Buildout</v>
      </c>
      <c r="B830">
        <v>2034</v>
      </c>
      <c r="C830" t="s">
        <v>41</v>
      </c>
      <c r="D830" t="s">
        <v>83</v>
      </c>
      <c r="E830" s="120">
        <f>INDEX(UserInput!$C$82:$M$102,MATCH(UserMade_Scenario!B830,UserInput!$A$82:$A$102,0),MATCH(LEFT(IF(RIGHT(C830,2)="H2",UserMade_Scenario!C830,D830),3),UserInput!$C$25:$M$25,0))</f>
        <v>95.238095238095227</v>
      </c>
      <c r="F830" t="s">
        <v>81</v>
      </c>
      <c r="G830" s="14">
        <f t="shared" si="231"/>
        <v>7.962240490240551E-4</v>
      </c>
      <c r="H830" s="63">
        <f t="shared" si="237"/>
        <v>2.3448862292695632E-2</v>
      </c>
      <c r="I830" s="63">
        <f t="shared" si="238"/>
        <v>1.8940057320723368E-2</v>
      </c>
      <c r="J830" s="63">
        <f t="shared" si="239"/>
        <v>2.7957667043483698E-2</v>
      </c>
      <c r="K830" s="30">
        <f>IF(OR(LEFT($D830,5)="Solar",$D830="Wind"),INDEX(Land_Use[AVG],MATCH(LEFT($D830,5),Land_Use[Tech],0)),0)*$E830</f>
        <v>238.09523809523807</v>
      </c>
      <c r="L830" s="30">
        <f>IF(OR(LEFT($D830,5)="Solar",$D830="Wind"),INDEX(Land_Use[MIN],MATCH(LEFT($D830,5),Land_Use[Tech],0)),0)*$E830</f>
        <v>76.19047619047619</v>
      </c>
      <c r="M830" s="30">
        <f>IF(OR(LEFT($D830,5)="Solar",$D830="Wind"),INDEX(Land_Use[MAX],MATCH(LEFT($D830,5),Land_Use[Tech],0)),0)*$E830</f>
        <v>399.99999999999994</v>
      </c>
      <c r="N830" s="15">
        <f t="shared" si="232"/>
        <v>0</v>
      </c>
      <c r="O830" s="11">
        <f t="shared" si="233"/>
        <v>3333.333333333333</v>
      </c>
      <c r="P830" s="11">
        <f t="shared" si="234"/>
        <v>333.33333333333326</v>
      </c>
      <c r="Q830" s="11">
        <f t="shared" si="235"/>
        <v>59523.809523809519</v>
      </c>
      <c r="R830" s="11">
        <f t="shared" si="236"/>
        <v>73.809523809523796</v>
      </c>
      <c r="S830" s="30">
        <f t="shared" si="224"/>
        <v>0.22476190476190464</v>
      </c>
      <c r="T830" s="30">
        <f t="shared" si="225"/>
        <v>0.38952380952380927</v>
      </c>
      <c r="U830" s="30">
        <f t="shared" si="226"/>
        <v>0.19047619047619038</v>
      </c>
      <c r="V830" s="30">
        <f t="shared" si="227"/>
        <v>1.0761904761904756E-2</v>
      </c>
      <c r="W830" s="30">
        <f t="shared" si="228"/>
        <v>0.81552380952380921</v>
      </c>
      <c r="X830" s="30">
        <f t="shared" si="229"/>
        <v>6.5241904761904737</v>
      </c>
      <c r="Z830" s="23" t="s">
        <v>76</v>
      </c>
      <c r="AA830" s="40">
        <f>IF(C830="Electricity",E830*SUMIFS(Electricity!S:S,Electricity!P:P,UserMade_Scenario!B830,Electricity!M:M,UserMade_Scenario!Z830,Electricity!O:O,UserMade_Scenario!D830),"")</f>
        <v>221184.24838623681</v>
      </c>
      <c r="AB830" s="76">
        <f>1/Assumptions!$B$23/1000000000000</f>
        <v>3.5998225679871703E-9</v>
      </c>
      <c r="AC830" s="67" t="s">
        <v>82</v>
      </c>
      <c r="AD830" s="69">
        <f>INDEX(Table11[AVG
CO2e MT per MWh],MATCH(UserMade_Scenario!$B830,Table11[[Year]:[Year]],0))</f>
        <v>-0.10601506419999995</v>
      </c>
      <c r="AE830" s="69">
        <f>INDEX(Table11[MIN
CO2e MT per MWh],MATCH(UserMade_Scenario!$B830,Table11[[Year]:[Year]],0))</f>
        <v>-8.5630226650000058E-2</v>
      </c>
      <c r="AF830" s="69">
        <f>INDEX(Table11[MAX CO2e MT per MWh],MATCH(UserMade_Scenario!$B830,Table11[[Year]:[Year]],0))</f>
        <v>-0.12639990075000007</v>
      </c>
      <c r="AG830" s="68">
        <f>IFERROR(INDEX(WaterUseH2[Average Direct Water Consumption (Gal/ kg h2)],MATCH(LEFT(D830,3),WaterUseH2[Key],0)),0)</f>
        <v>0</v>
      </c>
      <c r="AH830">
        <v>14</v>
      </c>
      <c r="AI830">
        <v>1.4</v>
      </c>
      <c r="AJ830">
        <v>250</v>
      </c>
      <c r="AK830">
        <v>0.31</v>
      </c>
      <c r="AL830" s="63">
        <f>IFERROR(INDEX(Job_Training[[Solar]:[Wind]],MATCH(AL$1,Job_Training[[`Typical Entry Level Education`]:[`Typical Entry Level Education`]],0),MATCH(LEFT($D830,5),Job_Training[[#Headers],[Solar]:[Wind]],0)),0)</f>
        <v>2.3599999999999999E-2</v>
      </c>
      <c r="AM830" s="63">
        <f>IFERROR(INDEX(Job_Training[[Solar]:[Wind]],MATCH(AM$1,Job_Training[[`Typical Entry Level Education`]:[`Typical Entry Level Education`]],0),MATCH(LEFT($D830,5),Job_Training[[#Headers],[Solar]:[Wind]],0)),0)</f>
        <v>4.0899999999999999E-2</v>
      </c>
      <c r="AN830" s="63">
        <f>IFERROR(INDEX(Job_Training[[Solar]:[Wind]],MATCH(AN$1,Job_Training[[`Typical Entry Level Education`]:[`Typical Entry Level Education`]],0),MATCH(LEFT($D830,5),Job_Training[[#Headers],[Solar]:[Wind]],0)),0)</f>
        <v>0.02</v>
      </c>
      <c r="AO830" s="63">
        <f>IFERROR(INDEX(Job_Training[[Solar]:[Wind]],MATCH(AO$1,Job_Training[[`Typical Entry Level Education`]:[`Typical Entry Level Education`]],0),MATCH(LEFT($D830,5),Job_Training[[#Headers],[Solar]:[Wind]],0)),0)</f>
        <v>1.1299999999999999E-3</v>
      </c>
      <c r="AP830">
        <f t="shared" si="230"/>
        <v>9.5238095238095184</v>
      </c>
      <c r="AQ830" s="63">
        <f>IF(AP830&gt;0,IFERROR(INDEX(Assumptions!$C$165:$D$165,MATCH(LEFT($D830,5),Job_Training[[#Headers],[Solar]:[Wind]],0)),0),0)</f>
        <v>8.5630000000000012E-2</v>
      </c>
      <c r="AR830">
        <f>IF(AP830&gt;0,IFERROR(INDEX(Assumptions!$C$166:$D$166,MATCH(LEFT($D830,5),Job_Training[[#Headers],[Solar]:[Wind]],0)),0),0)</f>
        <v>0.68504000000000009</v>
      </c>
    </row>
    <row r="831" spans="1:44" hidden="1" x14ac:dyDescent="0.35">
      <c r="A831" t="str">
        <f>UserInput!$B$82</f>
        <v>Incremental Buildout</v>
      </c>
      <c r="B831">
        <v>2035</v>
      </c>
      <c r="C831" t="s">
        <v>41</v>
      </c>
      <c r="D831" t="s">
        <v>83</v>
      </c>
      <c r="E831" s="120">
        <f>INDEX(UserInput!$C$82:$M$102,MATCH(UserMade_Scenario!B831,UserInput!$A$82:$A$102,0),MATCH(LEFT(IF(RIGHT(C831,2)="H2",UserMade_Scenario!C831,D831),3),UserInput!$C$25:$M$25,0))</f>
        <v>104.76190476190474</v>
      </c>
      <c r="F831" t="s">
        <v>81</v>
      </c>
      <c r="G831" s="14">
        <f t="shared" si="231"/>
        <v>8.6828829349945862E-4</v>
      </c>
      <c r="H831" s="63">
        <f t="shared" si="237"/>
        <v>2.4552336559572185E-2</v>
      </c>
      <c r="I831" s="63">
        <f t="shared" si="238"/>
        <v>1.9410205145757722E-2</v>
      </c>
      <c r="J831" s="63">
        <f t="shared" si="239"/>
        <v>2.9694467732183625E-2</v>
      </c>
      <c r="K831" s="30">
        <f>IF(OR(LEFT($D831,5)="Solar",$D831="Wind"),INDEX(Land_Use[AVG],MATCH(LEFT($D831,5),Land_Use[Tech],0)),0)*$E831</f>
        <v>261.90476190476187</v>
      </c>
      <c r="L831" s="30">
        <f>IF(OR(LEFT($D831,5)="Solar",$D831="Wind"),INDEX(Land_Use[MIN],MATCH(LEFT($D831,5),Land_Use[Tech],0)),0)*$E831</f>
        <v>83.809523809523796</v>
      </c>
      <c r="M831" s="30">
        <f>IF(OR(LEFT($D831,5)="Solar",$D831="Wind"),INDEX(Land_Use[MAX],MATCH(LEFT($D831,5),Land_Use[Tech],0)),0)*$E831</f>
        <v>439.99999999999994</v>
      </c>
      <c r="N831" s="15">
        <f t="shared" si="232"/>
        <v>0</v>
      </c>
      <c r="O831" s="11">
        <f t="shared" si="233"/>
        <v>3666.6666666666661</v>
      </c>
      <c r="P831" s="11">
        <f t="shared" si="234"/>
        <v>366.66666666666657</v>
      </c>
      <c r="Q831" s="11">
        <f t="shared" si="235"/>
        <v>65476.190476190466</v>
      </c>
      <c r="R831" s="11">
        <f t="shared" si="236"/>
        <v>81.190476190476176</v>
      </c>
      <c r="S831" s="30">
        <f t="shared" si="224"/>
        <v>0.22476190476190464</v>
      </c>
      <c r="T831" s="30">
        <f t="shared" si="225"/>
        <v>0.38952380952380927</v>
      </c>
      <c r="U831" s="30">
        <f t="shared" si="226"/>
        <v>0.19047619047619038</v>
      </c>
      <c r="V831" s="30">
        <f t="shared" si="227"/>
        <v>1.0761904761904756E-2</v>
      </c>
      <c r="W831" s="30">
        <f t="shared" si="228"/>
        <v>0.81552380952380921</v>
      </c>
      <c r="X831" s="30">
        <f t="shared" si="229"/>
        <v>6.5241904761904737</v>
      </c>
      <c r="Z831" s="23" t="s">
        <v>76</v>
      </c>
      <c r="AA831" s="40">
        <f>IF(C831="Electricity",E831*SUMIFS(Electricity!S:S,Electricity!P:P,UserMade_Scenario!B831,Electricity!M:M,UserMade_Scenario!Z831,Electricity!O:O,UserMade_Scenario!D831),"")</f>
        <v>241203.08073543728</v>
      </c>
      <c r="AB831" s="76">
        <f>1/Assumptions!$B$23/1000000000000</f>
        <v>3.5998225679871703E-9</v>
      </c>
      <c r="AC831" s="67" t="s">
        <v>82</v>
      </c>
      <c r="AD831" s="69">
        <f>INDEX(Table11[AVG
CO2e MT per MWh],MATCH(UserMade_Scenario!$B831,Table11[[Year]:[Year]],0))</f>
        <v>-0.10179113999999995</v>
      </c>
      <c r="AE831" s="69">
        <f>INDEX(Table11[MIN
CO2e MT per MWh],MATCH(UserMade_Scenario!$B831,Table11[[Year]:[Year]],0))</f>
        <v>-8.0472459500000065E-2</v>
      </c>
      <c r="AF831" s="69">
        <f>INDEX(Table11[MAX CO2e MT per MWh],MATCH(UserMade_Scenario!$B831,Table11[[Year]:[Year]],0))</f>
        <v>-0.12310981950000006</v>
      </c>
      <c r="AG831" s="68">
        <f>IFERROR(INDEX(WaterUseH2[Average Direct Water Consumption (Gal/ kg h2)],MATCH(LEFT(D831,3),WaterUseH2[Key],0)),0)</f>
        <v>0</v>
      </c>
      <c r="AH831">
        <v>14</v>
      </c>
      <c r="AI831">
        <v>1.4</v>
      </c>
      <c r="AJ831">
        <v>250</v>
      </c>
      <c r="AK831">
        <v>0.31</v>
      </c>
      <c r="AL831" s="63">
        <f>IFERROR(INDEX(Job_Training[[Solar]:[Wind]],MATCH(AL$1,Job_Training[[`Typical Entry Level Education`]:[`Typical Entry Level Education`]],0),MATCH(LEFT($D831,5),Job_Training[[#Headers],[Solar]:[Wind]],0)),0)</f>
        <v>2.3599999999999999E-2</v>
      </c>
      <c r="AM831" s="63">
        <f>IFERROR(INDEX(Job_Training[[Solar]:[Wind]],MATCH(AM$1,Job_Training[[`Typical Entry Level Education`]:[`Typical Entry Level Education`]],0),MATCH(LEFT($D831,5),Job_Training[[#Headers],[Solar]:[Wind]],0)),0)</f>
        <v>4.0899999999999999E-2</v>
      </c>
      <c r="AN831" s="63">
        <f>IFERROR(INDEX(Job_Training[[Solar]:[Wind]],MATCH(AN$1,Job_Training[[`Typical Entry Level Education`]:[`Typical Entry Level Education`]],0),MATCH(LEFT($D831,5),Job_Training[[#Headers],[Solar]:[Wind]],0)),0)</f>
        <v>0.02</v>
      </c>
      <c r="AO831" s="63">
        <f>IFERROR(INDEX(Job_Training[[Solar]:[Wind]],MATCH(AO$1,Job_Training[[`Typical Entry Level Education`]:[`Typical Entry Level Education`]],0),MATCH(LEFT($D831,5),Job_Training[[#Headers],[Solar]:[Wind]],0)),0)</f>
        <v>1.1299999999999999E-3</v>
      </c>
      <c r="AP831">
        <f t="shared" si="230"/>
        <v>9.5238095238095184</v>
      </c>
      <c r="AQ831" s="63">
        <f>IF(AP831&gt;0,IFERROR(INDEX(Assumptions!$C$165:$D$165,MATCH(LEFT($D831,5),Job_Training[[#Headers],[Solar]:[Wind]],0)),0),0)</f>
        <v>8.5630000000000012E-2</v>
      </c>
      <c r="AR831">
        <f>IF(AP831&gt;0,IFERROR(INDEX(Assumptions!$C$166:$D$166,MATCH(LEFT($D831,5),Job_Training[[#Headers],[Solar]:[Wind]],0)),0),0)</f>
        <v>0.68504000000000009</v>
      </c>
    </row>
    <row r="832" spans="1:44" hidden="1" x14ac:dyDescent="0.35">
      <c r="A832" t="str">
        <f>UserInput!$B$82</f>
        <v>Incremental Buildout</v>
      </c>
      <c r="B832">
        <v>2036</v>
      </c>
      <c r="C832" t="s">
        <v>41</v>
      </c>
      <c r="D832" t="s">
        <v>83</v>
      </c>
      <c r="E832" s="120">
        <f>INDEX(UserInput!$C$82:$M$102,MATCH(UserMade_Scenario!B832,UserInput!$A$82:$A$102,0),MATCH(LEFT(IF(RIGHT(C832,2)="H2",UserMade_Scenario!C832,D832),3),UserInput!$C$25:$M$25,0))</f>
        <v>114.28571428571426</v>
      </c>
      <c r="F832" t="s">
        <v>81</v>
      </c>
      <c r="G832" s="14">
        <f t="shared" si="231"/>
        <v>9.3897832698813441E-4</v>
      </c>
      <c r="H832" s="63">
        <f t="shared" si="237"/>
        <v>2.5449449057707203E-2</v>
      </c>
      <c r="I832" s="63">
        <f t="shared" si="238"/>
        <v>1.9645097080429535E-2</v>
      </c>
      <c r="J832" s="63">
        <f t="shared" si="239"/>
        <v>3.1253800774144767E-2</v>
      </c>
      <c r="K832" s="30">
        <f>IF(OR(LEFT($D832,5)="Solar",$D832="Wind"),INDEX(Land_Use[AVG],MATCH(LEFT($D832,5),Land_Use[Tech],0)),0)*$E832</f>
        <v>285.71428571428567</v>
      </c>
      <c r="L832" s="30">
        <f>IF(OR(LEFT($D832,5)="Solar",$D832="Wind"),INDEX(Land_Use[MIN],MATCH(LEFT($D832,5),Land_Use[Tech],0)),0)*$E832</f>
        <v>91.428571428571416</v>
      </c>
      <c r="M832" s="30">
        <f>IF(OR(LEFT($D832,5)="Solar",$D832="Wind"),INDEX(Land_Use[MAX],MATCH(LEFT($D832,5),Land_Use[Tech],0)),0)*$E832</f>
        <v>479.99999999999994</v>
      </c>
      <c r="N832" s="15">
        <f t="shared" si="232"/>
        <v>0</v>
      </c>
      <c r="O832" s="11">
        <f t="shared" si="233"/>
        <v>3999.9999999999991</v>
      </c>
      <c r="P832" s="11">
        <f t="shared" si="234"/>
        <v>399.99999999999989</v>
      </c>
      <c r="Q832" s="11">
        <f t="shared" si="235"/>
        <v>71428.57142857142</v>
      </c>
      <c r="R832" s="11">
        <f t="shared" si="236"/>
        <v>88.571428571428555</v>
      </c>
      <c r="S832" s="30">
        <f t="shared" si="224"/>
        <v>0.22476190476190464</v>
      </c>
      <c r="T832" s="30">
        <f t="shared" si="225"/>
        <v>0.38952380952380927</v>
      </c>
      <c r="U832" s="30">
        <f t="shared" si="226"/>
        <v>0.19047619047619038</v>
      </c>
      <c r="V832" s="30">
        <f t="shared" si="227"/>
        <v>1.0761904761904756E-2</v>
      </c>
      <c r="W832" s="30">
        <f t="shared" si="228"/>
        <v>0.81552380952380921</v>
      </c>
      <c r="X832" s="30">
        <f t="shared" si="229"/>
        <v>6.5241904761904737</v>
      </c>
      <c r="Z832" s="23" t="s">
        <v>76</v>
      </c>
      <c r="AA832" s="40">
        <f>IF(C832="Electricity",E832*SUMIFS(Electricity!S:S,Electricity!P:P,UserMade_Scenario!B832,Electricity!M:M,UserMade_Scenario!Z832,Electricity!O:O,UserMade_Scenario!D832),"")</f>
        <v>260840.16899565171</v>
      </c>
      <c r="AB832" s="76">
        <f>1/Assumptions!$B$23/1000000000000</f>
        <v>3.5998225679871703E-9</v>
      </c>
      <c r="AC832" s="67" t="s">
        <v>82</v>
      </c>
      <c r="AD832" s="69">
        <f>INDEX(Table11[AVG
CO2e MT per MWh],MATCH(UserMade_Scenario!$B832,Table11[[Year]:[Year]],0))</f>
        <v>-9.756721579999994E-2</v>
      </c>
      <c r="AE832" s="69">
        <f>INDEX(Table11[MIN
CO2e MT per MWh],MATCH(UserMade_Scenario!$B832,Table11[[Year]:[Year]],0))</f>
        <v>-7.5314692350000073E-2</v>
      </c>
      <c r="AF832" s="69">
        <f>INDEX(Table11[MAX CO2e MT per MWh],MATCH(UserMade_Scenario!$B832,Table11[[Year]:[Year]],0))</f>
        <v>-0.11981973825000006</v>
      </c>
      <c r="AG832" s="68">
        <f>IFERROR(INDEX(WaterUseH2[Average Direct Water Consumption (Gal/ kg h2)],MATCH(LEFT(D832,3),WaterUseH2[Key],0)),0)</f>
        <v>0</v>
      </c>
      <c r="AH832">
        <v>14</v>
      </c>
      <c r="AI832">
        <v>1.4</v>
      </c>
      <c r="AJ832">
        <v>250</v>
      </c>
      <c r="AK832">
        <v>0.31</v>
      </c>
      <c r="AL832" s="63">
        <f>IFERROR(INDEX(Job_Training[[Solar]:[Wind]],MATCH(AL$1,Job_Training[[`Typical Entry Level Education`]:[`Typical Entry Level Education`]],0),MATCH(LEFT($D832,5),Job_Training[[#Headers],[Solar]:[Wind]],0)),0)</f>
        <v>2.3599999999999999E-2</v>
      </c>
      <c r="AM832" s="63">
        <f>IFERROR(INDEX(Job_Training[[Solar]:[Wind]],MATCH(AM$1,Job_Training[[`Typical Entry Level Education`]:[`Typical Entry Level Education`]],0),MATCH(LEFT($D832,5),Job_Training[[#Headers],[Solar]:[Wind]],0)),0)</f>
        <v>4.0899999999999999E-2</v>
      </c>
      <c r="AN832" s="63">
        <f>IFERROR(INDEX(Job_Training[[Solar]:[Wind]],MATCH(AN$1,Job_Training[[`Typical Entry Level Education`]:[`Typical Entry Level Education`]],0),MATCH(LEFT($D832,5),Job_Training[[#Headers],[Solar]:[Wind]],0)),0)</f>
        <v>0.02</v>
      </c>
      <c r="AO832" s="63">
        <f>IFERROR(INDEX(Job_Training[[Solar]:[Wind]],MATCH(AO$1,Job_Training[[`Typical Entry Level Education`]:[`Typical Entry Level Education`]],0),MATCH(LEFT($D832,5),Job_Training[[#Headers],[Solar]:[Wind]],0)),0)</f>
        <v>1.1299999999999999E-3</v>
      </c>
      <c r="AP832">
        <f t="shared" si="230"/>
        <v>9.5238095238095184</v>
      </c>
      <c r="AQ832" s="63">
        <f>IF(AP832&gt;0,IFERROR(INDEX(Assumptions!$C$165:$D$165,MATCH(LEFT($D832,5),Job_Training[[#Headers],[Solar]:[Wind]],0)),0),0)</f>
        <v>8.5630000000000012E-2</v>
      </c>
      <c r="AR832">
        <f>IF(AP832&gt;0,IFERROR(INDEX(Assumptions!$C$166:$D$166,MATCH(LEFT($D832,5),Job_Training[[#Headers],[Solar]:[Wind]],0)),0),0)</f>
        <v>0.68504000000000009</v>
      </c>
    </row>
    <row r="833" spans="1:44" hidden="1" x14ac:dyDescent="0.35">
      <c r="A833" t="str">
        <f>UserInput!$B$82</f>
        <v>Incremental Buildout</v>
      </c>
      <c r="B833">
        <v>2037</v>
      </c>
      <c r="C833" t="s">
        <v>41</v>
      </c>
      <c r="D833" t="s">
        <v>83</v>
      </c>
      <c r="E833" s="120">
        <f>INDEX(UserInput!$C$82:$M$102,MATCH(UserMade_Scenario!B833,UserInput!$A$82:$A$102,0),MATCH(LEFT(IF(RIGHT(C833,2)="H2",UserMade_Scenario!C833,D833),3),UserInput!$C$25:$M$25,0))</f>
        <v>123.80952380952378</v>
      </c>
      <c r="F833" t="s">
        <v>81</v>
      </c>
      <c r="G833" s="14">
        <f t="shared" si="231"/>
        <v>1.0082941494900827E-3</v>
      </c>
      <c r="H833" s="63">
        <f t="shared" si="237"/>
        <v>2.6145037161387715E-2</v>
      </c>
      <c r="I833" s="63">
        <f t="shared" si="238"/>
        <v>1.9650639966104447E-2</v>
      </c>
      <c r="J833" s="63">
        <f t="shared" si="239"/>
        <v>3.2639434076575539E-2</v>
      </c>
      <c r="K833" s="30">
        <f>IF(OR(LEFT($D833,5)="Solar",$D833="Wind"),INDEX(Land_Use[AVG],MATCH(LEFT($D833,5),Land_Use[Tech],0)),0)*$E833</f>
        <v>309.52380952380946</v>
      </c>
      <c r="L833" s="30">
        <f>IF(OR(LEFT($D833,5)="Solar",$D833="Wind"),INDEX(Land_Use[MIN],MATCH(LEFT($D833,5),Land_Use[Tech],0)),0)*$E833</f>
        <v>99.047619047619037</v>
      </c>
      <c r="M833" s="30">
        <f>IF(OR(LEFT($D833,5)="Solar",$D833="Wind"),INDEX(Land_Use[MAX],MATCH(LEFT($D833,5),Land_Use[Tech],0)),0)*$E833</f>
        <v>519.99999999999989</v>
      </c>
      <c r="N833" s="15">
        <f t="shared" si="232"/>
        <v>0</v>
      </c>
      <c r="O833" s="11">
        <f t="shared" si="233"/>
        <v>4333.3333333333321</v>
      </c>
      <c r="P833" s="11">
        <f t="shared" si="234"/>
        <v>433.3333333333332</v>
      </c>
      <c r="Q833" s="11">
        <f t="shared" si="235"/>
        <v>77380.952380952367</v>
      </c>
      <c r="R833" s="11">
        <f t="shared" si="236"/>
        <v>95.952380952380935</v>
      </c>
      <c r="S833" s="30">
        <f t="shared" si="224"/>
        <v>0.22476190476190464</v>
      </c>
      <c r="T833" s="30">
        <f t="shared" si="225"/>
        <v>0.38952380952380927</v>
      </c>
      <c r="U833" s="30">
        <f t="shared" si="226"/>
        <v>0.19047619047619038</v>
      </c>
      <c r="V833" s="30">
        <f t="shared" si="227"/>
        <v>1.0761904761904756E-2</v>
      </c>
      <c r="W833" s="30">
        <f t="shared" si="228"/>
        <v>0.81552380952380921</v>
      </c>
      <c r="X833" s="30">
        <f t="shared" si="229"/>
        <v>6.5241904761904737</v>
      </c>
      <c r="Z833" s="23" t="s">
        <v>76</v>
      </c>
      <c r="AA833" s="40">
        <f>IF(C833="Electricity",E833*SUMIFS(Electricity!S:S,Electricity!P:P,UserMade_Scenario!B833,Electricity!M:M,UserMade_Scenario!Z833,Electricity!O:O,UserMade_Scenario!D833),"")</f>
        <v>280095.51316688012</v>
      </c>
      <c r="AB833" s="76">
        <f>1/Assumptions!$B$23/1000000000000</f>
        <v>3.5998225679871703E-9</v>
      </c>
      <c r="AC833" s="67" t="s">
        <v>82</v>
      </c>
      <c r="AD833" s="69">
        <f>INDEX(Table11[AVG
CO2e MT per MWh],MATCH(UserMade_Scenario!$B833,Table11[[Year]:[Year]],0))</f>
        <v>-9.3343291599999934E-2</v>
      </c>
      <c r="AE833" s="69">
        <f>INDEX(Table11[MIN
CO2e MT per MWh],MATCH(UserMade_Scenario!$B833,Table11[[Year]:[Year]],0))</f>
        <v>-7.0156925200000081E-2</v>
      </c>
      <c r="AF833" s="69">
        <f>INDEX(Table11[MAX CO2e MT per MWh],MATCH(UserMade_Scenario!$B833,Table11[[Year]:[Year]],0))</f>
        <v>-0.11652965700000005</v>
      </c>
      <c r="AG833" s="68">
        <f>IFERROR(INDEX(WaterUseH2[Average Direct Water Consumption (Gal/ kg h2)],MATCH(LEFT(D833,3),WaterUseH2[Key],0)),0)</f>
        <v>0</v>
      </c>
      <c r="AH833">
        <v>14</v>
      </c>
      <c r="AI833">
        <v>1.4</v>
      </c>
      <c r="AJ833">
        <v>250</v>
      </c>
      <c r="AK833">
        <v>0.31</v>
      </c>
      <c r="AL833" s="63">
        <f>IFERROR(INDEX(Job_Training[[Solar]:[Wind]],MATCH(AL$1,Job_Training[[`Typical Entry Level Education`]:[`Typical Entry Level Education`]],0),MATCH(LEFT($D833,5),Job_Training[[#Headers],[Solar]:[Wind]],0)),0)</f>
        <v>2.3599999999999999E-2</v>
      </c>
      <c r="AM833" s="63">
        <f>IFERROR(INDEX(Job_Training[[Solar]:[Wind]],MATCH(AM$1,Job_Training[[`Typical Entry Level Education`]:[`Typical Entry Level Education`]],0),MATCH(LEFT($D833,5),Job_Training[[#Headers],[Solar]:[Wind]],0)),0)</f>
        <v>4.0899999999999999E-2</v>
      </c>
      <c r="AN833" s="63">
        <f>IFERROR(INDEX(Job_Training[[Solar]:[Wind]],MATCH(AN$1,Job_Training[[`Typical Entry Level Education`]:[`Typical Entry Level Education`]],0),MATCH(LEFT($D833,5),Job_Training[[#Headers],[Solar]:[Wind]],0)),0)</f>
        <v>0.02</v>
      </c>
      <c r="AO833" s="63">
        <f>IFERROR(INDEX(Job_Training[[Solar]:[Wind]],MATCH(AO$1,Job_Training[[`Typical Entry Level Education`]:[`Typical Entry Level Education`]],0),MATCH(LEFT($D833,5),Job_Training[[#Headers],[Solar]:[Wind]],0)),0)</f>
        <v>1.1299999999999999E-3</v>
      </c>
      <c r="AP833">
        <f t="shared" si="230"/>
        <v>9.5238095238095184</v>
      </c>
      <c r="AQ833" s="63">
        <f>IF(AP833&gt;0,IFERROR(INDEX(Assumptions!$C$165:$D$165,MATCH(LEFT($D833,5),Job_Training[[#Headers],[Solar]:[Wind]],0)),0),0)</f>
        <v>8.5630000000000012E-2</v>
      </c>
      <c r="AR833">
        <f>IF(AP833&gt;0,IFERROR(INDEX(Assumptions!$C$166:$D$166,MATCH(LEFT($D833,5),Job_Training[[#Headers],[Solar]:[Wind]],0)),0),0)</f>
        <v>0.68504000000000009</v>
      </c>
    </row>
    <row r="834" spans="1:44" hidden="1" x14ac:dyDescent="0.35">
      <c r="A834" t="str">
        <f>UserInput!$B$82</f>
        <v>Incremental Buildout</v>
      </c>
      <c r="B834">
        <v>2038</v>
      </c>
      <c r="C834" t="s">
        <v>41</v>
      </c>
      <c r="D834" t="s">
        <v>83</v>
      </c>
      <c r="E834" s="120">
        <f>INDEX(UserInput!$C$82:$M$102,MATCH(UserMade_Scenario!B834,UserInput!$A$82:$A$102,0),MATCH(LEFT(IF(RIGHT(C834,2)="H2",UserMade_Scenario!C834,D834),3),UserInput!$C$25:$M$25,0))</f>
        <v>133.33333333333331</v>
      </c>
      <c r="F834" t="s">
        <v>81</v>
      </c>
      <c r="G834" s="14">
        <f t="shared" si="231"/>
        <v>1.0762357610053033E-3</v>
      </c>
      <c r="H834" s="63">
        <f t="shared" si="237"/>
        <v>2.6643938244900734E-2</v>
      </c>
      <c r="I834" s="63">
        <f t="shared" si="238"/>
        <v>1.9432740644148089E-2</v>
      </c>
      <c r="J834" s="63">
        <f t="shared" si="239"/>
        <v>3.3855135546684352E-2</v>
      </c>
      <c r="K834" s="30">
        <f>IF(OR(LEFT($D834,5)="Solar",$D834="Wind"),INDEX(Land_Use[AVG],MATCH(LEFT($D834,5),Land_Use[Tech],0)),0)*$E834</f>
        <v>333.33333333333326</v>
      </c>
      <c r="L834" s="30">
        <f>IF(OR(LEFT($D834,5)="Solar",$D834="Wind"),INDEX(Land_Use[MIN],MATCH(LEFT($D834,5),Land_Use[Tech],0)),0)*$E834</f>
        <v>106.66666666666666</v>
      </c>
      <c r="M834" s="30">
        <f>IF(OR(LEFT($D834,5)="Solar",$D834="Wind"),INDEX(Land_Use[MAX],MATCH(LEFT($D834,5),Land_Use[Tech],0)),0)*$E834</f>
        <v>560</v>
      </c>
      <c r="N834" s="15">
        <f t="shared" si="232"/>
        <v>0</v>
      </c>
      <c r="O834" s="11">
        <f t="shared" si="233"/>
        <v>4666.6666666666661</v>
      </c>
      <c r="P834" s="11">
        <f t="shared" si="234"/>
        <v>466.66666666666652</v>
      </c>
      <c r="Q834" s="11">
        <f t="shared" si="235"/>
        <v>83333.333333333314</v>
      </c>
      <c r="R834" s="11">
        <f t="shared" si="236"/>
        <v>103.33333333333331</v>
      </c>
      <c r="S834" s="30">
        <f t="shared" si="224"/>
        <v>0.22476190476190497</v>
      </c>
      <c r="T834" s="30">
        <f t="shared" si="225"/>
        <v>0.38952380952380988</v>
      </c>
      <c r="U834" s="30">
        <f t="shared" si="226"/>
        <v>0.19047619047619066</v>
      </c>
      <c r="V834" s="30">
        <f t="shared" si="227"/>
        <v>1.0761904761904771E-2</v>
      </c>
      <c r="W834" s="30">
        <f t="shared" si="228"/>
        <v>0.81552380952381043</v>
      </c>
      <c r="X834" s="30">
        <f t="shared" si="229"/>
        <v>6.5241904761904834</v>
      </c>
      <c r="Z834" s="23" t="s">
        <v>76</v>
      </c>
      <c r="AA834" s="40">
        <f>IF(C834="Electricity",E834*SUMIFS(Electricity!S:S,Electricity!P:P,UserMade_Scenario!B834,Electricity!M:M,UserMade_Scenario!Z834,Electricity!O:O,UserMade_Scenario!D834),"")</f>
        <v>298969.11324912251</v>
      </c>
      <c r="AB834" s="76">
        <f>1/Assumptions!$B$23/1000000000000</f>
        <v>3.5998225679871703E-9</v>
      </c>
      <c r="AC834" s="67" t="s">
        <v>82</v>
      </c>
      <c r="AD834" s="69">
        <f>INDEX(Table11[AVG
CO2e MT per MWh],MATCH(UserMade_Scenario!$B834,Table11[[Year]:[Year]],0))</f>
        <v>-8.9119367399999927E-2</v>
      </c>
      <c r="AE834" s="69">
        <f>INDEX(Table11[MIN
CO2e MT per MWh],MATCH(UserMade_Scenario!$B834,Table11[[Year]:[Year]],0))</f>
        <v>-6.4999158050000089E-2</v>
      </c>
      <c r="AF834" s="69">
        <f>INDEX(Table11[MAX CO2e MT per MWh],MATCH(UserMade_Scenario!$B834,Table11[[Year]:[Year]],0))</f>
        <v>-0.11323957575000004</v>
      </c>
      <c r="AG834" s="68">
        <f>IFERROR(INDEX(WaterUseH2[Average Direct Water Consumption (Gal/ kg h2)],MATCH(LEFT(D834,3),WaterUseH2[Key],0)),0)</f>
        <v>0</v>
      </c>
      <c r="AH834">
        <v>14</v>
      </c>
      <c r="AI834">
        <v>1.4</v>
      </c>
      <c r="AJ834">
        <v>250</v>
      </c>
      <c r="AK834">
        <v>0.31</v>
      </c>
      <c r="AL834" s="63">
        <f>IFERROR(INDEX(Job_Training[[Solar]:[Wind]],MATCH(AL$1,Job_Training[[`Typical Entry Level Education`]:[`Typical Entry Level Education`]],0),MATCH(LEFT($D834,5),Job_Training[[#Headers],[Solar]:[Wind]],0)),0)</f>
        <v>2.3599999999999999E-2</v>
      </c>
      <c r="AM834" s="63">
        <f>IFERROR(INDEX(Job_Training[[Solar]:[Wind]],MATCH(AM$1,Job_Training[[`Typical Entry Level Education`]:[`Typical Entry Level Education`]],0),MATCH(LEFT($D834,5),Job_Training[[#Headers],[Solar]:[Wind]],0)),0)</f>
        <v>4.0899999999999999E-2</v>
      </c>
      <c r="AN834" s="63">
        <f>IFERROR(INDEX(Job_Training[[Solar]:[Wind]],MATCH(AN$1,Job_Training[[`Typical Entry Level Education`]:[`Typical Entry Level Education`]],0),MATCH(LEFT($D834,5),Job_Training[[#Headers],[Solar]:[Wind]],0)),0)</f>
        <v>0.02</v>
      </c>
      <c r="AO834" s="63">
        <f>IFERROR(INDEX(Job_Training[[Solar]:[Wind]],MATCH(AO$1,Job_Training[[`Typical Entry Level Education`]:[`Typical Entry Level Education`]],0),MATCH(LEFT($D834,5),Job_Training[[#Headers],[Solar]:[Wind]],0)),0)</f>
        <v>1.1299999999999999E-3</v>
      </c>
      <c r="AP834">
        <f t="shared" si="230"/>
        <v>9.5238095238095326</v>
      </c>
      <c r="AQ834" s="63">
        <f>IF(AP834&gt;0,IFERROR(INDEX(Assumptions!$C$165:$D$165,MATCH(LEFT($D834,5),Job_Training[[#Headers],[Solar]:[Wind]],0)),0),0)</f>
        <v>8.5630000000000012E-2</v>
      </c>
      <c r="AR834">
        <f>IF(AP834&gt;0,IFERROR(INDEX(Assumptions!$C$166:$D$166,MATCH(LEFT($D834,5),Job_Training[[#Headers],[Solar]:[Wind]],0)),0),0)</f>
        <v>0.68504000000000009</v>
      </c>
    </row>
    <row r="835" spans="1:44" hidden="1" x14ac:dyDescent="0.35">
      <c r="A835" t="str">
        <f>UserInput!$B$82</f>
        <v>Incremental Buildout</v>
      </c>
      <c r="B835">
        <v>2039</v>
      </c>
      <c r="C835" t="s">
        <v>41</v>
      </c>
      <c r="D835" t="s">
        <v>83</v>
      </c>
      <c r="E835" s="120">
        <f>INDEX(UserInput!$C$82:$M$102,MATCH(UserMade_Scenario!B835,UserInput!$A$82:$A$102,0),MATCH(LEFT(IF(RIGHT(C835,2)="H2",UserMade_Scenario!C835,D835),3),UserInput!$C$25:$M$25,0))</f>
        <v>142.85714285714283</v>
      </c>
      <c r="F835" t="s">
        <v>81</v>
      </c>
      <c r="G835" s="14">
        <f t="shared" si="231"/>
        <v>1.1428031615337961E-3</v>
      </c>
      <c r="H835" s="63">
        <f t="shared" si="237"/>
        <v>2.6950989682533288E-2</v>
      </c>
      <c r="I835" s="63">
        <f t="shared" si="238"/>
        <v>1.8997305955926094E-2</v>
      </c>
      <c r="J835" s="63">
        <f t="shared" si="239"/>
        <v>3.4904673091679606E-2</v>
      </c>
      <c r="K835" s="30">
        <f>IF(OR(LEFT($D835,5)="Solar",$D835="Wind"),INDEX(Land_Use[AVG],MATCH(LEFT($D835,5),Land_Use[Tech],0)),0)*$E835</f>
        <v>357.14285714285711</v>
      </c>
      <c r="L835" s="30">
        <f>IF(OR(LEFT($D835,5)="Solar",$D835="Wind"),INDEX(Land_Use[MIN],MATCH(LEFT($D835,5),Land_Use[Tech],0)),0)*$E835</f>
        <v>114.28571428571428</v>
      </c>
      <c r="M835" s="30">
        <f>IF(OR(LEFT($D835,5)="Solar",$D835="Wind"),INDEX(Land_Use[MAX],MATCH(LEFT($D835,5),Land_Use[Tech],0)),0)*$E835</f>
        <v>599.99999999999989</v>
      </c>
      <c r="N835" s="15">
        <f t="shared" si="232"/>
        <v>0</v>
      </c>
      <c r="O835" s="11">
        <f t="shared" si="233"/>
        <v>5000</v>
      </c>
      <c r="P835" s="11">
        <f t="shared" si="234"/>
        <v>499.99999999999994</v>
      </c>
      <c r="Q835" s="11">
        <f t="shared" si="235"/>
        <v>89285.714285714275</v>
      </c>
      <c r="R835" s="11">
        <f t="shared" si="236"/>
        <v>110.71428571428571</v>
      </c>
      <c r="S835" s="30">
        <f t="shared" ref="S835:S898" si="240">MAX($AP835*AL835,0)</f>
        <v>0.22476190476190464</v>
      </c>
      <c r="T835" s="30">
        <f t="shared" ref="T835:T898" si="241">MAX($AP835*AM835,0)</f>
        <v>0.38952380952380927</v>
      </c>
      <c r="U835" s="30">
        <f t="shared" ref="U835:U898" si="242">MAX($AP835*AN835,0)</f>
        <v>0.19047619047619038</v>
      </c>
      <c r="V835" s="30">
        <f t="shared" ref="V835:V898" si="243">MAX($AP835*AO835,0)</f>
        <v>1.0761904761904756E-2</v>
      </c>
      <c r="W835" s="30">
        <f t="shared" ref="W835:W898" si="244">$AP835*AQ835</f>
        <v>0.81552380952380921</v>
      </c>
      <c r="X835" s="30">
        <f t="shared" ref="X835:X898" si="245">$AP835*AR835</f>
        <v>6.5241904761904737</v>
      </c>
      <c r="Z835" s="23" t="s">
        <v>76</v>
      </c>
      <c r="AA835" s="40">
        <f>IF(C835="Electricity",E835*SUMIFS(Electricity!S:S,Electricity!P:P,UserMade_Scenario!B835,Electricity!M:M,UserMade_Scenario!Z835,Electricity!O:O,UserMade_Scenario!D835),"")</f>
        <v>317460.96924237878</v>
      </c>
      <c r="AB835" s="76">
        <f>1/Assumptions!$B$23/1000000000000</f>
        <v>3.5998225679871703E-9</v>
      </c>
      <c r="AC835" s="67" t="s">
        <v>82</v>
      </c>
      <c r="AD835" s="69">
        <f>INDEX(Table11[AVG
CO2e MT per MWh],MATCH(UserMade_Scenario!$B835,Table11[[Year]:[Year]],0))</f>
        <v>-8.489544319999992E-2</v>
      </c>
      <c r="AE835" s="69">
        <f>INDEX(Table11[MIN
CO2e MT per MWh],MATCH(UserMade_Scenario!$B835,Table11[[Year]:[Year]],0))</f>
        <v>-5.984139090000009E-2</v>
      </c>
      <c r="AF835" s="69">
        <f>INDEX(Table11[MAX CO2e MT per MWh],MATCH(UserMade_Scenario!$B835,Table11[[Year]:[Year]],0))</f>
        <v>-0.10994949450000004</v>
      </c>
      <c r="AG835" s="68">
        <f>IFERROR(INDEX(WaterUseH2[Average Direct Water Consumption (Gal/ kg h2)],MATCH(LEFT(D835,3),WaterUseH2[Key],0)),0)</f>
        <v>0</v>
      </c>
      <c r="AH835">
        <v>14</v>
      </c>
      <c r="AI835">
        <v>1.4</v>
      </c>
      <c r="AJ835">
        <v>250</v>
      </c>
      <c r="AK835">
        <v>0.31</v>
      </c>
      <c r="AL835" s="63">
        <f>IFERROR(INDEX(Job_Training[[Solar]:[Wind]],MATCH(AL$1,Job_Training[[`Typical Entry Level Education`]:[`Typical Entry Level Education`]],0),MATCH(LEFT($D835,5),Job_Training[[#Headers],[Solar]:[Wind]],0)),0)</f>
        <v>2.3599999999999999E-2</v>
      </c>
      <c r="AM835" s="63">
        <f>IFERROR(INDEX(Job_Training[[Solar]:[Wind]],MATCH(AM$1,Job_Training[[`Typical Entry Level Education`]:[`Typical Entry Level Education`]],0),MATCH(LEFT($D835,5),Job_Training[[#Headers],[Solar]:[Wind]],0)),0)</f>
        <v>4.0899999999999999E-2</v>
      </c>
      <c r="AN835" s="63">
        <f>IFERROR(INDEX(Job_Training[[Solar]:[Wind]],MATCH(AN$1,Job_Training[[`Typical Entry Level Education`]:[`Typical Entry Level Education`]],0),MATCH(LEFT($D835,5),Job_Training[[#Headers],[Solar]:[Wind]],0)),0)</f>
        <v>0.02</v>
      </c>
      <c r="AO835" s="63">
        <f>IFERROR(INDEX(Job_Training[[Solar]:[Wind]],MATCH(AO$1,Job_Training[[`Typical Entry Level Education`]:[`Typical Entry Level Education`]],0),MATCH(LEFT($D835,5),Job_Training[[#Headers],[Solar]:[Wind]],0)),0)</f>
        <v>1.1299999999999999E-3</v>
      </c>
      <c r="AP835">
        <f t="shared" ref="AP835:AP898" si="246">IF(OR($C835="Electricity",$D835="Solar (Off-Grid)"),IF($B835=2025,$E835,$E835-$E834),0)</f>
        <v>9.5238095238095184</v>
      </c>
      <c r="AQ835" s="63">
        <f>IF(AP835&gt;0,IFERROR(INDEX(Assumptions!$C$165:$D$165,MATCH(LEFT($D835,5),Job_Training[[#Headers],[Solar]:[Wind]],0)),0),0)</f>
        <v>8.5630000000000012E-2</v>
      </c>
      <c r="AR835">
        <f>IF(AP835&gt;0,IFERROR(INDEX(Assumptions!$C$166:$D$166,MATCH(LEFT($D835,5),Job_Training[[#Headers],[Solar]:[Wind]],0)),0),0)</f>
        <v>0.68504000000000009</v>
      </c>
    </row>
    <row r="836" spans="1:44" hidden="1" x14ac:dyDescent="0.35">
      <c r="A836" t="str">
        <f>UserInput!$B$82</f>
        <v>Incremental Buildout</v>
      </c>
      <c r="B836">
        <v>2040</v>
      </c>
      <c r="C836" t="s">
        <v>41</v>
      </c>
      <c r="D836" t="s">
        <v>83</v>
      </c>
      <c r="E836" s="120">
        <f>INDEX(UserInput!$C$82:$M$102,MATCH(UserMade_Scenario!B836,UserInput!$A$82:$A$102,0),MATCH(LEFT(IF(RIGHT(C836,2)="H2",UserMade_Scenario!C836,D836),3),UserInput!$C$25:$M$25,0))</f>
        <v>152.38095238095235</v>
      </c>
      <c r="F836" t="s">
        <v>81</v>
      </c>
      <c r="G836" s="14">
        <f t="shared" si="231"/>
        <v>1.2079963510755614E-3</v>
      </c>
      <c r="H836" s="63">
        <f t="shared" si="237"/>
        <v>2.7071028848572414E-2</v>
      </c>
      <c r="I836" s="63">
        <f t="shared" si="238"/>
        <v>1.8350242742804106E-2</v>
      </c>
      <c r="J836" s="63">
        <f t="shared" si="239"/>
        <v>3.5791814618769735E-2</v>
      </c>
      <c r="K836" s="30">
        <f>IF(OR(LEFT($D836,5)="Solar",$D836="Wind"),INDEX(Land_Use[AVG],MATCH(LEFT($D836,5),Land_Use[Tech],0)),0)*$E836</f>
        <v>380.95238095238085</v>
      </c>
      <c r="L836" s="30">
        <f>IF(OR(LEFT($D836,5)="Solar",$D836="Wind"),INDEX(Land_Use[MIN],MATCH(LEFT($D836,5),Land_Use[Tech],0)),0)*$E836</f>
        <v>121.90476190476188</v>
      </c>
      <c r="M836" s="30">
        <f>IF(OR(LEFT($D836,5)="Solar",$D836="Wind"),INDEX(Land_Use[MAX],MATCH(LEFT($D836,5),Land_Use[Tech],0)),0)*$E836</f>
        <v>639.99999999999989</v>
      </c>
      <c r="N836" s="15">
        <f t="shared" si="232"/>
        <v>0</v>
      </c>
      <c r="O836" s="11">
        <f t="shared" si="233"/>
        <v>5333.3333333333321</v>
      </c>
      <c r="P836" s="11">
        <f t="shared" si="234"/>
        <v>533.33333333333314</v>
      </c>
      <c r="Q836" s="11">
        <f t="shared" si="235"/>
        <v>95238.095238095208</v>
      </c>
      <c r="R836" s="11">
        <f t="shared" si="236"/>
        <v>118.09523809523806</v>
      </c>
      <c r="S836" s="30">
        <f t="shared" si="240"/>
        <v>0.22476190476190464</v>
      </c>
      <c r="T836" s="30">
        <f t="shared" si="241"/>
        <v>0.38952380952380927</v>
      </c>
      <c r="U836" s="30">
        <f t="shared" si="242"/>
        <v>0.19047619047619038</v>
      </c>
      <c r="V836" s="30">
        <f t="shared" si="243"/>
        <v>1.0761904761904756E-2</v>
      </c>
      <c r="W836" s="30">
        <f t="shared" si="244"/>
        <v>0.81552380952380921</v>
      </c>
      <c r="X836" s="30">
        <f t="shared" si="245"/>
        <v>6.5241904761904737</v>
      </c>
      <c r="Z836" s="23" t="s">
        <v>76</v>
      </c>
      <c r="AA836" s="40">
        <f>IF(C836="Electricity",E836*SUMIFS(Electricity!S:S,Electricity!P:P,UserMade_Scenario!B836,Electricity!M:M,UserMade_Scenario!Z836,Electricity!O:O,UserMade_Scenario!D836),"")</f>
        <v>335571.08114664908</v>
      </c>
      <c r="AB836" s="76">
        <f>1/Assumptions!$B$23/1000000000000</f>
        <v>3.5998225679871703E-9</v>
      </c>
      <c r="AC836" s="67" t="s">
        <v>82</v>
      </c>
      <c r="AD836" s="69">
        <f>INDEX(Table11[AVG
CO2e MT per MWh],MATCH(UserMade_Scenario!$B836,Table11[[Year]:[Year]],0))</f>
        <v>-8.0671518999999914E-2</v>
      </c>
      <c r="AE836" s="69">
        <f>INDEX(Table11[MIN
CO2e MT per MWh],MATCH(UserMade_Scenario!$B836,Table11[[Year]:[Year]],0))</f>
        <v>-5.468362375000009E-2</v>
      </c>
      <c r="AF836" s="69">
        <f>INDEX(Table11[MAX CO2e MT per MWh],MATCH(UserMade_Scenario!$B836,Table11[[Year]:[Year]],0))</f>
        <v>-0.10665941325000003</v>
      </c>
      <c r="AG836" s="68">
        <f>IFERROR(INDEX(WaterUseH2[Average Direct Water Consumption (Gal/ kg h2)],MATCH(LEFT(D836,3),WaterUseH2[Key],0)),0)</f>
        <v>0</v>
      </c>
      <c r="AH836">
        <v>14</v>
      </c>
      <c r="AI836">
        <v>1.4</v>
      </c>
      <c r="AJ836">
        <v>250</v>
      </c>
      <c r="AK836">
        <v>0.31</v>
      </c>
      <c r="AL836" s="63">
        <f>IFERROR(INDEX(Job_Training[[Solar]:[Wind]],MATCH(AL$1,Job_Training[[`Typical Entry Level Education`]:[`Typical Entry Level Education`]],0),MATCH(LEFT($D836,5),Job_Training[[#Headers],[Solar]:[Wind]],0)),0)</f>
        <v>2.3599999999999999E-2</v>
      </c>
      <c r="AM836" s="63">
        <f>IFERROR(INDEX(Job_Training[[Solar]:[Wind]],MATCH(AM$1,Job_Training[[`Typical Entry Level Education`]:[`Typical Entry Level Education`]],0),MATCH(LEFT($D836,5),Job_Training[[#Headers],[Solar]:[Wind]],0)),0)</f>
        <v>4.0899999999999999E-2</v>
      </c>
      <c r="AN836" s="63">
        <f>IFERROR(INDEX(Job_Training[[Solar]:[Wind]],MATCH(AN$1,Job_Training[[`Typical Entry Level Education`]:[`Typical Entry Level Education`]],0),MATCH(LEFT($D836,5),Job_Training[[#Headers],[Solar]:[Wind]],0)),0)</f>
        <v>0.02</v>
      </c>
      <c r="AO836" s="63">
        <f>IFERROR(INDEX(Job_Training[[Solar]:[Wind]],MATCH(AO$1,Job_Training[[`Typical Entry Level Education`]:[`Typical Entry Level Education`]],0),MATCH(LEFT($D836,5),Job_Training[[#Headers],[Solar]:[Wind]],0)),0)</f>
        <v>1.1299999999999999E-3</v>
      </c>
      <c r="AP836">
        <f t="shared" si="246"/>
        <v>9.5238095238095184</v>
      </c>
      <c r="AQ836" s="63">
        <f>IF(AP836&gt;0,IFERROR(INDEX(Assumptions!$C$165:$D$165,MATCH(LEFT($D836,5),Job_Training[[#Headers],[Solar]:[Wind]],0)),0),0)</f>
        <v>8.5630000000000012E-2</v>
      </c>
      <c r="AR836">
        <f>IF(AP836&gt;0,IFERROR(INDEX(Assumptions!$C$166:$D$166,MATCH(LEFT($D836,5),Job_Training[[#Headers],[Solar]:[Wind]],0)),0),0)</f>
        <v>0.68504000000000009</v>
      </c>
    </row>
    <row r="837" spans="1:44" hidden="1" x14ac:dyDescent="0.35">
      <c r="A837" t="str">
        <f>UserInput!$B$82</f>
        <v>Incremental Buildout</v>
      </c>
      <c r="B837">
        <v>2041</v>
      </c>
      <c r="C837" t="s">
        <v>41</v>
      </c>
      <c r="D837" t="s">
        <v>83</v>
      </c>
      <c r="E837" s="120">
        <f>INDEX(UserInput!$C$82:$M$102,MATCH(UserMade_Scenario!B837,UserInput!$A$82:$A$102,0),MATCH(LEFT(IF(RIGHT(C837,2)="H2",UserMade_Scenario!C837,D837),3),UserInput!$C$25:$M$25,0))</f>
        <v>161.90476190476187</v>
      </c>
      <c r="F837" t="s">
        <v>81</v>
      </c>
      <c r="G837" s="14">
        <f t="shared" si="231"/>
        <v>1.271815329630599E-3</v>
      </c>
      <c r="H837" s="63">
        <f t="shared" si="237"/>
        <v>2.7008893117305127E-2</v>
      </c>
      <c r="I837" s="63">
        <f t="shared" si="238"/>
        <v>1.749745784614776E-2</v>
      </c>
      <c r="J837" s="63">
        <f t="shared" si="239"/>
        <v>3.6520328035163148E-2</v>
      </c>
      <c r="K837" s="30">
        <f>IF(OR(LEFT($D837,5)="Solar",$D837="Wind"),INDEX(Land_Use[AVG],MATCH(LEFT($D837,5),Land_Use[Tech],0)),0)*$E837</f>
        <v>404.7619047619047</v>
      </c>
      <c r="L837" s="30">
        <f>IF(OR(LEFT($D837,5)="Solar",$D837="Wind"),INDEX(Land_Use[MIN],MATCH(LEFT($D837,5),Land_Use[Tech],0)),0)*$E837</f>
        <v>129.52380952380949</v>
      </c>
      <c r="M837" s="30">
        <f>IF(OR(LEFT($D837,5)="Solar",$D837="Wind"),INDEX(Land_Use[MAX],MATCH(LEFT($D837,5),Land_Use[Tech],0)),0)*$E837</f>
        <v>679.99999999999989</v>
      </c>
      <c r="N837" s="15">
        <f t="shared" si="232"/>
        <v>0</v>
      </c>
      <c r="O837" s="11">
        <f t="shared" si="233"/>
        <v>5666.6666666666661</v>
      </c>
      <c r="P837" s="11">
        <f t="shared" si="234"/>
        <v>566.66666666666652</v>
      </c>
      <c r="Q837" s="11">
        <f t="shared" si="235"/>
        <v>101190.47619047617</v>
      </c>
      <c r="R837" s="11">
        <f t="shared" si="236"/>
        <v>125.47619047619045</v>
      </c>
      <c r="S837" s="30">
        <f t="shared" si="240"/>
        <v>0.22476190476190464</v>
      </c>
      <c r="T837" s="30">
        <f t="shared" si="241"/>
        <v>0.38952380952380927</v>
      </c>
      <c r="U837" s="30">
        <f t="shared" si="242"/>
        <v>0.19047619047619038</v>
      </c>
      <c r="V837" s="30">
        <f t="shared" si="243"/>
        <v>1.0761904761904756E-2</v>
      </c>
      <c r="W837" s="30">
        <f t="shared" si="244"/>
        <v>0.81552380952380921</v>
      </c>
      <c r="X837" s="30">
        <f t="shared" si="245"/>
        <v>6.5241904761904737</v>
      </c>
      <c r="Z837" s="23" t="s">
        <v>76</v>
      </c>
      <c r="AA837" s="40">
        <f>IF(C837="Electricity",E837*SUMIFS(Electricity!S:S,Electricity!P:P,UserMade_Scenario!B837,Electricity!M:M,UserMade_Scenario!Z837,Electricity!O:O,UserMade_Scenario!D837),"")</f>
        <v>353299.44896193332</v>
      </c>
      <c r="AB837" s="76">
        <f>1/Assumptions!$B$23/1000000000000</f>
        <v>3.5998225679871703E-9</v>
      </c>
      <c r="AC837" s="67" t="s">
        <v>82</v>
      </c>
      <c r="AD837" s="69">
        <f>INDEX(Table11[AVG
CO2e MT per MWh],MATCH(UserMade_Scenario!$B837,Table11[[Year]:[Year]],0))</f>
        <v>-7.6447594799999907E-2</v>
      </c>
      <c r="AE837" s="69">
        <f>INDEX(Table11[MIN
CO2e MT per MWh],MATCH(UserMade_Scenario!$B837,Table11[[Year]:[Year]],0))</f>
        <v>-4.9525856600000091E-2</v>
      </c>
      <c r="AF837" s="69">
        <f>INDEX(Table11[MAX CO2e MT per MWh],MATCH(UserMade_Scenario!$B837,Table11[[Year]:[Year]],0))</f>
        <v>-0.10336933200000002</v>
      </c>
      <c r="AG837" s="68">
        <f>IFERROR(INDEX(WaterUseH2[Average Direct Water Consumption (Gal/ kg h2)],MATCH(LEFT(D837,3),WaterUseH2[Key],0)),0)</f>
        <v>0</v>
      </c>
      <c r="AH837">
        <v>14</v>
      </c>
      <c r="AI837">
        <v>1.4</v>
      </c>
      <c r="AJ837">
        <v>250</v>
      </c>
      <c r="AK837">
        <v>0.31</v>
      </c>
      <c r="AL837" s="63">
        <f>IFERROR(INDEX(Job_Training[[Solar]:[Wind]],MATCH(AL$1,Job_Training[[`Typical Entry Level Education`]:[`Typical Entry Level Education`]],0),MATCH(LEFT($D837,5),Job_Training[[#Headers],[Solar]:[Wind]],0)),0)</f>
        <v>2.3599999999999999E-2</v>
      </c>
      <c r="AM837" s="63">
        <f>IFERROR(INDEX(Job_Training[[Solar]:[Wind]],MATCH(AM$1,Job_Training[[`Typical Entry Level Education`]:[`Typical Entry Level Education`]],0),MATCH(LEFT($D837,5),Job_Training[[#Headers],[Solar]:[Wind]],0)),0)</f>
        <v>4.0899999999999999E-2</v>
      </c>
      <c r="AN837" s="63">
        <f>IFERROR(INDEX(Job_Training[[Solar]:[Wind]],MATCH(AN$1,Job_Training[[`Typical Entry Level Education`]:[`Typical Entry Level Education`]],0),MATCH(LEFT($D837,5),Job_Training[[#Headers],[Solar]:[Wind]],0)),0)</f>
        <v>0.02</v>
      </c>
      <c r="AO837" s="63">
        <f>IFERROR(INDEX(Job_Training[[Solar]:[Wind]],MATCH(AO$1,Job_Training[[`Typical Entry Level Education`]:[`Typical Entry Level Education`]],0),MATCH(LEFT($D837,5),Job_Training[[#Headers],[Solar]:[Wind]],0)),0)</f>
        <v>1.1299999999999999E-3</v>
      </c>
      <c r="AP837">
        <f t="shared" si="246"/>
        <v>9.5238095238095184</v>
      </c>
      <c r="AQ837" s="63">
        <f>IF(AP837&gt;0,IFERROR(INDEX(Assumptions!$C$165:$D$165,MATCH(LEFT($D837,5),Job_Training[[#Headers],[Solar]:[Wind]],0)),0),0)</f>
        <v>8.5630000000000012E-2</v>
      </c>
      <c r="AR837">
        <f>IF(AP837&gt;0,IFERROR(INDEX(Assumptions!$C$166:$D$166,MATCH(LEFT($D837,5),Job_Training[[#Headers],[Solar]:[Wind]],0)),0),0)</f>
        <v>0.68504000000000009</v>
      </c>
    </row>
    <row r="838" spans="1:44" hidden="1" x14ac:dyDescent="0.35">
      <c r="A838" t="str">
        <f>UserInput!$B$82</f>
        <v>Incremental Buildout</v>
      </c>
      <c r="B838">
        <v>2042</v>
      </c>
      <c r="C838" t="s">
        <v>41</v>
      </c>
      <c r="D838" t="s">
        <v>83</v>
      </c>
      <c r="E838" s="120">
        <f>INDEX(UserInput!$C$82:$M$102,MATCH(UserMade_Scenario!B838,UserInput!$A$82:$A$102,0),MATCH(LEFT(IF(RIGHT(C838,2)="H2",UserMade_Scenario!C838,D838),3),UserInput!$C$25:$M$25,0))</f>
        <v>171.42857142857139</v>
      </c>
      <c r="F838" t="s">
        <v>81</v>
      </c>
      <c r="G838" s="14">
        <f t="shared" si="231"/>
        <v>1.334260097198909E-3</v>
      </c>
      <c r="H838" s="63">
        <f t="shared" si="237"/>
        <v>2.6769419863018454E-2</v>
      </c>
      <c r="I838" s="63">
        <f t="shared" si="238"/>
        <v>1.6444858107322692E-2</v>
      </c>
      <c r="J838" s="63">
        <f t="shared" si="239"/>
        <v>3.7093981248068252E-2</v>
      </c>
      <c r="K838" s="30">
        <f>IF(OR(LEFT($D838,5)="Solar",$D838="Wind"),INDEX(Land_Use[AVG],MATCH(LEFT($D838,5),Land_Use[Tech],0)),0)*$E838</f>
        <v>428.57142857142844</v>
      </c>
      <c r="L838" s="30">
        <f>IF(OR(LEFT($D838,5)="Solar",$D838="Wind"),INDEX(Land_Use[MIN],MATCH(LEFT($D838,5),Land_Use[Tech],0)),0)*$E838</f>
        <v>137.14285714285711</v>
      </c>
      <c r="M838" s="30">
        <f>IF(OR(LEFT($D838,5)="Solar",$D838="Wind"),INDEX(Land_Use[MAX],MATCH(LEFT($D838,5),Land_Use[Tech],0)),0)*$E838</f>
        <v>719.99999999999989</v>
      </c>
      <c r="N838" s="15">
        <f t="shared" si="232"/>
        <v>0</v>
      </c>
      <c r="O838" s="11">
        <f t="shared" si="233"/>
        <v>5999.9999999999982</v>
      </c>
      <c r="P838" s="11">
        <f t="shared" si="234"/>
        <v>599.99999999999977</v>
      </c>
      <c r="Q838" s="11">
        <f t="shared" si="235"/>
        <v>107142.85714285712</v>
      </c>
      <c r="R838" s="11">
        <f t="shared" si="236"/>
        <v>132.8571428571428</v>
      </c>
      <c r="S838" s="30">
        <f t="shared" si="240"/>
        <v>0.22476190476190464</v>
      </c>
      <c r="T838" s="30">
        <f t="shared" si="241"/>
        <v>0.38952380952380927</v>
      </c>
      <c r="U838" s="30">
        <f t="shared" si="242"/>
        <v>0.19047619047619038</v>
      </c>
      <c r="V838" s="30">
        <f t="shared" si="243"/>
        <v>1.0761904761904756E-2</v>
      </c>
      <c r="W838" s="30">
        <f t="shared" si="244"/>
        <v>0.81552380952380921</v>
      </c>
      <c r="X838" s="30">
        <f t="shared" si="245"/>
        <v>6.5241904761904737</v>
      </c>
      <c r="Z838" s="23" t="s">
        <v>76</v>
      </c>
      <c r="AA838" s="40">
        <f>IF(C838="Electricity",E838*SUMIFS(Electricity!S:S,Electricity!P:P,UserMade_Scenario!B838,Electricity!M:M,UserMade_Scenario!Z838,Electricity!O:O,UserMade_Scenario!D838),"")</f>
        <v>370646.07268823154</v>
      </c>
      <c r="AB838" s="76">
        <f>1/Assumptions!$B$23/1000000000000</f>
        <v>3.5998225679871703E-9</v>
      </c>
      <c r="AC838" s="67" t="s">
        <v>82</v>
      </c>
      <c r="AD838" s="69">
        <f>INDEX(Table11[AVG
CO2e MT per MWh],MATCH(UserMade_Scenario!$B838,Table11[[Year]:[Year]],0))</f>
        <v>-7.2223670599999901E-2</v>
      </c>
      <c r="AE838" s="69">
        <f>INDEX(Table11[MIN
CO2e MT per MWh],MATCH(UserMade_Scenario!$B838,Table11[[Year]:[Year]],0))</f>
        <v>-4.4368089450000092E-2</v>
      </c>
      <c r="AF838" s="69">
        <f>INDEX(Table11[MAX CO2e MT per MWh],MATCH(UserMade_Scenario!$B838,Table11[[Year]:[Year]],0))</f>
        <v>-0.10007925075000002</v>
      </c>
      <c r="AG838" s="68">
        <f>IFERROR(INDEX(WaterUseH2[Average Direct Water Consumption (Gal/ kg h2)],MATCH(LEFT(D838,3),WaterUseH2[Key],0)),0)</f>
        <v>0</v>
      </c>
      <c r="AH838">
        <v>14</v>
      </c>
      <c r="AI838">
        <v>1.4</v>
      </c>
      <c r="AJ838">
        <v>250</v>
      </c>
      <c r="AK838">
        <v>0.31</v>
      </c>
      <c r="AL838" s="63">
        <f>IFERROR(INDEX(Job_Training[[Solar]:[Wind]],MATCH(AL$1,Job_Training[[`Typical Entry Level Education`]:[`Typical Entry Level Education`]],0),MATCH(LEFT($D838,5),Job_Training[[#Headers],[Solar]:[Wind]],0)),0)</f>
        <v>2.3599999999999999E-2</v>
      </c>
      <c r="AM838" s="63">
        <f>IFERROR(INDEX(Job_Training[[Solar]:[Wind]],MATCH(AM$1,Job_Training[[`Typical Entry Level Education`]:[`Typical Entry Level Education`]],0),MATCH(LEFT($D838,5),Job_Training[[#Headers],[Solar]:[Wind]],0)),0)</f>
        <v>4.0899999999999999E-2</v>
      </c>
      <c r="AN838" s="63">
        <f>IFERROR(INDEX(Job_Training[[Solar]:[Wind]],MATCH(AN$1,Job_Training[[`Typical Entry Level Education`]:[`Typical Entry Level Education`]],0),MATCH(LEFT($D838,5),Job_Training[[#Headers],[Solar]:[Wind]],0)),0)</f>
        <v>0.02</v>
      </c>
      <c r="AO838" s="63">
        <f>IFERROR(INDEX(Job_Training[[Solar]:[Wind]],MATCH(AO$1,Job_Training[[`Typical Entry Level Education`]:[`Typical Entry Level Education`]],0),MATCH(LEFT($D838,5),Job_Training[[#Headers],[Solar]:[Wind]],0)),0)</f>
        <v>1.1299999999999999E-3</v>
      </c>
      <c r="AP838">
        <f t="shared" si="246"/>
        <v>9.5238095238095184</v>
      </c>
      <c r="AQ838" s="63">
        <f>IF(AP838&gt;0,IFERROR(INDEX(Assumptions!$C$165:$D$165,MATCH(LEFT($D838,5),Job_Training[[#Headers],[Solar]:[Wind]],0)),0),0)</f>
        <v>8.5630000000000012E-2</v>
      </c>
      <c r="AR838">
        <f>IF(AP838&gt;0,IFERROR(INDEX(Assumptions!$C$166:$D$166,MATCH(LEFT($D838,5),Job_Training[[#Headers],[Solar]:[Wind]],0)),0),0)</f>
        <v>0.68504000000000009</v>
      </c>
    </row>
    <row r="839" spans="1:44" hidden="1" x14ac:dyDescent="0.35">
      <c r="A839" t="str">
        <f>UserInput!$B$82</f>
        <v>Incremental Buildout</v>
      </c>
      <c r="B839">
        <v>2043</v>
      </c>
      <c r="C839" t="s">
        <v>41</v>
      </c>
      <c r="D839" t="s">
        <v>83</v>
      </c>
      <c r="E839" s="120">
        <f>INDEX(UserInput!$C$82:$M$102,MATCH(UserMade_Scenario!B839,UserInput!$A$82:$A$102,0),MATCH(LEFT(IF(RIGHT(C839,2)="H2",UserMade_Scenario!C839,D839),3),UserInput!$C$25:$M$25,0))</f>
        <v>180.95238095238091</v>
      </c>
      <c r="F839" t="s">
        <v>81</v>
      </c>
      <c r="G839" s="14">
        <f t="shared" si="231"/>
        <v>1.3953306537804913E-3</v>
      </c>
      <c r="H839" s="63">
        <f t="shared" si="237"/>
        <v>2.6357446459999417E-2</v>
      </c>
      <c r="I839" s="63">
        <f t="shared" si="238"/>
        <v>1.5198350367694537E-2</v>
      </c>
      <c r="J839" s="63">
        <f t="shared" si="239"/>
        <v>3.7516542164693467E-2</v>
      </c>
      <c r="K839" s="30">
        <f>IF(OR(LEFT($D839,5)="Solar",$D839="Wind"),INDEX(Land_Use[AVG],MATCH(LEFT($D839,5),Land_Use[Tech],0)),0)*$E839</f>
        <v>452.38095238095229</v>
      </c>
      <c r="L839" s="30">
        <f>IF(OR(LEFT($D839,5)="Solar",$D839="Wind"),INDEX(Land_Use[MIN],MATCH(LEFT($D839,5),Land_Use[Tech],0)),0)*$E839</f>
        <v>144.76190476190473</v>
      </c>
      <c r="M839" s="30">
        <f>IF(OR(LEFT($D839,5)="Solar",$D839="Wind"),INDEX(Land_Use[MAX],MATCH(LEFT($D839,5),Land_Use[Tech],0)),0)*$E839</f>
        <v>759.99999999999989</v>
      </c>
      <c r="N839" s="15">
        <f t="shared" si="232"/>
        <v>0</v>
      </c>
      <c r="O839" s="11">
        <f t="shared" si="233"/>
        <v>6333.3333333333321</v>
      </c>
      <c r="P839" s="11">
        <f t="shared" si="234"/>
        <v>633.33333333333314</v>
      </c>
      <c r="Q839" s="11">
        <f t="shared" si="235"/>
        <v>113095.23809523808</v>
      </c>
      <c r="R839" s="11">
        <f t="shared" si="236"/>
        <v>140.23809523809521</v>
      </c>
      <c r="S839" s="30">
        <f t="shared" si="240"/>
        <v>0.22476190476190464</v>
      </c>
      <c r="T839" s="30">
        <f t="shared" si="241"/>
        <v>0.38952380952380927</v>
      </c>
      <c r="U839" s="30">
        <f t="shared" si="242"/>
        <v>0.19047619047619038</v>
      </c>
      <c r="V839" s="30">
        <f t="shared" si="243"/>
        <v>1.0761904761904756E-2</v>
      </c>
      <c r="W839" s="30">
        <f t="shared" si="244"/>
        <v>0.81552380952380921</v>
      </c>
      <c r="X839" s="30">
        <f t="shared" si="245"/>
        <v>6.5241904761904737</v>
      </c>
      <c r="Z839" s="23" t="s">
        <v>76</v>
      </c>
      <c r="AA839" s="40">
        <f>IF(C839="Electricity",E839*SUMIFS(Electricity!S:S,Electricity!P:P,UserMade_Scenario!B839,Electricity!M:M,UserMade_Scenario!Z839,Electricity!O:O,UserMade_Scenario!D839),"")</f>
        <v>387610.95232554368</v>
      </c>
      <c r="AB839" s="76">
        <f>1/Assumptions!$B$23/1000000000000</f>
        <v>3.5998225679871703E-9</v>
      </c>
      <c r="AC839" s="67" t="s">
        <v>82</v>
      </c>
      <c r="AD839" s="69">
        <f>INDEX(Table11[AVG
CO2e MT per MWh],MATCH(UserMade_Scenario!$B839,Table11[[Year]:[Year]],0))</f>
        <v>-6.7999746399999894E-2</v>
      </c>
      <c r="AE839" s="69">
        <f>INDEX(Table11[MIN
CO2e MT per MWh],MATCH(UserMade_Scenario!$B839,Table11[[Year]:[Year]],0))</f>
        <v>-3.9210322300000093E-2</v>
      </c>
      <c r="AF839" s="69">
        <f>INDEX(Table11[MAX CO2e MT per MWh],MATCH(UserMade_Scenario!$B839,Table11[[Year]:[Year]],0))</f>
        <v>-9.6789169500000008E-2</v>
      </c>
      <c r="AG839" s="68">
        <f>IFERROR(INDEX(WaterUseH2[Average Direct Water Consumption (Gal/ kg h2)],MATCH(LEFT(D839,3),WaterUseH2[Key],0)),0)</f>
        <v>0</v>
      </c>
      <c r="AH839">
        <v>14</v>
      </c>
      <c r="AI839">
        <v>1.4</v>
      </c>
      <c r="AJ839">
        <v>250</v>
      </c>
      <c r="AK839">
        <v>0.31</v>
      </c>
      <c r="AL839" s="63">
        <f>IFERROR(INDEX(Job_Training[[Solar]:[Wind]],MATCH(AL$1,Job_Training[[`Typical Entry Level Education`]:[`Typical Entry Level Education`]],0),MATCH(LEFT($D839,5),Job_Training[[#Headers],[Solar]:[Wind]],0)),0)</f>
        <v>2.3599999999999999E-2</v>
      </c>
      <c r="AM839" s="63">
        <f>IFERROR(INDEX(Job_Training[[Solar]:[Wind]],MATCH(AM$1,Job_Training[[`Typical Entry Level Education`]:[`Typical Entry Level Education`]],0),MATCH(LEFT($D839,5),Job_Training[[#Headers],[Solar]:[Wind]],0)),0)</f>
        <v>4.0899999999999999E-2</v>
      </c>
      <c r="AN839" s="63">
        <f>IFERROR(INDEX(Job_Training[[Solar]:[Wind]],MATCH(AN$1,Job_Training[[`Typical Entry Level Education`]:[`Typical Entry Level Education`]],0),MATCH(LEFT($D839,5),Job_Training[[#Headers],[Solar]:[Wind]],0)),0)</f>
        <v>0.02</v>
      </c>
      <c r="AO839" s="63">
        <f>IFERROR(INDEX(Job_Training[[Solar]:[Wind]],MATCH(AO$1,Job_Training[[`Typical Entry Level Education`]:[`Typical Entry Level Education`]],0),MATCH(LEFT($D839,5),Job_Training[[#Headers],[Solar]:[Wind]],0)),0)</f>
        <v>1.1299999999999999E-3</v>
      </c>
      <c r="AP839">
        <f t="shared" si="246"/>
        <v>9.5238095238095184</v>
      </c>
      <c r="AQ839" s="63">
        <f>IF(AP839&gt;0,IFERROR(INDEX(Assumptions!$C$165:$D$165,MATCH(LEFT($D839,5),Job_Training[[#Headers],[Solar]:[Wind]],0)),0),0)</f>
        <v>8.5630000000000012E-2</v>
      </c>
      <c r="AR839">
        <f>IF(AP839&gt;0,IFERROR(INDEX(Assumptions!$C$166:$D$166,MATCH(LEFT($D839,5),Job_Training[[#Headers],[Solar]:[Wind]],0)),0),0)</f>
        <v>0.68504000000000009</v>
      </c>
    </row>
    <row r="840" spans="1:44" hidden="1" x14ac:dyDescent="0.35">
      <c r="A840" t="str">
        <f>UserInput!$B$82</f>
        <v>Incremental Buildout</v>
      </c>
      <c r="B840">
        <v>2044</v>
      </c>
      <c r="C840" t="s">
        <v>41</v>
      </c>
      <c r="D840" t="s">
        <v>83</v>
      </c>
      <c r="E840" s="120">
        <f>INDEX(UserInput!$C$82:$M$102,MATCH(UserMade_Scenario!B840,UserInput!$A$82:$A$102,0),MATCH(LEFT(IF(RIGHT(C840,2)="H2",UserMade_Scenario!C840,D840),3),UserInput!$C$25:$M$25,0))</f>
        <v>190.47619047619042</v>
      </c>
      <c r="F840" t="s">
        <v>81</v>
      </c>
      <c r="G840" s="14">
        <f t="shared" si="231"/>
        <v>1.455026999375346E-3</v>
      </c>
      <c r="H840" s="63">
        <f t="shared" si="237"/>
        <v>2.5777810282535049E-2</v>
      </c>
      <c r="I840" s="63">
        <f t="shared" si="238"/>
        <v>1.3763841468628935E-2</v>
      </c>
      <c r="J840" s="63">
        <f t="shared" si="239"/>
        <v>3.7791778692247209E-2</v>
      </c>
      <c r="K840" s="30">
        <f>IF(OR(LEFT($D840,5)="Solar",$D840="Wind"),INDEX(Land_Use[AVG],MATCH(LEFT($D840,5),Land_Use[Tech],0)),0)*$E840</f>
        <v>476.19047619047603</v>
      </c>
      <c r="L840" s="30">
        <f>IF(OR(LEFT($D840,5)="Solar",$D840="Wind"),INDEX(Land_Use[MIN],MATCH(LEFT($D840,5),Land_Use[Tech],0)),0)*$E840</f>
        <v>152.38095238095235</v>
      </c>
      <c r="M840" s="30">
        <f>IF(OR(LEFT($D840,5)="Solar",$D840="Wind"),INDEX(Land_Use[MAX],MATCH(LEFT($D840,5),Land_Use[Tech],0)),0)*$E840</f>
        <v>799.99999999999977</v>
      </c>
      <c r="N840" s="15">
        <f t="shared" si="232"/>
        <v>0</v>
      </c>
      <c r="O840" s="11">
        <f t="shared" si="233"/>
        <v>6666.6666666666642</v>
      </c>
      <c r="P840" s="11">
        <f t="shared" si="234"/>
        <v>666.6666666666664</v>
      </c>
      <c r="Q840" s="11">
        <f t="shared" si="235"/>
        <v>119047.61904761901</v>
      </c>
      <c r="R840" s="11">
        <f t="shared" si="236"/>
        <v>147.61904761904756</v>
      </c>
      <c r="S840" s="30">
        <f t="shared" si="240"/>
        <v>0.22476190476190464</v>
      </c>
      <c r="T840" s="30">
        <f t="shared" si="241"/>
        <v>0.38952380952380927</v>
      </c>
      <c r="U840" s="30">
        <f t="shared" si="242"/>
        <v>0.19047619047619038</v>
      </c>
      <c r="V840" s="30">
        <f t="shared" si="243"/>
        <v>1.0761904761904756E-2</v>
      </c>
      <c r="W840" s="30">
        <f t="shared" si="244"/>
        <v>0.81552380952380921</v>
      </c>
      <c r="X840" s="30">
        <f t="shared" si="245"/>
        <v>6.5241904761904737</v>
      </c>
      <c r="Z840" s="23" t="s">
        <v>76</v>
      </c>
      <c r="AA840" s="40">
        <f>IF(C840="Electricity",E840*SUMIFS(Electricity!S:S,Electricity!P:P,UserMade_Scenario!B840,Electricity!M:M,UserMade_Scenario!Z840,Electricity!O:O,UserMade_Scenario!D840),"")</f>
        <v>404194.08787386981</v>
      </c>
      <c r="AB840" s="76">
        <f>1/Assumptions!$B$23/1000000000000</f>
        <v>3.5998225679871703E-9</v>
      </c>
      <c r="AC840" s="67" t="s">
        <v>82</v>
      </c>
      <c r="AD840" s="69">
        <f>INDEX(Table11[AVG
CO2e MT per MWh],MATCH(UserMade_Scenario!$B840,Table11[[Year]:[Year]],0))</f>
        <v>-6.3775822199999888E-2</v>
      </c>
      <c r="AE840" s="69">
        <f>INDEX(Table11[MIN
CO2e MT per MWh],MATCH(UserMade_Scenario!$B840,Table11[[Year]:[Year]],0))</f>
        <v>-3.4052555150000094E-2</v>
      </c>
      <c r="AF840" s="69">
        <f>INDEX(Table11[MAX CO2e MT per MWh],MATCH(UserMade_Scenario!$B840,Table11[[Year]:[Year]],0))</f>
        <v>-9.3499088250000001E-2</v>
      </c>
      <c r="AG840" s="68">
        <f>IFERROR(INDEX(WaterUseH2[Average Direct Water Consumption (Gal/ kg h2)],MATCH(LEFT(D840,3),WaterUseH2[Key],0)),0)</f>
        <v>0</v>
      </c>
      <c r="AH840">
        <v>14</v>
      </c>
      <c r="AI840">
        <v>1.4</v>
      </c>
      <c r="AJ840">
        <v>250</v>
      </c>
      <c r="AK840">
        <v>0.31</v>
      </c>
      <c r="AL840" s="63">
        <f>IFERROR(INDEX(Job_Training[[Solar]:[Wind]],MATCH(AL$1,Job_Training[[`Typical Entry Level Education`]:[`Typical Entry Level Education`]],0),MATCH(LEFT($D840,5),Job_Training[[#Headers],[Solar]:[Wind]],0)),0)</f>
        <v>2.3599999999999999E-2</v>
      </c>
      <c r="AM840" s="63">
        <f>IFERROR(INDEX(Job_Training[[Solar]:[Wind]],MATCH(AM$1,Job_Training[[`Typical Entry Level Education`]:[`Typical Entry Level Education`]],0),MATCH(LEFT($D840,5),Job_Training[[#Headers],[Solar]:[Wind]],0)),0)</f>
        <v>4.0899999999999999E-2</v>
      </c>
      <c r="AN840" s="63">
        <f>IFERROR(INDEX(Job_Training[[Solar]:[Wind]],MATCH(AN$1,Job_Training[[`Typical Entry Level Education`]:[`Typical Entry Level Education`]],0),MATCH(LEFT($D840,5),Job_Training[[#Headers],[Solar]:[Wind]],0)),0)</f>
        <v>0.02</v>
      </c>
      <c r="AO840" s="63">
        <f>IFERROR(INDEX(Job_Training[[Solar]:[Wind]],MATCH(AO$1,Job_Training[[`Typical Entry Level Education`]:[`Typical Entry Level Education`]],0),MATCH(LEFT($D840,5),Job_Training[[#Headers],[Solar]:[Wind]],0)),0)</f>
        <v>1.1299999999999999E-3</v>
      </c>
      <c r="AP840">
        <f t="shared" si="246"/>
        <v>9.5238095238095184</v>
      </c>
      <c r="AQ840" s="63">
        <f>IF(AP840&gt;0,IFERROR(INDEX(Assumptions!$C$165:$D$165,MATCH(LEFT($D840,5),Job_Training[[#Headers],[Solar]:[Wind]],0)),0),0)</f>
        <v>8.5630000000000012E-2</v>
      </c>
      <c r="AR840">
        <f>IF(AP840&gt;0,IFERROR(INDEX(Assumptions!$C$166:$D$166,MATCH(LEFT($D840,5),Job_Training[[#Headers],[Solar]:[Wind]],0)),0),0)</f>
        <v>0.68504000000000009</v>
      </c>
    </row>
    <row r="841" spans="1:44" hidden="1" x14ac:dyDescent="0.35">
      <c r="A841" t="str">
        <f>UserInput!$B$82</f>
        <v>Incremental Buildout</v>
      </c>
      <c r="B841">
        <v>2045</v>
      </c>
      <c r="C841" t="s">
        <v>41</v>
      </c>
      <c r="D841" t="s">
        <v>83</v>
      </c>
      <c r="E841" s="120">
        <f>INDEX(UserInput!$C$82:$M$102,MATCH(UserMade_Scenario!B841,UserInput!$A$82:$A$102,0),MATCH(LEFT(IF(RIGHT(C841,2)="H2",UserMade_Scenario!C841,D841),3),UserInput!$C$25:$M$25,0))</f>
        <v>200</v>
      </c>
      <c r="F841" t="s">
        <v>81</v>
      </c>
      <c r="G841" s="14">
        <f t="shared" si="231"/>
        <v>1.5133491339834734E-3</v>
      </c>
      <c r="H841" s="63">
        <f t="shared" si="237"/>
        <v>2.5035348704912381E-2</v>
      </c>
      <c r="I841" s="63">
        <f t="shared" si="238"/>
        <v>1.2147238251491523E-2</v>
      </c>
      <c r="J841" s="63">
        <f t="shared" si="239"/>
        <v>3.7923458737937892E-2</v>
      </c>
      <c r="K841" s="30">
        <f>IF(OR(LEFT($D841,5)="Solar",$D841="Wind"),INDEX(Land_Use[AVG],MATCH(LEFT($D841,5),Land_Use[Tech],0)),0)*$E841</f>
        <v>500</v>
      </c>
      <c r="L841" s="30">
        <f>IF(OR(LEFT($D841,5)="Solar",$D841="Wind"),INDEX(Land_Use[MIN],MATCH(LEFT($D841,5),Land_Use[Tech],0)),0)*$E841</f>
        <v>160</v>
      </c>
      <c r="M841" s="30">
        <f>IF(OR(LEFT($D841,5)="Solar",$D841="Wind"),INDEX(Land_Use[MAX],MATCH(LEFT($D841,5),Land_Use[Tech],0)),0)*$E841</f>
        <v>840</v>
      </c>
      <c r="N841" s="15">
        <f t="shared" si="232"/>
        <v>0</v>
      </c>
      <c r="O841" s="11">
        <f t="shared" si="233"/>
        <v>7000</v>
      </c>
      <c r="P841" s="11">
        <f t="shared" si="234"/>
        <v>700</v>
      </c>
      <c r="Q841" s="11">
        <f t="shared" si="235"/>
        <v>125000</v>
      </c>
      <c r="R841" s="11">
        <f t="shared" si="236"/>
        <v>155</v>
      </c>
      <c r="S841" s="30">
        <f t="shared" si="240"/>
        <v>0.22476190476190597</v>
      </c>
      <c r="T841" s="30">
        <f t="shared" si="241"/>
        <v>0.3895238095238116</v>
      </c>
      <c r="U841" s="30">
        <f t="shared" si="242"/>
        <v>0.19047619047619152</v>
      </c>
      <c r="V841" s="30">
        <f t="shared" si="243"/>
        <v>1.076190476190482E-2</v>
      </c>
      <c r="W841" s="30">
        <f t="shared" si="244"/>
        <v>0.81552380952381409</v>
      </c>
      <c r="X841" s="30">
        <f t="shared" si="245"/>
        <v>6.5241904761905127</v>
      </c>
      <c r="Z841" s="23" t="s">
        <v>76</v>
      </c>
      <c r="AA841" s="40">
        <f>IF(C841="Electricity",E841*SUMIFS(Electricity!S:S,Electricity!P:P,UserMade_Scenario!B841,Electricity!M:M,UserMade_Scenario!Z841,Electricity!O:O,UserMade_Scenario!D841),"")</f>
        <v>420395.47933320998</v>
      </c>
      <c r="AB841" s="76">
        <f>1/Assumptions!$B$23/1000000000000</f>
        <v>3.5998225679871703E-9</v>
      </c>
      <c r="AC841" s="67" t="s">
        <v>82</v>
      </c>
      <c r="AD841" s="69">
        <f>INDEX(Table11[AVG
CO2e MT per MWh],MATCH(UserMade_Scenario!$B841,Table11[[Year]:[Year]],0))</f>
        <v>-5.9551897999999888E-2</v>
      </c>
      <c r="AE841" s="69">
        <f>INDEX(Table11[MIN
CO2e MT per MWh],MATCH(UserMade_Scenario!$B841,Table11[[Year]:[Year]],0))</f>
        <v>-2.8894788000000095E-2</v>
      </c>
      <c r="AF841" s="69">
        <f>INDEX(Table11[MAX CO2e MT per MWh],MATCH(UserMade_Scenario!$B841,Table11[[Year]:[Year]],0))</f>
        <v>-9.0209006999999994E-2</v>
      </c>
      <c r="AG841" s="68">
        <f>IFERROR(INDEX(WaterUseH2[Average Direct Water Consumption (Gal/ kg h2)],MATCH(LEFT(D841,3),WaterUseH2[Key],0)),0)</f>
        <v>0</v>
      </c>
      <c r="AH841">
        <v>14</v>
      </c>
      <c r="AI841">
        <v>1.4</v>
      </c>
      <c r="AJ841">
        <v>250</v>
      </c>
      <c r="AK841">
        <v>0.31</v>
      </c>
      <c r="AL841" s="63">
        <f>IFERROR(INDEX(Job_Training[[Solar]:[Wind]],MATCH(AL$1,Job_Training[[`Typical Entry Level Education`]:[`Typical Entry Level Education`]],0),MATCH(LEFT($D841,5),Job_Training[[#Headers],[Solar]:[Wind]],0)),0)</f>
        <v>2.3599999999999999E-2</v>
      </c>
      <c r="AM841" s="63">
        <f>IFERROR(INDEX(Job_Training[[Solar]:[Wind]],MATCH(AM$1,Job_Training[[`Typical Entry Level Education`]:[`Typical Entry Level Education`]],0),MATCH(LEFT($D841,5),Job_Training[[#Headers],[Solar]:[Wind]],0)),0)</f>
        <v>4.0899999999999999E-2</v>
      </c>
      <c r="AN841" s="63">
        <f>IFERROR(INDEX(Job_Training[[Solar]:[Wind]],MATCH(AN$1,Job_Training[[`Typical Entry Level Education`]:[`Typical Entry Level Education`]],0),MATCH(LEFT($D841,5),Job_Training[[#Headers],[Solar]:[Wind]],0)),0)</f>
        <v>0.02</v>
      </c>
      <c r="AO841" s="63">
        <f>IFERROR(INDEX(Job_Training[[Solar]:[Wind]],MATCH(AO$1,Job_Training[[`Typical Entry Level Education`]:[`Typical Entry Level Education`]],0),MATCH(LEFT($D841,5),Job_Training[[#Headers],[Solar]:[Wind]],0)),0)</f>
        <v>1.1299999999999999E-3</v>
      </c>
      <c r="AP841">
        <f t="shared" si="246"/>
        <v>9.5238095238095752</v>
      </c>
      <c r="AQ841" s="63">
        <f>IF(AP841&gt;0,IFERROR(INDEX(Assumptions!$C$165:$D$165,MATCH(LEFT($D841,5),Job_Training[[#Headers],[Solar]:[Wind]],0)),0),0)</f>
        <v>8.5630000000000012E-2</v>
      </c>
      <c r="AR841">
        <f>IF(AP841&gt;0,IFERROR(INDEX(Assumptions!$C$166:$D$166,MATCH(LEFT($D841,5),Job_Training[[#Headers],[Solar]:[Wind]],0)),0),0)</f>
        <v>0.68504000000000009</v>
      </c>
    </row>
    <row r="842" spans="1:44" hidden="1" x14ac:dyDescent="0.35">
      <c r="A842" t="str">
        <f>UserInput!$B$82</f>
        <v>Incremental Buildout</v>
      </c>
      <c r="B842">
        <v>2025</v>
      </c>
      <c r="C842" t="s">
        <v>41</v>
      </c>
      <c r="D842" t="s">
        <v>84</v>
      </c>
      <c r="E842" s="120">
        <f>INDEX(UserInput!$C$82:$M$102,MATCH(UserMade_Scenario!B842,UserInput!$A$82:$A$102,0),MATCH(LEFT(IF(RIGHT(C842,2)="H2",UserMade_Scenario!C842,D842),3),UserInput!$C$25:$M$25,0))</f>
        <v>0.23809523809523808</v>
      </c>
      <c r="F842" t="s">
        <v>81</v>
      </c>
      <c r="G842" s="14">
        <f t="shared" si="231"/>
        <v>5.1726757555247808E-6</v>
      </c>
      <c r="H842" s="63">
        <f t="shared" si="237"/>
        <v>2.0696088514355579E-4</v>
      </c>
      <c r="I842" s="63">
        <f t="shared" si="238"/>
        <v>1.8974616060577062E-4</v>
      </c>
      <c r="J842" s="63">
        <f t="shared" si="239"/>
        <v>2.2417560824441576E-4</v>
      </c>
      <c r="K842" s="30">
        <f>IF(OR(LEFT($D842,5)="Solar",$D842="Wind"),INDEX(Land_Use[AVG],MATCH(LEFT($D842,5),Land_Use[Tech],0)),0)*$E842</f>
        <v>0</v>
      </c>
      <c r="L842" s="30">
        <f>IF(OR(LEFT($D842,5)="Solar",$D842="Wind"),INDEX(Land_Use[MIN],MATCH(LEFT($D842,5),Land_Use[Tech],0)),0)*$E842</f>
        <v>0</v>
      </c>
      <c r="M842" s="30">
        <f>IF(OR(LEFT($D842,5)="Solar",$D842="Wind"),INDEX(Land_Use[MAX],MATCH(LEFT($D842,5),Land_Use[Tech],0)),0)*$E842</f>
        <v>0</v>
      </c>
      <c r="N842" s="15">
        <f t="shared" si="232"/>
        <v>9.7619047619047598E-4</v>
      </c>
      <c r="O842" s="11">
        <f t="shared" si="233"/>
        <v>0</v>
      </c>
      <c r="P842" s="11">
        <f t="shared" si="234"/>
        <v>0</v>
      </c>
      <c r="Q842" s="11">
        <f t="shared" si="235"/>
        <v>0</v>
      </c>
      <c r="R842" s="11">
        <f t="shared" si="236"/>
        <v>0</v>
      </c>
      <c r="S842" s="30">
        <f t="shared" si="240"/>
        <v>0</v>
      </c>
      <c r="T842" s="30">
        <f t="shared" si="241"/>
        <v>0</v>
      </c>
      <c r="U842" s="30">
        <f t="shared" si="242"/>
        <v>0</v>
      </c>
      <c r="V842" s="30">
        <f t="shared" si="243"/>
        <v>0</v>
      </c>
      <c r="W842" s="30">
        <f t="shared" si="244"/>
        <v>0</v>
      </c>
      <c r="X842" s="30">
        <f t="shared" si="245"/>
        <v>0</v>
      </c>
      <c r="Z842" s="23" t="s">
        <v>76</v>
      </c>
      <c r="AA842" s="40">
        <f>IF(C842="Electricity",E842*SUMIFS(Electricity!S:S,Electricity!P:P,UserMade_Scenario!B842,Electricity!M:M,UserMade_Scenario!Z842,Electricity!O:O,UserMade_Scenario!D842),"")</f>
        <v>1436.9251977930307</v>
      </c>
      <c r="AB842" s="76">
        <f>1/Assumptions!$B$23/1000000000000</f>
        <v>3.5998225679871703E-9</v>
      </c>
      <c r="AC842" s="67" t="s">
        <v>82</v>
      </c>
      <c r="AD842" s="69">
        <f>INDEX(Table11[AVG
CO2e MT per MWh],MATCH(UserMade_Scenario!$B842,Table11[[Year]:[Year]],0))</f>
        <v>-0.14403038200000001</v>
      </c>
      <c r="AE842" s="69">
        <f>INDEX(Table11[MIN
CO2e MT per MWh],MATCH(UserMade_Scenario!$B842,Table11[[Year]:[Year]],0))</f>
        <v>-0.13205013099999999</v>
      </c>
      <c r="AF842" s="69">
        <f>INDEX(Table11[MAX CO2e MT per MWh],MATCH(UserMade_Scenario!$B842,Table11[[Year]:[Year]],0))</f>
        <v>-0.15601063200000001</v>
      </c>
      <c r="AG842" s="68">
        <f>IFERROR(INDEX(WaterUseH2[Average Direct Water Consumption (Gal/ kg h2)],MATCH(LEFT(D842,3),WaterUseH2[Key],0)),0)</f>
        <v>4.0999999999999996</v>
      </c>
      <c r="AH842">
        <v>14</v>
      </c>
      <c r="AI842">
        <v>1.4</v>
      </c>
      <c r="AJ842">
        <v>250</v>
      </c>
      <c r="AK842">
        <v>0.31</v>
      </c>
      <c r="AL842" s="63">
        <f>IFERROR(INDEX(Job_Training[[Solar]:[Wind]],MATCH(AL$1,Job_Training[[`Typical Entry Level Education`]:[`Typical Entry Level Education`]],0),MATCH(LEFT($D842,5),Job_Training[[#Headers],[Solar]:[Wind]],0)),0)</f>
        <v>0</v>
      </c>
      <c r="AM842" s="63">
        <f>IFERROR(INDEX(Job_Training[[Solar]:[Wind]],MATCH(AM$1,Job_Training[[`Typical Entry Level Education`]:[`Typical Entry Level Education`]],0),MATCH(LEFT($D842,5),Job_Training[[#Headers],[Solar]:[Wind]],0)),0)</f>
        <v>0</v>
      </c>
      <c r="AN842" s="63">
        <f>IFERROR(INDEX(Job_Training[[Solar]:[Wind]],MATCH(AN$1,Job_Training[[`Typical Entry Level Education`]:[`Typical Entry Level Education`]],0),MATCH(LEFT($D842,5),Job_Training[[#Headers],[Solar]:[Wind]],0)),0)</f>
        <v>0</v>
      </c>
      <c r="AO842" s="63">
        <f>IFERROR(INDEX(Job_Training[[Solar]:[Wind]],MATCH(AO$1,Job_Training[[`Typical Entry Level Education`]:[`Typical Entry Level Education`]],0),MATCH(LEFT($D842,5),Job_Training[[#Headers],[Solar]:[Wind]],0)),0)</f>
        <v>0</v>
      </c>
      <c r="AP842">
        <f t="shared" si="246"/>
        <v>0.23809523809523808</v>
      </c>
      <c r="AQ842" s="63">
        <f>IF(AP842&gt;0,IFERROR(INDEX(Assumptions!$C$165:$D$165,MATCH(LEFT($D842,5),Job_Training[[#Headers],[Solar]:[Wind]],0)),0),0)</f>
        <v>0</v>
      </c>
      <c r="AR842">
        <f>IF(AP842&gt;0,IFERROR(INDEX(Assumptions!$C$166:$D$166,MATCH(LEFT($D842,5),Job_Training[[#Headers],[Solar]:[Wind]],0)),0),0)</f>
        <v>0</v>
      </c>
    </row>
    <row r="843" spans="1:44" hidden="1" x14ac:dyDescent="0.35">
      <c r="A843" t="str">
        <f>UserInput!$B$82</f>
        <v>Incremental Buildout</v>
      </c>
      <c r="B843">
        <v>2026</v>
      </c>
      <c r="C843" t="s">
        <v>41</v>
      </c>
      <c r="D843" t="s">
        <v>84</v>
      </c>
      <c r="E843" s="120">
        <f>INDEX(UserInput!$C$82:$M$102,MATCH(UserMade_Scenario!B843,UserInput!$A$82:$A$102,0),MATCH(LEFT(IF(RIGHT(C843,2)="H2",UserMade_Scenario!C843,D843),3),UserInput!$C$25:$M$25,0))</f>
        <v>0.47619047619047616</v>
      </c>
      <c r="F843" t="s">
        <v>81</v>
      </c>
      <c r="G843" s="14">
        <f t="shared" si="231"/>
        <v>1.0270528548700346E-5</v>
      </c>
      <c r="H843" s="63">
        <f t="shared" si="237"/>
        <v>3.9887694157394028E-4</v>
      </c>
      <c r="I843" s="63">
        <f t="shared" si="238"/>
        <v>3.6203218934265579E-4</v>
      </c>
      <c r="J843" s="63">
        <f t="shared" si="239"/>
        <v>4.3572169095215955E-4</v>
      </c>
      <c r="K843" s="30">
        <f>IF(OR(LEFT($D843,5)="Solar",$D843="Wind"),INDEX(Land_Use[AVG],MATCH(LEFT($D843,5),Land_Use[Tech],0)),0)*$E843</f>
        <v>0</v>
      </c>
      <c r="L843" s="30">
        <f>IF(OR(LEFT($D843,5)="Solar",$D843="Wind"),INDEX(Land_Use[MIN],MATCH(LEFT($D843,5),Land_Use[Tech],0)),0)*$E843</f>
        <v>0</v>
      </c>
      <c r="M843" s="30">
        <f>IF(OR(LEFT($D843,5)="Solar",$D843="Wind"),INDEX(Land_Use[MAX],MATCH(LEFT($D843,5),Land_Use[Tech],0)),0)*$E843</f>
        <v>0</v>
      </c>
      <c r="N843" s="15">
        <f t="shared" si="232"/>
        <v>1.952380952380952E-3</v>
      </c>
      <c r="O843" s="11">
        <f t="shared" si="233"/>
        <v>0</v>
      </c>
      <c r="P843" s="11">
        <f t="shared" si="234"/>
        <v>0</v>
      </c>
      <c r="Q843" s="11">
        <f t="shared" si="235"/>
        <v>0</v>
      </c>
      <c r="R843" s="11">
        <f t="shared" si="236"/>
        <v>0</v>
      </c>
      <c r="S843" s="30">
        <f t="shared" si="240"/>
        <v>0</v>
      </c>
      <c r="T843" s="30">
        <f t="shared" si="241"/>
        <v>0</v>
      </c>
      <c r="U843" s="30">
        <f t="shared" si="242"/>
        <v>0</v>
      </c>
      <c r="V843" s="30">
        <f t="shared" si="243"/>
        <v>0</v>
      </c>
      <c r="W843" s="30">
        <f t="shared" si="244"/>
        <v>0</v>
      </c>
      <c r="X843" s="30">
        <f t="shared" si="245"/>
        <v>0</v>
      </c>
      <c r="Z843" s="23" t="s">
        <v>76</v>
      </c>
      <c r="AA843" s="40">
        <f>IF(C843="Electricity",E843*SUMIFS(Electricity!S:S,Electricity!P:P,UserMade_Scenario!B843,Electricity!M:M,UserMade_Scenario!Z843,Electricity!O:O,UserMade_Scenario!D843),"")</f>
        <v>2853.0652149456023</v>
      </c>
      <c r="AB843" s="76">
        <f>1/Assumptions!$B$23/1000000000000</f>
        <v>3.5998225679871703E-9</v>
      </c>
      <c r="AC843" s="67" t="s">
        <v>82</v>
      </c>
      <c r="AD843" s="69">
        <f>INDEX(Table11[AVG
CO2e MT per MWh],MATCH(UserMade_Scenario!$B843,Table11[[Year]:[Year]],0))</f>
        <v>-0.13980645780000001</v>
      </c>
      <c r="AE843" s="69">
        <f>INDEX(Table11[MIN
CO2e MT per MWh],MATCH(UserMade_Scenario!$B843,Table11[[Year]:[Year]],0))</f>
        <v>-0.12689236385</v>
      </c>
      <c r="AF843" s="69">
        <f>INDEX(Table11[MAX CO2e MT per MWh],MATCH(UserMade_Scenario!$B843,Table11[[Year]:[Year]],0))</f>
        <v>-0.15272055075000002</v>
      </c>
      <c r="AG843" s="68">
        <f>IFERROR(INDEX(WaterUseH2[Average Direct Water Consumption (Gal/ kg h2)],MATCH(LEFT(D843,3),WaterUseH2[Key],0)),0)</f>
        <v>4.0999999999999996</v>
      </c>
      <c r="AH843">
        <v>14</v>
      </c>
      <c r="AI843">
        <v>1.4</v>
      </c>
      <c r="AJ843">
        <v>250</v>
      </c>
      <c r="AK843">
        <v>0.31</v>
      </c>
      <c r="AL843" s="63">
        <f>IFERROR(INDEX(Job_Training[[Solar]:[Wind]],MATCH(AL$1,Job_Training[[`Typical Entry Level Education`]:[`Typical Entry Level Education`]],0),MATCH(LEFT($D843,5),Job_Training[[#Headers],[Solar]:[Wind]],0)),0)</f>
        <v>0</v>
      </c>
      <c r="AM843" s="63">
        <f>IFERROR(INDEX(Job_Training[[Solar]:[Wind]],MATCH(AM$1,Job_Training[[`Typical Entry Level Education`]:[`Typical Entry Level Education`]],0),MATCH(LEFT($D843,5),Job_Training[[#Headers],[Solar]:[Wind]],0)),0)</f>
        <v>0</v>
      </c>
      <c r="AN843" s="63">
        <f>IFERROR(INDEX(Job_Training[[Solar]:[Wind]],MATCH(AN$1,Job_Training[[`Typical Entry Level Education`]:[`Typical Entry Level Education`]],0),MATCH(LEFT($D843,5),Job_Training[[#Headers],[Solar]:[Wind]],0)),0)</f>
        <v>0</v>
      </c>
      <c r="AO843" s="63">
        <f>IFERROR(INDEX(Job_Training[[Solar]:[Wind]],MATCH(AO$1,Job_Training[[`Typical Entry Level Education`]:[`Typical Entry Level Education`]],0),MATCH(LEFT($D843,5),Job_Training[[#Headers],[Solar]:[Wind]],0)),0)</f>
        <v>0</v>
      </c>
      <c r="AP843">
        <f t="shared" si="246"/>
        <v>0.23809523809523808</v>
      </c>
      <c r="AQ843" s="63">
        <f>IF(AP843&gt;0,IFERROR(INDEX(Assumptions!$C$165:$D$165,MATCH(LEFT($D843,5),Job_Training[[#Headers],[Solar]:[Wind]],0)),0),0)</f>
        <v>0</v>
      </c>
      <c r="AR843">
        <f>IF(AP843&gt;0,IFERROR(INDEX(Assumptions!$C$166:$D$166,MATCH(LEFT($D843,5),Job_Training[[#Headers],[Solar]:[Wind]],0)),0),0)</f>
        <v>0</v>
      </c>
    </row>
    <row r="844" spans="1:44" hidden="1" x14ac:dyDescent="0.35">
      <c r="A844" t="str">
        <f>UserInput!$B$82</f>
        <v>Incremental Buildout</v>
      </c>
      <c r="B844">
        <v>2027</v>
      </c>
      <c r="C844" t="s">
        <v>41</v>
      </c>
      <c r="D844" t="s">
        <v>84</v>
      </c>
      <c r="E844" s="120">
        <f>INDEX(UserInput!$C$82:$M$102,MATCH(UserMade_Scenario!B844,UserInput!$A$82:$A$102,0),MATCH(LEFT(IF(RIGHT(C844,2)="H2",UserMade_Scenario!C844,D844),3),UserInput!$C$25:$M$25,0))</f>
        <v>0.71428571428571419</v>
      </c>
      <c r="F844" t="s">
        <v>81</v>
      </c>
      <c r="G844" s="14">
        <f t="shared" si="231"/>
        <v>1.5293558379526696E-5</v>
      </c>
      <c r="H844" s="63">
        <f t="shared" si="237"/>
        <v>5.760115543736792E-4</v>
      </c>
      <c r="I844" s="63">
        <f t="shared" si="238"/>
        <v>5.1717970157639809E-4</v>
      </c>
      <c r="J844" s="63">
        <f t="shared" si="239"/>
        <v>6.3484340292254045E-4</v>
      </c>
      <c r="K844" s="30">
        <f>IF(OR(LEFT($D844,5)="Solar",$D844="Wind"),INDEX(Land_Use[AVG],MATCH(LEFT($D844,5),Land_Use[Tech],0)),0)*$E844</f>
        <v>0</v>
      </c>
      <c r="L844" s="30">
        <f>IF(OR(LEFT($D844,5)="Solar",$D844="Wind"),INDEX(Land_Use[MIN],MATCH(LEFT($D844,5),Land_Use[Tech],0)),0)*$E844</f>
        <v>0</v>
      </c>
      <c r="M844" s="30">
        <f>IF(OR(LEFT($D844,5)="Solar",$D844="Wind"),INDEX(Land_Use[MAX],MATCH(LEFT($D844,5),Land_Use[Tech],0)),0)*$E844</f>
        <v>0</v>
      </c>
      <c r="N844" s="15">
        <f t="shared" si="232"/>
        <v>2.928571428571428E-3</v>
      </c>
      <c r="O844" s="11">
        <f t="shared" si="233"/>
        <v>0</v>
      </c>
      <c r="P844" s="11">
        <f t="shared" si="234"/>
        <v>0</v>
      </c>
      <c r="Q844" s="11">
        <f t="shared" si="235"/>
        <v>0</v>
      </c>
      <c r="R844" s="11">
        <f t="shared" si="236"/>
        <v>0</v>
      </c>
      <c r="S844" s="30">
        <f t="shared" si="240"/>
        <v>0</v>
      </c>
      <c r="T844" s="30">
        <f t="shared" si="241"/>
        <v>0</v>
      </c>
      <c r="U844" s="30">
        <f t="shared" si="242"/>
        <v>0</v>
      </c>
      <c r="V844" s="30">
        <f t="shared" si="243"/>
        <v>0</v>
      </c>
      <c r="W844" s="30">
        <f t="shared" si="244"/>
        <v>0</v>
      </c>
      <c r="X844" s="30">
        <f t="shared" si="245"/>
        <v>0</v>
      </c>
      <c r="Z844" s="23" t="s">
        <v>76</v>
      </c>
      <c r="AA844" s="40">
        <f>IF(C844="Electricity",E844*SUMIFS(Electricity!S:S,Electricity!P:P,UserMade_Scenario!B844,Electricity!M:M,UserMade_Scenario!Z844,Electricity!O:O,UserMade_Scenario!D844),"")</f>
        <v>4248.4200514577142</v>
      </c>
      <c r="AB844" s="76">
        <f>1/Assumptions!$B$23/1000000000000</f>
        <v>3.5998225679871703E-9</v>
      </c>
      <c r="AC844" s="67" t="s">
        <v>82</v>
      </c>
      <c r="AD844" s="69">
        <f>INDEX(Table11[AVG
CO2e MT per MWh],MATCH(UserMade_Scenario!$B844,Table11[[Year]:[Year]],0))</f>
        <v>-0.1355825336</v>
      </c>
      <c r="AE844" s="69">
        <f>INDEX(Table11[MIN
CO2e MT per MWh],MATCH(UserMade_Scenario!$B844,Table11[[Year]:[Year]],0))</f>
        <v>-0.1217345967</v>
      </c>
      <c r="AF844" s="69">
        <f>INDEX(Table11[MAX CO2e MT per MWh],MATCH(UserMade_Scenario!$B844,Table11[[Year]:[Year]],0))</f>
        <v>-0.14943046950000002</v>
      </c>
      <c r="AG844" s="68">
        <f>IFERROR(INDEX(WaterUseH2[Average Direct Water Consumption (Gal/ kg h2)],MATCH(LEFT(D844,3),WaterUseH2[Key],0)),0)</f>
        <v>4.0999999999999996</v>
      </c>
      <c r="AH844">
        <v>14</v>
      </c>
      <c r="AI844">
        <v>1.4</v>
      </c>
      <c r="AJ844">
        <v>250</v>
      </c>
      <c r="AK844">
        <v>0.31</v>
      </c>
      <c r="AL844" s="63">
        <f>IFERROR(INDEX(Job_Training[[Solar]:[Wind]],MATCH(AL$1,Job_Training[[`Typical Entry Level Education`]:[`Typical Entry Level Education`]],0),MATCH(LEFT($D844,5),Job_Training[[#Headers],[Solar]:[Wind]],0)),0)</f>
        <v>0</v>
      </c>
      <c r="AM844" s="63">
        <f>IFERROR(INDEX(Job_Training[[Solar]:[Wind]],MATCH(AM$1,Job_Training[[`Typical Entry Level Education`]:[`Typical Entry Level Education`]],0),MATCH(LEFT($D844,5),Job_Training[[#Headers],[Solar]:[Wind]],0)),0)</f>
        <v>0</v>
      </c>
      <c r="AN844" s="63">
        <f>IFERROR(INDEX(Job_Training[[Solar]:[Wind]],MATCH(AN$1,Job_Training[[`Typical Entry Level Education`]:[`Typical Entry Level Education`]],0),MATCH(LEFT($D844,5),Job_Training[[#Headers],[Solar]:[Wind]],0)),0)</f>
        <v>0</v>
      </c>
      <c r="AO844" s="63">
        <f>IFERROR(INDEX(Job_Training[[Solar]:[Wind]],MATCH(AO$1,Job_Training[[`Typical Entry Level Education`]:[`Typical Entry Level Education`]],0),MATCH(LEFT($D844,5),Job_Training[[#Headers],[Solar]:[Wind]],0)),0)</f>
        <v>0</v>
      </c>
      <c r="AP844">
        <f t="shared" si="246"/>
        <v>0.23809523809523803</v>
      </c>
      <c r="AQ844" s="63">
        <f>IF(AP844&gt;0,IFERROR(INDEX(Assumptions!$C$165:$D$165,MATCH(LEFT($D844,5),Job_Training[[#Headers],[Solar]:[Wind]],0)),0),0)</f>
        <v>0</v>
      </c>
      <c r="AR844">
        <f>IF(AP844&gt;0,IFERROR(INDEX(Assumptions!$C$166:$D$166,MATCH(LEFT($D844,5),Job_Training[[#Headers],[Solar]:[Wind]],0)),0),0)</f>
        <v>0</v>
      </c>
    </row>
    <row r="845" spans="1:44" hidden="1" x14ac:dyDescent="0.35">
      <c r="A845" t="str">
        <f>UserInput!$B$82</f>
        <v>Incremental Buildout</v>
      </c>
      <c r="B845">
        <v>2028</v>
      </c>
      <c r="C845" t="s">
        <v>41</v>
      </c>
      <c r="D845" t="s">
        <v>84</v>
      </c>
      <c r="E845" s="120">
        <f>INDEX(UserInput!$C$82:$M$102,MATCH(UserMade_Scenario!B845,UserInput!$A$82:$A$102,0),MATCH(LEFT(IF(RIGHT(C845,2)="H2",UserMade_Scenario!C845,D845),3),UserInput!$C$25:$M$25,0))</f>
        <v>0.95238095238095233</v>
      </c>
      <c r="F845" t="s">
        <v>81</v>
      </c>
      <c r="G845" s="14">
        <f t="shared" si="231"/>
        <v>2.0241765248003831E-5</v>
      </c>
      <c r="H845" s="63">
        <f t="shared" si="237"/>
        <v>7.3862810862529871E-4</v>
      </c>
      <c r="I845" s="63">
        <f t="shared" si="238"/>
        <v>6.5551031267274012E-4</v>
      </c>
      <c r="J845" s="63">
        <f t="shared" si="239"/>
        <v>8.2174589895486782E-4</v>
      </c>
      <c r="K845" s="30">
        <f>IF(OR(LEFT($D845,5)="Solar",$D845="Wind"),INDEX(Land_Use[AVG],MATCH(LEFT($D845,5),Land_Use[Tech],0)),0)*$E845</f>
        <v>0</v>
      </c>
      <c r="L845" s="30">
        <f>IF(OR(LEFT($D845,5)="Solar",$D845="Wind"),INDEX(Land_Use[MIN],MATCH(LEFT($D845,5),Land_Use[Tech],0)),0)*$E845</f>
        <v>0</v>
      </c>
      <c r="M845" s="30">
        <f>IF(OR(LEFT($D845,5)="Solar",$D845="Wind"),INDEX(Land_Use[MAX],MATCH(LEFT($D845,5),Land_Use[Tech],0)),0)*$E845</f>
        <v>0</v>
      </c>
      <c r="N845" s="15">
        <f t="shared" si="232"/>
        <v>3.9047619047619039E-3</v>
      </c>
      <c r="O845" s="11">
        <f t="shared" si="233"/>
        <v>0</v>
      </c>
      <c r="P845" s="11">
        <f t="shared" si="234"/>
        <v>0</v>
      </c>
      <c r="Q845" s="11">
        <f t="shared" si="235"/>
        <v>0</v>
      </c>
      <c r="R845" s="11">
        <f t="shared" si="236"/>
        <v>0</v>
      </c>
      <c r="S845" s="30">
        <f t="shared" si="240"/>
        <v>0</v>
      </c>
      <c r="T845" s="30">
        <f t="shared" si="241"/>
        <v>0</v>
      </c>
      <c r="U845" s="30">
        <f t="shared" si="242"/>
        <v>0</v>
      </c>
      <c r="V845" s="30">
        <f t="shared" si="243"/>
        <v>0</v>
      </c>
      <c r="W845" s="30">
        <f t="shared" si="244"/>
        <v>0</v>
      </c>
      <c r="X845" s="30">
        <f t="shared" si="245"/>
        <v>0</v>
      </c>
      <c r="Z845" s="23" t="s">
        <v>76</v>
      </c>
      <c r="AA845" s="40">
        <f>IF(C845="Electricity",E845*SUMIFS(Electricity!S:S,Electricity!P:P,UserMade_Scenario!B845,Electricity!M:M,UserMade_Scenario!Z845,Electricity!O:O,UserMade_Scenario!D845),"")</f>
        <v>5622.9897073293678</v>
      </c>
      <c r="AB845" s="76">
        <f>1/Assumptions!$B$23/1000000000000</f>
        <v>3.5998225679871703E-9</v>
      </c>
      <c r="AC845" s="67" t="s">
        <v>82</v>
      </c>
      <c r="AD845" s="69">
        <f>INDEX(Table11[AVG
CO2e MT per MWh],MATCH(UserMade_Scenario!$B845,Table11[[Year]:[Year]],0))</f>
        <v>-0.13135860939999999</v>
      </c>
      <c r="AE845" s="69">
        <f>INDEX(Table11[MIN
CO2e MT per MWh],MATCH(UserMade_Scenario!$B845,Table11[[Year]:[Year]],0))</f>
        <v>-0.11657682955000001</v>
      </c>
      <c r="AF845" s="69">
        <f>INDEX(Table11[MAX CO2e MT per MWh],MATCH(UserMade_Scenario!$B845,Table11[[Year]:[Year]],0))</f>
        <v>-0.14614038825000003</v>
      </c>
      <c r="AG845" s="68">
        <f>IFERROR(INDEX(WaterUseH2[Average Direct Water Consumption (Gal/ kg h2)],MATCH(LEFT(D845,3),WaterUseH2[Key],0)),0)</f>
        <v>4.0999999999999996</v>
      </c>
      <c r="AH845">
        <v>14</v>
      </c>
      <c r="AI845">
        <v>1.4</v>
      </c>
      <c r="AJ845">
        <v>250</v>
      </c>
      <c r="AK845">
        <v>0.31</v>
      </c>
      <c r="AL845" s="63">
        <f>IFERROR(INDEX(Job_Training[[Solar]:[Wind]],MATCH(AL$1,Job_Training[[`Typical Entry Level Education`]:[`Typical Entry Level Education`]],0),MATCH(LEFT($D845,5),Job_Training[[#Headers],[Solar]:[Wind]],0)),0)</f>
        <v>0</v>
      </c>
      <c r="AM845" s="63">
        <f>IFERROR(INDEX(Job_Training[[Solar]:[Wind]],MATCH(AM$1,Job_Training[[`Typical Entry Level Education`]:[`Typical Entry Level Education`]],0),MATCH(LEFT($D845,5),Job_Training[[#Headers],[Solar]:[Wind]],0)),0)</f>
        <v>0</v>
      </c>
      <c r="AN845" s="63">
        <f>IFERROR(INDEX(Job_Training[[Solar]:[Wind]],MATCH(AN$1,Job_Training[[`Typical Entry Level Education`]:[`Typical Entry Level Education`]],0),MATCH(LEFT($D845,5),Job_Training[[#Headers],[Solar]:[Wind]],0)),0)</f>
        <v>0</v>
      </c>
      <c r="AO845" s="63">
        <f>IFERROR(INDEX(Job_Training[[Solar]:[Wind]],MATCH(AO$1,Job_Training[[`Typical Entry Level Education`]:[`Typical Entry Level Education`]],0),MATCH(LEFT($D845,5),Job_Training[[#Headers],[Solar]:[Wind]],0)),0)</f>
        <v>0</v>
      </c>
      <c r="AP845">
        <f t="shared" si="246"/>
        <v>0.23809523809523814</v>
      </c>
      <c r="AQ845" s="63">
        <f>IF(AP845&gt;0,IFERROR(INDEX(Assumptions!$C$165:$D$165,MATCH(LEFT($D845,5),Job_Training[[#Headers],[Solar]:[Wind]],0)),0),0)</f>
        <v>0</v>
      </c>
      <c r="AR845">
        <f>IF(AP845&gt;0,IFERROR(INDEX(Assumptions!$C$166:$D$166,MATCH(LEFT($D845,5),Job_Training[[#Headers],[Solar]:[Wind]],0)),0),0)</f>
        <v>0</v>
      </c>
    </row>
    <row r="846" spans="1:44" hidden="1" x14ac:dyDescent="0.35">
      <c r="A846" t="str">
        <f>UserInput!$B$82</f>
        <v>Incremental Buildout</v>
      </c>
      <c r="B846">
        <v>2029</v>
      </c>
      <c r="C846" t="s">
        <v>41</v>
      </c>
      <c r="D846" t="s">
        <v>84</v>
      </c>
      <c r="E846" s="120">
        <f>INDEX(UserInput!$C$82:$M$102,MATCH(UserMade_Scenario!B846,UserInput!$A$82:$A$102,0),MATCH(LEFT(IF(RIGHT(C846,2)="H2",UserMade_Scenario!C846,D846),3),UserInput!$C$25:$M$25,0))</f>
        <v>1.1904761904761905</v>
      </c>
      <c r="F846" t="s">
        <v>81</v>
      </c>
      <c r="G846" s="14">
        <f t="shared" si="231"/>
        <v>2.5115149154131757E-5</v>
      </c>
      <c r="H846" s="63">
        <f t="shared" si="237"/>
        <v>8.8698998941132438E-4</v>
      </c>
      <c r="I846" s="63">
        <f t="shared" si="238"/>
        <v>7.7734563799742445E-4</v>
      </c>
      <c r="J846" s="63">
        <f t="shared" si="239"/>
        <v>9.9663433384845077E-4</v>
      </c>
      <c r="K846" s="30">
        <f>IF(OR(LEFT($D846,5)="Solar",$D846="Wind"),INDEX(Land_Use[AVG],MATCH(LEFT($D846,5),Land_Use[Tech],0)),0)*$E846</f>
        <v>0</v>
      </c>
      <c r="L846" s="30">
        <f>IF(OR(LEFT($D846,5)="Solar",$D846="Wind"),INDEX(Land_Use[MIN],MATCH(LEFT($D846,5),Land_Use[Tech],0)),0)*$E846</f>
        <v>0</v>
      </c>
      <c r="M846" s="30">
        <f>IF(OR(LEFT($D846,5)="Solar",$D846="Wind"),INDEX(Land_Use[MAX],MATCH(LEFT($D846,5),Land_Use[Tech],0)),0)*$E846</f>
        <v>0</v>
      </c>
      <c r="N846" s="15">
        <f t="shared" si="232"/>
        <v>4.8809523809523808E-3</v>
      </c>
      <c r="O846" s="11">
        <f t="shared" si="233"/>
        <v>0</v>
      </c>
      <c r="P846" s="11">
        <f t="shared" si="234"/>
        <v>0</v>
      </c>
      <c r="Q846" s="11">
        <f t="shared" si="235"/>
        <v>0</v>
      </c>
      <c r="R846" s="11">
        <f t="shared" si="236"/>
        <v>0</v>
      </c>
      <c r="S846" s="30">
        <f t="shared" si="240"/>
        <v>0</v>
      </c>
      <c r="T846" s="30">
        <f t="shared" si="241"/>
        <v>0</v>
      </c>
      <c r="U846" s="30">
        <f t="shared" si="242"/>
        <v>0</v>
      </c>
      <c r="V846" s="30">
        <f t="shared" si="243"/>
        <v>0</v>
      </c>
      <c r="W846" s="30">
        <f t="shared" si="244"/>
        <v>0</v>
      </c>
      <c r="X846" s="30">
        <f t="shared" si="245"/>
        <v>0</v>
      </c>
      <c r="Z846" s="23" t="s">
        <v>76</v>
      </c>
      <c r="AA846" s="40">
        <f>IF(C846="Electricity",E846*SUMIFS(Electricity!S:S,Electricity!P:P,UserMade_Scenario!B846,Electricity!M:M,UserMade_Scenario!Z846,Electricity!O:O,UserMade_Scenario!D846),"")</f>
        <v>6976.7741825605626</v>
      </c>
      <c r="AB846" s="76">
        <f>1/Assumptions!$B$23/1000000000000</f>
        <v>3.5998225679871703E-9</v>
      </c>
      <c r="AC846" s="67" t="s">
        <v>82</v>
      </c>
      <c r="AD846" s="69">
        <f>INDEX(Table11[AVG
CO2e MT per MWh],MATCH(UserMade_Scenario!$B846,Table11[[Year]:[Year]],0))</f>
        <v>-0.12713468519999999</v>
      </c>
      <c r="AE846" s="69">
        <f>INDEX(Table11[MIN
CO2e MT per MWh],MATCH(UserMade_Scenario!$B846,Table11[[Year]:[Year]],0))</f>
        <v>-0.11141906240000002</v>
      </c>
      <c r="AF846" s="69">
        <f>INDEX(Table11[MAX CO2e MT per MWh],MATCH(UserMade_Scenario!$B846,Table11[[Year]:[Year]],0))</f>
        <v>-0.14285030700000004</v>
      </c>
      <c r="AG846" s="68">
        <f>IFERROR(INDEX(WaterUseH2[Average Direct Water Consumption (Gal/ kg h2)],MATCH(LEFT(D846,3),WaterUseH2[Key],0)),0)</f>
        <v>4.0999999999999996</v>
      </c>
      <c r="AH846">
        <v>14</v>
      </c>
      <c r="AI846">
        <v>1.4</v>
      </c>
      <c r="AJ846">
        <v>250</v>
      </c>
      <c r="AK846">
        <v>0.31</v>
      </c>
      <c r="AL846" s="63">
        <f>IFERROR(INDEX(Job_Training[[Solar]:[Wind]],MATCH(AL$1,Job_Training[[`Typical Entry Level Education`]:[`Typical Entry Level Education`]],0),MATCH(LEFT($D846,5),Job_Training[[#Headers],[Solar]:[Wind]],0)),0)</f>
        <v>0</v>
      </c>
      <c r="AM846" s="63">
        <f>IFERROR(INDEX(Job_Training[[Solar]:[Wind]],MATCH(AM$1,Job_Training[[`Typical Entry Level Education`]:[`Typical Entry Level Education`]],0),MATCH(LEFT($D846,5),Job_Training[[#Headers],[Solar]:[Wind]],0)),0)</f>
        <v>0</v>
      </c>
      <c r="AN846" s="63">
        <f>IFERROR(INDEX(Job_Training[[Solar]:[Wind]],MATCH(AN$1,Job_Training[[`Typical Entry Level Education`]:[`Typical Entry Level Education`]],0),MATCH(LEFT($D846,5),Job_Training[[#Headers],[Solar]:[Wind]],0)),0)</f>
        <v>0</v>
      </c>
      <c r="AO846" s="63">
        <f>IFERROR(INDEX(Job_Training[[Solar]:[Wind]],MATCH(AO$1,Job_Training[[`Typical Entry Level Education`]:[`Typical Entry Level Education`]],0),MATCH(LEFT($D846,5),Job_Training[[#Headers],[Solar]:[Wind]],0)),0)</f>
        <v>0</v>
      </c>
      <c r="AP846">
        <f t="shared" si="246"/>
        <v>0.23809523809523814</v>
      </c>
      <c r="AQ846" s="63">
        <f>IF(AP846&gt;0,IFERROR(INDEX(Assumptions!$C$165:$D$165,MATCH(LEFT($D846,5),Job_Training[[#Headers],[Solar]:[Wind]],0)),0),0)</f>
        <v>0</v>
      </c>
      <c r="AR846">
        <f>IF(AP846&gt;0,IFERROR(INDEX(Assumptions!$C$166:$D$166,MATCH(LEFT($D846,5),Job_Training[[#Headers],[Solar]:[Wind]],0)),0),0)</f>
        <v>0</v>
      </c>
    </row>
    <row r="847" spans="1:44" hidden="1" x14ac:dyDescent="0.35">
      <c r="A847" t="str">
        <f>UserInput!$B$82</f>
        <v>Incremental Buildout</v>
      </c>
      <c r="B847">
        <v>2030</v>
      </c>
      <c r="C847" t="s">
        <v>41</v>
      </c>
      <c r="D847" t="s">
        <v>84</v>
      </c>
      <c r="E847" s="120">
        <f>INDEX(UserInput!$C$82:$M$102,MATCH(UserMade_Scenario!B847,UserInput!$A$82:$A$102,0),MATCH(LEFT(IF(RIGHT(C847,2)="H2",UserMade_Scenario!C847,D847),3),UserInput!$C$25:$M$25,0))</f>
        <v>1.4285714285714286</v>
      </c>
      <c r="F847" t="s">
        <v>81</v>
      </c>
      <c r="G847" s="14">
        <f t="shared" si="231"/>
        <v>2.9913710097910458E-5</v>
      </c>
      <c r="H847" s="63">
        <f t="shared" si="237"/>
        <v>1.0213605818142819E-3</v>
      </c>
      <c r="I847" s="63">
        <f t="shared" si="238"/>
        <v>8.8300729291619336E-4</v>
      </c>
      <c r="J847" s="63">
        <f t="shared" si="239"/>
        <v>1.1597138624025978E-3</v>
      </c>
      <c r="K847" s="30">
        <f>IF(OR(LEFT($D847,5)="Solar",$D847="Wind"),INDEX(Land_Use[AVG],MATCH(LEFT($D847,5),Land_Use[Tech],0)),0)*$E847</f>
        <v>0</v>
      </c>
      <c r="L847" s="30">
        <f>IF(OR(LEFT($D847,5)="Solar",$D847="Wind"),INDEX(Land_Use[MIN],MATCH(LEFT($D847,5),Land_Use[Tech],0)),0)*$E847</f>
        <v>0</v>
      </c>
      <c r="M847" s="30">
        <f>IF(OR(LEFT($D847,5)="Solar",$D847="Wind"),INDEX(Land_Use[MAX],MATCH(LEFT($D847,5),Land_Use[Tech],0)),0)*$E847</f>
        <v>0</v>
      </c>
      <c r="N847" s="15">
        <f t="shared" si="232"/>
        <v>5.8571428571428568E-3</v>
      </c>
      <c r="O847" s="11">
        <f t="shared" si="233"/>
        <v>0</v>
      </c>
      <c r="P847" s="11">
        <f t="shared" si="234"/>
        <v>0</v>
      </c>
      <c r="Q847" s="11">
        <f t="shared" si="235"/>
        <v>0</v>
      </c>
      <c r="R847" s="11">
        <f t="shared" si="236"/>
        <v>0</v>
      </c>
      <c r="S847" s="30">
        <f t="shared" si="240"/>
        <v>0</v>
      </c>
      <c r="T847" s="30">
        <f t="shared" si="241"/>
        <v>0</v>
      </c>
      <c r="U847" s="30">
        <f t="shared" si="242"/>
        <v>0</v>
      </c>
      <c r="V847" s="30">
        <f t="shared" si="243"/>
        <v>0</v>
      </c>
      <c r="W847" s="30">
        <f t="shared" si="244"/>
        <v>0</v>
      </c>
      <c r="X847" s="30">
        <f t="shared" si="245"/>
        <v>0</v>
      </c>
      <c r="Z847" s="23" t="s">
        <v>76</v>
      </c>
      <c r="AA847" s="40">
        <f>IF(C847="Electricity",E847*SUMIFS(Electricity!S:S,Electricity!P:P,UserMade_Scenario!B847,Electricity!M:M,UserMade_Scenario!Z847,Electricity!O:O,UserMade_Scenario!D847),"")</f>
        <v>8309.7734771512969</v>
      </c>
      <c r="AB847" s="76">
        <f>1/Assumptions!$B$23/1000000000000</f>
        <v>3.5998225679871703E-9</v>
      </c>
      <c r="AC847" s="67" t="s">
        <v>82</v>
      </c>
      <c r="AD847" s="69">
        <f>INDEX(Table11[AVG
CO2e MT per MWh],MATCH(UserMade_Scenario!$B847,Table11[[Year]:[Year]],0))</f>
        <v>-0.12291076099999998</v>
      </c>
      <c r="AE847" s="69">
        <f>INDEX(Table11[MIN
CO2e MT per MWh],MATCH(UserMade_Scenario!$B847,Table11[[Year]:[Year]],0))</f>
        <v>-0.10626129525000003</v>
      </c>
      <c r="AF847" s="69">
        <f>INDEX(Table11[MAX CO2e MT per MWh],MATCH(UserMade_Scenario!$B847,Table11[[Year]:[Year]],0))</f>
        <v>-0.13956022575000004</v>
      </c>
      <c r="AG847" s="68">
        <f>IFERROR(INDEX(WaterUseH2[Average Direct Water Consumption (Gal/ kg h2)],MATCH(LEFT(D847,3),WaterUseH2[Key],0)),0)</f>
        <v>4.0999999999999996</v>
      </c>
      <c r="AH847">
        <v>14</v>
      </c>
      <c r="AI847">
        <v>1.4</v>
      </c>
      <c r="AJ847">
        <v>250</v>
      </c>
      <c r="AK847">
        <v>0.31</v>
      </c>
      <c r="AL847" s="63">
        <f>IFERROR(INDEX(Job_Training[[Solar]:[Wind]],MATCH(AL$1,Job_Training[[`Typical Entry Level Education`]:[`Typical Entry Level Education`]],0),MATCH(LEFT($D847,5),Job_Training[[#Headers],[Solar]:[Wind]],0)),0)</f>
        <v>0</v>
      </c>
      <c r="AM847" s="63">
        <f>IFERROR(INDEX(Job_Training[[Solar]:[Wind]],MATCH(AM$1,Job_Training[[`Typical Entry Level Education`]:[`Typical Entry Level Education`]],0),MATCH(LEFT($D847,5),Job_Training[[#Headers],[Solar]:[Wind]],0)),0)</f>
        <v>0</v>
      </c>
      <c r="AN847" s="63">
        <f>IFERROR(INDEX(Job_Training[[Solar]:[Wind]],MATCH(AN$1,Job_Training[[`Typical Entry Level Education`]:[`Typical Entry Level Education`]],0),MATCH(LEFT($D847,5),Job_Training[[#Headers],[Solar]:[Wind]],0)),0)</f>
        <v>0</v>
      </c>
      <c r="AO847" s="63">
        <f>IFERROR(INDEX(Job_Training[[Solar]:[Wind]],MATCH(AO$1,Job_Training[[`Typical Entry Level Education`]:[`Typical Entry Level Education`]],0),MATCH(LEFT($D847,5),Job_Training[[#Headers],[Solar]:[Wind]],0)),0)</f>
        <v>0</v>
      </c>
      <c r="AP847">
        <f t="shared" si="246"/>
        <v>0.23809523809523814</v>
      </c>
      <c r="AQ847" s="63">
        <f>IF(AP847&gt;0,IFERROR(INDEX(Assumptions!$C$165:$D$165,MATCH(LEFT($D847,5),Job_Training[[#Headers],[Solar]:[Wind]],0)),0),0)</f>
        <v>0</v>
      </c>
      <c r="AR847">
        <f>IF(AP847&gt;0,IFERROR(INDEX(Assumptions!$C$166:$D$166,MATCH(LEFT($D847,5),Job_Training[[#Headers],[Solar]:[Wind]],0)),0),0)</f>
        <v>0</v>
      </c>
    </row>
    <row r="848" spans="1:44" hidden="1" x14ac:dyDescent="0.35">
      <c r="A848" t="str">
        <f>UserInput!$B$82</f>
        <v>Incremental Buildout</v>
      </c>
      <c r="B848">
        <v>2031</v>
      </c>
      <c r="C848" t="s">
        <v>41</v>
      </c>
      <c r="D848" t="s">
        <v>84</v>
      </c>
      <c r="E848" s="120">
        <f>INDEX(UserInput!$C$82:$M$102,MATCH(UserMade_Scenario!B848,UserInput!$A$82:$A$102,0),MATCH(LEFT(IF(RIGHT(C848,2)="H2",UserMade_Scenario!C848,D848),3),UserInput!$C$25:$M$25,0))</f>
        <v>1.6666666666666667</v>
      </c>
      <c r="F848" t="s">
        <v>81</v>
      </c>
      <c r="G848" s="14">
        <f t="shared" si="231"/>
        <v>3.4637448079339949E-5</v>
      </c>
      <c r="H848" s="63">
        <f t="shared" si="237"/>
        <v>1.1420032709166974E-3</v>
      </c>
      <c r="I848" s="63">
        <f t="shared" si="238"/>
        <v>9.7281689279478964E-4</v>
      </c>
      <c r="J848" s="63">
        <f t="shared" si="239"/>
        <v>1.311189639416619E-3</v>
      </c>
      <c r="K848" s="30">
        <f>IF(OR(LEFT($D848,5)="Solar",$D848="Wind"),INDEX(Land_Use[AVG],MATCH(LEFT($D848,5),Land_Use[Tech],0)),0)*$E848</f>
        <v>0</v>
      </c>
      <c r="L848" s="30">
        <f>IF(OR(LEFT($D848,5)="Solar",$D848="Wind"),INDEX(Land_Use[MIN],MATCH(LEFT($D848,5),Land_Use[Tech],0)),0)*$E848</f>
        <v>0</v>
      </c>
      <c r="M848" s="30">
        <f>IF(OR(LEFT($D848,5)="Solar",$D848="Wind"),INDEX(Land_Use[MAX],MATCH(LEFT($D848,5),Land_Use[Tech],0)),0)*$E848</f>
        <v>0</v>
      </c>
      <c r="N848" s="15">
        <f t="shared" si="232"/>
        <v>6.8333333333333328E-3</v>
      </c>
      <c r="O848" s="11">
        <f t="shared" si="233"/>
        <v>0</v>
      </c>
      <c r="P848" s="11">
        <f t="shared" si="234"/>
        <v>0</v>
      </c>
      <c r="Q848" s="11">
        <f t="shared" si="235"/>
        <v>0</v>
      </c>
      <c r="R848" s="11">
        <f t="shared" si="236"/>
        <v>0</v>
      </c>
      <c r="S848" s="30">
        <f t="shared" si="240"/>
        <v>0</v>
      </c>
      <c r="T848" s="30">
        <f t="shared" si="241"/>
        <v>0</v>
      </c>
      <c r="U848" s="30">
        <f t="shared" si="242"/>
        <v>0</v>
      </c>
      <c r="V848" s="30">
        <f t="shared" si="243"/>
        <v>0</v>
      </c>
      <c r="W848" s="30">
        <f t="shared" si="244"/>
        <v>0</v>
      </c>
      <c r="X848" s="30">
        <f t="shared" si="245"/>
        <v>0</v>
      </c>
      <c r="Z848" s="23" t="s">
        <v>76</v>
      </c>
      <c r="AA848" s="40">
        <f>IF(C848="Electricity",E848*SUMIFS(Electricity!S:S,Electricity!P:P,UserMade_Scenario!B848,Electricity!M:M,UserMade_Scenario!Z848,Electricity!O:O,UserMade_Scenario!D848),"")</f>
        <v>9621.9875911015733</v>
      </c>
      <c r="AB848" s="76">
        <f>1/Assumptions!$B$23/1000000000000</f>
        <v>3.5998225679871703E-9</v>
      </c>
      <c r="AC848" s="67" t="s">
        <v>82</v>
      </c>
      <c r="AD848" s="69">
        <f>INDEX(Table11[AVG
CO2e MT per MWh],MATCH(UserMade_Scenario!$B848,Table11[[Year]:[Year]],0))</f>
        <v>-0.11868683679999997</v>
      </c>
      <c r="AE848" s="69">
        <f>INDEX(Table11[MIN
CO2e MT per MWh],MATCH(UserMade_Scenario!$B848,Table11[[Year]:[Year]],0))</f>
        <v>-0.10110352810000003</v>
      </c>
      <c r="AF848" s="69">
        <f>INDEX(Table11[MAX CO2e MT per MWh],MATCH(UserMade_Scenario!$B848,Table11[[Year]:[Year]],0))</f>
        <v>-0.13627014450000005</v>
      </c>
      <c r="AG848" s="68">
        <f>IFERROR(INDEX(WaterUseH2[Average Direct Water Consumption (Gal/ kg h2)],MATCH(LEFT(D848,3),WaterUseH2[Key],0)),0)</f>
        <v>4.0999999999999996</v>
      </c>
      <c r="AH848">
        <v>14</v>
      </c>
      <c r="AI848">
        <v>1.4</v>
      </c>
      <c r="AJ848">
        <v>250</v>
      </c>
      <c r="AK848">
        <v>0.31</v>
      </c>
      <c r="AL848" s="63">
        <f>IFERROR(INDEX(Job_Training[[Solar]:[Wind]],MATCH(AL$1,Job_Training[[`Typical Entry Level Education`]:[`Typical Entry Level Education`]],0),MATCH(LEFT($D848,5),Job_Training[[#Headers],[Solar]:[Wind]],0)),0)</f>
        <v>0</v>
      </c>
      <c r="AM848" s="63">
        <f>IFERROR(INDEX(Job_Training[[Solar]:[Wind]],MATCH(AM$1,Job_Training[[`Typical Entry Level Education`]:[`Typical Entry Level Education`]],0),MATCH(LEFT($D848,5),Job_Training[[#Headers],[Solar]:[Wind]],0)),0)</f>
        <v>0</v>
      </c>
      <c r="AN848" s="63">
        <f>IFERROR(INDEX(Job_Training[[Solar]:[Wind]],MATCH(AN$1,Job_Training[[`Typical Entry Level Education`]:[`Typical Entry Level Education`]],0),MATCH(LEFT($D848,5),Job_Training[[#Headers],[Solar]:[Wind]],0)),0)</f>
        <v>0</v>
      </c>
      <c r="AO848" s="63">
        <f>IFERROR(INDEX(Job_Training[[Solar]:[Wind]],MATCH(AO$1,Job_Training[[`Typical Entry Level Education`]:[`Typical Entry Level Education`]],0),MATCH(LEFT($D848,5),Job_Training[[#Headers],[Solar]:[Wind]],0)),0)</f>
        <v>0</v>
      </c>
      <c r="AP848">
        <f t="shared" si="246"/>
        <v>0.23809523809523814</v>
      </c>
      <c r="AQ848" s="63">
        <f>IF(AP848&gt;0,IFERROR(INDEX(Assumptions!$C$165:$D$165,MATCH(LEFT($D848,5),Job_Training[[#Headers],[Solar]:[Wind]],0)),0),0)</f>
        <v>0</v>
      </c>
      <c r="AR848">
        <f>IF(AP848&gt;0,IFERROR(INDEX(Assumptions!$C$166:$D$166,MATCH(LEFT($D848,5),Job_Training[[#Headers],[Solar]:[Wind]],0)),0),0)</f>
        <v>0</v>
      </c>
    </row>
    <row r="849" spans="1:44" hidden="1" x14ac:dyDescent="0.35">
      <c r="A849" t="str">
        <f>UserInput!$B$82</f>
        <v>Incremental Buildout</v>
      </c>
      <c r="B849">
        <v>2032</v>
      </c>
      <c r="C849" t="s">
        <v>41</v>
      </c>
      <c r="D849" t="s">
        <v>84</v>
      </c>
      <c r="E849" s="120">
        <f>INDEX(UserInput!$C$82:$M$102,MATCH(UserMade_Scenario!B849,UserInput!$A$82:$A$102,0),MATCH(LEFT(IF(RIGHT(C849,2)="H2",UserMade_Scenario!C849,D849),3),UserInput!$C$25:$M$25,0))</f>
        <v>1.9047619047619049</v>
      </c>
      <c r="F849" t="s">
        <v>81</v>
      </c>
      <c r="G849" s="14">
        <f t="shared" si="231"/>
        <v>3.928636309842023E-5</v>
      </c>
      <c r="H849" s="63">
        <f t="shared" si="237"/>
        <v>1.2491814418010964E-3</v>
      </c>
      <c r="I849" s="63">
        <f t="shared" si="238"/>
        <v>1.0470960529989554E-3</v>
      </c>
      <c r="J849" s="63">
        <f t="shared" si="239"/>
        <v>1.4512668196898224E-3</v>
      </c>
      <c r="K849" s="30">
        <f>IF(OR(LEFT($D849,5)="Solar",$D849="Wind"),INDEX(Land_Use[AVG],MATCH(LEFT($D849,5),Land_Use[Tech],0)),0)*$E849</f>
        <v>0</v>
      </c>
      <c r="L849" s="30">
        <f>IF(OR(LEFT($D849,5)="Solar",$D849="Wind"),INDEX(Land_Use[MIN],MATCH(LEFT($D849,5),Land_Use[Tech],0)),0)*$E849</f>
        <v>0</v>
      </c>
      <c r="M849" s="30">
        <f>IF(OR(LEFT($D849,5)="Solar",$D849="Wind"),INDEX(Land_Use[MAX],MATCH(LEFT($D849,5),Land_Use[Tech],0)),0)*$E849</f>
        <v>0</v>
      </c>
      <c r="N849" s="15">
        <f t="shared" si="232"/>
        <v>7.8095238095238096E-3</v>
      </c>
      <c r="O849" s="11">
        <f t="shared" si="233"/>
        <v>0</v>
      </c>
      <c r="P849" s="11">
        <f t="shared" si="234"/>
        <v>0</v>
      </c>
      <c r="Q849" s="11">
        <f t="shared" si="235"/>
        <v>0</v>
      </c>
      <c r="R849" s="11">
        <f t="shared" si="236"/>
        <v>0</v>
      </c>
      <c r="S849" s="30">
        <f t="shared" si="240"/>
        <v>0</v>
      </c>
      <c r="T849" s="30">
        <f t="shared" si="241"/>
        <v>0</v>
      </c>
      <c r="U849" s="30">
        <f t="shared" si="242"/>
        <v>0</v>
      </c>
      <c r="V849" s="30">
        <f t="shared" si="243"/>
        <v>0</v>
      </c>
      <c r="W849" s="30">
        <f t="shared" si="244"/>
        <v>0</v>
      </c>
      <c r="X849" s="30">
        <f t="shared" si="245"/>
        <v>0</v>
      </c>
      <c r="Z849" s="23" t="s">
        <v>76</v>
      </c>
      <c r="AA849" s="40">
        <f>IF(C849="Electricity",E849*SUMIFS(Electricity!S:S,Electricity!P:P,UserMade_Scenario!B849,Electricity!M:M,UserMade_Scenario!Z849,Electricity!O:O,UserMade_Scenario!D849),"")</f>
        <v>10913.41652441139</v>
      </c>
      <c r="AB849" s="76">
        <f>1/Assumptions!$B$23/1000000000000</f>
        <v>3.5998225679871703E-9</v>
      </c>
      <c r="AC849" s="67" t="s">
        <v>82</v>
      </c>
      <c r="AD849" s="69">
        <f>INDEX(Table11[AVG
CO2e MT per MWh],MATCH(UserMade_Scenario!$B849,Table11[[Year]:[Year]],0))</f>
        <v>-0.11446291259999997</v>
      </c>
      <c r="AE849" s="69">
        <f>INDEX(Table11[MIN
CO2e MT per MWh],MATCH(UserMade_Scenario!$B849,Table11[[Year]:[Year]],0))</f>
        <v>-9.5945760950000042E-2</v>
      </c>
      <c r="AF849" s="69">
        <f>INDEX(Table11[MAX CO2e MT per MWh],MATCH(UserMade_Scenario!$B849,Table11[[Year]:[Year]],0))</f>
        <v>-0.13298006325000006</v>
      </c>
      <c r="AG849" s="68">
        <f>IFERROR(INDEX(WaterUseH2[Average Direct Water Consumption (Gal/ kg h2)],MATCH(LEFT(D849,3),WaterUseH2[Key],0)),0)</f>
        <v>4.0999999999999996</v>
      </c>
      <c r="AH849">
        <v>14</v>
      </c>
      <c r="AI849">
        <v>1.4</v>
      </c>
      <c r="AJ849">
        <v>250</v>
      </c>
      <c r="AK849">
        <v>0.31</v>
      </c>
      <c r="AL849" s="63">
        <f>IFERROR(INDEX(Job_Training[[Solar]:[Wind]],MATCH(AL$1,Job_Training[[`Typical Entry Level Education`]:[`Typical Entry Level Education`]],0),MATCH(LEFT($D849,5),Job_Training[[#Headers],[Solar]:[Wind]],0)),0)</f>
        <v>0</v>
      </c>
      <c r="AM849" s="63">
        <f>IFERROR(INDEX(Job_Training[[Solar]:[Wind]],MATCH(AM$1,Job_Training[[`Typical Entry Level Education`]:[`Typical Entry Level Education`]],0),MATCH(LEFT($D849,5),Job_Training[[#Headers],[Solar]:[Wind]],0)),0)</f>
        <v>0</v>
      </c>
      <c r="AN849" s="63">
        <f>IFERROR(INDEX(Job_Training[[Solar]:[Wind]],MATCH(AN$1,Job_Training[[`Typical Entry Level Education`]:[`Typical Entry Level Education`]],0),MATCH(LEFT($D849,5),Job_Training[[#Headers],[Solar]:[Wind]],0)),0)</f>
        <v>0</v>
      </c>
      <c r="AO849" s="63">
        <f>IFERROR(INDEX(Job_Training[[Solar]:[Wind]],MATCH(AO$1,Job_Training[[`Typical Entry Level Education`]:[`Typical Entry Level Education`]],0),MATCH(LEFT($D849,5),Job_Training[[#Headers],[Solar]:[Wind]],0)),0)</f>
        <v>0</v>
      </c>
      <c r="AP849">
        <f t="shared" si="246"/>
        <v>0.23809523809523814</v>
      </c>
      <c r="AQ849" s="63">
        <f>IF(AP849&gt;0,IFERROR(INDEX(Assumptions!$C$165:$D$165,MATCH(LEFT($D849,5),Job_Training[[#Headers],[Solar]:[Wind]],0)),0),0)</f>
        <v>0</v>
      </c>
      <c r="AR849">
        <f>IF(AP849&gt;0,IFERROR(INDEX(Assumptions!$C$166:$D$166,MATCH(LEFT($D849,5),Job_Training[[#Headers],[Solar]:[Wind]],0)),0),0)</f>
        <v>0</v>
      </c>
    </row>
    <row r="850" spans="1:44" hidden="1" x14ac:dyDescent="0.35">
      <c r="A850" t="str">
        <f>UserInput!$B$82</f>
        <v>Incremental Buildout</v>
      </c>
      <c r="B850">
        <v>2033</v>
      </c>
      <c r="C850" t="s">
        <v>41</v>
      </c>
      <c r="D850" t="s">
        <v>84</v>
      </c>
      <c r="E850" s="120">
        <f>INDEX(UserInput!$C$82:$M$102,MATCH(UserMade_Scenario!B850,UserInput!$A$82:$A$102,0),MATCH(LEFT(IF(RIGHT(C850,2)="H2",UserMade_Scenario!C850,D850),3),UserInput!$C$25:$M$25,0))</f>
        <v>2.1428571428571428</v>
      </c>
      <c r="F850" t="s">
        <v>81</v>
      </c>
      <c r="G850" s="14">
        <f t="shared" si="231"/>
        <v>4.3860455155151284E-5</v>
      </c>
      <c r="H850" s="63">
        <f t="shared" si="237"/>
        <v>1.3431584795500046E-3</v>
      </c>
      <c r="I850" s="63">
        <f t="shared" si="238"/>
        <v>1.1061663888944336E-3</v>
      </c>
      <c r="J850" s="63">
        <f t="shared" si="239"/>
        <v>1.5801505580215177E-3</v>
      </c>
      <c r="K850" s="30">
        <f>IF(OR(LEFT($D850,5)="Solar",$D850="Wind"),INDEX(Land_Use[AVG],MATCH(LEFT($D850,5),Land_Use[Tech],0)),0)*$E850</f>
        <v>0</v>
      </c>
      <c r="L850" s="30">
        <f>IF(OR(LEFT($D850,5)="Solar",$D850="Wind"),INDEX(Land_Use[MIN],MATCH(LEFT($D850,5),Land_Use[Tech],0)),0)*$E850</f>
        <v>0</v>
      </c>
      <c r="M850" s="30">
        <f>IF(OR(LEFT($D850,5)="Solar",$D850="Wind"),INDEX(Land_Use[MAX],MATCH(LEFT($D850,5),Land_Use[Tech],0)),0)*$E850</f>
        <v>0</v>
      </c>
      <c r="N850" s="15">
        <f t="shared" si="232"/>
        <v>8.7857142857142839E-3</v>
      </c>
      <c r="O850" s="11">
        <f t="shared" si="233"/>
        <v>0</v>
      </c>
      <c r="P850" s="11">
        <f t="shared" si="234"/>
        <v>0</v>
      </c>
      <c r="Q850" s="11">
        <f t="shared" si="235"/>
        <v>0</v>
      </c>
      <c r="R850" s="11">
        <f t="shared" si="236"/>
        <v>0</v>
      </c>
      <c r="S850" s="30">
        <f t="shared" si="240"/>
        <v>0</v>
      </c>
      <c r="T850" s="30">
        <f t="shared" si="241"/>
        <v>0</v>
      </c>
      <c r="U850" s="30">
        <f t="shared" si="242"/>
        <v>0</v>
      </c>
      <c r="V850" s="30">
        <f t="shared" si="243"/>
        <v>0</v>
      </c>
      <c r="W850" s="30">
        <f t="shared" si="244"/>
        <v>0</v>
      </c>
      <c r="X850" s="30">
        <f t="shared" si="245"/>
        <v>0</v>
      </c>
      <c r="Z850" s="23" t="s">
        <v>76</v>
      </c>
      <c r="AA850" s="40">
        <f>IF(C850="Electricity",E850*SUMIFS(Electricity!S:S,Electricity!P:P,UserMade_Scenario!B850,Electricity!M:M,UserMade_Scenario!Z850,Electricity!O:O,UserMade_Scenario!D850),"")</f>
        <v>12184.060277080745</v>
      </c>
      <c r="AB850" s="76">
        <f>1/Assumptions!$B$23/1000000000000</f>
        <v>3.5998225679871703E-9</v>
      </c>
      <c r="AC850" s="67" t="s">
        <v>82</v>
      </c>
      <c r="AD850" s="69">
        <f>INDEX(Table11[AVG
CO2e MT per MWh],MATCH(UserMade_Scenario!$B850,Table11[[Year]:[Year]],0))</f>
        <v>-0.11023898839999996</v>
      </c>
      <c r="AE850" s="69">
        <f>INDEX(Table11[MIN
CO2e MT per MWh],MATCH(UserMade_Scenario!$B850,Table11[[Year]:[Year]],0))</f>
        <v>-9.078799380000005E-2</v>
      </c>
      <c r="AF850" s="69">
        <f>INDEX(Table11[MAX CO2e MT per MWh],MATCH(UserMade_Scenario!$B850,Table11[[Year]:[Year]],0))</f>
        <v>-0.12968998200000006</v>
      </c>
      <c r="AG850" s="68">
        <f>IFERROR(INDEX(WaterUseH2[Average Direct Water Consumption (Gal/ kg h2)],MATCH(LEFT(D850,3),WaterUseH2[Key],0)),0)</f>
        <v>4.0999999999999996</v>
      </c>
      <c r="AH850">
        <v>14</v>
      </c>
      <c r="AI850">
        <v>1.4</v>
      </c>
      <c r="AJ850">
        <v>250</v>
      </c>
      <c r="AK850">
        <v>0.31</v>
      </c>
      <c r="AL850" s="63">
        <f>IFERROR(INDEX(Job_Training[[Solar]:[Wind]],MATCH(AL$1,Job_Training[[`Typical Entry Level Education`]:[`Typical Entry Level Education`]],0),MATCH(LEFT($D850,5),Job_Training[[#Headers],[Solar]:[Wind]],0)),0)</f>
        <v>0</v>
      </c>
      <c r="AM850" s="63">
        <f>IFERROR(INDEX(Job_Training[[Solar]:[Wind]],MATCH(AM$1,Job_Training[[`Typical Entry Level Education`]:[`Typical Entry Level Education`]],0),MATCH(LEFT($D850,5),Job_Training[[#Headers],[Solar]:[Wind]],0)),0)</f>
        <v>0</v>
      </c>
      <c r="AN850" s="63">
        <f>IFERROR(INDEX(Job_Training[[Solar]:[Wind]],MATCH(AN$1,Job_Training[[`Typical Entry Level Education`]:[`Typical Entry Level Education`]],0),MATCH(LEFT($D850,5),Job_Training[[#Headers],[Solar]:[Wind]],0)),0)</f>
        <v>0</v>
      </c>
      <c r="AO850" s="63">
        <f>IFERROR(INDEX(Job_Training[[Solar]:[Wind]],MATCH(AO$1,Job_Training[[`Typical Entry Level Education`]:[`Typical Entry Level Education`]],0),MATCH(LEFT($D850,5),Job_Training[[#Headers],[Solar]:[Wind]],0)),0)</f>
        <v>0</v>
      </c>
      <c r="AP850">
        <f t="shared" si="246"/>
        <v>0.23809523809523792</v>
      </c>
      <c r="AQ850" s="63">
        <f>IF(AP850&gt;0,IFERROR(INDEX(Assumptions!$C$165:$D$165,MATCH(LEFT($D850,5),Job_Training[[#Headers],[Solar]:[Wind]],0)),0),0)</f>
        <v>0</v>
      </c>
      <c r="AR850">
        <f>IF(AP850&gt;0,IFERROR(INDEX(Assumptions!$C$166:$D$166,MATCH(LEFT($D850,5),Job_Training[[#Headers],[Solar]:[Wind]],0)),0),0)</f>
        <v>0</v>
      </c>
    </row>
    <row r="851" spans="1:44" hidden="1" x14ac:dyDescent="0.35">
      <c r="A851" t="str">
        <f>UserInput!$B$82</f>
        <v>Incremental Buildout</v>
      </c>
      <c r="B851">
        <v>2034</v>
      </c>
      <c r="C851" t="s">
        <v>41</v>
      </c>
      <c r="D851" t="s">
        <v>84</v>
      </c>
      <c r="E851" s="120">
        <f>INDEX(UserInput!$C$82:$M$102,MATCH(UserMade_Scenario!B851,UserInput!$A$82:$A$102,0),MATCH(LEFT(IF(RIGHT(C851,2)="H2",UserMade_Scenario!C851,D851),3),UserInput!$C$25:$M$25,0))</f>
        <v>2.3809523809523809</v>
      </c>
      <c r="F851" t="s">
        <v>81</v>
      </c>
      <c r="G851" s="14">
        <f t="shared" si="231"/>
        <v>4.8359724249533131E-5</v>
      </c>
      <c r="H851" s="63">
        <f t="shared" si="237"/>
        <v>1.4241977692459485E-3</v>
      </c>
      <c r="I851" s="63">
        <f t="shared" si="238"/>
        <v>1.1503495158469669E-3</v>
      </c>
      <c r="J851" s="63">
        <f t="shared" si="239"/>
        <v>1.6980460092110143E-3</v>
      </c>
      <c r="K851" s="30">
        <f>IF(OR(LEFT($D851,5)="Solar",$D851="Wind"),INDEX(Land_Use[AVG],MATCH(LEFT($D851,5),Land_Use[Tech],0)),0)*$E851</f>
        <v>0</v>
      </c>
      <c r="L851" s="30">
        <f>IF(OR(LEFT($D851,5)="Solar",$D851="Wind"),INDEX(Land_Use[MIN],MATCH(LEFT($D851,5),Land_Use[Tech],0)),0)*$E851</f>
        <v>0</v>
      </c>
      <c r="M851" s="30">
        <f>IF(OR(LEFT($D851,5)="Solar",$D851="Wind"),INDEX(Land_Use[MAX],MATCH(LEFT($D851,5),Land_Use[Tech],0)),0)*$E851</f>
        <v>0</v>
      </c>
      <c r="N851" s="15">
        <f t="shared" si="232"/>
        <v>9.7619047619047616E-3</v>
      </c>
      <c r="O851" s="11">
        <f t="shared" si="233"/>
        <v>0</v>
      </c>
      <c r="P851" s="11">
        <f t="shared" si="234"/>
        <v>0</v>
      </c>
      <c r="Q851" s="11">
        <f t="shared" si="235"/>
        <v>0</v>
      </c>
      <c r="R851" s="11">
        <f t="shared" si="236"/>
        <v>0</v>
      </c>
      <c r="S851" s="30">
        <f t="shared" si="240"/>
        <v>0</v>
      </c>
      <c r="T851" s="30">
        <f t="shared" si="241"/>
        <v>0</v>
      </c>
      <c r="U851" s="30">
        <f t="shared" si="242"/>
        <v>0</v>
      </c>
      <c r="V851" s="30">
        <f t="shared" si="243"/>
        <v>0</v>
      </c>
      <c r="W851" s="30">
        <f t="shared" si="244"/>
        <v>0</v>
      </c>
      <c r="X851" s="30">
        <f t="shared" si="245"/>
        <v>0</v>
      </c>
      <c r="Z851" s="23" t="s">
        <v>76</v>
      </c>
      <c r="AA851" s="40">
        <f>IF(C851="Electricity",E851*SUMIFS(Electricity!S:S,Electricity!P:P,UserMade_Scenario!B851,Electricity!M:M,UserMade_Scenario!Z851,Electricity!O:O,UserMade_Scenario!D851),"")</f>
        <v>13433.918849109645</v>
      </c>
      <c r="AB851" s="76">
        <f>1/Assumptions!$B$23/1000000000000</f>
        <v>3.5998225679871703E-9</v>
      </c>
      <c r="AC851" s="67" t="s">
        <v>82</v>
      </c>
      <c r="AD851" s="69">
        <f>INDEX(Table11[AVG
CO2e MT per MWh],MATCH(UserMade_Scenario!$B851,Table11[[Year]:[Year]],0))</f>
        <v>-0.10601506419999995</v>
      </c>
      <c r="AE851" s="69">
        <f>INDEX(Table11[MIN
CO2e MT per MWh],MATCH(UserMade_Scenario!$B851,Table11[[Year]:[Year]],0))</f>
        <v>-8.5630226650000058E-2</v>
      </c>
      <c r="AF851" s="69">
        <f>INDEX(Table11[MAX CO2e MT per MWh],MATCH(UserMade_Scenario!$B851,Table11[[Year]:[Year]],0))</f>
        <v>-0.12639990075000007</v>
      </c>
      <c r="AG851" s="68">
        <f>IFERROR(INDEX(WaterUseH2[Average Direct Water Consumption (Gal/ kg h2)],MATCH(LEFT(D851,3),WaterUseH2[Key],0)),0)</f>
        <v>4.0999999999999996</v>
      </c>
      <c r="AH851">
        <v>14</v>
      </c>
      <c r="AI851">
        <v>1.4</v>
      </c>
      <c r="AJ851">
        <v>250</v>
      </c>
      <c r="AK851">
        <v>0.31</v>
      </c>
      <c r="AL851" s="63">
        <f>IFERROR(INDEX(Job_Training[[Solar]:[Wind]],MATCH(AL$1,Job_Training[[`Typical Entry Level Education`]:[`Typical Entry Level Education`]],0),MATCH(LEFT($D851,5),Job_Training[[#Headers],[Solar]:[Wind]],0)),0)</f>
        <v>0</v>
      </c>
      <c r="AM851" s="63">
        <f>IFERROR(INDEX(Job_Training[[Solar]:[Wind]],MATCH(AM$1,Job_Training[[`Typical Entry Level Education`]:[`Typical Entry Level Education`]],0),MATCH(LEFT($D851,5),Job_Training[[#Headers],[Solar]:[Wind]],0)),0)</f>
        <v>0</v>
      </c>
      <c r="AN851" s="63">
        <f>IFERROR(INDEX(Job_Training[[Solar]:[Wind]],MATCH(AN$1,Job_Training[[`Typical Entry Level Education`]:[`Typical Entry Level Education`]],0),MATCH(LEFT($D851,5),Job_Training[[#Headers],[Solar]:[Wind]],0)),0)</f>
        <v>0</v>
      </c>
      <c r="AO851" s="63">
        <f>IFERROR(INDEX(Job_Training[[Solar]:[Wind]],MATCH(AO$1,Job_Training[[`Typical Entry Level Education`]:[`Typical Entry Level Education`]],0),MATCH(LEFT($D851,5),Job_Training[[#Headers],[Solar]:[Wind]],0)),0)</f>
        <v>0</v>
      </c>
      <c r="AP851">
        <f t="shared" si="246"/>
        <v>0.23809523809523814</v>
      </c>
      <c r="AQ851" s="63">
        <f>IF(AP851&gt;0,IFERROR(INDEX(Assumptions!$C$165:$D$165,MATCH(LEFT($D851,5),Job_Training[[#Headers],[Solar]:[Wind]],0)),0),0)</f>
        <v>0</v>
      </c>
      <c r="AR851">
        <f>IF(AP851&gt;0,IFERROR(INDEX(Assumptions!$C$166:$D$166,MATCH(LEFT($D851,5),Job_Training[[#Headers],[Solar]:[Wind]],0)),0),0)</f>
        <v>0</v>
      </c>
    </row>
    <row r="852" spans="1:44" hidden="1" x14ac:dyDescent="0.35">
      <c r="A852" t="str">
        <f>UserInput!$B$82</f>
        <v>Incremental Buildout</v>
      </c>
      <c r="B852">
        <v>2035</v>
      </c>
      <c r="C852" t="s">
        <v>41</v>
      </c>
      <c r="D852" t="s">
        <v>84</v>
      </c>
      <c r="E852" s="120">
        <f>INDEX(UserInput!$C$82:$M$102,MATCH(UserMade_Scenario!B852,UserInput!$A$82:$A$102,0),MATCH(LEFT(IF(RIGHT(C852,2)="H2",UserMade_Scenario!C852,D852),3),UserInput!$C$25:$M$25,0))</f>
        <v>2.6190476190476191</v>
      </c>
      <c r="F852" t="s">
        <v>81</v>
      </c>
      <c r="G852" s="14">
        <f t="shared" si="231"/>
        <v>5.2784170381565757E-5</v>
      </c>
      <c r="H852" s="63">
        <f t="shared" si="237"/>
        <v>1.4925626959714532E-3</v>
      </c>
      <c r="I852" s="63">
        <f t="shared" si="238"/>
        <v>1.1799670492222971E-3</v>
      </c>
      <c r="J852" s="63">
        <f t="shared" si="239"/>
        <v>1.8051583280576206E-3</v>
      </c>
      <c r="K852" s="30">
        <f>IF(OR(LEFT($D852,5)="Solar",$D852="Wind"),INDEX(Land_Use[AVG],MATCH(LEFT($D852,5),Land_Use[Tech],0)),0)*$E852</f>
        <v>0</v>
      </c>
      <c r="L852" s="30">
        <f>IF(OR(LEFT($D852,5)="Solar",$D852="Wind"),INDEX(Land_Use[MIN],MATCH(LEFT($D852,5),Land_Use[Tech],0)),0)*$E852</f>
        <v>0</v>
      </c>
      <c r="M852" s="30">
        <f>IF(OR(LEFT($D852,5)="Solar",$D852="Wind"),INDEX(Land_Use[MAX],MATCH(LEFT($D852,5),Land_Use[Tech],0)),0)*$E852</f>
        <v>0</v>
      </c>
      <c r="N852" s="15">
        <f t="shared" si="232"/>
        <v>1.0738095238095238E-2</v>
      </c>
      <c r="O852" s="11">
        <f t="shared" si="233"/>
        <v>0</v>
      </c>
      <c r="P852" s="11">
        <f t="shared" si="234"/>
        <v>0</v>
      </c>
      <c r="Q852" s="11">
        <f t="shared" si="235"/>
        <v>0</v>
      </c>
      <c r="R852" s="11">
        <f t="shared" si="236"/>
        <v>0</v>
      </c>
      <c r="S852" s="30">
        <f t="shared" si="240"/>
        <v>0</v>
      </c>
      <c r="T852" s="30">
        <f t="shared" si="241"/>
        <v>0</v>
      </c>
      <c r="U852" s="30">
        <f t="shared" si="242"/>
        <v>0</v>
      </c>
      <c r="V852" s="30">
        <f t="shared" si="243"/>
        <v>0</v>
      </c>
      <c r="W852" s="30">
        <f t="shared" si="244"/>
        <v>0</v>
      </c>
      <c r="X852" s="30">
        <f t="shared" si="245"/>
        <v>0</v>
      </c>
      <c r="Z852" s="23" t="s">
        <v>76</v>
      </c>
      <c r="AA852" s="40">
        <f>IF(C852="Electricity",E852*SUMIFS(Electricity!S:S,Electricity!P:P,UserMade_Scenario!B852,Electricity!M:M,UserMade_Scenario!Z852,Electricity!O:O,UserMade_Scenario!D852),"")</f>
        <v>14662.992240498083</v>
      </c>
      <c r="AB852" s="76">
        <f>1/Assumptions!$B$23/1000000000000</f>
        <v>3.5998225679871703E-9</v>
      </c>
      <c r="AC852" s="67" t="s">
        <v>82</v>
      </c>
      <c r="AD852" s="69">
        <f>INDEX(Table11[AVG
CO2e MT per MWh],MATCH(UserMade_Scenario!$B852,Table11[[Year]:[Year]],0))</f>
        <v>-0.10179113999999995</v>
      </c>
      <c r="AE852" s="69">
        <f>INDEX(Table11[MIN
CO2e MT per MWh],MATCH(UserMade_Scenario!$B852,Table11[[Year]:[Year]],0))</f>
        <v>-8.0472459500000065E-2</v>
      </c>
      <c r="AF852" s="69">
        <f>INDEX(Table11[MAX CO2e MT per MWh],MATCH(UserMade_Scenario!$B852,Table11[[Year]:[Year]],0))</f>
        <v>-0.12310981950000006</v>
      </c>
      <c r="AG852" s="68">
        <f>IFERROR(INDEX(WaterUseH2[Average Direct Water Consumption (Gal/ kg h2)],MATCH(LEFT(D852,3),WaterUseH2[Key],0)),0)</f>
        <v>4.0999999999999996</v>
      </c>
      <c r="AH852">
        <v>14</v>
      </c>
      <c r="AI852">
        <v>1.4</v>
      </c>
      <c r="AJ852">
        <v>250</v>
      </c>
      <c r="AK852">
        <v>0.31</v>
      </c>
      <c r="AL852" s="63">
        <f>IFERROR(INDEX(Job_Training[[Solar]:[Wind]],MATCH(AL$1,Job_Training[[`Typical Entry Level Education`]:[`Typical Entry Level Education`]],0),MATCH(LEFT($D852,5),Job_Training[[#Headers],[Solar]:[Wind]],0)),0)</f>
        <v>0</v>
      </c>
      <c r="AM852" s="63">
        <f>IFERROR(INDEX(Job_Training[[Solar]:[Wind]],MATCH(AM$1,Job_Training[[`Typical Entry Level Education`]:[`Typical Entry Level Education`]],0),MATCH(LEFT($D852,5),Job_Training[[#Headers],[Solar]:[Wind]],0)),0)</f>
        <v>0</v>
      </c>
      <c r="AN852" s="63">
        <f>IFERROR(INDEX(Job_Training[[Solar]:[Wind]],MATCH(AN$1,Job_Training[[`Typical Entry Level Education`]:[`Typical Entry Level Education`]],0),MATCH(LEFT($D852,5),Job_Training[[#Headers],[Solar]:[Wind]],0)),0)</f>
        <v>0</v>
      </c>
      <c r="AO852" s="63">
        <f>IFERROR(INDEX(Job_Training[[Solar]:[Wind]],MATCH(AO$1,Job_Training[[`Typical Entry Level Education`]:[`Typical Entry Level Education`]],0),MATCH(LEFT($D852,5),Job_Training[[#Headers],[Solar]:[Wind]],0)),0)</f>
        <v>0</v>
      </c>
      <c r="AP852">
        <f t="shared" si="246"/>
        <v>0.23809523809523814</v>
      </c>
      <c r="AQ852" s="63">
        <f>IF(AP852&gt;0,IFERROR(INDEX(Assumptions!$C$165:$D$165,MATCH(LEFT($D852,5),Job_Training[[#Headers],[Solar]:[Wind]],0)),0),0)</f>
        <v>0</v>
      </c>
      <c r="AR852">
        <f>IF(AP852&gt;0,IFERROR(INDEX(Assumptions!$C$166:$D$166,MATCH(LEFT($D852,5),Job_Training[[#Headers],[Solar]:[Wind]],0)),0),0)</f>
        <v>0</v>
      </c>
    </row>
    <row r="853" spans="1:44" hidden="1" x14ac:dyDescent="0.35">
      <c r="A853" t="str">
        <f>UserInput!$B$82</f>
        <v>Incremental Buildout</v>
      </c>
      <c r="B853">
        <v>2036</v>
      </c>
      <c r="C853" t="s">
        <v>41</v>
      </c>
      <c r="D853" t="s">
        <v>84</v>
      </c>
      <c r="E853" s="120">
        <f>INDEX(UserInput!$C$82:$M$102,MATCH(UserMade_Scenario!B853,UserInput!$A$82:$A$102,0),MATCH(LEFT(IF(RIGHT(C853,2)="H2",UserMade_Scenario!C853,D853),3),UserInput!$C$25:$M$25,0))</f>
        <v>2.8571428571428572</v>
      </c>
      <c r="F853" t="s">
        <v>81</v>
      </c>
      <c r="G853" s="14">
        <f t="shared" si="231"/>
        <v>5.7133793551249177E-5</v>
      </c>
      <c r="H853" s="63">
        <f t="shared" si="237"/>
        <v>1.5485166448090451E-3</v>
      </c>
      <c r="I853" s="63">
        <f t="shared" si="238"/>
        <v>1.1953406043861677E-3</v>
      </c>
      <c r="J853" s="63">
        <f t="shared" si="239"/>
        <v>1.9016926693606461E-3</v>
      </c>
      <c r="K853" s="30">
        <f>IF(OR(LEFT($D853,5)="Solar",$D853="Wind"),INDEX(Land_Use[AVG],MATCH(LEFT($D853,5),Land_Use[Tech],0)),0)*$E853</f>
        <v>0</v>
      </c>
      <c r="L853" s="30">
        <f>IF(OR(LEFT($D853,5)="Solar",$D853="Wind"),INDEX(Land_Use[MIN],MATCH(LEFT($D853,5),Land_Use[Tech],0)),0)*$E853</f>
        <v>0</v>
      </c>
      <c r="M853" s="30">
        <f>IF(OR(LEFT($D853,5)="Solar",$D853="Wind"),INDEX(Land_Use[MAX],MATCH(LEFT($D853,5),Land_Use[Tech],0)),0)*$E853</f>
        <v>0</v>
      </c>
      <c r="N853" s="15">
        <f t="shared" si="232"/>
        <v>1.1714285714285714E-2</v>
      </c>
      <c r="O853" s="11">
        <f t="shared" si="233"/>
        <v>0</v>
      </c>
      <c r="P853" s="11">
        <f t="shared" si="234"/>
        <v>0</v>
      </c>
      <c r="Q853" s="11">
        <f t="shared" si="235"/>
        <v>0</v>
      </c>
      <c r="R853" s="11">
        <f t="shared" si="236"/>
        <v>0</v>
      </c>
      <c r="S853" s="30">
        <f t="shared" si="240"/>
        <v>0</v>
      </c>
      <c r="T853" s="30">
        <f t="shared" si="241"/>
        <v>0</v>
      </c>
      <c r="U853" s="30">
        <f t="shared" si="242"/>
        <v>0</v>
      </c>
      <c r="V853" s="30">
        <f t="shared" si="243"/>
        <v>0</v>
      </c>
      <c r="W853" s="30">
        <f t="shared" si="244"/>
        <v>0</v>
      </c>
      <c r="X853" s="30">
        <f t="shared" si="245"/>
        <v>0</v>
      </c>
      <c r="Z853" s="23" t="s">
        <v>76</v>
      </c>
      <c r="AA853" s="40">
        <f>IF(C853="Electricity",E853*SUMIFS(Electricity!S:S,Electricity!P:P,UserMade_Scenario!B853,Electricity!M:M,UserMade_Scenario!Z853,Electricity!O:O,UserMade_Scenario!D853),"")</f>
        <v>15871.280451246063</v>
      </c>
      <c r="AB853" s="76">
        <f>1/Assumptions!$B$23/1000000000000</f>
        <v>3.5998225679871703E-9</v>
      </c>
      <c r="AC853" s="67" t="s">
        <v>82</v>
      </c>
      <c r="AD853" s="69">
        <f>INDEX(Table11[AVG
CO2e MT per MWh],MATCH(UserMade_Scenario!$B853,Table11[[Year]:[Year]],0))</f>
        <v>-9.756721579999994E-2</v>
      </c>
      <c r="AE853" s="69">
        <f>INDEX(Table11[MIN
CO2e MT per MWh],MATCH(UserMade_Scenario!$B853,Table11[[Year]:[Year]],0))</f>
        <v>-7.5314692350000073E-2</v>
      </c>
      <c r="AF853" s="69">
        <f>INDEX(Table11[MAX CO2e MT per MWh],MATCH(UserMade_Scenario!$B853,Table11[[Year]:[Year]],0))</f>
        <v>-0.11981973825000006</v>
      </c>
      <c r="AG853" s="68">
        <f>IFERROR(INDEX(WaterUseH2[Average Direct Water Consumption (Gal/ kg h2)],MATCH(LEFT(D853,3),WaterUseH2[Key],0)),0)</f>
        <v>4.0999999999999996</v>
      </c>
      <c r="AH853">
        <v>14</v>
      </c>
      <c r="AI853">
        <v>1.4</v>
      </c>
      <c r="AJ853">
        <v>250</v>
      </c>
      <c r="AK853">
        <v>0.31</v>
      </c>
      <c r="AL853" s="63">
        <f>IFERROR(INDEX(Job_Training[[Solar]:[Wind]],MATCH(AL$1,Job_Training[[`Typical Entry Level Education`]:[`Typical Entry Level Education`]],0),MATCH(LEFT($D853,5),Job_Training[[#Headers],[Solar]:[Wind]],0)),0)</f>
        <v>0</v>
      </c>
      <c r="AM853" s="63">
        <f>IFERROR(INDEX(Job_Training[[Solar]:[Wind]],MATCH(AM$1,Job_Training[[`Typical Entry Level Education`]:[`Typical Entry Level Education`]],0),MATCH(LEFT($D853,5),Job_Training[[#Headers],[Solar]:[Wind]],0)),0)</f>
        <v>0</v>
      </c>
      <c r="AN853" s="63">
        <f>IFERROR(INDEX(Job_Training[[Solar]:[Wind]],MATCH(AN$1,Job_Training[[`Typical Entry Level Education`]:[`Typical Entry Level Education`]],0),MATCH(LEFT($D853,5),Job_Training[[#Headers],[Solar]:[Wind]],0)),0)</f>
        <v>0</v>
      </c>
      <c r="AO853" s="63">
        <f>IFERROR(INDEX(Job_Training[[Solar]:[Wind]],MATCH(AO$1,Job_Training[[`Typical Entry Level Education`]:[`Typical Entry Level Education`]],0),MATCH(LEFT($D853,5),Job_Training[[#Headers],[Solar]:[Wind]],0)),0)</f>
        <v>0</v>
      </c>
      <c r="AP853">
        <f t="shared" si="246"/>
        <v>0.23809523809523814</v>
      </c>
      <c r="AQ853" s="63">
        <f>IF(AP853&gt;0,IFERROR(INDEX(Assumptions!$C$165:$D$165,MATCH(LEFT($D853,5),Job_Training[[#Headers],[Solar]:[Wind]],0)),0),0)</f>
        <v>0</v>
      </c>
      <c r="AR853">
        <f>IF(AP853&gt;0,IFERROR(INDEX(Assumptions!$C$166:$D$166,MATCH(LEFT($D853,5),Job_Training[[#Headers],[Solar]:[Wind]],0)),0),0)</f>
        <v>0</v>
      </c>
    </row>
    <row r="854" spans="1:44" hidden="1" x14ac:dyDescent="0.35">
      <c r="A854" t="str">
        <f>UserInput!$B$82</f>
        <v>Incremental Buildout</v>
      </c>
      <c r="B854">
        <v>2037</v>
      </c>
      <c r="C854" t="s">
        <v>41</v>
      </c>
      <c r="D854" t="s">
        <v>84</v>
      </c>
      <c r="E854" s="120">
        <f>INDEX(UserInput!$C$82:$M$102,MATCH(UserMade_Scenario!B854,UserInput!$A$82:$A$102,0),MATCH(LEFT(IF(RIGHT(C854,2)="H2",UserMade_Scenario!C854,D854),3),UserInput!$C$25:$M$25,0))</f>
        <v>3.0952380952380953</v>
      </c>
      <c r="F854" t="s">
        <v>81</v>
      </c>
      <c r="G854" s="14">
        <f t="shared" si="231"/>
        <v>6.1408593758583376E-5</v>
      </c>
      <c r="H854" s="63">
        <f t="shared" si="237"/>
        <v>1.5923230008412495E-3</v>
      </c>
      <c r="I854" s="63">
        <f t="shared" si="238"/>
        <v>1.1967917967043204E-3</v>
      </c>
      <c r="J854" s="63">
        <f t="shared" si="239"/>
        <v>1.9878541879193999E-3</v>
      </c>
      <c r="K854" s="30">
        <f>IF(OR(LEFT($D854,5)="Solar",$D854="Wind"),INDEX(Land_Use[AVG],MATCH(LEFT($D854,5),Land_Use[Tech],0)),0)*$E854</f>
        <v>0</v>
      </c>
      <c r="L854" s="30">
        <f>IF(OR(LEFT($D854,5)="Solar",$D854="Wind"),INDEX(Land_Use[MIN],MATCH(LEFT($D854,5),Land_Use[Tech],0)),0)*$E854</f>
        <v>0</v>
      </c>
      <c r="M854" s="30">
        <f>IF(OR(LEFT($D854,5)="Solar",$D854="Wind"),INDEX(Land_Use[MAX],MATCH(LEFT($D854,5),Land_Use[Tech],0)),0)*$E854</f>
        <v>0</v>
      </c>
      <c r="N854" s="15">
        <f t="shared" si="232"/>
        <v>1.269047619047619E-2</v>
      </c>
      <c r="O854" s="11">
        <f t="shared" si="233"/>
        <v>0</v>
      </c>
      <c r="P854" s="11">
        <f t="shared" si="234"/>
        <v>0</v>
      </c>
      <c r="Q854" s="11">
        <f t="shared" si="235"/>
        <v>0</v>
      </c>
      <c r="R854" s="11">
        <f t="shared" si="236"/>
        <v>0</v>
      </c>
      <c r="S854" s="30">
        <f t="shared" si="240"/>
        <v>0</v>
      </c>
      <c r="T854" s="30">
        <f t="shared" si="241"/>
        <v>0</v>
      </c>
      <c r="U854" s="30">
        <f t="shared" si="242"/>
        <v>0</v>
      </c>
      <c r="V854" s="30">
        <f t="shared" si="243"/>
        <v>0</v>
      </c>
      <c r="W854" s="30">
        <f t="shared" si="244"/>
        <v>0</v>
      </c>
      <c r="X854" s="30">
        <f t="shared" si="245"/>
        <v>0</v>
      </c>
      <c r="Z854" s="23" t="s">
        <v>76</v>
      </c>
      <c r="AA854" s="40">
        <f>IF(C854="Electricity",E854*SUMIFS(Electricity!S:S,Electricity!P:P,UserMade_Scenario!B854,Electricity!M:M,UserMade_Scenario!Z854,Electricity!O:O,UserMade_Scenario!D854),"")</f>
        <v>17058.783481353585</v>
      </c>
      <c r="AB854" s="76">
        <f>1/Assumptions!$B$23/1000000000000</f>
        <v>3.5998225679871703E-9</v>
      </c>
      <c r="AC854" s="67" t="s">
        <v>82</v>
      </c>
      <c r="AD854" s="69">
        <f>INDEX(Table11[AVG
CO2e MT per MWh],MATCH(UserMade_Scenario!$B854,Table11[[Year]:[Year]],0))</f>
        <v>-9.3343291599999934E-2</v>
      </c>
      <c r="AE854" s="69">
        <f>INDEX(Table11[MIN
CO2e MT per MWh],MATCH(UserMade_Scenario!$B854,Table11[[Year]:[Year]],0))</f>
        <v>-7.0156925200000081E-2</v>
      </c>
      <c r="AF854" s="69">
        <f>INDEX(Table11[MAX CO2e MT per MWh],MATCH(UserMade_Scenario!$B854,Table11[[Year]:[Year]],0))</f>
        <v>-0.11652965700000005</v>
      </c>
      <c r="AG854" s="68">
        <f>IFERROR(INDEX(WaterUseH2[Average Direct Water Consumption (Gal/ kg h2)],MATCH(LEFT(D854,3),WaterUseH2[Key],0)),0)</f>
        <v>4.0999999999999996</v>
      </c>
      <c r="AH854">
        <v>14</v>
      </c>
      <c r="AI854">
        <v>1.4</v>
      </c>
      <c r="AJ854">
        <v>250</v>
      </c>
      <c r="AK854">
        <v>0.31</v>
      </c>
      <c r="AL854" s="63">
        <f>IFERROR(INDEX(Job_Training[[Solar]:[Wind]],MATCH(AL$1,Job_Training[[`Typical Entry Level Education`]:[`Typical Entry Level Education`]],0),MATCH(LEFT($D854,5),Job_Training[[#Headers],[Solar]:[Wind]],0)),0)</f>
        <v>0</v>
      </c>
      <c r="AM854" s="63">
        <f>IFERROR(INDEX(Job_Training[[Solar]:[Wind]],MATCH(AM$1,Job_Training[[`Typical Entry Level Education`]:[`Typical Entry Level Education`]],0),MATCH(LEFT($D854,5),Job_Training[[#Headers],[Solar]:[Wind]],0)),0)</f>
        <v>0</v>
      </c>
      <c r="AN854" s="63">
        <f>IFERROR(INDEX(Job_Training[[Solar]:[Wind]],MATCH(AN$1,Job_Training[[`Typical Entry Level Education`]:[`Typical Entry Level Education`]],0),MATCH(LEFT($D854,5),Job_Training[[#Headers],[Solar]:[Wind]],0)),0)</f>
        <v>0</v>
      </c>
      <c r="AO854" s="63">
        <f>IFERROR(INDEX(Job_Training[[Solar]:[Wind]],MATCH(AO$1,Job_Training[[`Typical Entry Level Education`]:[`Typical Entry Level Education`]],0),MATCH(LEFT($D854,5),Job_Training[[#Headers],[Solar]:[Wind]],0)),0)</f>
        <v>0</v>
      </c>
      <c r="AP854">
        <f t="shared" si="246"/>
        <v>0.23809523809523814</v>
      </c>
      <c r="AQ854" s="63">
        <f>IF(AP854&gt;0,IFERROR(INDEX(Assumptions!$C$165:$D$165,MATCH(LEFT($D854,5),Job_Training[[#Headers],[Solar]:[Wind]],0)),0),0)</f>
        <v>0</v>
      </c>
      <c r="AR854">
        <f>IF(AP854&gt;0,IFERROR(INDEX(Assumptions!$C$166:$D$166,MATCH(LEFT($D854,5),Job_Training[[#Headers],[Solar]:[Wind]],0)),0),0)</f>
        <v>0</v>
      </c>
    </row>
    <row r="855" spans="1:44" hidden="1" x14ac:dyDescent="0.35">
      <c r="A855" t="str">
        <f>UserInput!$B$82</f>
        <v>Incremental Buildout</v>
      </c>
      <c r="B855">
        <v>2038</v>
      </c>
      <c r="C855" t="s">
        <v>41</v>
      </c>
      <c r="D855" t="s">
        <v>84</v>
      </c>
      <c r="E855" s="120">
        <f>INDEX(UserInput!$C$82:$M$102,MATCH(UserMade_Scenario!B855,UserInput!$A$82:$A$102,0),MATCH(LEFT(IF(RIGHT(C855,2)="H2",UserMade_Scenario!C855,D855),3),UserInput!$C$25:$M$25,0))</f>
        <v>3.3333333333333335</v>
      </c>
      <c r="F855" t="s">
        <v>81</v>
      </c>
      <c r="G855" s="14">
        <f t="shared" si="231"/>
        <v>6.5608571003568361E-5</v>
      </c>
      <c r="H855" s="63">
        <f t="shared" si="237"/>
        <v>1.6242451491505926E-3</v>
      </c>
      <c r="I855" s="63">
        <f t="shared" si="238"/>
        <v>1.1846422415424979E-3</v>
      </c>
      <c r="J855" s="63">
        <f t="shared" si="239"/>
        <v>2.063848038533191E-3</v>
      </c>
      <c r="K855" s="30">
        <f>IF(OR(LEFT($D855,5)="Solar",$D855="Wind"),INDEX(Land_Use[AVG],MATCH(LEFT($D855,5),Land_Use[Tech],0)),0)*$E855</f>
        <v>0</v>
      </c>
      <c r="L855" s="30">
        <f>IF(OR(LEFT($D855,5)="Solar",$D855="Wind"),INDEX(Land_Use[MIN],MATCH(LEFT($D855,5),Land_Use[Tech],0)),0)*$E855</f>
        <v>0</v>
      </c>
      <c r="M855" s="30">
        <f>IF(OR(LEFT($D855,5)="Solar",$D855="Wind"),INDEX(Land_Use[MAX],MATCH(LEFT($D855,5),Land_Use[Tech],0)),0)*$E855</f>
        <v>0</v>
      </c>
      <c r="N855" s="15">
        <f t="shared" si="232"/>
        <v>1.3666666666666666E-2</v>
      </c>
      <c r="O855" s="11">
        <f t="shared" si="233"/>
        <v>0</v>
      </c>
      <c r="P855" s="11">
        <f t="shared" si="234"/>
        <v>0</v>
      </c>
      <c r="Q855" s="11">
        <f t="shared" si="235"/>
        <v>0</v>
      </c>
      <c r="R855" s="11">
        <f t="shared" si="236"/>
        <v>0</v>
      </c>
      <c r="S855" s="30">
        <f t="shared" si="240"/>
        <v>0</v>
      </c>
      <c r="T855" s="30">
        <f t="shared" si="241"/>
        <v>0</v>
      </c>
      <c r="U855" s="30">
        <f t="shared" si="242"/>
        <v>0</v>
      </c>
      <c r="V855" s="30">
        <f t="shared" si="243"/>
        <v>0</v>
      </c>
      <c r="W855" s="30">
        <f t="shared" si="244"/>
        <v>0</v>
      </c>
      <c r="X855" s="30">
        <f t="shared" si="245"/>
        <v>0</v>
      </c>
      <c r="Z855" s="23" t="s">
        <v>76</v>
      </c>
      <c r="AA855" s="40">
        <f>IF(C855="Electricity",E855*SUMIFS(Electricity!S:S,Electricity!P:P,UserMade_Scenario!B855,Electricity!M:M,UserMade_Scenario!Z855,Electricity!O:O,UserMade_Scenario!D855),"")</f>
        <v>18225.501330820643</v>
      </c>
      <c r="AB855" s="76">
        <f>1/Assumptions!$B$23/1000000000000</f>
        <v>3.5998225679871703E-9</v>
      </c>
      <c r="AC855" s="67" t="s">
        <v>82</v>
      </c>
      <c r="AD855" s="69">
        <f>INDEX(Table11[AVG
CO2e MT per MWh],MATCH(UserMade_Scenario!$B855,Table11[[Year]:[Year]],0))</f>
        <v>-8.9119367399999927E-2</v>
      </c>
      <c r="AE855" s="69">
        <f>INDEX(Table11[MIN
CO2e MT per MWh],MATCH(UserMade_Scenario!$B855,Table11[[Year]:[Year]],0))</f>
        <v>-6.4999158050000089E-2</v>
      </c>
      <c r="AF855" s="69">
        <f>INDEX(Table11[MAX CO2e MT per MWh],MATCH(UserMade_Scenario!$B855,Table11[[Year]:[Year]],0))</f>
        <v>-0.11323957575000004</v>
      </c>
      <c r="AG855" s="68">
        <f>IFERROR(INDEX(WaterUseH2[Average Direct Water Consumption (Gal/ kg h2)],MATCH(LEFT(D855,3),WaterUseH2[Key],0)),0)</f>
        <v>4.0999999999999996</v>
      </c>
      <c r="AH855">
        <v>14</v>
      </c>
      <c r="AI855">
        <v>1.4</v>
      </c>
      <c r="AJ855">
        <v>250</v>
      </c>
      <c r="AK855">
        <v>0.31</v>
      </c>
      <c r="AL855" s="63">
        <f>IFERROR(INDEX(Job_Training[[Solar]:[Wind]],MATCH(AL$1,Job_Training[[`Typical Entry Level Education`]:[`Typical Entry Level Education`]],0),MATCH(LEFT($D855,5),Job_Training[[#Headers],[Solar]:[Wind]],0)),0)</f>
        <v>0</v>
      </c>
      <c r="AM855" s="63">
        <f>IFERROR(INDEX(Job_Training[[Solar]:[Wind]],MATCH(AM$1,Job_Training[[`Typical Entry Level Education`]:[`Typical Entry Level Education`]],0),MATCH(LEFT($D855,5),Job_Training[[#Headers],[Solar]:[Wind]],0)),0)</f>
        <v>0</v>
      </c>
      <c r="AN855" s="63">
        <f>IFERROR(INDEX(Job_Training[[Solar]:[Wind]],MATCH(AN$1,Job_Training[[`Typical Entry Level Education`]:[`Typical Entry Level Education`]],0),MATCH(LEFT($D855,5),Job_Training[[#Headers],[Solar]:[Wind]],0)),0)</f>
        <v>0</v>
      </c>
      <c r="AO855" s="63">
        <f>IFERROR(INDEX(Job_Training[[Solar]:[Wind]],MATCH(AO$1,Job_Training[[`Typical Entry Level Education`]:[`Typical Entry Level Education`]],0),MATCH(LEFT($D855,5),Job_Training[[#Headers],[Solar]:[Wind]],0)),0)</f>
        <v>0</v>
      </c>
      <c r="AP855">
        <f t="shared" si="246"/>
        <v>0.23809523809523814</v>
      </c>
      <c r="AQ855" s="63">
        <f>IF(AP855&gt;0,IFERROR(INDEX(Assumptions!$C$165:$D$165,MATCH(LEFT($D855,5),Job_Training[[#Headers],[Solar]:[Wind]],0)),0),0)</f>
        <v>0</v>
      </c>
      <c r="AR855">
        <f>IF(AP855&gt;0,IFERROR(INDEX(Assumptions!$C$166:$D$166,MATCH(LEFT($D855,5),Job_Training[[#Headers],[Solar]:[Wind]],0)),0),0)</f>
        <v>0</v>
      </c>
    </row>
    <row r="856" spans="1:44" hidden="1" x14ac:dyDescent="0.35">
      <c r="A856" t="str">
        <f>UserInput!$B$82</f>
        <v>Incremental Buildout</v>
      </c>
      <c r="B856">
        <v>2039</v>
      </c>
      <c r="C856" t="s">
        <v>41</v>
      </c>
      <c r="D856" t="s">
        <v>84</v>
      </c>
      <c r="E856" s="120">
        <f>INDEX(UserInput!$C$82:$M$102,MATCH(UserMade_Scenario!B856,UserInput!$A$82:$A$102,0),MATCH(LEFT(IF(RIGHT(C856,2)="H2",UserMade_Scenario!C856,D856),3),UserInput!$C$25:$M$25,0))</f>
        <v>3.5714285714285716</v>
      </c>
      <c r="F856" t="s">
        <v>81</v>
      </c>
      <c r="G856" s="14">
        <f t="shared" si="231"/>
        <v>6.973372528620412E-5</v>
      </c>
      <c r="H856" s="63">
        <f t="shared" si="237"/>
        <v>1.6445464748195999E-3</v>
      </c>
      <c r="I856" s="63">
        <f t="shared" si="238"/>
        <v>1.1592135542664429E-3</v>
      </c>
      <c r="J856" s="63">
        <f t="shared" si="239"/>
        <v>2.1298793760013285E-3</v>
      </c>
      <c r="K856" s="30">
        <f>IF(OR(LEFT($D856,5)="Solar",$D856="Wind"),INDEX(Land_Use[AVG],MATCH(LEFT($D856,5),Land_Use[Tech],0)),0)*$E856</f>
        <v>0</v>
      </c>
      <c r="L856" s="30">
        <f>IF(OR(LEFT($D856,5)="Solar",$D856="Wind"),INDEX(Land_Use[MIN],MATCH(LEFT($D856,5),Land_Use[Tech],0)),0)*$E856</f>
        <v>0</v>
      </c>
      <c r="M856" s="30">
        <f>IF(OR(LEFT($D856,5)="Solar",$D856="Wind"),INDEX(Land_Use[MAX],MATCH(LEFT($D856,5),Land_Use[Tech],0)),0)*$E856</f>
        <v>0</v>
      </c>
      <c r="N856" s="15">
        <f t="shared" si="232"/>
        <v>1.4642857142857143E-2</v>
      </c>
      <c r="O856" s="11">
        <f t="shared" si="233"/>
        <v>0</v>
      </c>
      <c r="P856" s="11">
        <f t="shared" si="234"/>
        <v>0</v>
      </c>
      <c r="Q856" s="11">
        <f t="shared" si="235"/>
        <v>0</v>
      </c>
      <c r="R856" s="11">
        <f t="shared" si="236"/>
        <v>0</v>
      </c>
      <c r="S856" s="30">
        <f t="shared" si="240"/>
        <v>0</v>
      </c>
      <c r="T856" s="30">
        <f t="shared" si="241"/>
        <v>0</v>
      </c>
      <c r="U856" s="30">
        <f t="shared" si="242"/>
        <v>0</v>
      </c>
      <c r="V856" s="30">
        <f t="shared" si="243"/>
        <v>0</v>
      </c>
      <c r="W856" s="30">
        <f t="shared" si="244"/>
        <v>0</v>
      </c>
      <c r="X856" s="30">
        <f t="shared" si="245"/>
        <v>0</v>
      </c>
      <c r="Z856" s="23" t="s">
        <v>76</v>
      </c>
      <c r="AA856" s="40">
        <f>IF(C856="Electricity",E856*SUMIFS(Electricity!S:S,Electricity!P:P,UserMade_Scenario!B856,Electricity!M:M,UserMade_Scenario!Z856,Electricity!O:O,UserMade_Scenario!D856),"")</f>
        <v>19371.433999647244</v>
      </c>
      <c r="AB856" s="76">
        <f>1/Assumptions!$B$23/1000000000000</f>
        <v>3.5998225679871703E-9</v>
      </c>
      <c r="AC856" s="67" t="s">
        <v>82</v>
      </c>
      <c r="AD856" s="69">
        <f>INDEX(Table11[AVG
CO2e MT per MWh],MATCH(UserMade_Scenario!$B856,Table11[[Year]:[Year]],0))</f>
        <v>-8.489544319999992E-2</v>
      </c>
      <c r="AE856" s="69">
        <f>INDEX(Table11[MIN
CO2e MT per MWh],MATCH(UserMade_Scenario!$B856,Table11[[Year]:[Year]],0))</f>
        <v>-5.984139090000009E-2</v>
      </c>
      <c r="AF856" s="69">
        <f>INDEX(Table11[MAX CO2e MT per MWh],MATCH(UserMade_Scenario!$B856,Table11[[Year]:[Year]],0))</f>
        <v>-0.10994949450000004</v>
      </c>
      <c r="AG856" s="68">
        <f>IFERROR(INDEX(WaterUseH2[Average Direct Water Consumption (Gal/ kg h2)],MATCH(LEFT(D856,3),WaterUseH2[Key],0)),0)</f>
        <v>4.0999999999999996</v>
      </c>
      <c r="AH856">
        <v>14</v>
      </c>
      <c r="AI856">
        <v>1.4</v>
      </c>
      <c r="AJ856">
        <v>250</v>
      </c>
      <c r="AK856">
        <v>0.31</v>
      </c>
      <c r="AL856" s="63">
        <f>IFERROR(INDEX(Job_Training[[Solar]:[Wind]],MATCH(AL$1,Job_Training[[`Typical Entry Level Education`]:[`Typical Entry Level Education`]],0),MATCH(LEFT($D856,5),Job_Training[[#Headers],[Solar]:[Wind]],0)),0)</f>
        <v>0</v>
      </c>
      <c r="AM856" s="63">
        <f>IFERROR(INDEX(Job_Training[[Solar]:[Wind]],MATCH(AM$1,Job_Training[[`Typical Entry Level Education`]:[`Typical Entry Level Education`]],0),MATCH(LEFT($D856,5),Job_Training[[#Headers],[Solar]:[Wind]],0)),0)</f>
        <v>0</v>
      </c>
      <c r="AN856" s="63">
        <f>IFERROR(INDEX(Job_Training[[Solar]:[Wind]],MATCH(AN$1,Job_Training[[`Typical Entry Level Education`]:[`Typical Entry Level Education`]],0),MATCH(LEFT($D856,5),Job_Training[[#Headers],[Solar]:[Wind]],0)),0)</f>
        <v>0</v>
      </c>
      <c r="AO856" s="63">
        <f>IFERROR(INDEX(Job_Training[[Solar]:[Wind]],MATCH(AO$1,Job_Training[[`Typical Entry Level Education`]:[`Typical Entry Level Education`]],0),MATCH(LEFT($D856,5),Job_Training[[#Headers],[Solar]:[Wind]],0)),0)</f>
        <v>0</v>
      </c>
      <c r="AP856">
        <f t="shared" si="246"/>
        <v>0.23809523809523814</v>
      </c>
      <c r="AQ856" s="63">
        <f>IF(AP856&gt;0,IFERROR(INDEX(Assumptions!$C$165:$D$165,MATCH(LEFT($D856,5),Job_Training[[#Headers],[Solar]:[Wind]],0)),0),0)</f>
        <v>0</v>
      </c>
      <c r="AR856">
        <f>IF(AP856&gt;0,IFERROR(INDEX(Assumptions!$C$166:$D$166,MATCH(LEFT($D856,5),Job_Training[[#Headers],[Solar]:[Wind]],0)),0),0)</f>
        <v>0</v>
      </c>
    </row>
    <row r="857" spans="1:44" hidden="1" x14ac:dyDescent="0.35">
      <c r="A857" t="str">
        <f>UserInput!$B$82</f>
        <v>Incremental Buildout</v>
      </c>
      <c r="B857">
        <v>2040</v>
      </c>
      <c r="C857" t="s">
        <v>41</v>
      </c>
      <c r="D857" t="s">
        <v>84</v>
      </c>
      <c r="E857" s="120">
        <f>INDEX(UserInput!$C$82:$M$102,MATCH(UserMade_Scenario!B857,UserInput!$A$82:$A$102,0),MATCH(LEFT(IF(RIGHT(C857,2)="H2",UserMade_Scenario!C857,D857),3),UserInput!$C$25:$M$25,0))</f>
        <v>3.8095238095238098</v>
      </c>
      <c r="F857" t="s">
        <v>81</v>
      </c>
      <c r="G857" s="14">
        <f t="shared" si="231"/>
        <v>7.3784056606490678E-5</v>
      </c>
      <c r="H857" s="63">
        <f t="shared" si="237"/>
        <v>1.6534903629307977E-3</v>
      </c>
      <c r="I857" s="63">
        <f t="shared" si="238"/>
        <v>1.120827350241898E-3</v>
      </c>
      <c r="J857" s="63">
        <f t="shared" si="239"/>
        <v>2.1861533551231216E-3</v>
      </c>
      <c r="K857" s="30">
        <f>IF(OR(LEFT($D857,5)="Solar",$D857="Wind"),INDEX(Land_Use[AVG],MATCH(LEFT($D857,5),Land_Use[Tech],0)),0)*$E857</f>
        <v>0</v>
      </c>
      <c r="L857" s="30">
        <f>IF(OR(LEFT($D857,5)="Solar",$D857="Wind"),INDEX(Land_Use[MIN],MATCH(LEFT($D857,5),Land_Use[Tech],0)),0)*$E857</f>
        <v>0</v>
      </c>
      <c r="M857" s="30">
        <f>IF(OR(LEFT($D857,5)="Solar",$D857="Wind"),INDEX(Land_Use[MAX],MATCH(LEFT($D857,5),Land_Use[Tech],0)),0)*$E857</f>
        <v>0</v>
      </c>
      <c r="N857" s="15">
        <f t="shared" si="232"/>
        <v>1.5619047619047619E-2</v>
      </c>
      <c r="O857" s="11">
        <f t="shared" si="233"/>
        <v>0</v>
      </c>
      <c r="P857" s="11">
        <f t="shared" si="234"/>
        <v>0</v>
      </c>
      <c r="Q857" s="11">
        <f t="shared" si="235"/>
        <v>0</v>
      </c>
      <c r="R857" s="11">
        <f t="shared" si="236"/>
        <v>0</v>
      </c>
      <c r="S857" s="30">
        <f t="shared" si="240"/>
        <v>0</v>
      </c>
      <c r="T857" s="30">
        <f t="shared" si="241"/>
        <v>0</v>
      </c>
      <c r="U857" s="30">
        <f t="shared" si="242"/>
        <v>0</v>
      </c>
      <c r="V857" s="30">
        <f t="shared" si="243"/>
        <v>0</v>
      </c>
      <c r="W857" s="30">
        <f t="shared" si="244"/>
        <v>0</v>
      </c>
      <c r="X857" s="30">
        <f t="shared" si="245"/>
        <v>0</v>
      </c>
      <c r="Z857" s="23" t="s">
        <v>76</v>
      </c>
      <c r="AA857" s="40">
        <f>IF(C857="Electricity",E857*SUMIFS(Electricity!S:S,Electricity!P:P,UserMade_Scenario!B857,Electricity!M:M,UserMade_Scenario!Z857,Electricity!O:O,UserMade_Scenario!D857),"")</f>
        <v>20496.581487833388</v>
      </c>
      <c r="AB857" s="76">
        <f>1/Assumptions!$B$23/1000000000000</f>
        <v>3.5998225679871703E-9</v>
      </c>
      <c r="AC857" s="67" t="s">
        <v>82</v>
      </c>
      <c r="AD857" s="69">
        <f>INDEX(Table11[AVG
CO2e MT per MWh],MATCH(UserMade_Scenario!$B857,Table11[[Year]:[Year]],0))</f>
        <v>-8.0671518999999914E-2</v>
      </c>
      <c r="AE857" s="69">
        <f>INDEX(Table11[MIN
CO2e MT per MWh],MATCH(UserMade_Scenario!$B857,Table11[[Year]:[Year]],0))</f>
        <v>-5.468362375000009E-2</v>
      </c>
      <c r="AF857" s="69">
        <f>INDEX(Table11[MAX CO2e MT per MWh],MATCH(UserMade_Scenario!$B857,Table11[[Year]:[Year]],0))</f>
        <v>-0.10665941325000003</v>
      </c>
      <c r="AG857" s="68">
        <f>IFERROR(INDEX(WaterUseH2[Average Direct Water Consumption (Gal/ kg h2)],MATCH(LEFT(D857,3),WaterUseH2[Key],0)),0)</f>
        <v>4.0999999999999996</v>
      </c>
      <c r="AH857">
        <v>14</v>
      </c>
      <c r="AI857">
        <v>1.4</v>
      </c>
      <c r="AJ857">
        <v>250</v>
      </c>
      <c r="AK857">
        <v>0.31</v>
      </c>
      <c r="AL857" s="63">
        <f>IFERROR(INDEX(Job_Training[[Solar]:[Wind]],MATCH(AL$1,Job_Training[[`Typical Entry Level Education`]:[`Typical Entry Level Education`]],0),MATCH(LEFT($D857,5),Job_Training[[#Headers],[Solar]:[Wind]],0)),0)</f>
        <v>0</v>
      </c>
      <c r="AM857" s="63">
        <f>IFERROR(INDEX(Job_Training[[Solar]:[Wind]],MATCH(AM$1,Job_Training[[`Typical Entry Level Education`]:[`Typical Entry Level Education`]],0),MATCH(LEFT($D857,5),Job_Training[[#Headers],[Solar]:[Wind]],0)),0)</f>
        <v>0</v>
      </c>
      <c r="AN857" s="63">
        <f>IFERROR(INDEX(Job_Training[[Solar]:[Wind]],MATCH(AN$1,Job_Training[[`Typical Entry Level Education`]:[`Typical Entry Level Education`]],0),MATCH(LEFT($D857,5),Job_Training[[#Headers],[Solar]:[Wind]],0)),0)</f>
        <v>0</v>
      </c>
      <c r="AO857" s="63">
        <f>IFERROR(INDEX(Job_Training[[Solar]:[Wind]],MATCH(AO$1,Job_Training[[`Typical Entry Level Education`]:[`Typical Entry Level Education`]],0),MATCH(LEFT($D857,5),Job_Training[[#Headers],[Solar]:[Wind]],0)),0)</f>
        <v>0</v>
      </c>
      <c r="AP857">
        <f t="shared" si="246"/>
        <v>0.23809523809523814</v>
      </c>
      <c r="AQ857" s="63">
        <f>IF(AP857&gt;0,IFERROR(INDEX(Assumptions!$C$165:$D$165,MATCH(LEFT($D857,5),Job_Training[[#Headers],[Solar]:[Wind]],0)),0),0)</f>
        <v>0</v>
      </c>
      <c r="AR857">
        <f>IF(AP857&gt;0,IFERROR(INDEX(Assumptions!$C$166:$D$166,MATCH(LEFT($D857,5),Job_Training[[#Headers],[Solar]:[Wind]],0)),0),0)</f>
        <v>0</v>
      </c>
    </row>
    <row r="858" spans="1:44" hidden="1" x14ac:dyDescent="0.35">
      <c r="A858" t="str">
        <f>UserInput!$B$82</f>
        <v>Incremental Buildout</v>
      </c>
      <c r="B858">
        <v>2041</v>
      </c>
      <c r="C858" t="s">
        <v>41</v>
      </c>
      <c r="D858" t="s">
        <v>84</v>
      </c>
      <c r="E858" s="120">
        <f>INDEX(UserInput!$C$82:$M$102,MATCH(UserMade_Scenario!B858,UserInput!$A$82:$A$102,0),MATCH(LEFT(IF(RIGHT(C858,2)="H2",UserMade_Scenario!C858,D858),3),UserInput!$C$25:$M$25,0))</f>
        <v>4.0476190476190474</v>
      </c>
      <c r="F858" t="s">
        <v>81</v>
      </c>
      <c r="G858" s="14">
        <f t="shared" si="231"/>
        <v>7.7759564964428009E-5</v>
      </c>
      <c r="H858" s="63">
        <f t="shared" si="237"/>
        <v>1.6513401985667111E-3</v>
      </c>
      <c r="I858" s="63">
        <f t="shared" si="238"/>
        <v>1.0698052448346056E-3</v>
      </c>
      <c r="J858" s="63">
        <f t="shared" si="239"/>
        <v>2.2328751306978797E-3</v>
      </c>
      <c r="K858" s="30">
        <f>IF(OR(LEFT($D858,5)="Solar",$D858="Wind"),INDEX(Land_Use[AVG],MATCH(LEFT($D858,5),Land_Use[Tech],0)),0)*$E858</f>
        <v>0</v>
      </c>
      <c r="L858" s="30">
        <f>IF(OR(LEFT($D858,5)="Solar",$D858="Wind"),INDEX(Land_Use[MIN],MATCH(LEFT($D858,5),Land_Use[Tech],0)),0)*$E858</f>
        <v>0</v>
      </c>
      <c r="M858" s="30">
        <f>IF(OR(LEFT($D858,5)="Solar",$D858="Wind"),INDEX(Land_Use[MAX],MATCH(LEFT($D858,5),Land_Use[Tech],0)),0)*$E858</f>
        <v>0</v>
      </c>
      <c r="N858" s="15">
        <f t="shared" si="232"/>
        <v>1.6595238095238093E-2</v>
      </c>
      <c r="O858" s="11">
        <f t="shared" si="233"/>
        <v>0</v>
      </c>
      <c r="P858" s="11">
        <f t="shared" si="234"/>
        <v>0</v>
      </c>
      <c r="Q858" s="11">
        <f t="shared" si="235"/>
        <v>0</v>
      </c>
      <c r="R858" s="11">
        <f t="shared" si="236"/>
        <v>0</v>
      </c>
      <c r="S858" s="30">
        <f t="shared" si="240"/>
        <v>0</v>
      </c>
      <c r="T858" s="30">
        <f t="shared" si="241"/>
        <v>0</v>
      </c>
      <c r="U858" s="30">
        <f t="shared" si="242"/>
        <v>0</v>
      </c>
      <c r="V858" s="30">
        <f t="shared" si="243"/>
        <v>0</v>
      </c>
      <c r="W858" s="30">
        <f t="shared" si="244"/>
        <v>0</v>
      </c>
      <c r="X858" s="30">
        <f t="shared" si="245"/>
        <v>0</v>
      </c>
      <c r="Z858" s="23" t="s">
        <v>76</v>
      </c>
      <c r="AA858" s="40">
        <f>IF(C858="Electricity",E858*SUMIFS(Electricity!S:S,Electricity!P:P,UserMade_Scenario!B858,Electricity!M:M,UserMade_Scenario!Z858,Electricity!O:O,UserMade_Scenario!D858),"")</f>
        <v>21600.943795379069</v>
      </c>
      <c r="AB858" s="76">
        <f>1/Assumptions!$B$23/1000000000000</f>
        <v>3.5998225679871703E-9</v>
      </c>
      <c r="AC858" s="67" t="s">
        <v>82</v>
      </c>
      <c r="AD858" s="69">
        <f>INDEX(Table11[AVG
CO2e MT per MWh],MATCH(UserMade_Scenario!$B858,Table11[[Year]:[Year]],0))</f>
        <v>-7.6447594799999907E-2</v>
      </c>
      <c r="AE858" s="69">
        <f>INDEX(Table11[MIN
CO2e MT per MWh],MATCH(UserMade_Scenario!$B858,Table11[[Year]:[Year]],0))</f>
        <v>-4.9525856600000091E-2</v>
      </c>
      <c r="AF858" s="69">
        <f>INDEX(Table11[MAX CO2e MT per MWh],MATCH(UserMade_Scenario!$B858,Table11[[Year]:[Year]],0))</f>
        <v>-0.10336933200000002</v>
      </c>
      <c r="AG858" s="68">
        <f>IFERROR(INDEX(WaterUseH2[Average Direct Water Consumption (Gal/ kg h2)],MATCH(LEFT(D858,3),WaterUseH2[Key],0)),0)</f>
        <v>4.0999999999999996</v>
      </c>
      <c r="AH858">
        <v>14</v>
      </c>
      <c r="AI858">
        <v>1.4</v>
      </c>
      <c r="AJ858">
        <v>250</v>
      </c>
      <c r="AK858">
        <v>0.31</v>
      </c>
      <c r="AL858" s="63">
        <f>IFERROR(INDEX(Job_Training[[Solar]:[Wind]],MATCH(AL$1,Job_Training[[`Typical Entry Level Education`]:[`Typical Entry Level Education`]],0),MATCH(LEFT($D858,5),Job_Training[[#Headers],[Solar]:[Wind]],0)),0)</f>
        <v>0</v>
      </c>
      <c r="AM858" s="63">
        <f>IFERROR(INDEX(Job_Training[[Solar]:[Wind]],MATCH(AM$1,Job_Training[[`Typical Entry Level Education`]:[`Typical Entry Level Education`]],0),MATCH(LEFT($D858,5),Job_Training[[#Headers],[Solar]:[Wind]],0)),0)</f>
        <v>0</v>
      </c>
      <c r="AN858" s="63">
        <f>IFERROR(INDEX(Job_Training[[Solar]:[Wind]],MATCH(AN$1,Job_Training[[`Typical Entry Level Education`]:[`Typical Entry Level Education`]],0),MATCH(LEFT($D858,5),Job_Training[[#Headers],[Solar]:[Wind]],0)),0)</f>
        <v>0</v>
      </c>
      <c r="AO858" s="63">
        <f>IFERROR(INDEX(Job_Training[[Solar]:[Wind]],MATCH(AO$1,Job_Training[[`Typical Entry Level Education`]:[`Typical Entry Level Education`]],0),MATCH(LEFT($D858,5),Job_Training[[#Headers],[Solar]:[Wind]],0)),0)</f>
        <v>0</v>
      </c>
      <c r="AP858">
        <f t="shared" si="246"/>
        <v>0.23809523809523769</v>
      </c>
      <c r="AQ858" s="63">
        <f>IF(AP858&gt;0,IFERROR(INDEX(Assumptions!$C$165:$D$165,MATCH(LEFT($D858,5),Job_Training[[#Headers],[Solar]:[Wind]],0)),0),0)</f>
        <v>0</v>
      </c>
      <c r="AR858">
        <f>IF(AP858&gt;0,IFERROR(INDEX(Assumptions!$C$166:$D$166,MATCH(LEFT($D858,5),Job_Training[[#Headers],[Solar]:[Wind]],0)),0),0)</f>
        <v>0</v>
      </c>
    </row>
    <row r="859" spans="1:44" hidden="1" x14ac:dyDescent="0.35">
      <c r="A859" t="str">
        <f>UserInput!$B$82</f>
        <v>Incremental Buildout</v>
      </c>
      <c r="B859">
        <v>2042</v>
      </c>
      <c r="C859" t="s">
        <v>41</v>
      </c>
      <c r="D859" t="s">
        <v>84</v>
      </c>
      <c r="E859" s="120">
        <f>INDEX(UserInput!$C$82:$M$102,MATCH(UserMade_Scenario!B859,UserInput!$A$82:$A$102,0),MATCH(LEFT(IF(RIGHT(C859,2)="H2",UserMade_Scenario!C859,D859),3),UserInput!$C$25:$M$25,0))</f>
        <v>4.2857142857142856</v>
      </c>
      <c r="F859" t="s">
        <v>81</v>
      </c>
      <c r="G859" s="14">
        <f t="shared" si="231"/>
        <v>8.1660250360016139E-5</v>
      </c>
      <c r="H859" s="63">
        <f t="shared" si="237"/>
        <v>1.6383593668098668E-3</v>
      </c>
      <c r="I859" s="63">
        <f t="shared" si="238"/>
        <v>1.0064688534103081E-3</v>
      </c>
      <c r="J859" s="63">
        <f t="shared" si="239"/>
        <v>2.2702498575249115E-3</v>
      </c>
      <c r="K859" s="30">
        <f>IF(OR(LEFT($D859,5)="Solar",$D859="Wind"),INDEX(Land_Use[AVG],MATCH(LEFT($D859,5),Land_Use[Tech],0)),0)*$E859</f>
        <v>0</v>
      </c>
      <c r="L859" s="30">
        <f>IF(OR(LEFT($D859,5)="Solar",$D859="Wind"),INDEX(Land_Use[MIN],MATCH(LEFT($D859,5),Land_Use[Tech],0)),0)*$E859</f>
        <v>0</v>
      </c>
      <c r="M859" s="30">
        <f>IF(OR(LEFT($D859,5)="Solar",$D859="Wind"),INDEX(Land_Use[MAX],MATCH(LEFT($D859,5),Land_Use[Tech],0)),0)*$E859</f>
        <v>0</v>
      </c>
      <c r="N859" s="15">
        <f t="shared" si="232"/>
        <v>1.7571428571428568E-2</v>
      </c>
      <c r="O859" s="11">
        <f t="shared" si="233"/>
        <v>0</v>
      </c>
      <c r="P859" s="11">
        <f t="shared" si="234"/>
        <v>0</v>
      </c>
      <c r="Q859" s="11">
        <f t="shared" si="235"/>
        <v>0</v>
      </c>
      <c r="R859" s="11">
        <f t="shared" si="236"/>
        <v>0</v>
      </c>
      <c r="S859" s="30">
        <f t="shared" si="240"/>
        <v>0</v>
      </c>
      <c r="T859" s="30">
        <f t="shared" si="241"/>
        <v>0</v>
      </c>
      <c r="U859" s="30">
        <f t="shared" si="242"/>
        <v>0</v>
      </c>
      <c r="V859" s="30">
        <f t="shared" si="243"/>
        <v>0</v>
      </c>
      <c r="W859" s="30">
        <f t="shared" si="244"/>
        <v>0</v>
      </c>
      <c r="X859" s="30">
        <f t="shared" si="245"/>
        <v>0</v>
      </c>
      <c r="Z859" s="23" t="s">
        <v>76</v>
      </c>
      <c r="AA859" s="40">
        <f>IF(C859="Electricity",E859*SUMIFS(Electricity!S:S,Electricity!P:P,UserMade_Scenario!B859,Electricity!M:M,UserMade_Scenario!Z859,Electricity!O:O,UserMade_Scenario!D859),"")</f>
        <v>22684.520922284293</v>
      </c>
      <c r="AB859" s="76">
        <f>1/Assumptions!$B$23/1000000000000</f>
        <v>3.5998225679871703E-9</v>
      </c>
      <c r="AC859" s="67" t="s">
        <v>82</v>
      </c>
      <c r="AD859" s="69">
        <f>INDEX(Table11[AVG
CO2e MT per MWh],MATCH(UserMade_Scenario!$B859,Table11[[Year]:[Year]],0))</f>
        <v>-7.2223670599999901E-2</v>
      </c>
      <c r="AE859" s="69">
        <f>INDEX(Table11[MIN
CO2e MT per MWh],MATCH(UserMade_Scenario!$B859,Table11[[Year]:[Year]],0))</f>
        <v>-4.4368089450000092E-2</v>
      </c>
      <c r="AF859" s="69">
        <f>INDEX(Table11[MAX CO2e MT per MWh],MATCH(UserMade_Scenario!$B859,Table11[[Year]:[Year]],0))</f>
        <v>-0.10007925075000002</v>
      </c>
      <c r="AG859" s="68">
        <f>IFERROR(INDEX(WaterUseH2[Average Direct Water Consumption (Gal/ kg h2)],MATCH(LEFT(D859,3),WaterUseH2[Key],0)),0)</f>
        <v>4.0999999999999996</v>
      </c>
      <c r="AH859">
        <v>14</v>
      </c>
      <c r="AI859">
        <v>1.4</v>
      </c>
      <c r="AJ859">
        <v>250</v>
      </c>
      <c r="AK859">
        <v>0.31</v>
      </c>
      <c r="AL859" s="63">
        <f>IFERROR(INDEX(Job_Training[[Solar]:[Wind]],MATCH(AL$1,Job_Training[[`Typical Entry Level Education`]:[`Typical Entry Level Education`]],0),MATCH(LEFT($D859,5),Job_Training[[#Headers],[Solar]:[Wind]],0)),0)</f>
        <v>0</v>
      </c>
      <c r="AM859" s="63">
        <f>IFERROR(INDEX(Job_Training[[Solar]:[Wind]],MATCH(AM$1,Job_Training[[`Typical Entry Level Education`]:[`Typical Entry Level Education`]],0),MATCH(LEFT($D859,5),Job_Training[[#Headers],[Solar]:[Wind]],0)),0)</f>
        <v>0</v>
      </c>
      <c r="AN859" s="63">
        <f>IFERROR(INDEX(Job_Training[[Solar]:[Wind]],MATCH(AN$1,Job_Training[[`Typical Entry Level Education`]:[`Typical Entry Level Education`]],0),MATCH(LEFT($D859,5),Job_Training[[#Headers],[Solar]:[Wind]],0)),0)</f>
        <v>0</v>
      </c>
      <c r="AO859" s="63">
        <f>IFERROR(INDEX(Job_Training[[Solar]:[Wind]],MATCH(AO$1,Job_Training[[`Typical Entry Level Education`]:[`Typical Entry Level Education`]],0),MATCH(LEFT($D859,5),Job_Training[[#Headers],[Solar]:[Wind]],0)),0)</f>
        <v>0</v>
      </c>
      <c r="AP859">
        <f t="shared" si="246"/>
        <v>0.23809523809523814</v>
      </c>
      <c r="AQ859" s="63">
        <f>IF(AP859&gt;0,IFERROR(INDEX(Assumptions!$C$165:$D$165,MATCH(LEFT($D859,5),Job_Training[[#Headers],[Solar]:[Wind]],0)),0),0)</f>
        <v>0</v>
      </c>
      <c r="AR859">
        <f>IF(AP859&gt;0,IFERROR(INDEX(Assumptions!$C$166:$D$166,MATCH(LEFT($D859,5),Job_Training[[#Headers],[Solar]:[Wind]],0)),0),0)</f>
        <v>0</v>
      </c>
    </row>
    <row r="860" spans="1:44" hidden="1" x14ac:dyDescent="0.35">
      <c r="A860" t="str">
        <f>UserInput!$B$82</f>
        <v>Incremental Buildout</v>
      </c>
      <c r="B860">
        <v>2043</v>
      </c>
      <c r="C860" t="s">
        <v>41</v>
      </c>
      <c r="D860" t="s">
        <v>84</v>
      </c>
      <c r="E860" s="120">
        <f>INDEX(UserInput!$C$82:$M$102,MATCH(UserMade_Scenario!B860,UserInput!$A$82:$A$102,0),MATCH(LEFT(IF(RIGHT(C860,2)="H2",UserMade_Scenario!C860,D860),3),UserInput!$C$25:$M$25,0))</f>
        <v>4.5238095238095237</v>
      </c>
      <c r="F860" t="s">
        <v>81</v>
      </c>
      <c r="G860" s="14">
        <f t="shared" si="231"/>
        <v>8.5486112793255043E-5</v>
      </c>
      <c r="H860" s="63">
        <f t="shared" si="237"/>
        <v>1.6148112527427901E-3</v>
      </c>
      <c r="I860" s="63">
        <f t="shared" si="238"/>
        <v>9.3113979133474837E-4</v>
      </c>
      <c r="J860" s="63">
        <f t="shared" si="239"/>
        <v>2.2984826904035261E-3</v>
      </c>
      <c r="K860" s="30">
        <f>IF(OR(LEFT($D860,5)="Solar",$D860="Wind"),INDEX(Land_Use[AVG],MATCH(LEFT($D860,5),Land_Use[Tech],0)),0)*$E860</f>
        <v>0</v>
      </c>
      <c r="L860" s="30">
        <f>IF(OR(LEFT($D860,5)="Solar",$D860="Wind"),INDEX(Land_Use[MIN],MATCH(LEFT($D860,5),Land_Use[Tech],0)),0)*$E860</f>
        <v>0</v>
      </c>
      <c r="M860" s="30">
        <f>IF(OR(LEFT($D860,5)="Solar",$D860="Wind"),INDEX(Land_Use[MAX],MATCH(LEFT($D860,5),Land_Use[Tech],0)),0)*$E860</f>
        <v>0</v>
      </c>
      <c r="N860" s="15">
        <f t="shared" si="232"/>
        <v>1.8547619047619042E-2</v>
      </c>
      <c r="O860" s="11">
        <f t="shared" si="233"/>
        <v>0</v>
      </c>
      <c r="P860" s="11">
        <f t="shared" si="234"/>
        <v>0</v>
      </c>
      <c r="Q860" s="11">
        <f t="shared" si="235"/>
        <v>0</v>
      </c>
      <c r="R860" s="11">
        <f t="shared" si="236"/>
        <v>0</v>
      </c>
      <c r="S860" s="30">
        <f t="shared" si="240"/>
        <v>0</v>
      </c>
      <c r="T860" s="30">
        <f t="shared" si="241"/>
        <v>0</v>
      </c>
      <c r="U860" s="30">
        <f t="shared" si="242"/>
        <v>0</v>
      </c>
      <c r="V860" s="30">
        <f t="shared" si="243"/>
        <v>0</v>
      </c>
      <c r="W860" s="30">
        <f t="shared" si="244"/>
        <v>0</v>
      </c>
      <c r="X860" s="30">
        <f t="shared" si="245"/>
        <v>0</v>
      </c>
      <c r="Z860" s="23" t="s">
        <v>76</v>
      </c>
      <c r="AA860" s="40">
        <f>IF(C860="Electricity",E860*SUMIFS(Electricity!S:S,Electricity!P:P,UserMade_Scenario!B860,Electricity!M:M,UserMade_Scenario!Z860,Electricity!O:O,UserMade_Scenario!D860),"")</f>
        <v>23747.312868549059</v>
      </c>
      <c r="AB860" s="76">
        <f>1/Assumptions!$B$23/1000000000000</f>
        <v>3.5998225679871703E-9</v>
      </c>
      <c r="AC860" s="67" t="s">
        <v>82</v>
      </c>
      <c r="AD860" s="69">
        <f>INDEX(Table11[AVG
CO2e MT per MWh],MATCH(UserMade_Scenario!$B860,Table11[[Year]:[Year]],0))</f>
        <v>-6.7999746399999894E-2</v>
      </c>
      <c r="AE860" s="69">
        <f>INDEX(Table11[MIN
CO2e MT per MWh],MATCH(UserMade_Scenario!$B860,Table11[[Year]:[Year]],0))</f>
        <v>-3.9210322300000093E-2</v>
      </c>
      <c r="AF860" s="69">
        <f>INDEX(Table11[MAX CO2e MT per MWh],MATCH(UserMade_Scenario!$B860,Table11[[Year]:[Year]],0))</f>
        <v>-9.6789169500000008E-2</v>
      </c>
      <c r="AG860" s="68">
        <f>IFERROR(INDEX(WaterUseH2[Average Direct Water Consumption (Gal/ kg h2)],MATCH(LEFT(D860,3),WaterUseH2[Key],0)),0)</f>
        <v>4.0999999999999996</v>
      </c>
      <c r="AH860">
        <v>14</v>
      </c>
      <c r="AI860">
        <v>1.4</v>
      </c>
      <c r="AJ860">
        <v>250</v>
      </c>
      <c r="AK860">
        <v>0.31</v>
      </c>
      <c r="AL860" s="63">
        <f>IFERROR(INDEX(Job_Training[[Solar]:[Wind]],MATCH(AL$1,Job_Training[[`Typical Entry Level Education`]:[`Typical Entry Level Education`]],0),MATCH(LEFT($D860,5),Job_Training[[#Headers],[Solar]:[Wind]],0)),0)</f>
        <v>0</v>
      </c>
      <c r="AM860" s="63">
        <f>IFERROR(INDEX(Job_Training[[Solar]:[Wind]],MATCH(AM$1,Job_Training[[`Typical Entry Level Education`]:[`Typical Entry Level Education`]],0),MATCH(LEFT($D860,5),Job_Training[[#Headers],[Solar]:[Wind]],0)),0)</f>
        <v>0</v>
      </c>
      <c r="AN860" s="63">
        <f>IFERROR(INDEX(Job_Training[[Solar]:[Wind]],MATCH(AN$1,Job_Training[[`Typical Entry Level Education`]:[`Typical Entry Level Education`]],0),MATCH(LEFT($D860,5),Job_Training[[#Headers],[Solar]:[Wind]],0)),0)</f>
        <v>0</v>
      </c>
      <c r="AO860" s="63">
        <f>IFERROR(INDEX(Job_Training[[Solar]:[Wind]],MATCH(AO$1,Job_Training[[`Typical Entry Level Education`]:[`Typical Entry Level Education`]],0),MATCH(LEFT($D860,5),Job_Training[[#Headers],[Solar]:[Wind]],0)),0)</f>
        <v>0</v>
      </c>
      <c r="AP860">
        <f t="shared" si="246"/>
        <v>0.23809523809523814</v>
      </c>
      <c r="AQ860" s="63">
        <f>IF(AP860&gt;0,IFERROR(INDEX(Assumptions!$C$165:$D$165,MATCH(LEFT($D860,5),Job_Training[[#Headers],[Solar]:[Wind]],0)),0),0)</f>
        <v>0</v>
      </c>
      <c r="AR860">
        <f>IF(AP860&gt;0,IFERROR(INDEX(Assumptions!$C$166:$D$166,MATCH(LEFT($D860,5),Job_Training[[#Headers],[Solar]:[Wind]],0)),0),0)</f>
        <v>0</v>
      </c>
    </row>
    <row r="861" spans="1:44" hidden="1" x14ac:dyDescent="0.35">
      <c r="A861" t="str">
        <f>UserInput!$B$82</f>
        <v>Incremental Buildout</v>
      </c>
      <c r="B861">
        <v>2044</v>
      </c>
      <c r="C861" t="s">
        <v>41</v>
      </c>
      <c r="D861" t="s">
        <v>84</v>
      </c>
      <c r="E861" s="120">
        <f>INDEX(UserInput!$C$82:$M$102,MATCH(UserMade_Scenario!B861,UserInput!$A$82:$A$102,0),MATCH(LEFT(IF(RIGHT(C861,2)="H2",UserMade_Scenario!C861,D861),3),UserInput!$C$25:$M$25,0))</f>
        <v>4.7619047619047619</v>
      </c>
      <c r="F861" t="s">
        <v>81</v>
      </c>
      <c r="G861" s="14">
        <f t="shared" si="231"/>
        <v>8.9237152264144747E-5</v>
      </c>
      <c r="H861" s="63">
        <f t="shared" si="237"/>
        <v>1.5809592414480068E-3</v>
      </c>
      <c r="I861" s="63">
        <f t="shared" si="238"/>
        <v>8.4413967397366869E-4</v>
      </c>
      <c r="J861" s="63">
        <f t="shared" si="239"/>
        <v>2.3177787841330336E-3</v>
      </c>
      <c r="K861" s="30">
        <f>IF(OR(LEFT($D861,5)="Solar",$D861="Wind"),INDEX(Land_Use[AVG],MATCH(LEFT($D861,5),Land_Use[Tech],0)),0)*$E861</f>
        <v>0</v>
      </c>
      <c r="L861" s="30">
        <f>IF(OR(LEFT($D861,5)="Solar",$D861="Wind"),INDEX(Land_Use[MIN],MATCH(LEFT($D861,5),Land_Use[Tech],0)),0)*$E861</f>
        <v>0</v>
      </c>
      <c r="M861" s="30">
        <f>IF(OR(LEFT($D861,5)="Solar",$D861="Wind"),INDEX(Land_Use[MAX],MATCH(LEFT($D861,5),Land_Use[Tech],0)),0)*$E861</f>
        <v>0</v>
      </c>
      <c r="N861" s="15">
        <f t="shared" si="232"/>
        <v>1.9523809523809523E-2</v>
      </c>
      <c r="O861" s="11">
        <f t="shared" si="233"/>
        <v>0</v>
      </c>
      <c r="P861" s="11">
        <f t="shared" si="234"/>
        <v>0</v>
      </c>
      <c r="Q861" s="11">
        <f t="shared" si="235"/>
        <v>0</v>
      </c>
      <c r="R861" s="11">
        <f t="shared" si="236"/>
        <v>0</v>
      </c>
      <c r="S861" s="30">
        <f t="shared" si="240"/>
        <v>0</v>
      </c>
      <c r="T861" s="30">
        <f t="shared" si="241"/>
        <v>0</v>
      </c>
      <c r="U861" s="30">
        <f t="shared" si="242"/>
        <v>0</v>
      </c>
      <c r="V861" s="30">
        <f t="shared" si="243"/>
        <v>0</v>
      </c>
      <c r="W861" s="30">
        <f t="shared" si="244"/>
        <v>0</v>
      </c>
      <c r="X861" s="30">
        <f t="shared" si="245"/>
        <v>0</v>
      </c>
      <c r="Z861" s="23" t="s">
        <v>76</v>
      </c>
      <c r="AA861" s="40">
        <f>IF(C861="Electricity",E861*SUMIFS(Electricity!S:S,Electricity!P:P,UserMade_Scenario!B861,Electricity!M:M,UserMade_Scenario!Z861,Electricity!O:O,UserMade_Scenario!D861),"")</f>
        <v>24789.319634173367</v>
      </c>
      <c r="AB861" s="76">
        <f>1/Assumptions!$B$23/1000000000000</f>
        <v>3.5998225679871703E-9</v>
      </c>
      <c r="AC861" s="67" t="s">
        <v>82</v>
      </c>
      <c r="AD861" s="69">
        <f>INDEX(Table11[AVG
CO2e MT per MWh],MATCH(UserMade_Scenario!$B861,Table11[[Year]:[Year]],0))</f>
        <v>-6.3775822199999888E-2</v>
      </c>
      <c r="AE861" s="69">
        <f>INDEX(Table11[MIN
CO2e MT per MWh],MATCH(UserMade_Scenario!$B861,Table11[[Year]:[Year]],0))</f>
        <v>-3.4052555150000094E-2</v>
      </c>
      <c r="AF861" s="69">
        <f>INDEX(Table11[MAX CO2e MT per MWh],MATCH(UserMade_Scenario!$B861,Table11[[Year]:[Year]],0))</f>
        <v>-9.3499088250000001E-2</v>
      </c>
      <c r="AG861" s="68">
        <f>IFERROR(INDEX(WaterUseH2[Average Direct Water Consumption (Gal/ kg h2)],MATCH(LEFT(D861,3),WaterUseH2[Key],0)),0)</f>
        <v>4.0999999999999996</v>
      </c>
      <c r="AH861">
        <v>14</v>
      </c>
      <c r="AI861">
        <v>1.4</v>
      </c>
      <c r="AJ861">
        <v>250</v>
      </c>
      <c r="AK861">
        <v>0.31</v>
      </c>
      <c r="AL861" s="63">
        <f>IFERROR(INDEX(Job_Training[[Solar]:[Wind]],MATCH(AL$1,Job_Training[[`Typical Entry Level Education`]:[`Typical Entry Level Education`]],0),MATCH(LEFT($D861,5),Job_Training[[#Headers],[Solar]:[Wind]],0)),0)</f>
        <v>0</v>
      </c>
      <c r="AM861" s="63">
        <f>IFERROR(INDEX(Job_Training[[Solar]:[Wind]],MATCH(AM$1,Job_Training[[`Typical Entry Level Education`]:[`Typical Entry Level Education`]],0),MATCH(LEFT($D861,5),Job_Training[[#Headers],[Solar]:[Wind]],0)),0)</f>
        <v>0</v>
      </c>
      <c r="AN861" s="63">
        <f>IFERROR(INDEX(Job_Training[[Solar]:[Wind]],MATCH(AN$1,Job_Training[[`Typical Entry Level Education`]:[`Typical Entry Level Education`]],0),MATCH(LEFT($D861,5),Job_Training[[#Headers],[Solar]:[Wind]],0)),0)</f>
        <v>0</v>
      </c>
      <c r="AO861" s="63">
        <f>IFERROR(INDEX(Job_Training[[Solar]:[Wind]],MATCH(AO$1,Job_Training[[`Typical Entry Level Education`]:[`Typical Entry Level Education`]],0),MATCH(LEFT($D861,5),Job_Training[[#Headers],[Solar]:[Wind]],0)),0)</f>
        <v>0</v>
      </c>
      <c r="AP861">
        <f t="shared" si="246"/>
        <v>0.23809523809523814</v>
      </c>
      <c r="AQ861" s="63">
        <f>IF(AP861&gt;0,IFERROR(INDEX(Assumptions!$C$165:$D$165,MATCH(LEFT($D861,5),Job_Training[[#Headers],[Solar]:[Wind]],0)),0),0)</f>
        <v>0</v>
      </c>
      <c r="AR861">
        <f>IF(AP861&gt;0,IFERROR(INDEX(Assumptions!$C$166:$D$166,MATCH(LEFT($D861,5),Job_Training[[#Headers],[Solar]:[Wind]],0)),0),0)</f>
        <v>0</v>
      </c>
    </row>
    <row r="862" spans="1:44" hidden="1" x14ac:dyDescent="0.35">
      <c r="A862" t="str">
        <f>UserInput!$B$82</f>
        <v>Incremental Buildout</v>
      </c>
      <c r="B862">
        <v>2045</v>
      </c>
      <c r="C862" t="s">
        <v>41</v>
      </c>
      <c r="D862" t="s">
        <v>84</v>
      </c>
      <c r="E862" s="120">
        <f>INDEX(UserInput!$C$82:$M$102,MATCH(UserMade_Scenario!B862,UserInput!$A$82:$A$102,0),MATCH(LEFT(IF(RIGHT(C862,2)="H2",UserMade_Scenario!C862,D862),3),UserInput!$C$25:$M$25,0))</f>
        <v>5</v>
      </c>
      <c r="F862" t="s">
        <v>81</v>
      </c>
      <c r="G862" s="14">
        <f t="shared" si="231"/>
        <v>9.2913368772685223E-5</v>
      </c>
      <c r="H862" s="63">
        <f t="shared" si="237"/>
        <v>1.5370667180080429E-3</v>
      </c>
      <c r="I862" s="63">
        <f t="shared" si="238"/>
        <v>7.4579011669281153E-4</v>
      </c>
      <c r="J862" s="63">
        <f t="shared" si="239"/>
        <v>2.3283432935127411E-3</v>
      </c>
      <c r="K862" s="30">
        <f>IF(OR(LEFT($D862,5)="Solar",$D862="Wind"),INDEX(Land_Use[AVG],MATCH(LEFT($D862,5),Land_Use[Tech],0)),0)*$E862</f>
        <v>0</v>
      </c>
      <c r="L862" s="30">
        <f>IF(OR(LEFT($D862,5)="Solar",$D862="Wind"),INDEX(Land_Use[MIN],MATCH(LEFT($D862,5),Land_Use[Tech],0)),0)*$E862</f>
        <v>0</v>
      </c>
      <c r="M862" s="30">
        <f>IF(OR(LEFT($D862,5)="Solar",$D862="Wind"),INDEX(Land_Use[MAX],MATCH(LEFT($D862,5),Land_Use[Tech],0)),0)*$E862</f>
        <v>0</v>
      </c>
      <c r="N862" s="15">
        <f t="shared" si="232"/>
        <v>2.0500000000000001E-2</v>
      </c>
      <c r="O862" s="11">
        <f t="shared" si="233"/>
        <v>0</v>
      </c>
      <c r="P862" s="11">
        <f t="shared" si="234"/>
        <v>0</v>
      </c>
      <c r="Q862" s="11">
        <f t="shared" si="235"/>
        <v>0</v>
      </c>
      <c r="R862" s="11">
        <f t="shared" si="236"/>
        <v>0</v>
      </c>
      <c r="S862" s="30">
        <f t="shared" si="240"/>
        <v>0</v>
      </c>
      <c r="T862" s="30">
        <f t="shared" si="241"/>
        <v>0</v>
      </c>
      <c r="U862" s="30">
        <f t="shared" si="242"/>
        <v>0</v>
      </c>
      <c r="V862" s="30">
        <f t="shared" si="243"/>
        <v>0</v>
      </c>
      <c r="W862" s="30">
        <f t="shared" si="244"/>
        <v>0</v>
      </c>
      <c r="X862" s="30">
        <f t="shared" si="245"/>
        <v>0</v>
      </c>
      <c r="Z862" s="23" t="s">
        <v>76</v>
      </c>
      <c r="AA862" s="40">
        <f>IF(C862="Electricity",E862*SUMIFS(Electricity!S:S,Electricity!P:P,UserMade_Scenario!B862,Electricity!M:M,UserMade_Scenario!Z862,Electricity!O:O,UserMade_Scenario!D862),"")</f>
        <v>25810.54121915721</v>
      </c>
      <c r="AB862" s="76">
        <f>1/Assumptions!$B$23/1000000000000</f>
        <v>3.5998225679871703E-9</v>
      </c>
      <c r="AC862" s="67" t="s">
        <v>82</v>
      </c>
      <c r="AD862" s="69">
        <f>INDEX(Table11[AVG
CO2e MT per MWh],MATCH(UserMade_Scenario!$B862,Table11[[Year]:[Year]],0))</f>
        <v>-5.9551897999999888E-2</v>
      </c>
      <c r="AE862" s="69">
        <f>INDEX(Table11[MIN
CO2e MT per MWh],MATCH(UserMade_Scenario!$B862,Table11[[Year]:[Year]],0))</f>
        <v>-2.8894788000000095E-2</v>
      </c>
      <c r="AF862" s="69">
        <f>INDEX(Table11[MAX CO2e MT per MWh],MATCH(UserMade_Scenario!$B862,Table11[[Year]:[Year]],0))</f>
        <v>-9.0209006999999994E-2</v>
      </c>
      <c r="AG862" s="68">
        <f>IFERROR(INDEX(WaterUseH2[Average Direct Water Consumption (Gal/ kg h2)],MATCH(LEFT(D862,3),WaterUseH2[Key],0)),0)</f>
        <v>4.0999999999999996</v>
      </c>
      <c r="AH862">
        <v>14</v>
      </c>
      <c r="AI862">
        <v>1.4</v>
      </c>
      <c r="AJ862">
        <v>250</v>
      </c>
      <c r="AK862">
        <v>0.31</v>
      </c>
      <c r="AL862" s="63">
        <f>IFERROR(INDEX(Job_Training[[Solar]:[Wind]],MATCH(AL$1,Job_Training[[`Typical Entry Level Education`]:[`Typical Entry Level Education`]],0),MATCH(LEFT($D862,5),Job_Training[[#Headers],[Solar]:[Wind]],0)),0)</f>
        <v>0</v>
      </c>
      <c r="AM862" s="63">
        <f>IFERROR(INDEX(Job_Training[[Solar]:[Wind]],MATCH(AM$1,Job_Training[[`Typical Entry Level Education`]:[`Typical Entry Level Education`]],0),MATCH(LEFT($D862,5),Job_Training[[#Headers],[Solar]:[Wind]],0)),0)</f>
        <v>0</v>
      </c>
      <c r="AN862" s="63">
        <f>IFERROR(INDEX(Job_Training[[Solar]:[Wind]],MATCH(AN$1,Job_Training[[`Typical Entry Level Education`]:[`Typical Entry Level Education`]],0),MATCH(LEFT($D862,5),Job_Training[[#Headers],[Solar]:[Wind]],0)),0)</f>
        <v>0</v>
      </c>
      <c r="AO862" s="63">
        <f>IFERROR(INDEX(Job_Training[[Solar]:[Wind]],MATCH(AO$1,Job_Training[[`Typical Entry Level Education`]:[`Typical Entry Level Education`]],0),MATCH(LEFT($D862,5),Job_Training[[#Headers],[Solar]:[Wind]],0)),0)</f>
        <v>0</v>
      </c>
      <c r="AP862">
        <f t="shared" si="246"/>
        <v>0.23809523809523814</v>
      </c>
      <c r="AQ862" s="63">
        <f>IF(AP862&gt;0,IFERROR(INDEX(Assumptions!$C$165:$D$165,MATCH(LEFT($D862,5),Job_Training[[#Headers],[Solar]:[Wind]],0)),0),0)</f>
        <v>0</v>
      </c>
      <c r="AR862">
        <f>IF(AP862&gt;0,IFERROR(INDEX(Assumptions!$C$166:$D$166,MATCH(LEFT($D862,5),Job_Training[[#Headers],[Solar]:[Wind]],0)),0),0)</f>
        <v>0</v>
      </c>
    </row>
    <row r="863" spans="1:44" hidden="1" x14ac:dyDescent="0.35">
      <c r="A863" t="str">
        <f>UserInput!$B$82</f>
        <v>Incremental Buildout</v>
      </c>
      <c r="B863">
        <v>2025</v>
      </c>
      <c r="C863" t="s">
        <v>41</v>
      </c>
      <c r="D863" t="s">
        <v>85</v>
      </c>
      <c r="E863" s="120">
        <f>INDEX(UserInput!$C$82:$M$102,MATCH(UserMade_Scenario!B863,UserInput!$A$82:$A$102,0),MATCH(LEFT(IF(RIGHT(C863,2)="H2",UserMade_Scenario!C863,D863),3),UserInput!$C$25:$M$25,0))</f>
        <v>23.80952380952381</v>
      </c>
      <c r="F863" t="s">
        <v>81</v>
      </c>
      <c r="G863" s="14">
        <f t="shared" si="231"/>
        <v>1.0037490850886605E-4</v>
      </c>
      <c r="H863" s="63">
        <f t="shared" si="237"/>
        <v>4.0160413861260492E-3</v>
      </c>
      <c r="I863" s="63">
        <f t="shared" si="238"/>
        <v>3.6819925336264558E-3</v>
      </c>
      <c r="J863" s="63">
        <f t="shared" si="239"/>
        <v>4.3500902107423481E-3</v>
      </c>
      <c r="K863" s="30">
        <f>IF(OR(LEFT($D863,5)="Solar",$D863="Wind"),INDEX(Land_Use[AVG],MATCH(LEFT($D863,5),Land_Use[Tech],0)),0)*$E863</f>
        <v>0</v>
      </c>
      <c r="L863" s="30">
        <f>IF(OR(LEFT($D863,5)="Solar",$D863="Wind"),INDEX(Land_Use[MIN],MATCH(LEFT($D863,5),Land_Use[Tech],0)),0)*$E863</f>
        <v>0</v>
      </c>
      <c r="M863" s="30">
        <f>IF(OR(LEFT($D863,5)="Solar",$D863="Wind"),INDEX(Land_Use[MAX],MATCH(LEFT($D863,5),Land_Use[Tech],0)),0)*$E863</f>
        <v>0</v>
      </c>
      <c r="N863" s="15">
        <f t="shared" si="232"/>
        <v>0</v>
      </c>
      <c r="O863" s="11">
        <f t="shared" si="233"/>
        <v>0</v>
      </c>
      <c r="P863" s="11">
        <f t="shared" si="234"/>
        <v>0</v>
      </c>
      <c r="Q863" s="11">
        <f t="shared" si="235"/>
        <v>0</v>
      </c>
      <c r="R863" s="11">
        <f t="shared" si="236"/>
        <v>0</v>
      </c>
      <c r="S863" s="30">
        <f t="shared" si="240"/>
        <v>0</v>
      </c>
      <c r="T863" s="30">
        <f t="shared" si="241"/>
        <v>0</v>
      </c>
      <c r="U863" s="30">
        <f t="shared" si="242"/>
        <v>0</v>
      </c>
      <c r="V863" s="30">
        <f t="shared" si="243"/>
        <v>0</v>
      </c>
      <c r="W863" s="30">
        <f t="shared" si="244"/>
        <v>0</v>
      </c>
      <c r="X863" s="30">
        <f t="shared" si="245"/>
        <v>0</v>
      </c>
      <c r="Z863" s="23" t="s">
        <v>76</v>
      </c>
      <c r="AA863" s="40">
        <f>IF(C863="Electricity",E863*SUMIFS(Electricity!S:S,Electricity!P:P,UserMade_Scenario!B863,Electricity!M:M,UserMade_Scenario!Z863,Electricity!O:O,UserMade_Scenario!D863),"")</f>
        <v>27883.29330492263</v>
      </c>
      <c r="AB863" s="76">
        <f>1/Assumptions!$B$23/1000000000000</f>
        <v>3.5998225679871703E-9</v>
      </c>
      <c r="AC863" s="67" t="s">
        <v>82</v>
      </c>
      <c r="AD863" s="69">
        <f>INDEX(Table11[AVG
CO2e MT per MWh],MATCH(UserMade_Scenario!$B863,Table11[[Year]:[Year]],0))</f>
        <v>-0.14403038200000001</v>
      </c>
      <c r="AE863" s="69">
        <f>INDEX(Table11[MIN
CO2e MT per MWh],MATCH(UserMade_Scenario!$B863,Table11[[Year]:[Year]],0))</f>
        <v>-0.13205013099999999</v>
      </c>
      <c r="AF863" s="69">
        <f>INDEX(Table11[MAX CO2e MT per MWh],MATCH(UserMade_Scenario!$B863,Table11[[Year]:[Year]],0))</f>
        <v>-0.15601063200000001</v>
      </c>
      <c r="AG863" s="68">
        <f>IFERROR(INDEX(WaterUseH2[Average Direct Water Consumption (Gal/ kg h2)],MATCH(LEFT(D863,3),WaterUseH2[Key],0)),0)</f>
        <v>0</v>
      </c>
      <c r="AH863">
        <v>14</v>
      </c>
      <c r="AI863">
        <v>1.4</v>
      </c>
      <c r="AJ863">
        <v>250</v>
      </c>
      <c r="AK863">
        <v>0.31</v>
      </c>
      <c r="AL863" s="63">
        <f>IFERROR(INDEX(Job_Training[[Solar]:[Wind]],MATCH(AL$1,Job_Training[[`Typical Entry Level Education`]:[`Typical Entry Level Education`]],0),MATCH(LEFT($D863,5),Job_Training[[#Headers],[Solar]:[Wind]],0)),0)</f>
        <v>0</v>
      </c>
      <c r="AM863" s="63">
        <f>IFERROR(INDEX(Job_Training[[Solar]:[Wind]],MATCH(AM$1,Job_Training[[`Typical Entry Level Education`]:[`Typical Entry Level Education`]],0),MATCH(LEFT($D863,5),Job_Training[[#Headers],[Solar]:[Wind]],0)),0)</f>
        <v>0</v>
      </c>
      <c r="AN863" s="63">
        <f>IFERROR(INDEX(Job_Training[[Solar]:[Wind]],MATCH(AN$1,Job_Training[[`Typical Entry Level Education`]:[`Typical Entry Level Education`]],0),MATCH(LEFT($D863,5),Job_Training[[#Headers],[Solar]:[Wind]],0)),0)</f>
        <v>0</v>
      </c>
      <c r="AO863" s="63">
        <f>IFERROR(INDEX(Job_Training[[Solar]:[Wind]],MATCH(AO$1,Job_Training[[`Typical Entry Level Education`]:[`Typical Entry Level Education`]],0),MATCH(LEFT($D863,5),Job_Training[[#Headers],[Solar]:[Wind]],0)),0)</f>
        <v>0</v>
      </c>
      <c r="AP863">
        <f t="shared" si="246"/>
        <v>23.80952380952381</v>
      </c>
      <c r="AQ863" s="63">
        <f>IF(AP863&gt;0,IFERROR(INDEX(Assumptions!$C$165:$D$165,MATCH(LEFT($D863,5),Job_Training[[#Headers],[Solar]:[Wind]],0)),0),0)</f>
        <v>0</v>
      </c>
      <c r="AR863">
        <f>IF(AP863&gt;0,IFERROR(INDEX(Assumptions!$C$166:$D$166,MATCH(LEFT($D863,5),Job_Training[[#Headers],[Solar]:[Wind]],0)),0),0)</f>
        <v>0</v>
      </c>
    </row>
    <row r="864" spans="1:44" hidden="1" x14ac:dyDescent="0.35">
      <c r="A864" t="str">
        <f>UserInput!$B$82</f>
        <v>Incremental Buildout</v>
      </c>
      <c r="B864">
        <v>2026</v>
      </c>
      <c r="C864" t="s">
        <v>41</v>
      </c>
      <c r="D864" t="s">
        <v>85</v>
      </c>
      <c r="E864" s="120">
        <f>INDEX(UserInput!$C$82:$M$102,MATCH(UserMade_Scenario!B864,UserInput!$A$82:$A$102,0),MATCH(LEFT(IF(RIGHT(C864,2)="H2",UserMade_Scenario!C864,D864),3),UserInput!$C$25:$M$25,0))</f>
        <v>47.61904761904762</v>
      </c>
      <c r="F864" t="s">
        <v>81</v>
      </c>
      <c r="G864" s="14">
        <f t="shared" si="231"/>
        <v>2.007498170177321E-4</v>
      </c>
      <c r="H864" s="63">
        <f t="shared" si="237"/>
        <v>7.796528937519376E-3</v>
      </c>
      <c r="I864" s="63">
        <f t="shared" si="238"/>
        <v>7.076353998769022E-3</v>
      </c>
      <c r="J864" s="63">
        <f t="shared" si="239"/>
        <v>8.5167038205031433E-3</v>
      </c>
      <c r="K864" s="30">
        <f>IF(OR(LEFT($D864,5)="Solar",$D864="Wind"),INDEX(Land_Use[AVG],MATCH(LEFT($D864,5),Land_Use[Tech],0)),0)*$E864</f>
        <v>0</v>
      </c>
      <c r="L864" s="30">
        <f>IF(OR(LEFT($D864,5)="Solar",$D864="Wind"),INDEX(Land_Use[MIN],MATCH(LEFT($D864,5),Land_Use[Tech],0)),0)*$E864</f>
        <v>0</v>
      </c>
      <c r="M864" s="30">
        <f>IF(OR(LEFT($D864,5)="Solar",$D864="Wind"),INDEX(Land_Use[MAX],MATCH(LEFT($D864,5),Land_Use[Tech],0)),0)*$E864</f>
        <v>0</v>
      </c>
      <c r="N864" s="15">
        <f t="shared" si="232"/>
        <v>0</v>
      </c>
      <c r="O864" s="11">
        <f t="shared" si="233"/>
        <v>0</v>
      </c>
      <c r="P864" s="11">
        <f t="shared" si="234"/>
        <v>0</v>
      </c>
      <c r="Q864" s="11">
        <f t="shared" si="235"/>
        <v>0</v>
      </c>
      <c r="R864" s="11">
        <f t="shared" si="236"/>
        <v>0</v>
      </c>
      <c r="S864" s="30">
        <f t="shared" si="240"/>
        <v>0</v>
      </c>
      <c r="T864" s="30">
        <f t="shared" si="241"/>
        <v>0</v>
      </c>
      <c r="U864" s="30">
        <f t="shared" si="242"/>
        <v>0</v>
      </c>
      <c r="V864" s="30">
        <f t="shared" si="243"/>
        <v>0</v>
      </c>
      <c r="W864" s="30">
        <f t="shared" si="244"/>
        <v>0</v>
      </c>
      <c r="X864" s="30">
        <f t="shared" si="245"/>
        <v>0</v>
      </c>
      <c r="Z864" s="23" t="s">
        <v>76</v>
      </c>
      <c r="AA864" s="40">
        <f>IF(C864="Electricity",E864*SUMIFS(Electricity!S:S,Electricity!P:P,UserMade_Scenario!B864,Electricity!M:M,UserMade_Scenario!Z864,Electricity!O:O,UserMade_Scenario!D864),"")</f>
        <v>55766.586609845261</v>
      </c>
      <c r="AB864" s="76">
        <f>1/Assumptions!$B$23/1000000000000</f>
        <v>3.5998225679871703E-9</v>
      </c>
      <c r="AC864" s="67" t="s">
        <v>82</v>
      </c>
      <c r="AD864" s="69">
        <f>INDEX(Table11[AVG
CO2e MT per MWh],MATCH(UserMade_Scenario!$B864,Table11[[Year]:[Year]],0))</f>
        <v>-0.13980645780000001</v>
      </c>
      <c r="AE864" s="69">
        <f>INDEX(Table11[MIN
CO2e MT per MWh],MATCH(UserMade_Scenario!$B864,Table11[[Year]:[Year]],0))</f>
        <v>-0.12689236385</v>
      </c>
      <c r="AF864" s="69">
        <f>INDEX(Table11[MAX CO2e MT per MWh],MATCH(UserMade_Scenario!$B864,Table11[[Year]:[Year]],0))</f>
        <v>-0.15272055075000002</v>
      </c>
      <c r="AG864" s="68">
        <f>IFERROR(INDEX(WaterUseH2[Average Direct Water Consumption (Gal/ kg h2)],MATCH(LEFT(D864,3),WaterUseH2[Key],0)),0)</f>
        <v>0</v>
      </c>
      <c r="AH864">
        <v>14</v>
      </c>
      <c r="AI864">
        <v>1.4</v>
      </c>
      <c r="AJ864">
        <v>250</v>
      </c>
      <c r="AK864">
        <v>0.31</v>
      </c>
      <c r="AL864" s="63">
        <f>IFERROR(INDEX(Job_Training[[Solar]:[Wind]],MATCH(AL$1,Job_Training[[`Typical Entry Level Education`]:[`Typical Entry Level Education`]],0),MATCH(LEFT($D864,5),Job_Training[[#Headers],[Solar]:[Wind]],0)),0)</f>
        <v>0</v>
      </c>
      <c r="AM864" s="63">
        <f>IFERROR(INDEX(Job_Training[[Solar]:[Wind]],MATCH(AM$1,Job_Training[[`Typical Entry Level Education`]:[`Typical Entry Level Education`]],0),MATCH(LEFT($D864,5),Job_Training[[#Headers],[Solar]:[Wind]],0)),0)</f>
        <v>0</v>
      </c>
      <c r="AN864" s="63">
        <f>IFERROR(INDEX(Job_Training[[Solar]:[Wind]],MATCH(AN$1,Job_Training[[`Typical Entry Level Education`]:[`Typical Entry Level Education`]],0),MATCH(LEFT($D864,5),Job_Training[[#Headers],[Solar]:[Wind]],0)),0)</f>
        <v>0</v>
      </c>
      <c r="AO864" s="63">
        <f>IFERROR(INDEX(Job_Training[[Solar]:[Wind]],MATCH(AO$1,Job_Training[[`Typical Entry Level Education`]:[`Typical Entry Level Education`]],0),MATCH(LEFT($D864,5),Job_Training[[#Headers],[Solar]:[Wind]],0)),0)</f>
        <v>0</v>
      </c>
      <c r="AP864">
        <f t="shared" si="246"/>
        <v>23.80952380952381</v>
      </c>
      <c r="AQ864" s="63">
        <f>IF(AP864&gt;0,IFERROR(INDEX(Assumptions!$C$165:$D$165,MATCH(LEFT($D864,5),Job_Training[[#Headers],[Solar]:[Wind]],0)),0),0)</f>
        <v>0</v>
      </c>
      <c r="AR864">
        <f>IF(AP864&gt;0,IFERROR(INDEX(Assumptions!$C$166:$D$166,MATCH(LEFT($D864,5),Job_Training[[#Headers],[Solar]:[Wind]],0)),0),0)</f>
        <v>0</v>
      </c>
    </row>
    <row r="865" spans="1:44" hidden="1" x14ac:dyDescent="0.35">
      <c r="A865" t="str">
        <f>UserInput!$B$82</f>
        <v>Incremental Buildout</v>
      </c>
      <c r="B865">
        <v>2027</v>
      </c>
      <c r="C865" t="s">
        <v>41</v>
      </c>
      <c r="D865" t="s">
        <v>85</v>
      </c>
      <c r="E865" s="120">
        <f>INDEX(UserInput!$C$82:$M$102,MATCH(UserMade_Scenario!B865,UserInput!$A$82:$A$102,0),MATCH(LEFT(IF(RIGHT(C865,2)="H2",UserMade_Scenario!C865,D865),3),UserInput!$C$25:$M$25,0))</f>
        <v>71.428571428571431</v>
      </c>
      <c r="F865" t="s">
        <v>81</v>
      </c>
      <c r="G865" s="14">
        <f t="shared" ref="G865:G904" si="247">AA865*AB865</f>
        <v>3.0112472552659816E-4</v>
      </c>
      <c r="H865" s="63">
        <f t="shared" si="237"/>
        <v>1.1341462654179983E-2</v>
      </c>
      <c r="I865" s="63">
        <f t="shared" si="238"/>
        <v>1.0183084395427701E-2</v>
      </c>
      <c r="J865" s="63">
        <f t="shared" si="239"/>
        <v>1.2499840829282389E-2</v>
      </c>
      <c r="K865" s="30">
        <f>IF(OR(LEFT($D865,5)="Solar",$D865="Wind"),INDEX(Land_Use[AVG],MATCH(LEFT($D865,5),Land_Use[Tech],0)),0)*$E865</f>
        <v>0</v>
      </c>
      <c r="L865" s="30">
        <f>IF(OR(LEFT($D865,5)="Solar",$D865="Wind"),INDEX(Land_Use[MIN],MATCH(LEFT($D865,5),Land_Use[Tech],0)),0)*$E865</f>
        <v>0</v>
      </c>
      <c r="M865" s="30">
        <f>IF(OR(LEFT($D865,5)="Solar",$D865="Wind"),INDEX(Land_Use[MAX],MATCH(LEFT($D865,5),Land_Use[Tech],0)),0)*$E865</f>
        <v>0</v>
      </c>
      <c r="N865" s="15">
        <f t="shared" si="232"/>
        <v>0</v>
      </c>
      <c r="O865" s="11">
        <f t="shared" si="233"/>
        <v>0</v>
      </c>
      <c r="P865" s="11">
        <f t="shared" si="234"/>
        <v>0</v>
      </c>
      <c r="Q865" s="11">
        <f t="shared" si="235"/>
        <v>0</v>
      </c>
      <c r="R865" s="11">
        <f t="shared" si="236"/>
        <v>0</v>
      </c>
      <c r="S865" s="30">
        <f t="shared" si="240"/>
        <v>0</v>
      </c>
      <c r="T865" s="30">
        <f t="shared" si="241"/>
        <v>0</v>
      </c>
      <c r="U865" s="30">
        <f t="shared" si="242"/>
        <v>0</v>
      </c>
      <c r="V865" s="30">
        <f t="shared" si="243"/>
        <v>0</v>
      </c>
      <c r="W865" s="30">
        <f t="shared" si="244"/>
        <v>0</v>
      </c>
      <c r="X865" s="30">
        <f t="shared" si="245"/>
        <v>0</v>
      </c>
      <c r="Z865" s="23" t="s">
        <v>76</v>
      </c>
      <c r="AA865" s="40">
        <f>IF(C865="Electricity",E865*SUMIFS(Electricity!S:S,Electricity!P:P,UserMade_Scenario!B865,Electricity!M:M,UserMade_Scenario!Z865,Electricity!O:O,UserMade_Scenario!D865),"")</f>
        <v>83649.879914767895</v>
      </c>
      <c r="AB865" s="76">
        <f>1/Assumptions!$B$23/1000000000000</f>
        <v>3.5998225679871703E-9</v>
      </c>
      <c r="AC865" s="67" t="s">
        <v>82</v>
      </c>
      <c r="AD865" s="69">
        <f>INDEX(Table11[AVG
CO2e MT per MWh],MATCH(UserMade_Scenario!$B865,Table11[[Year]:[Year]],0))</f>
        <v>-0.1355825336</v>
      </c>
      <c r="AE865" s="69">
        <f>INDEX(Table11[MIN
CO2e MT per MWh],MATCH(UserMade_Scenario!$B865,Table11[[Year]:[Year]],0))</f>
        <v>-0.1217345967</v>
      </c>
      <c r="AF865" s="69">
        <f>INDEX(Table11[MAX CO2e MT per MWh],MATCH(UserMade_Scenario!$B865,Table11[[Year]:[Year]],0))</f>
        <v>-0.14943046950000002</v>
      </c>
      <c r="AG865" s="68">
        <f>IFERROR(INDEX(WaterUseH2[Average Direct Water Consumption (Gal/ kg h2)],MATCH(LEFT(D865,3),WaterUseH2[Key],0)),0)</f>
        <v>0</v>
      </c>
      <c r="AH865">
        <v>14</v>
      </c>
      <c r="AI865">
        <v>1.4</v>
      </c>
      <c r="AJ865">
        <v>250</v>
      </c>
      <c r="AK865">
        <v>0.31</v>
      </c>
      <c r="AL865" s="63">
        <f>IFERROR(INDEX(Job_Training[[Solar]:[Wind]],MATCH(AL$1,Job_Training[[`Typical Entry Level Education`]:[`Typical Entry Level Education`]],0),MATCH(LEFT($D865,5),Job_Training[[#Headers],[Solar]:[Wind]],0)),0)</f>
        <v>0</v>
      </c>
      <c r="AM865" s="63">
        <f>IFERROR(INDEX(Job_Training[[Solar]:[Wind]],MATCH(AM$1,Job_Training[[`Typical Entry Level Education`]:[`Typical Entry Level Education`]],0),MATCH(LEFT($D865,5),Job_Training[[#Headers],[Solar]:[Wind]],0)),0)</f>
        <v>0</v>
      </c>
      <c r="AN865" s="63">
        <f>IFERROR(INDEX(Job_Training[[Solar]:[Wind]],MATCH(AN$1,Job_Training[[`Typical Entry Level Education`]:[`Typical Entry Level Education`]],0),MATCH(LEFT($D865,5),Job_Training[[#Headers],[Solar]:[Wind]],0)),0)</f>
        <v>0</v>
      </c>
      <c r="AO865" s="63">
        <f>IFERROR(INDEX(Job_Training[[Solar]:[Wind]],MATCH(AO$1,Job_Training[[`Typical Entry Level Education`]:[`Typical Entry Level Education`]],0),MATCH(LEFT($D865,5),Job_Training[[#Headers],[Solar]:[Wind]],0)),0)</f>
        <v>0</v>
      </c>
      <c r="AP865">
        <f t="shared" si="246"/>
        <v>23.80952380952381</v>
      </c>
      <c r="AQ865" s="63">
        <f>IF(AP865&gt;0,IFERROR(INDEX(Assumptions!$C$165:$D$165,MATCH(LEFT($D865,5),Job_Training[[#Headers],[Solar]:[Wind]],0)),0),0)</f>
        <v>0</v>
      </c>
      <c r="AR865">
        <f>IF(AP865&gt;0,IFERROR(INDEX(Assumptions!$C$166:$D$166,MATCH(LEFT($D865,5),Job_Training[[#Headers],[Solar]:[Wind]],0)),0),0)</f>
        <v>0</v>
      </c>
    </row>
    <row r="866" spans="1:44" hidden="1" x14ac:dyDescent="0.35">
      <c r="A866" t="str">
        <f>UserInput!$B$82</f>
        <v>Incremental Buildout</v>
      </c>
      <c r="B866">
        <v>2028</v>
      </c>
      <c r="C866" t="s">
        <v>41</v>
      </c>
      <c r="D866" t="s">
        <v>85</v>
      </c>
      <c r="E866" s="120">
        <f>INDEX(UserInput!$C$82:$M$102,MATCH(UserMade_Scenario!B866,UserInput!$A$82:$A$102,0),MATCH(LEFT(IF(RIGHT(C866,2)="H2",UserMade_Scenario!C866,D866),3),UserInput!$C$25:$M$25,0))</f>
        <v>95.238095238095241</v>
      </c>
      <c r="F866" t="s">
        <v>81</v>
      </c>
      <c r="G866" s="14">
        <f t="shared" si="247"/>
        <v>4.014996340354642E-4</v>
      </c>
      <c r="H866" s="63">
        <f t="shared" si="237"/>
        <v>1.4650842536107865E-2</v>
      </c>
      <c r="I866" s="63">
        <f t="shared" si="238"/>
        <v>1.3002183723602487E-2</v>
      </c>
      <c r="J866" s="63">
        <f t="shared" si="239"/>
        <v>1.6299501237080079E-2</v>
      </c>
      <c r="K866" s="30">
        <f>IF(OR(LEFT($D866,5)="Solar",$D866="Wind"),INDEX(Land_Use[AVG],MATCH(LEFT($D866,5),Land_Use[Tech],0)),0)*$E866</f>
        <v>0</v>
      </c>
      <c r="L866" s="30">
        <f>IF(OR(LEFT($D866,5)="Solar",$D866="Wind"),INDEX(Land_Use[MIN],MATCH(LEFT($D866,5),Land_Use[Tech],0)),0)*$E866</f>
        <v>0</v>
      </c>
      <c r="M866" s="30">
        <f>IF(OR(LEFT($D866,5)="Solar",$D866="Wind"),INDEX(Land_Use[MAX],MATCH(LEFT($D866,5),Land_Use[Tech],0)),0)*$E866</f>
        <v>0</v>
      </c>
      <c r="N866" s="15">
        <f t="shared" si="232"/>
        <v>0</v>
      </c>
      <c r="O866" s="11">
        <f t="shared" si="233"/>
        <v>0</v>
      </c>
      <c r="P866" s="11">
        <f t="shared" si="234"/>
        <v>0</v>
      </c>
      <c r="Q866" s="11">
        <f t="shared" si="235"/>
        <v>0</v>
      </c>
      <c r="R866" s="11">
        <f t="shared" si="236"/>
        <v>0</v>
      </c>
      <c r="S866" s="30">
        <f t="shared" si="240"/>
        <v>0</v>
      </c>
      <c r="T866" s="30">
        <f t="shared" si="241"/>
        <v>0</v>
      </c>
      <c r="U866" s="30">
        <f t="shared" si="242"/>
        <v>0</v>
      </c>
      <c r="V866" s="30">
        <f t="shared" si="243"/>
        <v>0</v>
      </c>
      <c r="W866" s="30">
        <f t="shared" si="244"/>
        <v>0</v>
      </c>
      <c r="X866" s="30">
        <f t="shared" si="245"/>
        <v>0</v>
      </c>
      <c r="Z866" s="23" t="s">
        <v>76</v>
      </c>
      <c r="AA866" s="40">
        <f>IF(C866="Electricity",E866*SUMIFS(Electricity!S:S,Electricity!P:P,UserMade_Scenario!B866,Electricity!M:M,UserMade_Scenario!Z866,Electricity!O:O,UserMade_Scenario!D866),"")</f>
        <v>111533.17321969052</v>
      </c>
      <c r="AB866" s="76">
        <f>1/Assumptions!$B$23/1000000000000</f>
        <v>3.5998225679871703E-9</v>
      </c>
      <c r="AC866" s="67" t="s">
        <v>82</v>
      </c>
      <c r="AD866" s="69">
        <f>INDEX(Table11[AVG
CO2e MT per MWh],MATCH(UserMade_Scenario!$B866,Table11[[Year]:[Year]],0))</f>
        <v>-0.13135860939999999</v>
      </c>
      <c r="AE866" s="69">
        <f>INDEX(Table11[MIN
CO2e MT per MWh],MATCH(UserMade_Scenario!$B866,Table11[[Year]:[Year]],0))</f>
        <v>-0.11657682955000001</v>
      </c>
      <c r="AF866" s="69">
        <f>INDEX(Table11[MAX CO2e MT per MWh],MATCH(UserMade_Scenario!$B866,Table11[[Year]:[Year]],0))</f>
        <v>-0.14614038825000003</v>
      </c>
      <c r="AG866" s="68">
        <f>IFERROR(INDEX(WaterUseH2[Average Direct Water Consumption (Gal/ kg h2)],MATCH(LEFT(D866,3),WaterUseH2[Key],0)),0)</f>
        <v>0</v>
      </c>
      <c r="AH866">
        <v>14</v>
      </c>
      <c r="AI866">
        <v>1.4</v>
      </c>
      <c r="AJ866">
        <v>250</v>
      </c>
      <c r="AK866">
        <v>0.31</v>
      </c>
      <c r="AL866" s="63">
        <f>IFERROR(INDEX(Job_Training[[Solar]:[Wind]],MATCH(AL$1,Job_Training[[`Typical Entry Level Education`]:[`Typical Entry Level Education`]],0),MATCH(LEFT($D866,5),Job_Training[[#Headers],[Solar]:[Wind]],0)),0)</f>
        <v>0</v>
      </c>
      <c r="AM866" s="63">
        <f>IFERROR(INDEX(Job_Training[[Solar]:[Wind]],MATCH(AM$1,Job_Training[[`Typical Entry Level Education`]:[`Typical Entry Level Education`]],0),MATCH(LEFT($D866,5),Job_Training[[#Headers],[Solar]:[Wind]],0)),0)</f>
        <v>0</v>
      </c>
      <c r="AN866" s="63">
        <f>IFERROR(INDEX(Job_Training[[Solar]:[Wind]],MATCH(AN$1,Job_Training[[`Typical Entry Level Education`]:[`Typical Entry Level Education`]],0),MATCH(LEFT($D866,5),Job_Training[[#Headers],[Solar]:[Wind]],0)),0)</f>
        <v>0</v>
      </c>
      <c r="AO866" s="63">
        <f>IFERROR(INDEX(Job_Training[[Solar]:[Wind]],MATCH(AO$1,Job_Training[[`Typical Entry Level Education`]:[`Typical Entry Level Education`]],0),MATCH(LEFT($D866,5),Job_Training[[#Headers],[Solar]:[Wind]],0)),0)</f>
        <v>0</v>
      </c>
      <c r="AP866">
        <f t="shared" si="246"/>
        <v>23.80952380952381</v>
      </c>
      <c r="AQ866" s="63">
        <f>IF(AP866&gt;0,IFERROR(INDEX(Assumptions!$C$165:$D$165,MATCH(LEFT($D866,5),Job_Training[[#Headers],[Solar]:[Wind]],0)),0),0)</f>
        <v>0</v>
      </c>
      <c r="AR866">
        <f>IF(AP866&gt;0,IFERROR(INDEX(Assumptions!$C$166:$D$166,MATCH(LEFT($D866,5),Job_Training[[#Headers],[Solar]:[Wind]],0)),0),0)</f>
        <v>0</v>
      </c>
    </row>
    <row r="867" spans="1:44" hidden="1" x14ac:dyDescent="0.35">
      <c r="A867" t="str">
        <f>UserInput!$B$82</f>
        <v>Incremental Buildout</v>
      </c>
      <c r="B867">
        <v>2029</v>
      </c>
      <c r="C867" t="s">
        <v>41</v>
      </c>
      <c r="D867" t="s">
        <v>85</v>
      </c>
      <c r="E867" s="120">
        <f>INDEX(UserInput!$C$82:$M$102,MATCH(UserMade_Scenario!B867,UserInput!$A$82:$A$102,0),MATCH(LEFT(IF(RIGHT(C867,2)="H2",UserMade_Scenario!C867,D867),3),UserInput!$C$25:$M$25,0))</f>
        <v>119.04761904761905</v>
      </c>
      <c r="F867" t="s">
        <v>81</v>
      </c>
      <c r="G867" s="14">
        <f t="shared" si="247"/>
        <v>5.0187454254433024E-4</v>
      </c>
      <c r="H867" s="63">
        <f t="shared" si="237"/>
        <v>1.772466858330303E-2</v>
      </c>
      <c r="I867" s="63">
        <f t="shared" si="238"/>
        <v>1.5533651983293387E-2</v>
      </c>
      <c r="J867" s="63">
        <f t="shared" si="239"/>
        <v>1.9915685043896215E-2</v>
      </c>
      <c r="K867" s="30">
        <f>IF(OR(LEFT($D867,5)="Solar",$D867="Wind"),INDEX(Land_Use[AVG],MATCH(LEFT($D867,5),Land_Use[Tech],0)),0)*$E867</f>
        <v>0</v>
      </c>
      <c r="L867" s="30">
        <f>IF(OR(LEFT($D867,5)="Solar",$D867="Wind"),INDEX(Land_Use[MIN],MATCH(LEFT($D867,5),Land_Use[Tech],0)),0)*$E867</f>
        <v>0</v>
      </c>
      <c r="M867" s="30">
        <f>IF(OR(LEFT($D867,5)="Solar",$D867="Wind"),INDEX(Land_Use[MAX],MATCH(LEFT($D867,5),Land_Use[Tech],0)),0)*$E867</f>
        <v>0</v>
      </c>
      <c r="N867" s="15">
        <f t="shared" si="232"/>
        <v>0</v>
      </c>
      <c r="O867" s="11">
        <f t="shared" si="233"/>
        <v>0</v>
      </c>
      <c r="P867" s="11">
        <f t="shared" si="234"/>
        <v>0</v>
      </c>
      <c r="Q867" s="11">
        <f t="shared" si="235"/>
        <v>0</v>
      </c>
      <c r="R867" s="11">
        <f t="shared" si="236"/>
        <v>0</v>
      </c>
      <c r="S867" s="30">
        <f t="shared" si="240"/>
        <v>0</v>
      </c>
      <c r="T867" s="30">
        <f t="shared" si="241"/>
        <v>0</v>
      </c>
      <c r="U867" s="30">
        <f t="shared" si="242"/>
        <v>0</v>
      </c>
      <c r="V867" s="30">
        <f t="shared" si="243"/>
        <v>0</v>
      </c>
      <c r="W867" s="30">
        <f t="shared" si="244"/>
        <v>0</v>
      </c>
      <c r="X867" s="30">
        <f t="shared" si="245"/>
        <v>0</v>
      </c>
      <c r="Z867" s="23" t="s">
        <v>76</v>
      </c>
      <c r="AA867" s="40">
        <f>IF(C867="Electricity",E867*SUMIFS(Electricity!S:S,Electricity!P:P,UserMade_Scenario!B867,Electricity!M:M,UserMade_Scenario!Z867,Electricity!O:O,UserMade_Scenario!D867),"")</f>
        <v>139416.46652461315</v>
      </c>
      <c r="AB867" s="76">
        <f>1/Assumptions!$B$23/1000000000000</f>
        <v>3.5998225679871703E-9</v>
      </c>
      <c r="AC867" s="67" t="s">
        <v>82</v>
      </c>
      <c r="AD867" s="69">
        <f>INDEX(Table11[AVG
CO2e MT per MWh],MATCH(UserMade_Scenario!$B867,Table11[[Year]:[Year]],0))</f>
        <v>-0.12713468519999999</v>
      </c>
      <c r="AE867" s="69">
        <f>INDEX(Table11[MIN
CO2e MT per MWh],MATCH(UserMade_Scenario!$B867,Table11[[Year]:[Year]],0))</f>
        <v>-0.11141906240000002</v>
      </c>
      <c r="AF867" s="69">
        <f>INDEX(Table11[MAX CO2e MT per MWh],MATCH(UserMade_Scenario!$B867,Table11[[Year]:[Year]],0))</f>
        <v>-0.14285030700000004</v>
      </c>
      <c r="AG867" s="68">
        <f>IFERROR(INDEX(WaterUseH2[Average Direct Water Consumption (Gal/ kg h2)],MATCH(LEFT(D867,3),WaterUseH2[Key],0)),0)</f>
        <v>0</v>
      </c>
      <c r="AH867">
        <v>14</v>
      </c>
      <c r="AI867">
        <v>1.4</v>
      </c>
      <c r="AJ867">
        <v>250</v>
      </c>
      <c r="AK867">
        <v>0.31</v>
      </c>
      <c r="AL867" s="63">
        <f>IFERROR(INDEX(Job_Training[[Solar]:[Wind]],MATCH(AL$1,Job_Training[[`Typical Entry Level Education`]:[`Typical Entry Level Education`]],0),MATCH(LEFT($D867,5),Job_Training[[#Headers],[Solar]:[Wind]],0)),0)</f>
        <v>0</v>
      </c>
      <c r="AM867" s="63">
        <f>IFERROR(INDEX(Job_Training[[Solar]:[Wind]],MATCH(AM$1,Job_Training[[`Typical Entry Level Education`]:[`Typical Entry Level Education`]],0),MATCH(LEFT($D867,5),Job_Training[[#Headers],[Solar]:[Wind]],0)),0)</f>
        <v>0</v>
      </c>
      <c r="AN867" s="63">
        <f>IFERROR(INDEX(Job_Training[[Solar]:[Wind]],MATCH(AN$1,Job_Training[[`Typical Entry Level Education`]:[`Typical Entry Level Education`]],0),MATCH(LEFT($D867,5),Job_Training[[#Headers],[Solar]:[Wind]],0)),0)</f>
        <v>0</v>
      </c>
      <c r="AO867" s="63">
        <f>IFERROR(INDEX(Job_Training[[Solar]:[Wind]],MATCH(AO$1,Job_Training[[`Typical Entry Level Education`]:[`Typical Entry Level Education`]],0),MATCH(LEFT($D867,5),Job_Training[[#Headers],[Solar]:[Wind]],0)),0)</f>
        <v>0</v>
      </c>
      <c r="AP867">
        <f t="shared" si="246"/>
        <v>23.80952380952381</v>
      </c>
      <c r="AQ867" s="63">
        <f>IF(AP867&gt;0,IFERROR(INDEX(Assumptions!$C$165:$D$165,MATCH(LEFT($D867,5),Job_Training[[#Headers],[Solar]:[Wind]],0)),0),0)</f>
        <v>0</v>
      </c>
      <c r="AR867">
        <f>IF(AP867&gt;0,IFERROR(INDEX(Assumptions!$C$166:$D$166,MATCH(LEFT($D867,5),Job_Training[[#Headers],[Solar]:[Wind]],0)),0),0)</f>
        <v>0</v>
      </c>
    </row>
    <row r="868" spans="1:44" hidden="1" x14ac:dyDescent="0.35">
      <c r="A868" t="str">
        <f>UserInput!$B$82</f>
        <v>Incremental Buildout</v>
      </c>
      <c r="B868">
        <v>2030</v>
      </c>
      <c r="C868" t="s">
        <v>41</v>
      </c>
      <c r="D868" t="s">
        <v>85</v>
      </c>
      <c r="E868" s="120">
        <f>INDEX(UserInput!$C$82:$M$102,MATCH(UserMade_Scenario!B868,UserInput!$A$82:$A$102,0),MATCH(LEFT(IF(RIGHT(C868,2)="H2",UserMade_Scenario!C868,D868),3),UserInput!$C$25:$M$25,0))</f>
        <v>142.85714285714286</v>
      </c>
      <c r="F868" t="s">
        <v>81</v>
      </c>
      <c r="G868" s="14">
        <f t="shared" si="247"/>
        <v>6.0224945105319633E-4</v>
      </c>
      <c r="H868" s="63">
        <f t="shared" si="237"/>
        <v>2.0562940795765473E-2</v>
      </c>
      <c r="I868" s="63">
        <f t="shared" si="238"/>
        <v>1.7777489174500397E-2</v>
      </c>
      <c r="J868" s="63">
        <f t="shared" si="239"/>
        <v>2.3348392249730805E-2</v>
      </c>
      <c r="K868" s="30">
        <f>IF(OR(LEFT($D868,5)="Solar",$D868="Wind"),INDEX(Land_Use[AVG],MATCH(LEFT($D868,5),Land_Use[Tech],0)),0)*$E868</f>
        <v>0</v>
      </c>
      <c r="L868" s="30">
        <f>IF(OR(LEFT($D868,5)="Solar",$D868="Wind"),INDEX(Land_Use[MIN],MATCH(LEFT($D868,5),Land_Use[Tech],0)),0)*$E868</f>
        <v>0</v>
      </c>
      <c r="M868" s="30">
        <f>IF(OR(LEFT($D868,5)="Solar",$D868="Wind"),INDEX(Land_Use[MAX],MATCH(LEFT($D868,5),Land_Use[Tech],0)),0)*$E868</f>
        <v>0</v>
      </c>
      <c r="N868" s="15">
        <f t="shared" si="232"/>
        <v>0</v>
      </c>
      <c r="O868" s="11">
        <f t="shared" si="233"/>
        <v>0</v>
      </c>
      <c r="P868" s="11">
        <f t="shared" si="234"/>
        <v>0</v>
      </c>
      <c r="Q868" s="11">
        <f t="shared" si="235"/>
        <v>0</v>
      </c>
      <c r="R868" s="11">
        <f t="shared" si="236"/>
        <v>0</v>
      </c>
      <c r="S868" s="30">
        <f t="shared" si="240"/>
        <v>0</v>
      </c>
      <c r="T868" s="30">
        <f t="shared" si="241"/>
        <v>0</v>
      </c>
      <c r="U868" s="30">
        <f t="shared" si="242"/>
        <v>0</v>
      </c>
      <c r="V868" s="30">
        <f t="shared" si="243"/>
        <v>0</v>
      </c>
      <c r="W868" s="30">
        <f t="shared" si="244"/>
        <v>0</v>
      </c>
      <c r="X868" s="30">
        <f t="shared" si="245"/>
        <v>0</v>
      </c>
      <c r="Z868" s="23" t="s">
        <v>76</v>
      </c>
      <c r="AA868" s="40">
        <f>IF(C868="Electricity",E868*SUMIFS(Electricity!S:S,Electricity!P:P,UserMade_Scenario!B868,Electricity!M:M,UserMade_Scenario!Z868,Electricity!O:O,UserMade_Scenario!D868),"")</f>
        <v>167299.75982953579</v>
      </c>
      <c r="AB868" s="76">
        <f>1/Assumptions!$B$23/1000000000000</f>
        <v>3.5998225679871703E-9</v>
      </c>
      <c r="AC868" s="67" t="s">
        <v>82</v>
      </c>
      <c r="AD868" s="69">
        <f>INDEX(Table11[AVG
CO2e MT per MWh],MATCH(UserMade_Scenario!$B868,Table11[[Year]:[Year]],0))</f>
        <v>-0.12291076099999998</v>
      </c>
      <c r="AE868" s="69">
        <f>INDEX(Table11[MIN
CO2e MT per MWh],MATCH(UserMade_Scenario!$B868,Table11[[Year]:[Year]],0))</f>
        <v>-0.10626129525000003</v>
      </c>
      <c r="AF868" s="69">
        <f>INDEX(Table11[MAX CO2e MT per MWh],MATCH(UserMade_Scenario!$B868,Table11[[Year]:[Year]],0))</f>
        <v>-0.13956022575000004</v>
      </c>
      <c r="AG868" s="68">
        <f>IFERROR(INDEX(WaterUseH2[Average Direct Water Consumption (Gal/ kg h2)],MATCH(LEFT(D868,3),WaterUseH2[Key],0)),0)</f>
        <v>0</v>
      </c>
      <c r="AH868">
        <v>14</v>
      </c>
      <c r="AI868">
        <v>1.4</v>
      </c>
      <c r="AJ868">
        <v>250</v>
      </c>
      <c r="AK868">
        <v>0.31</v>
      </c>
      <c r="AL868" s="63">
        <f>IFERROR(INDEX(Job_Training[[Solar]:[Wind]],MATCH(AL$1,Job_Training[[`Typical Entry Level Education`]:[`Typical Entry Level Education`]],0),MATCH(LEFT($D868,5),Job_Training[[#Headers],[Solar]:[Wind]],0)),0)</f>
        <v>0</v>
      </c>
      <c r="AM868" s="63">
        <f>IFERROR(INDEX(Job_Training[[Solar]:[Wind]],MATCH(AM$1,Job_Training[[`Typical Entry Level Education`]:[`Typical Entry Level Education`]],0),MATCH(LEFT($D868,5),Job_Training[[#Headers],[Solar]:[Wind]],0)),0)</f>
        <v>0</v>
      </c>
      <c r="AN868" s="63">
        <f>IFERROR(INDEX(Job_Training[[Solar]:[Wind]],MATCH(AN$1,Job_Training[[`Typical Entry Level Education`]:[`Typical Entry Level Education`]],0),MATCH(LEFT($D868,5),Job_Training[[#Headers],[Solar]:[Wind]],0)),0)</f>
        <v>0</v>
      </c>
      <c r="AO868" s="63">
        <f>IFERROR(INDEX(Job_Training[[Solar]:[Wind]],MATCH(AO$1,Job_Training[[`Typical Entry Level Education`]:[`Typical Entry Level Education`]],0),MATCH(LEFT($D868,5),Job_Training[[#Headers],[Solar]:[Wind]],0)),0)</f>
        <v>0</v>
      </c>
      <c r="AP868">
        <f t="shared" si="246"/>
        <v>23.80952380952381</v>
      </c>
      <c r="AQ868" s="63">
        <f>IF(AP868&gt;0,IFERROR(INDEX(Assumptions!$C$165:$D$165,MATCH(LEFT($D868,5),Job_Training[[#Headers],[Solar]:[Wind]],0)),0),0)</f>
        <v>0</v>
      </c>
      <c r="AR868">
        <f>IF(AP868&gt;0,IFERROR(INDEX(Assumptions!$C$166:$D$166,MATCH(LEFT($D868,5),Job_Training[[#Headers],[Solar]:[Wind]],0)),0),0)</f>
        <v>0</v>
      </c>
    </row>
    <row r="869" spans="1:44" hidden="1" x14ac:dyDescent="0.35">
      <c r="A869" t="str">
        <f>UserInput!$B$82</f>
        <v>Incremental Buildout</v>
      </c>
      <c r="B869">
        <v>2031</v>
      </c>
      <c r="C869" t="s">
        <v>41</v>
      </c>
      <c r="D869" t="s">
        <v>85</v>
      </c>
      <c r="E869" s="120">
        <f>INDEX(UserInput!$C$82:$M$102,MATCH(UserMade_Scenario!B869,UserInput!$A$82:$A$102,0),MATCH(LEFT(IF(RIGHT(C869,2)="H2",UserMade_Scenario!C869,D869),3),UserInput!$C$25:$M$25,0))</f>
        <v>166.66666666666669</v>
      </c>
      <c r="F869" t="s">
        <v>81</v>
      </c>
      <c r="G869" s="14">
        <f t="shared" si="247"/>
        <v>7.0262435956206242E-4</v>
      </c>
      <c r="H869" s="63">
        <f t="shared" si="237"/>
        <v>2.3165659173495192E-2</v>
      </c>
      <c r="I869" s="63">
        <f t="shared" si="238"/>
        <v>1.9733695297223519E-2</v>
      </c>
      <c r="J869" s="63">
        <f t="shared" si="239"/>
        <v>2.6597622854583839E-2</v>
      </c>
      <c r="K869" s="30">
        <f>IF(OR(LEFT($D869,5)="Solar",$D869="Wind"),INDEX(Land_Use[AVG],MATCH(LEFT($D869,5),Land_Use[Tech],0)),0)*$E869</f>
        <v>0</v>
      </c>
      <c r="L869" s="30">
        <f>IF(OR(LEFT($D869,5)="Solar",$D869="Wind"),INDEX(Land_Use[MIN],MATCH(LEFT($D869,5),Land_Use[Tech],0)),0)*$E869</f>
        <v>0</v>
      </c>
      <c r="M869" s="30">
        <f>IF(OR(LEFT($D869,5)="Solar",$D869="Wind"),INDEX(Land_Use[MAX],MATCH(LEFT($D869,5),Land_Use[Tech],0)),0)*$E869</f>
        <v>0</v>
      </c>
      <c r="N869" s="15">
        <f t="shared" si="232"/>
        <v>0</v>
      </c>
      <c r="O869" s="11">
        <f t="shared" si="233"/>
        <v>0</v>
      </c>
      <c r="P869" s="11">
        <f t="shared" si="234"/>
        <v>0</v>
      </c>
      <c r="Q869" s="11">
        <f t="shared" si="235"/>
        <v>0</v>
      </c>
      <c r="R869" s="11">
        <f t="shared" si="236"/>
        <v>0</v>
      </c>
      <c r="S869" s="30">
        <f t="shared" si="240"/>
        <v>0</v>
      </c>
      <c r="T869" s="30">
        <f t="shared" si="241"/>
        <v>0</v>
      </c>
      <c r="U869" s="30">
        <f t="shared" si="242"/>
        <v>0</v>
      </c>
      <c r="V869" s="30">
        <f t="shared" si="243"/>
        <v>0</v>
      </c>
      <c r="W869" s="30">
        <f t="shared" si="244"/>
        <v>0</v>
      </c>
      <c r="X869" s="30">
        <f t="shared" si="245"/>
        <v>0</v>
      </c>
      <c r="Z869" s="23" t="s">
        <v>76</v>
      </c>
      <c r="AA869" s="40">
        <f>IF(C869="Electricity",E869*SUMIFS(Electricity!S:S,Electricity!P:P,UserMade_Scenario!B869,Electricity!M:M,UserMade_Scenario!Z869,Electricity!O:O,UserMade_Scenario!D869),"")</f>
        <v>195183.05313445843</v>
      </c>
      <c r="AB869" s="76">
        <f>1/Assumptions!$B$23/1000000000000</f>
        <v>3.5998225679871703E-9</v>
      </c>
      <c r="AC869" s="67" t="s">
        <v>82</v>
      </c>
      <c r="AD869" s="69">
        <f>INDEX(Table11[AVG
CO2e MT per MWh],MATCH(UserMade_Scenario!$B869,Table11[[Year]:[Year]],0))</f>
        <v>-0.11868683679999997</v>
      </c>
      <c r="AE869" s="69">
        <f>INDEX(Table11[MIN
CO2e MT per MWh],MATCH(UserMade_Scenario!$B869,Table11[[Year]:[Year]],0))</f>
        <v>-0.10110352810000003</v>
      </c>
      <c r="AF869" s="69">
        <f>INDEX(Table11[MAX CO2e MT per MWh],MATCH(UserMade_Scenario!$B869,Table11[[Year]:[Year]],0))</f>
        <v>-0.13627014450000005</v>
      </c>
      <c r="AG869" s="68">
        <f>IFERROR(INDEX(WaterUseH2[Average Direct Water Consumption (Gal/ kg h2)],MATCH(LEFT(D869,3),WaterUseH2[Key],0)),0)</f>
        <v>0</v>
      </c>
      <c r="AH869">
        <v>14</v>
      </c>
      <c r="AI869">
        <v>1.4</v>
      </c>
      <c r="AJ869">
        <v>250</v>
      </c>
      <c r="AK869">
        <v>0.31</v>
      </c>
      <c r="AL869" s="63">
        <f>IFERROR(INDEX(Job_Training[[Solar]:[Wind]],MATCH(AL$1,Job_Training[[`Typical Entry Level Education`]:[`Typical Entry Level Education`]],0),MATCH(LEFT($D869,5),Job_Training[[#Headers],[Solar]:[Wind]],0)),0)</f>
        <v>0</v>
      </c>
      <c r="AM869" s="63">
        <f>IFERROR(INDEX(Job_Training[[Solar]:[Wind]],MATCH(AM$1,Job_Training[[`Typical Entry Level Education`]:[`Typical Entry Level Education`]],0),MATCH(LEFT($D869,5),Job_Training[[#Headers],[Solar]:[Wind]],0)),0)</f>
        <v>0</v>
      </c>
      <c r="AN869" s="63">
        <f>IFERROR(INDEX(Job_Training[[Solar]:[Wind]],MATCH(AN$1,Job_Training[[`Typical Entry Level Education`]:[`Typical Entry Level Education`]],0),MATCH(LEFT($D869,5),Job_Training[[#Headers],[Solar]:[Wind]],0)),0)</f>
        <v>0</v>
      </c>
      <c r="AO869" s="63">
        <f>IFERROR(INDEX(Job_Training[[Solar]:[Wind]],MATCH(AO$1,Job_Training[[`Typical Entry Level Education`]:[`Typical Entry Level Education`]],0),MATCH(LEFT($D869,5),Job_Training[[#Headers],[Solar]:[Wind]],0)),0)</f>
        <v>0</v>
      </c>
      <c r="AP869">
        <f t="shared" si="246"/>
        <v>23.809523809523824</v>
      </c>
      <c r="AQ869" s="63">
        <f>IF(AP869&gt;0,IFERROR(INDEX(Assumptions!$C$165:$D$165,MATCH(LEFT($D869,5),Job_Training[[#Headers],[Solar]:[Wind]],0)),0),0)</f>
        <v>0</v>
      </c>
      <c r="AR869">
        <f>IF(AP869&gt;0,IFERROR(INDEX(Assumptions!$C$166:$D$166,MATCH(LEFT($D869,5),Job_Training[[#Headers],[Solar]:[Wind]],0)),0),0)</f>
        <v>0</v>
      </c>
    </row>
    <row r="870" spans="1:44" hidden="1" x14ac:dyDescent="0.35">
      <c r="A870" t="str">
        <f>UserInput!$B$82</f>
        <v>Incremental Buildout</v>
      </c>
      <c r="B870">
        <v>2032</v>
      </c>
      <c r="C870" t="s">
        <v>41</v>
      </c>
      <c r="D870" t="s">
        <v>85</v>
      </c>
      <c r="E870" s="120">
        <f>INDEX(UserInput!$C$82:$M$102,MATCH(UserMade_Scenario!B870,UserInput!$A$82:$A$102,0),MATCH(LEFT(IF(RIGHT(C870,2)="H2",UserMade_Scenario!C870,D870),3),UserInput!$C$25:$M$25,0))</f>
        <v>190.47619047619048</v>
      </c>
      <c r="F870" t="s">
        <v>81</v>
      </c>
      <c r="G870" s="14">
        <f t="shared" si="247"/>
        <v>8.029992680709284E-4</v>
      </c>
      <c r="H870" s="63">
        <f t="shared" si="237"/>
        <v>2.5532823716492185E-2</v>
      </c>
      <c r="I870" s="63">
        <f t="shared" si="238"/>
        <v>2.1402270351462745E-2</v>
      </c>
      <c r="J870" s="63">
        <f t="shared" si="239"/>
        <v>2.9663376858455315E-2</v>
      </c>
      <c r="K870" s="30">
        <f>IF(OR(LEFT($D870,5)="Solar",$D870="Wind"),INDEX(Land_Use[AVG],MATCH(LEFT($D870,5),Land_Use[Tech],0)),0)*$E870</f>
        <v>0</v>
      </c>
      <c r="L870" s="30">
        <f>IF(OR(LEFT($D870,5)="Solar",$D870="Wind"),INDEX(Land_Use[MIN],MATCH(LEFT($D870,5),Land_Use[Tech],0)),0)*$E870</f>
        <v>0</v>
      </c>
      <c r="M870" s="30">
        <f>IF(OR(LEFT($D870,5)="Solar",$D870="Wind"),INDEX(Land_Use[MAX],MATCH(LEFT($D870,5),Land_Use[Tech],0)),0)*$E870</f>
        <v>0</v>
      </c>
      <c r="N870" s="15">
        <f t="shared" si="232"/>
        <v>0</v>
      </c>
      <c r="O870" s="11">
        <f t="shared" si="233"/>
        <v>0</v>
      </c>
      <c r="P870" s="11">
        <f t="shared" si="234"/>
        <v>0</v>
      </c>
      <c r="Q870" s="11">
        <f t="shared" si="235"/>
        <v>0</v>
      </c>
      <c r="R870" s="11">
        <f t="shared" si="236"/>
        <v>0</v>
      </c>
      <c r="S870" s="30">
        <f t="shared" si="240"/>
        <v>0</v>
      </c>
      <c r="T870" s="30">
        <f t="shared" si="241"/>
        <v>0</v>
      </c>
      <c r="U870" s="30">
        <f t="shared" si="242"/>
        <v>0</v>
      </c>
      <c r="V870" s="30">
        <f t="shared" si="243"/>
        <v>0</v>
      </c>
      <c r="W870" s="30">
        <f t="shared" si="244"/>
        <v>0</v>
      </c>
      <c r="X870" s="30">
        <f t="shared" si="245"/>
        <v>0</v>
      </c>
      <c r="Z870" s="23" t="s">
        <v>76</v>
      </c>
      <c r="AA870" s="40">
        <f>IF(C870="Electricity",E870*SUMIFS(Electricity!S:S,Electricity!P:P,UserMade_Scenario!B870,Electricity!M:M,UserMade_Scenario!Z870,Electricity!O:O,UserMade_Scenario!D870),"")</f>
        <v>223066.34643938104</v>
      </c>
      <c r="AB870" s="76">
        <f>1/Assumptions!$B$23/1000000000000</f>
        <v>3.5998225679871703E-9</v>
      </c>
      <c r="AC870" s="67" t="s">
        <v>82</v>
      </c>
      <c r="AD870" s="69">
        <f>INDEX(Table11[AVG
CO2e MT per MWh],MATCH(UserMade_Scenario!$B870,Table11[[Year]:[Year]],0))</f>
        <v>-0.11446291259999997</v>
      </c>
      <c r="AE870" s="69">
        <f>INDEX(Table11[MIN
CO2e MT per MWh],MATCH(UserMade_Scenario!$B870,Table11[[Year]:[Year]],0))</f>
        <v>-9.5945760950000042E-2</v>
      </c>
      <c r="AF870" s="69">
        <f>INDEX(Table11[MAX CO2e MT per MWh],MATCH(UserMade_Scenario!$B870,Table11[[Year]:[Year]],0))</f>
        <v>-0.13298006325000006</v>
      </c>
      <c r="AG870" s="68">
        <f>IFERROR(INDEX(WaterUseH2[Average Direct Water Consumption (Gal/ kg h2)],MATCH(LEFT(D870,3),WaterUseH2[Key],0)),0)</f>
        <v>0</v>
      </c>
      <c r="AH870">
        <v>14</v>
      </c>
      <c r="AI870">
        <v>1.4</v>
      </c>
      <c r="AJ870">
        <v>250</v>
      </c>
      <c r="AK870">
        <v>0.31</v>
      </c>
      <c r="AL870" s="63">
        <f>IFERROR(INDEX(Job_Training[[Solar]:[Wind]],MATCH(AL$1,Job_Training[[`Typical Entry Level Education`]:[`Typical Entry Level Education`]],0),MATCH(LEFT($D870,5),Job_Training[[#Headers],[Solar]:[Wind]],0)),0)</f>
        <v>0</v>
      </c>
      <c r="AM870" s="63">
        <f>IFERROR(INDEX(Job_Training[[Solar]:[Wind]],MATCH(AM$1,Job_Training[[`Typical Entry Level Education`]:[`Typical Entry Level Education`]],0),MATCH(LEFT($D870,5),Job_Training[[#Headers],[Solar]:[Wind]],0)),0)</f>
        <v>0</v>
      </c>
      <c r="AN870" s="63">
        <f>IFERROR(INDEX(Job_Training[[Solar]:[Wind]],MATCH(AN$1,Job_Training[[`Typical Entry Level Education`]:[`Typical Entry Level Education`]],0),MATCH(LEFT($D870,5),Job_Training[[#Headers],[Solar]:[Wind]],0)),0)</f>
        <v>0</v>
      </c>
      <c r="AO870" s="63">
        <f>IFERROR(INDEX(Job_Training[[Solar]:[Wind]],MATCH(AO$1,Job_Training[[`Typical Entry Level Education`]:[`Typical Entry Level Education`]],0),MATCH(LEFT($D870,5),Job_Training[[#Headers],[Solar]:[Wind]],0)),0)</f>
        <v>0</v>
      </c>
      <c r="AP870">
        <f t="shared" si="246"/>
        <v>23.809523809523796</v>
      </c>
      <c r="AQ870" s="63">
        <f>IF(AP870&gt;0,IFERROR(INDEX(Assumptions!$C$165:$D$165,MATCH(LEFT($D870,5),Job_Training[[#Headers],[Solar]:[Wind]],0)),0),0)</f>
        <v>0</v>
      </c>
      <c r="AR870">
        <f>IF(AP870&gt;0,IFERROR(INDEX(Assumptions!$C$166:$D$166,MATCH(LEFT($D870,5),Job_Training[[#Headers],[Solar]:[Wind]],0)),0),0)</f>
        <v>0</v>
      </c>
    </row>
    <row r="871" spans="1:44" hidden="1" x14ac:dyDescent="0.35">
      <c r="A871" t="str">
        <f>UserInput!$B$82</f>
        <v>Incremental Buildout</v>
      </c>
      <c r="B871">
        <v>2033</v>
      </c>
      <c r="C871" t="s">
        <v>41</v>
      </c>
      <c r="D871" t="s">
        <v>85</v>
      </c>
      <c r="E871" s="120">
        <f>INDEX(UserInput!$C$82:$M$102,MATCH(UserMade_Scenario!B871,UserInput!$A$82:$A$102,0),MATCH(LEFT(IF(RIGHT(C871,2)="H2",UserMade_Scenario!C871,D871),3),UserInput!$C$25:$M$25,0))</f>
        <v>214.28571428571428</v>
      </c>
      <c r="F871" t="s">
        <v>81</v>
      </c>
      <c r="G871" s="14">
        <f t="shared" si="247"/>
        <v>9.0337417657979449E-4</v>
      </c>
      <c r="H871" s="63">
        <f t="shared" si="237"/>
        <v>2.7664434424756461E-2</v>
      </c>
      <c r="I871" s="63">
        <f t="shared" si="238"/>
        <v>2.278321433721809E-2</v>
      </c>
      <c r="J871" s="63">
        <f t="shared" si="239"/>
        <v>3.2545654261345244E-2</v>
      </c>
      <c r="K871" s="30">
        <f>IF(OR(LEFT($D871,5)="Solar",$D871="Wind"),INDEX(Land_Use[AVG],MATCH(LEFT($D871,5),Land_Use[Tech],0)),0)*$E871</f>
        <v>0</v>
      </c>
      <c r="L871" s="30">
        <f>IF(OR(LEFT($D871,5)="Solar",$D871="Wind"),INDEX(Land_Use[MIN],MATCH(LEFT($D871,5),Land_Use[Tech],0)),0)*$E871</f>
        <v>0</v>
      </c>
      <c r="M871" s="30">
        <f>IF(OR(LEFT($D871,5)="Solar",$D871="Wind"),INDEX(Land_Use[MAX],MATCH(LEFT($D871,5),Land_Use[Tech],0)),0)*$E871</f>
        <v>0</v>
      </c>
      <c r="N871" s="15">
        <f t="shared" si="232"/>
        <v>0</v>
      </c>
      <c r="O871" s="11">
        <f t="shared" si="233"/>
        <v>0</v>
      </c>
      <c r="P871" s="11">
        <f t="shared" si="234"/>
        <v>0</v>
      </c>
      <c r="Q871" s="11">
        <f t="shared" si="235"/>
        <v>0</v>
      </c>
      <c r="R871" s="11">
        <f t="shared" si="236"/>
        <v>0</v>
      </c>
      <c r="S871" s="30">
        <f t="shared" si="240"/>
        <v>0</v>
      </c>
      <c r="T871" s="30">
        <f t="shared" si="241"/>
        <v>0</v>
      </c>
      <c r="U871" s="30">
        <f t="shared" si="242"/>
        <v>0</v>
      </c>
      <c r="V871" s="30">
        <f t="shared" si="243"/>
        <v>0</v>
      </c>
      <c r="W871" s="30">
        <f t="shared" si="244"/>
        <v>0</v>
      </c>
      <c r="X871" s="30">
        <f t="shared" si="245"/>
        <v>0</v>
      </c>
      <c r="Z871" s="23" t="s">
        <v>76</v>
      </c>
      <c r="AA871" s="40">
        <f>IF(C871="Electricity",E871*SUMIFS(Electricity!S:S,Electricity!P:P,UserMade_Scenario!B871,Electricity!M:M,UserMade_Scenario!Z871,Electricity!O:O,UserMade_Scenario!D871),"")</f>
        <v>250949.63974430368</v>
      </c>
      <c r="AB871" s="76">
        <f>1/Assumptions!$B$23/1000000000000</f>
        <v>3.5998225679871703E-9</v>
      </c>
      <c r="AC871" s="67" t="s">
        <v>82</v>
      </c>
      <c r="AD871" s="69">
        <f>INDEX(Table11[AVG
CO2e MT per MWh],MATCH(UserMade_Scenario!$B871,Table11[[Year]:[Year]],0))</f>
        <v>-0.11023898839999996</v>
      </c>
      <c r="AE871" s="69">
        <f>INDEX(Table11[MIN
CO2e MT per MWh],MATCH(UserMade_Scenario!$B871,Table11[[Year]:[Year]],0))</f>
        <v>-9.078799380000005E-2</v>
      </c>
      <c r="AF871" s="69">
        <f>INDEX(Table11[MAX CO2e MT per MWh],MATCH(UserMade_Scenario!$B871,Table11[[Year]:[Year]],0))</f>
        <v>-0.12968998200000006</v>
      </c>
      <c r="AG871" s="68">
        <f>IFERROR(INDEX(WaterUseH2[Average Direct Water Consumption (Gal/ kg h2)],MATCH(LEFT(D871,3),WaterUseH2[Key],0)),0)</f>
        <v>0</v>
      </c>
      <c r="AH871">
        <v>14</v>
      </c>
      <c r="AI871">
        <v>1.4</v>
      </c>
      <c r="AJ871">
        <v>250</v>
      </c>
      <c r="AK871">
        <v>0.31</v>
      </c>
      <c r="AL871" s="63">
        <f>IFERROR(INDEX(Job_Training[[Solar]:[Wind]],MATCH(AL$1,Job_Training[[`Typical Entry Level Education`]:[`Typical Entry Level Education`]],0),MATCH(LEFT($D871,5),Job_Training[[#Headers],[Solar]:[Wind]],0)),0)</f>
        <v>0</v>
      </c>
      <c r="AM871" s="63">
        <f>IFERROR(INDEX(Job_Training[[Solar]:[Wind]],MATCH(AM$1,Job_Training[[`Typical Entry Level Education`]:[`Typical Entry Level Education`]],0),MATCH(LEFT($D871,5),Job_Training[[#Headers],[Solar]:[Wind]],0)),0)</f>
        <v>0</v>
      </c>
      <c r="AN871" s="63">
        <f>IFERROR(INDEX(Job_Training[[Solar]:[Wind]],MATCH(AN$1,Job_Training[[`Typical Entry Level Education`]:[`Typical Entry Level Education`]],0),MATCH(LEFT($D871,5),Job_Training[[#Headers],[Solar]:[Wind]],0)),0)</f>
        <v>0</v>
      </c>
      <c r="AO871" s="63">
        <f>IFERROR(INDEX(Job_Training[[Solar]:[Wind]],MATCH(AO$1,Job_Training[[`Typical Entry Level Education`]:[`Typical Entry Level Education`]],0),MATCH(LEFT($D871,5),Job_Training[[#Headers],[Solar]:[Wind]],0)),0)</f>
        <v>0</v>
      </c>
      <c r="AP871">
        <f t="shared" si="246"/>
        <v>23.809523809523796</v>
      </c>
      <c r="AQ871" s="63">
        <f>IF(AP871&gt;0,IFERROR(INDEX(Assumptions!$C$165:$D$165,MATCH(LEFT($D871,5),Job_Training[[#Headers],[Solar]:[Wind]],0)),0),0)</f>
        <v>0</v>
      </c>
      <c r="AR871">
        <f>IF(AP871&gt;0,IFERROR(INDEX(Assumptions!$C$166:$D$166,MATCH(LEFT($D871,5),Job_Training[[#Headers],[Solar]:[Wind]],0)),0),0)</f>
        <v>0</v>
      </c>
    </row>
    <row r="872" spans="1:44" hidden="1" x14ac:dyDescent="0.35">
      <c r="A872" t="str">
        <f>UserInput!$B$82</f>
        <v>Incremental Buildout</v>
      </c>
      <c r="B872">
        <v>2034</v>
      </c>
      <c r="C872" t="s">
        <v>41</v>
      </c>
      <c r="D872" t="s">
        <v>85</v>
      </c>
      <c r="E872" s="120">
        <f>INDEX(UserInput!$C$82:$M$102,MATCH(UserMade_Scenario!B872,UserInput!$A$82:$A$102,0),MATCH(LEFT(IF(RIGHT(C872,2)="H2",UserMade_Scenario!C872,D872),3),UserInput!$C$25:$M$25,0))</f>
        <v>238.09523809523807</v>
      </c>
      <c r="F872" t="s">
        <v>81</v>
      </c>
      <c r="G872" s="14">
        <f t="shared" si="247"/>
        <v>1.0037490850886605E-3</v>
      </c>
      <c r="H872" s="63">
        <f t="shared" si="237"/>
        <v>2.9560491298288014E-2</v>
      </c>
      <c r="I872" s="63">
        <f t="shared" si="238"/>
        <v>2.3876527254489539E-2</v>
      </c>
      <c r="J872" s="63">
        <f t="shared" si="239"/>
        <v>3.5244455063253619E-2</v>
      </c>
      <c r="K872" s="30">
        <f>IF(OR(LEFT($D872,5)="Solar",$D872="Wind"),INDEX(Land_Use[AVG],MATCH(LEFT($D872,5),Land_Use[Tech],0)),0)*$E872</f>
        <v>0</v>
      </c>
      <c r="L872" s="30">
        <f>IF(OR(LEFT($D872,5)="Solar",$D872="Wind"),INDEX(Land_Use[MIN],MATCH(LEFT($D872,5),Land_Use[Tech],0)),0)*$E872</f>
        <v>0</v>
      </c>
      <c r="M872" s="30">
        <f>IF(OR(LEFT($D872,5)="Solar",$D872="Wind"),INDEX(Land_Use[MAX],MATCH(LEFT($D872,5),Land_Use[Tech],0)),0)*$E872</f>
        <v>0</v>
      </c>
      <c r="N872" s="15">
        <f t="shared" si="232"/>
        <v>0</v>
      </c>
      <c r="O872" s="11">
        <f t="shared" si="233"/>
        <v>0</v>
      </c>
      <c r="P872" s="11">
        <f t="shared" si="234"/>
        <v>0</v>
      </c>
      <c r="Q872" s="11">
        <f t="shared" si="235"/>
        <v>0</v>
      </c>
      <c r="R872" s="11">
        <f t="shared" si="236"/>
        <v>0</v>
      </c>
      <c r="S872" s="30">
        <f t="shared" si="240"/>
        <v>0</v>
      </c>
      <c r="T872" s="30">
        <f t="shared" si="241"/>
        <v>0</v>
      </c>
      <c r="U872" s="30">
        <f t="shared" si="242"/>
        <v>0</v>
      </c>
      <c r="V872" s="30">
        <f t="shared" si="243"/>
        <v>0</v>
      </c>
      <c r="W872" s="30">
        <f t="shared" si="244"/>
        <v>0</v>
      </c>
      <c r="X872" s="30">
        <f t="shared" si="245"/>
        <v>0</v>
      </c>
      <c r="Z872" s="23" t="s">
        <v>76</v>
      </c>
      <c r="AA872" s="40">
        <f>IF(C872="Electricity",E872*SUMIFS(Electricity!S:S,Electricity!P:P,UserMade_Scenario!B872,Electricity!M:M,UserMade_Scenario!Z872,Electricity!O:O,UserMade_Scenario!D872),"")</f>
        <v>278832.9330492263</v>
      </c>
      <c r="AB872" s="76">
        <f>1/Assumptions!$B$23/1000000000000</f>
        <v>3.5998225679871703E-9</v>
      </c>
      <c r="AC872" s="67" t="s">
        <v>82</v>
      </c>
      <c r="AD872" s="69">
        <f>INDEX(Table11[AVG
CO2e MT per MWh],MATCH(UserMade_Scenario!$B872,Table11[[Year]:[Year]],0))</f>
        <v>-0.10601506419999995</v>
      </c>
      <c r="AE872" s="69">
        <f>INDEX(Table11[MIN
CO2e MT per MWh],MATCH(UserMade_Scenario!$B872,Table11[[Year]:[Year]],0))</f>
        <v>-8.5630226650000058E-2</v>
      </c>
      <c r="AF872" s="69">
        <f>INDEX(Table11[MAX CO2e MT per MWh],MATCH(UserMade_Scenario!$B872,Table11[[Year]:[Year]],0))</f>
        <v>-0.12639990075000007</v>
      </c>
      <c r="AG872" s="68">
        <f>IFERROR(INDEX(WaterUseH2[Average Direct Water Consumption (Gal/ kg h2)],MATCH(LEFT(D872,3),WaterUseH2[Key],0)),0)</f>
        <v>0</v>
      </c>
      <c r="AH872">
        <v>14</v>
      </c>
      <c r="AI872">
        <v>1.4</v>
      </c>
      <c r="AJ872">
        <v>250</v>
      </c>
      <c r="AK872">
        <v>0.31</v>
      </c>
      <c r="AL872" s="63">
        <f>IFERROR(INDEX(Job_Training[[Solar]:[Wind]],MATCH(AL$1,Job_Training[[`Typical Entry Level Education`]:[`Typical Entry Level Education`]],0),MATCH(LEFT($D872,5),Job_Training[[#Headers],[Solar]:[Wind]],0)),0)</f>
        <v>0</v>
      </c>
      <c r="AM872" s="63">
        <f>IFERROR(INDEX(Job_Training[[Solar]:[Wind]],MATCH(AM$1,Job_Training[[`Typical Entry Level Education`]:[`Typical Entry Level Education`]],0),MATCH(LEFT($D872,5),Job_Training[[#Headers],[Solar]:[Wind]],0)),0)</f>
        <v>0</v>
      </c>
      <c r="AN872" s="63">
        <f>IFERROR(INDEX(Job_Training[[Solar]:[Wind]],MATCH(AN$1,Job_Training[[`Typical Entry Level Education`]:[`Typical Entry Level Education`]],0),MATCH(LEFT($D872,5),Job_Training[[#Headers],[Solar]:[Wind]],0)),0)</f>
        <v>0</v>
      </c>
      <c r="AO872" s="63">
        <f>IFERROR(INDEX(Job_Training[[Solar]:[Wind]],MATCH(AO$1,Job_Training[[`Typical Entry Level Education`]:[`Typical Entry Level Education`]],0),MATCH(LEFT($D872,5),Job_Training[[#Headers],[Solar]:[Wind]],0)),0)</f>
        <v>0</v>
      </c>
      <c r="AP872">
        <f t="shared" si="246"/>
        <v>23.809523809523796</v>
      </c>
      <c r="AQ872" s="63">
        <f>IF(AP872&gt;0,IFERROR(INDEX(Assumptions!$C$165:$D$165,MATCH(LEFT($D872,5),Job_Training[[#Headers],[Solar]:[Wind]],0)),0),0)</f>
        <v>0</v>
      </c>
      <c r="AR872">
        <f>IF(AP872&gt;0,IFERROR(INDEX(Assumptions!$C$166:$D$166,MATCH(LEFT($D872,5),Job_Training[[#Headers],[Solar]:[Wind]],0)),0),0)</f>
        <v>0</v>
      </c>
    </row>
    <row r="873" spans="1:44" hidden="1" x14ac:dyDescent="0.35">
      <c r="A873" t="str">
        <f>UserInput!$B$82</f>
        <v>Incremental Buildout</v>
      </c>
      <c r="B873">
        <v>2035</v>
      </c>
      <c r="C873" t="s">
        <v>41</v>
      </c>
      <c r="D873" t="s">
        <v>85</v>
      </c>
      <c r="E873" s="120">
        <f>INDEX(UserInput!$C$82:$M$102,MATCH(UserMade_Scenario!B873,UserInput!$A$82:$A$102,0),MATCH(LEFT(IF(RIGHT(C873,2)="H2",UserMade_Scenario!C873,D873),3),UserInput!$C$25:$M$25,0))</f>
        <v>261.90476190476187</v>
      </c>
      <c r="F873" t="s">
        <v>81</v>
      </c>
      <c r="G873" s="14">
        <f t="shared" si="247"/>
        <v>1.1041239935975263E-3</v>
      </c>
      <c r="H873" s="63">
        <f t="shared" si="237"/>
        <v>3.122099433708684E-2</v>
      </c>
      <c r="I873" s="63">
        <f t="shared" si="238"/>
        <v>2.4682209103277095E-2</v>
      </c>
      <c r="J873" s="63">
        <f t="shared" si="239"/>
        <v>3.7759779264180428E-2</v>
      </c>
      <c r="K873" s="30">
        <f>IF(OR(LEFT($D873,5)="Solar",$D873="Wind"),INDEX(Land_Use[AVG],MATCH(LEFT($D873,5),Land_Use[Tech],0)),0)*$E873</f>
        <v>0</v>
      </c>
      <c r="L873" s="30">
        <f>IF(OR(LEFT($D873,5)="Solar",$D873="Wind"),INDEX(Land_Use[MIN],MATCH(LEFT($D873,5),Land_Use[Tech],0)),0)*$E873</f>
        <v>0</v>
      </c>
      <c r="M873" s="30">
        <f>IF(OR(LEFT($D873,5)="Solar",$D873="Wind"),INDEX(Land_Use[MAX],MATCH(LEFT($D873,5),Land_Use[Tech],0)),0)*$E873</f>
        <v>0</v>
      </c>
      <c r="N873" s="15">
        <f t="shared" si="232"/>
        <v>0</v>
      </c>
      <c r="O873" s="11">
        <f t="shared" si="233"/>
        <v>0</v>
      </c>
      <c r="P873" s="11">
        <f t="shared" si="234"/>
        <v>0</v>
      </c>
      <c r="Q873" s="11">
        <f t="shared" si="235"/>
        <v>0</v>
      </c>
      <c r="R873" s="11">
        <f t="shared" si="236"/>
        <v>0</v>
      </c>
      <c r="S873" s="30">
        <f t="shared" si="240"/>
        <v>0</v>
      </c>
      <c r="T873" s="30">
        <f t="shared" si="241"/>
        <v>0</v>
      </c>
      <c r="U873" s="30">
        <f t="shared" si="242"/>
        <v>0</v>
      </c>
      <c r="V873" s="30">
        <f t="shared" si="243"/>
        <v>0</v>
      </c>
      <c r="W873" s="30">
        <f t="shared" si="244"/>
        <v>0</v>
      </c>
      <c r="X873" s="30">
        <f t="shared" si="245"/>
        <v>0</v>
      </c>
      <c r="Z873" s="23" t="s">
        <v>76</v>
      </c>
      <c r="AA873" s="40">
        <f>IF(C873="Electricity",E873*SUMIFS(Electricity!S:S,Electricity!P:P,UserMade_Scenario!B873,Electricity!M:M,UserMade_Scenario!Z873,Electricity!O:O,UserMade_Scenario!D873),"")</f>
        <v>306716.22635414888</v>
      </c>
      <c r="AB873" s="76">
        <f>1/Assumptions!$B$23/1000000000000</f>
        <v>3.5998225679871703E-9</v>
      </c>
      <c r="AC873" s="67" t="s">
        <v>82</v>
      </c>
      <c r="AD873" s="69">
        <f>INDEX(Table11[AVG
CO2e MT per MWh],MATCH(UserMade_Scenario!$B873,Table11[[Year]:[Year]],0))</f>
        <v>-0.10179113999999995</v>
      </c>
      <c r="AE873" s="69">
        <f>INDEX(Table11[MIN
CO2e MT per MWh],MATCH(UserMade_Scenario!$B873,Table11[[Year]:[Year]],0))</f>
        <v>-8.0472459500000065E-2</v>
      </c>
      <c r="AF873" s="69">
        <f>INDEX(Table11[MAX CO2e MT per MWh],MATCH(UserMade_Scenario!$B873,Table11[[Year]:[Year]],0))</f>
        <v>-0.12310981950000006</v>
      </c>
      <c r="AG873" s="68">
        <f>IFERROR(INDEX(WaterUseH2[Average Direct Water Consumption (Gal/ kg h2)],MATCH(LEFT(D873,3),WaterUseH2[Key],0)),0)</f>
        <v>0</v>
      </c>
      <c r="AH873">
        <v>14</v>
      </c>
      <c r="AI873">
        <v>1.4</v>
      </c>
      <c r="AJ873">
        <v>250</v>
      </c>
      <c r="AK873">
        <v>0.31</v>
      </c>
      <c r="AL873" s="63">
        <f>IFERROR(INDEX(Job_Training[[Solar]:[Wind]],MATCH(AL$1,Job_Training[[`Typical Entry Level Education`]:[`Typical Entry Level Education`]],0),MATCH(LEFT($D873,5),Job_Training[[#Headers],[Solar]:[Wind]],0)),0)</f>
        <v>0</v>
      </c>
      <c r="AM873" s="63">
        <f>IFERROR(INDEX(Job_Training[[Solar]:[Wind]],MATCH(AM$1,Job_Training[[`Typical Entry Level Education`]:[`Typical Entry Level Education`]],0),MATCH(LEFT($D873,5),Job_Training[[#Headers],[Solar]:[Wind]],0)),0)</f>
        <v>0</v>
      </c>
      <c r="AN873" s="63">
        <f>IFERROR(INDEX(Job_Training[[Solar]:[Wind]],MATCH(AN$1,Job_Training[[`Typical Entry Level Education`]:[`Typical Entry Level Education`]],0),MATCH(LEFT($D873,5),Job_Training[[#Headers],[Solar]:[Wind]],0)),0)</f>
        <v>0</v>
      </c>
      <c r="AO873" s="63">
        <f>IFERROR(INDEX(Job_Training[[Solar]:[Wind]],MATCH(AO$1,Job_Training[[`Typical Entry Level Education`]:[`Typical Entry Level Education`]],0),MATCH(LEFT($D873,5),Job_Training[[#Headers],[Solar]:[Wind]],0)),0)</f>
        <v>0</v>
      </c>
      <c r="AP873">
        <f t="shared" si="246"/>
        <v>23.809523809523796</v>
      </c>
      <c r="AQ873" s="63">
        <f>IF(AP873&gt;0,IFERROR(INDEX(Assumptions!$C$165:$D$165,MATCH(LEFT($D873,5),Job_Training[[#Headers],[Solar]:[Wind]],0)),0),0)</f>
        <v>0</v>
      </c>
      <c r="AR873">
        <f>IF(AP873&gt;0,IFERROR(INDEX(Assumptions!$C$166:$D$166,MATCH(LEFT($D873,5),Job_Training[[#Headers],[Solar]:[Wind]],0)),0),0)</f>
        <v>0</v>
      </c>
    </row>
    <row r="874" spans="1:44" hidden="1" x14ac:dyDescent="0.35">
      <c r="A874" t="str">
        <f>UserInput!$B$82</f>
        <v>Incremental Buildout</v>
      </c>
      <c r="B874">
        <v>2036</v>
      </c>
      <c r="C874" t="s">
        <v>41</v>
      </c>
      <c r="D874" t="s">
        <v>85</v>
      </c>
      <c r="E874" s="120">
        <f>INDEX(UserInput!$C$82:$M$102,MATCH(UserMade_Scenario!B874,UserInput!$A$82:$A$102,0),MATCH(LEFT(IF(RIGHT(C874,2)="H2",UserMade_Scenario!C874,D874),3),UserInput!$C$25:$M$25,0))</f>
        <v>285.71428571428567</v>
      </c>
      <c r="F874" t="s">
        <v>81</v>
      </c>
      <c r="G874" s="14">
        <f t="shared" si="247"/>
        <v>1.2044989021063924E-3</v>
      </c>
      <c r="H874" s="63">
        <f t="shared" si="237"/>
        <v>3.2645943541152952E-2</v>
      </c>
      <c r="I874" s="63">
        <f t="shared" si="238"/>
        <v>2.5200259883580774E-2</v>
      </c>
      <c r="J874" s="63">
        <f t="shared" si="239"/>
        <v>4.00916268641257E-2</v>
      </c>
      <c r="K874" s="30">
        <f>IF(OR(LEFT($D874,5)="Solar",$D874="Wind"),INDEX(Land_Use[AVG],MATCH(LEFT($D874,5),Land_Use[Tech],0)),0)*$E874</f>
        <v>0</v>
      </c>
      <c r="L874" s="30">
        <f>IF(OR(LEFT($D874,5)="Solar",$D874="Wind"),INDEX(Land_Use[MIN],MATCH(LEFT($D874,5),Land_Use[Tech],0)),0)*$E874</f>
        <v>0</v>
      </c>
      <c r="M874" s="30">
        <f>IF(OR(LEFT($D874,5)="Solar",$D874="Wind"),INDEX(Land_Use[MAX],MATCH(LEFT($D874,5),Land_Use[Tech],0)),0)*$E874</f>
        <v>0</v>
      </c>
      <c r="N874" s="15">
        <f t="shared" si="232"/>
        <v>0</v>
      </c>
      <c r="O874" s="11">
        <f t="shared" si="233"/>
        <v>0</v>
      </c>
      <c r="P874" s="11">
        <f t="shared" si="234"/>
        <v>0</v>
      </c>
      <c r="Q874" s="11">
        <f t="shared" si="235"/>
        <v>0</v>
      </c>
      <c r="R874" s="11">
        <f t="shared" si="236"/>
        <v>0</v>
      </c>
      <c r="S874" s="30">
        <f t="shared" si="240"/>
        <v>0</v>
      </c>
      <c r="T874" s="30">
        <f t="shared" si="241"/>
        <v>0</v>
      </c>
      <c r="U874" s="30">
        <f t="shared" si="242"/>
        <v>0</v>
      </c>
      <c r="V874" s="30">
        <f t="shared" si="243"/>
        <v>0</v>
      </c>
      <c r="W874" s="30">
        <f t="shared" si="244"/>
        <v>0</v>
      </c>
      <c r="X874" s="30">
        <f t="shared" si="245"/>
        <v>0</v>
      </c>
      <c r="Z874" s="23" t="s">
        <v>76</v>
      </c>
      <c r="AA874" s="40">
        <f>IF(C874="Electricity",E874*SUMIFS(Electricity!S:S,Electricity!P:P,UserMade_Scenario!B874,Electricity!M:M,UserMade_Scenario!Z874,Electricity!O:O,UserMade_Scenario!D874),"")</f>
        <v>334599.51965907152</v>
      </c>
      <c r="AB874" s="76">
        <f>1/Assumptions!$B$23/1000000000000</f>
        <v>3.5998225679871703E-9</v>
      </c>
      <c r="AC874" s="67" t="s">
        <v>82</v>
      </c>
      <c r="AD874" s="69">
        <f>INDEX(Table11[AVG
CO2e MT per MWh],MATCH(UserMade_Scenario!$B874,Table11[[Year]:[Year]],0))</f>
        <v>-9.756721579999994E-2</v>
      </c>
      <c r="AE874" s="69">
        <f>INDEX(Table11[MIN
CO2e MT per MWh],MATCH(UserMade_Scenario!$B874,Table11[[Year]:[Year]],0))</f>
        <v>-7.5314692350000073E-2</v>
      </c>
      <c r="AF874" s="69">
        <f>INDEX(Table11[MAX CO2e MT per MWh],MATCH(UserMade_Scenario!$B874,Table11[[Year]:[Year]],0))</f>
        <v>-0.11981973825000006</v>
      </c>
      <c r="AG874" s="68">
        <f>IFERROR(INDEX(WaterUseH2[Average Direct Water Consumption (Gal/ kg h2)],MATCH(LEFT(D874,3),WaterUseH2[Key],0)),0)</f>
        <v>0</v>
      </c>
      <c r="AH874">
        <v>14</v>
      </c>
      <c r="AI874">
        <v>1.4</v>
      </c>
      <c r="AJ874">
        <v>250</v>
      </c>
      <c r="AK874">
        <v>0.31</v>
      </c>
      <c r="AL874" s="63">
        <f>IFERROR(INDEX(Job_Training[[Solar]:[Wind]],MATCH(AL$1,Job_Training[[`Typical Entry Level Education`]:[`Typical Entry Level Education`]],0),MATCH(LEFT($D874,5),Job_Training[[#Headers],[Solar]:[Wind]],0)),0)</f>
        <v>0</v>
      </c>
      <c r="AM874" s="63">
        <f>IFERROR(INDEX(Job_Training[[Solar]:[Wind]],MATCH(AM$1,Job_Training[[`Typical Entry Level Education`]:[`Typical Entry Level Education`]],0),MATCH(LEFT($D874,5),Job_Training[[#Headers],[Solar]:[Wind]],0)),0)</f>
        <v>0</v>
      </c>
      <c r="AN874" s="63">
        <f>IFERROR(INDEX(Job_Training[[Solar]:[Wind]],MATCH(AN$1,Job_Training[[`Typical Entry Level Education`]:[`Typical Entry Level Education`]],0),MATCH(LEFT($D874,5),Job_Training[[#Headers],[Solar]:[Wind]],0)),0)</f>
        <v>0</v>
      </c>
      <c r="AO874" s="63">
        <f>IFERROR(INDEX(Job_Training[[Solar]:[Wind]],MATCH(AO$1,Job_Training[[`Typical Entry Level Education`]:[`Typical Entry Level Education`]],0),MATCH(LEFT($D874,5),Job_Training[[#Headers],[Solar]:[Wind]],0)),0)</f>
        <v>0</v>
      </c>
      <c r="AP874">
        <f t="shared" si="246"/>
        <v>23.809523809523796</v>
      </c>
      <c r="AQ874" s="63">
        <f>IF(AP874&gt;0,IFERROR(INDEX(Assumptions!$C$165:$D$165,MATCH(LEFT($D874,5),Job_Training[[#Headers],[Solar]:[Wind]],0)),0),0)</f>
        <v>0</v>
      </c>
      <c r="AR874">
        <f>IF(AP874&gt;0,IFERROR(INDEX(Assumptions!$C$166:$D$166,MATCH(LEFT($D874,5),Job_Training[[#Headers],[Solar]:[Wind]],0)),0),0)</f>
        <v>0</v>
      </c>
    </row>
    <row r="875" spans="1:44" hidden="1" x14ac:dyDescent="0.35">
      <c r="A875" t="str">
        <f>UserInput!$B$82</f>
        <v>Incremental Buildout</v>
      </c>
      <c r="B875">
        <v>2037</v>
      </c>
      <c r="C875" t="s">
        <v>41</v>
      </c>
      <c r="D875" t="s">
        <v>85</v>
      </c>
      <c r="E875" s="120">
        <f>INDEX(UserInput!$C$82:$M$102,MATCH(UserMade_Scenario!B875,UserInput!$A$82:$A$102,0),MATCH(LEFT(IF(RIGHT(C875,2)="H2",UserMade_Scenario!C875,D875),3),UserInput!$C$25:$M$25,0))</f>
        <v>309.52380952380946</v>
      </c>
      <c r="F875" t="s">
        <v>81</v>
      </c>
      <c r="G875" s="14">
        <f t="shared" si="247"/>
        <v>1.3048738106152585E-3</v>
      </c>
      <c r="H875" s="63">
        <f t="shared" si="237"/>
        <v>3.3835338910486346E-2</v>
      </c>
      <c r="I875" s="63">
        <f t="shared" si="238"/>
        <v>2.5430679595400556E-2</v>
      </c>
      <c r="J875" s="63">
        <f t="shared" si="239"/>
        <v>4.2239997863089407E-2</v>
      </c>
      <c r="K875" s="30">
        <f>IF(OR(LEFT($D875,5)="Solar",$D875="Wind"),INDEX(Land_Use[AVG],MATCH(LEFT($D875,5),Land_Use[Tech],0)),0)*$E875</f>
        <v>0</v>
      </c>
      <c r="L875" s="30">
        <f>IF(OR(LEFT($D875,5)="Solar",$D875="Wind"),INDEX(Land_Use[MIN],MATCH(LEFT($D875,5),Land_Use[Tech],0)),0)*$E875</f>
        <v>0</v>
      </c>
      <c r="M875" s="30">
        <f>IF(OR(LEFT($D875,5)="Solar",$D875="Wind"),INDEX(Land_Use[MAX],MATCH(LEFT($D875,5),Land_Use[Tech],0)),0)*$E875</f>
        <v>0</v>
      </c>
      <c r="N875" s="15">
        <f t="shared" si="232"/>
        <v>0</v>
      </c>
      <c r="O875" s="11">
        <f t="shared" si="233"/>
        <v>0</v>
      </c>
      <c r="P875" s="11">
        <f t="shared" si="234"/>
        <v>0</v>
      </c>
      <c r="Q875" s="11">
        <f t="shared" si="235"/>
        <v>0</v>
      </c>
      <c r="R875" s="11">
        <f t="shared" si="236"/>
        <v>0</v>
      </c>
      <c r="S875" s="30">
        <f t="shared" si="240"/>
        <v>0</v>
      </c>
      <c r="T875" s="30">
        <f t="shared" si="241"/>
        <v>0</v>
      </c>
      <c r="U875" s="30">
        <f t="shared" si="242"/>
        <v>0</v>
      </c>
      <c r="V875" s="30">
        <f t="shared" si="243"/>
        <v>0</v>
      </c>
      <c r="W875" s="30">
        <f t="shared" si="244"/>
        <v>0</v>
      </c>
      <c r="X875" s="30">
        <f t="shared" si="245"/>
        <v>0</v>
      </c>
      <c r="Z875" s="23" t="s">
        <v>76</v>
      </c>
      <c r="AA875" s="40">
        <f>IF(C875="Electricity",E875*SUMIFS(Electricity!S:S,Electricity!P:P,UserMade_Scenario!B875,Electricity!M:M,UserMade_Scenario!Z875,Electricity!O:O,UserMade_Scenario!D875),"")</f>
        <v>362482.81296399416</v>
      </c>
      <c r="AB875" s="76">
        <f>1/Assumptions!$B$23/1000000000000</f>
        <v>3.5998225679871703E-9</v>
      </c>
      <c r="AC875" s="67" t="s">
        <v>82</v>
      </c>
      <c r="AD875" s="69">
        <f>INDEX(Table11[AVG
CO2e MT per MWh],MATCH(UserMade_Scenario!$B875,Table11[[Year]:[Year]],0))</f>
        <v>-9.3343291599999934E-2</v>
      </c>
      <c r="AE875" s="69">
        <f>INDEX(Table11[MIN
CO2e MT per MWh],MATCH(UserMade_Scenario!$B875,Table11[[Year]:[Year]],0))</f>
        <v>-7.0156925200000081E-2</v>
      </c>
      <c r="AF875" s="69">
        <f>INDEX(Table11[MAX CO2e MT per MWh],MATCH(UserMade_Scenario!$B875,Table11[[Year]:[Year]],0))</f>
        <v>-0.11652965700000005</v>
      </c>
      <c r="AG875" s="68">
        <f>IFERROR(INDEX(WaterUseH2[Average Direct Water Consumption (Gal/ kg h2)],MATCH(LEFT(D875,3),WaterUseH2[Key],0)),0)</f>
        <v>0</v>
      </c>
      <c r="AH875">
        <v>14</v>
      </c>
      <c r="AI875">
        <v>1.4</v>
      </c>
      <c r="AJ875">
        <v>250</v>
      </c>
      <c r="AK875">
        <v>0.31</v>
      </c>
      <c r="AL875" s="63">
        <f>IFERROR(INDEX(Job_Training[[Solar]:[Wind]],MATCH(AL$1,Job_Training[[`Typical Entry Level Education`]:[`Typical Entry Level Education`]],0),MATCH(LEFT($D875,5),Job_Training[[#Headers],[Solar]:[Wind]],0)),0)</f>
        <v>0</v>
      </c>
      <c r="AM875" s="63">
        <f>IFERROR(INDEX(Job_Training[[Solar]:[Wind]],MATCH(AM$1,Job_Training[[`Typical Entry Level Education`]:[`Typical Entry Level Education`]],0),MATCH(LEFT($D875,5),Job_Training[[#Headers],[Solar]:[Wind]],0)),0)</f>
        <v>0</v>
      </c>
      <c r="AN875" s="63">
        <f>IFERROR(INDEX(Job_Training[[Solar]:[Wind]],MATCH(AN$1,Job_Training[[`Typical Entry Level Education`]:[`Typical Entry Level Education`]],0),MATCH(LEFT($D875,5),Job_Training[[#Headers],[Solar]:[Wind]],0)),0)</f>
        <v>0</v>
      </c>
      <c r="AO875" s="63">
        <f>IFERROR(INDEX(Job_Training[[Solar]:[Wind]],MATCH(AO$1,Job_Training[[`Typical Entry Level Education`]:[`Typical Entry Level Education`]],0),MATCH(LEFT($D875,5),Job_Training[[#Headers],[Solar]:[Wind]],0)),0)</f>
        <v>0</v>
      </c>
      <c r="AP875">
        <f t="shared" si="246"/>
        <v>23.809523809523796</v>
      </c>
      <c r="AQ875" s="63">
        <f>IF(AP875&gt;0,IFERROR(INDEX(Assumptions!$C$165:$D$165,MATCH(LEFT($D875,5),Job_Training[[#Headers],[Solar]:[Wind]],0)),0),0)</f>
        <v>0</v>
      </c>
      <c r="AR875">
        <f>IF(AP875&gt;0,IFERROR(INDEX(Assumptions!$C$166:$D$166,MATCH(LEFT($D875,5),Job_Training[[#Headers],[Solar]:[Wind]],0)),0),0)</f>
        <v>0</v>
      </c>
    </row>
    <row r="876" spans="1:44" hidden="1" x14ac:dyDescent="0.35">
      <c r="A876" t="str">
        <f>UserInput!$B$82</f>
        <v>Incremental Buildout</v>
      </c>
      <c r="B876">
        <v>2038</v>
      </c>
      <c r="C876" t="s">
        <v>41</v>
      </c>
      <c r="D876" t="s">
        <v>85</v>
      </c>
      <c r="E876" s="120">
        <f>INDEX(UserInput!$C$82:$M$102,MATCH(UserMade_Scenario!B876,UserInput!$A$82:$A$102,0),MATCH(LEFT(IF(RIGHT(C876,2)="H2",UserMade_Scenario!C876,D876),3),UserInput!$C$25:$M$25,0))</f>
        <v>333.33333333333326</v>
      </c>
      <c r="F876" t="s">
        <v>81</v>
      </c>
      <c r="G876" s="14">
        <f t="shared" si="247"/>
        <v>1.4052487191241244E-3</v>
      </c>
      <c r="H876" s="63">
        <f t="shared" si="237"/>
        <v>3.4789180445087005E-2</v>
      </c>
      <c r="I876" s="63">
        <f t="shared" si="238"/>
        <v>2.537346823873645E-2</v>
      </c>
      <c r="J876" s="63">
        <f t="shared" si="239"/>
        <v>4.420489226107157E-2</v>
      </c>
      <c r="K876" s="30">
        <f>IF(OR(LEFT($D876,5)="Solar",$D876="Wind"),INDEX(Land_Use[AVG],MATCH(LEFT($D876,5),Land_Use[Tech],0)),0)*$E876</f>
        <v>0</v>
      </c>
      <c r="L876" s="30">
        <f>IF(OR(LEFT($D876,5)="Solar",$D876="Wind"),INDEX(Land_Use[MIN],MATCH(LEFT($D876,5),Land_Use[Tech],0)),0)*$E876</f>
        <v>0</v>
      </c>
      <c r="M876" s="30">
        <f>IF(OR(LEFT($D876,5)="Solar",$D876="Wind"),INDEX(Land_Use[MAX],MATCH(LEFT($D876,5),Land_Use[Tech],0)),0)*$E876</f>
        <v>0</v>
      </c>
      <c r="N876" s="15">
        <f t="shared" si="232"/>
        <v>0</v>
      </c>
      <c r="O876" s="11">
        <f t="shared" si="233"/>
        <v>0</v>
      </c>
      <c r="P876" s="11">
        <f t="shared" si="234"/>
        <v>0</v>
      </c>
      <c r="Q876" s="11">
        <f t="shared" si="235"/>
        <v>0</v>
      </c>
      <c r="R876" s="11">
        <f t="shared" si="236"/>
        <v>0</v>
      </c>
      <c r="S876" s="30">
        <f t="shared" si="240"/>
        <v>0</v>
      </c>
      <c r="T876" s="30">
        <f t="shared" si="241"/>
        <v>0</v>
      </c>
      <c r="U876" s="30">
        <f t="shared" si="242"/>
        <v>0</v>
      </c>
      <c r="V876" s="30">
        <f t="shared" si="243"/>
        <v>0</v>
      </c>
      <c r="W876" s="30">
        <f t="shared" si="244"/>
        <v>0</v>
      </c>
      <c r="X876" s="30">
        <f t="shared" si="245"/>
        <v>0</v>
      </c>
      <c r="Z876" s="23" t="s">
        <v>76</v>
      </c>
      <c r="AA876" s="40">
        <f>IF(C876="Electricity",E876*SUMIFS(Electricity!S:S,Electricity!P:P,UserMade_Scenario!B876,Electricity!M:M,UserMade_Scenario!Z876,Electricity!O:O,UserMade_Scenario!D876),"")</f>
        <v>390366.10626891674</v>
      </c>
      <c r="AB876" s="76">
        <f>1/Assumptions!$B$23/1000000000000</f>
        <v>3.5998225679871703E-9</v>
      </c>
      <c r="AC876" s="67" t="s">
        <v>82</v>
      </c>
      <c r="AD876" s="69">
        <f>INDEX(Table11[AVG
CO2e MT per MWh],MATCH(UserMade_Scenario!$B876,Table11[[Year]:[Year]],0))</f>
        <v>-8.9119367399999927E-2</v>
      </c>
      <c r="AE876" s="69">
        <f>INDEX(Table11[MIN
CO2e MT per MWh],MATCH(UserMade_Scenario!$B876,Table11[[Year]:[Year]],0))</f>
        <v>-6.4999158050000089E-2</v>
      </c>
      <c r="AF876" s="69">
        <f>INDEX(Table11[MAX CO2e MT per MWh],MATCH(UserMade_Scenario!$B876,Table11[[Year]:[Year]],0))</f>
        <v>-0.11323957575000004</v>
      </c>
      <c r="AG876" s="68">
        <f>IFERROR(INDEX(WaterUseH2[Average Direct Water Consumption (Gal/ kg h2)],MATCH(LEFT(D876,3),WaterUseH2[Key],0)),0)</f>
        <v>0</v>
      </c>
      <c r="AH876">
        <v>14</v>
      </c>
      <c r="AI876">
        <v>1.4</v>
      </c>
      <c r="AJ876">
        <v>250</v>
      </c>
      <c r="AK876">
        <v>0.31</v>
      </c>
      <c r="AL876" s="63">
        <f>IFERROR(INDEX(Job_Training[[Solar]:[Wind]],MATCH(AL$1,Job_Training[[`Typical Entry Level Education`]:[`Typical Entry Level Education`]],0),MATCH(LEFT($D876,5),Job_Training[[#Headers],[Solar]:[Wind]],0)),0)</f>
        <v>0</v>
      </c>
      <c r="AM876" s="63">
        <f>IFERROR(INDEX(Job_Training[[Solar]:[Wind]],MATCH(AM$1,Job_Training[[`Typical Entry Level Education`]:[`Typical Entry Level Education`]],0),MATCH(LEFT($D876,5),Job_Training[[#Headers],[Solar]:[Wind]],0)),0)</f>
        <v>0</v>
      </c>
      <c r="AN876" s="63">
        <f>IFERROR(INDEX(Job_Training[[Solar]:[Wind]],MATCH(AN$1,Job_Training[[`Typical Entry Level Education`]:[`Typical Entry Level Education`]],0),MATCH(LEFT($D876,5),Job_Training[[#Headers],[Solar]:[Wind]],0)),0)</f>
        <v>0</v>
      </c>
      <c r="AO876" s="63">
        <f>IFERROR(INDEX(Job_Training[[Solar]:[Wind]],MATCH(AO$1,Job_Training[[`Typical Entry Level Education`]:[`Typical Entry Level Education`]],0),MATCH(LEFT($D876,5),Job_Training[[#Headers],[Solar]:[Wind]],0)),0)</f>
        <v>0</v>
      </c>
      <c r="AP876">
        <f t="shared" si="246"/>
        <v>23.809523809523796</v>
      </c>
      <c r="AQ876" s="63">
        <f>IF(AP876&gt;0,IFERROR(INDEX(Assumptions!$C$165:$D$165,MATCH(LEFT($D876,5),Job_Training[[#Headers],[Solar]:[Wind]],0)),0),0)</f>
        <v>0</v>
      </c>
      <c r="AR876">
        <f>IF(AP876&gt;0,IFERROR(INDEX(Assumptions!$C$166:$D$166,MATCH(LEFT($D876,5),Job_Training[[#Headers],[Solar]:[Wind]],0)),0),0)</f>
        <v>0</v>
      </c>
    </row>
    <row r="877" spans="1:44" hidden="1" x14ac:dyDescent="0.35">
      <c r="A877" t="str">
        <f>UserInput!$B$82</f>
        <v>Incremental Buildout</v>
      </c>
      <c r="B877">
        <v>2039</v>
      </c>
      <c r="C877" t="s">
        <v>41</v>
      </c>
      <c r="D877" t="s">
        <v>85</v>
      </c>
      <c r="E877" s="120">
        <f>INDEX(UserInput!$C$82:$M$102,MATCH(UserMade_Scenario!B877,UserInput!$A$82:$A$102,0),MATCH(LEFT(IF(RIGHT(C877,2)="H2",UserMade_Scenario!C877,D877),3),UserInput!$C$25:$M$25,0))</f>
        <v>357.14285714285705</v>
      </c>
      <c r="F877" t="s">
        <v>81</v>
      </c>
      <c r="G877" s="14">
        <f t="shared" si="247"/>
        <v>1.5056236276329905E-3</v>
      </c>
      <c r="H877" s="63">
        <f t="shared" si="237"/>
        <v>3.5507468144954951E-2</v>
      </c>
      <c r="I877" s="63">
        <f t="shared" si="238"/>
        <v>2.5028625813588452E-2</v>
      </c>
      <c r="J877" s="63">
        <f t="shared" si="239"/>
        <v>4.5986310058072175E-2</v>
      </c>
      <c r="K877" s="30">
        <f>IF(OR(LEFT($D877,5)="Solar",$D877="Wind"),INDEX(Land_Use[AVG],MATCH(LEFT($D877,5),Land_Use[Tech],0)),0)*$E877</f>
        <v>0</v>
      </c>
      <c r="L877" s="30">
        <f>IF(OR(LEFT($D877,5)="Solar",$D877="Wind"),INDEX(Land_Use[MIN],MATCH(LEFT($D877,5),Land_Use[Tech],0)),0)*$E877</f>
        <v>0</v>
      </c>
      <c r="M877" s="30">
        <f>IF(OR(LEFT($D877,5)="Solar",$D877="Wind"),INDEX(Land_Use[MAX],MATCH(LEFT($D877,5),Land_Use[Tech],0)),0)*$E877</f>
        <v>0</v>
      </c>
      <c r="N877" s="15">
        <f t="shared" si="232"/>
        <v>0</v>
      </c>
      <c r="O877" s="11">
        <f t="shared" si="233"/>
        <v>0</v>
      </c>
      <c r="P877" s="11">
        <f t="shared" si="234"/>
        <v>0</v>
      </c>
      <c r="Q877" s="11">
        <f t="shared" si="235"/>
        <v>0</v>
      </c>
      <c r="R877" s="11">
        <f t="shared" si="236"/>
        <v>0</v>
      </c>
      <c r="S877" s="30">
        <f t="shared" si="240"/>
        <v>0</v>
      </c>
      <c r="T877" s="30">
        <f t="shared" si="241"/>
        <v>0</v>
      </c>
      <c r="U877" s="30">
        <f t="shared" si="242"/>
        <v>0</v>
      </c>
      <c r="V877" s="30">
        <f t="shared" si="243"/>
        <v>0</v>
      </c>
      <c r="W877" s="30">
        <f t="shared" si="244"/>
        <v>0</v>
      </c>
      <c r="X877" s="30">
        <f t="shared" si="245"/>
        <v>0</v>
      </c>
      <c r="Z877" s="23" t="s">
        <v>76</v>
      </c>
      <c r="AA877" s="40">
        <f>IF(C877="Electricity",E877*SUMIFS(Electricity!S:S,Electricity!P:P,UserMade_Scenario!B877,Electricity!M:M,UserMade_Scenario!Z877,Electricity!O:O,UserMade_Scenario!D877),"")</f>
        <v>418249.39957383939</v>
      </c>
      <c r="AB877" s="76">
        <f>1/Assumptions!$B$23/1000000000000</f>
        <v>3.5998225679871703E-9</v>
      </c>
      <c r="AC877" s="67" t="s">
        <v>82</v>
      </c>
      <c r="AD877" s="69">
        <f>INDEX(Table11[AVG
CO2e MT per MWh],MATCH(UserMade_Scenario!$B877,Table11[[Year]:[Year]],0))</f>
        <v>-8.489544319999992E-2</v>
      </c>
      <c r="AE877" s="69">
        <f>INDEX(Table11[MIN
CO2e MT per MWh],MATCH(UserMade_Scenario!$B877,Table11[[Year]:[Year]],0))</f>
        <v>-5.984139090000009E-2</v>
      </c>
      <c r="AF877" s="69">
        <f>INDEX(Table11[MAX CO2e MT per MWh],MATCH(UserMade_Scenario!$B877,Table11[[Year]:[Year]],0))</f>
        <v>-0.10994949450000004</v>
      </c>
      <c r="AG877" s="68">
        <f>IFERROR(INDEX(WaterUseH2[Average Direct Water Consumption (Gal/ kg h2)],MATCH(LEFT(D877,3),WaterUseH2[Key],0)),0)</f>
        <v>0</v>
      </c>
      <c r="AH877">
        <v>14</v>
      </c>
      <c r="AI877">
        <v>1.4</v>
      </c>
      <c r="AJ877">
        <v>250</v>
      </c>
      <c r="AK877">
        <v>0.31</v>
      </c>
      <c r="AL877" s="63">
        <f>IFERROR(INDEX(Job_Training[[Solar]:[Wind]],MATCH(AL$1,Job_Training[[`Typical Entry Level Education`]:[`Typical Entry Level Education`]],0),MATCH(LEFT($D877,5),Job_Training[[#Headers],[Solar]:[Wind]],0)),0)</f>
        <v>0</v>
      </c>
      <c r="AM877" s="63">
        <f>IFERROR(INDEX(Job_Training[[Solar]:[Wind]],MATCH(AM$1,Job_Training[[`Typical Entry Level Education`]:[`Typical Entry Level Education`]],0),MATCH(LEFT($D877,5),Job_Training[[#Headers],[Solar]:[Wind]],0)),0)</f>
        <v>0</v>
      </c>
      <c r="AN877" s="63">
        <f>IFERROR(INDEX(Job_Training[[Solar]:[Wind]],MATCH(AN$1,Job_Training[[`Typical Entry Level Education`]:[`Typical Entry Level Education`]],0),MATCH(LEFT($D877,5),Job_Training[[#Headers],[Solar]:[Wind]],0)),0)</f>
        <v>0</v>
      </c>
      <c r="AO877" s="63">
        <f>IFERROR(INDEX(Job_Training[[Solar]:[Wind]],MATCH(AO$1,Job_Training[[`Typical Entry Level Education`]:[`Typical Entry Level Education`]],0),MATCH(LEFT($D877,5),Job_Training[[#Headers],[Solar]:[Wind]],0)),0)</f>
        <v>0</v>
      </c>
      <c r="AP877">
        <f t="shared" si="246"/>
        <v>23.809523809523796</v>
      </c>
      <c r="AQ877" s="63">
        <f>IF(AP877&gt;0,IFERROR(INDEX(Assumptions!$C$165:$D$165,MATCH(LEFT($D877,5),Job_Training[[#Headers],[Solar]:[Wind]],0)),0),0)</f>
        <v>0</v>
      </c>
      <c r="AR877">
        <f>IF(AP877&gt;0,IFERROR(INDEX(Assumptions!$C$166:$D$166,MATCH(LEFT($D877,5),Job_Training[[#Headers],[Solar]:[Wind]],0)),0),0)</f>
        <v>0</v>
      </c>
    </row>
    <row r="878" spans="1:44" hidden="1" x14ac:dyDescent="0.35">
      <c r="A878" t="str">
        <f>UserInput!$B$82</f>
        <v>Incremental Buildout</v>
      </c>
      <c r="B878">
        <v>2040</v>
      </c>
      <c r="C878" t="s">
        <v>41</v>
      </c>
      <c r="D878" t="s">
        <v>85</v>
      </c>
      <c r="E878" s="120">
        <f>INDEX(UserInput!$C$82:$M$102,MATCH(UserMade_Scenario!B878,UserInput!$A$82:$A$102,0),MATCH(LEFT(IF(RIGHT(C878,2)="H2",UserMade_Scenario!C878,D878),3),UserInput!$C$25:$M$25,0))</f>
        <v>380.95238095238085</v>
      </c>
      <c r="F878" t="s">
        <v>81</v>
      </c>
      <c r="G878" s="14">
        <f t="shared" si="247"/>
        <v>1.6059985361418566E-3</v>
      </c>
      <c r="H878" s="63">
        <f t="shared" si="237"/>
        <v>3.5990202010090171E-2</v>
      </c>
      <c r="I878" s="63">
        <f t="shared" si="238"/>
        <v>2.4396152319956562E-2</v>
      </c>
      <c r="J878" s="63">
        <f t="shared" si="239"/>
        <v>4.7584251254091214E-2</v>
      </c>
      <c r="K878" s="30">
        <f>IF(OR(LEFT($D878,5)="Solar",$D878="Wind"),INDEX(Land_Use[AVG],MATCH(LEFT($D878,5),Land_Use[Tech],0)),0)*$E878</f>
        <v>0</v>
      </c>
      <c r="L878" s="30">
        <f>IF(OR(LEFT($D878,5)="Solar",$D878="Wind"),INDEX(Land_Use[MIN],MATCH(LEFT($D878,5),Land_Use[Tech],0)),0)*$E878</f>
        <v>0</v>
      </c>
      <c r="M878" s="30">
        <f>IF(OR(LEFT($D878,5)="Solar",$D878="Wind"),INDEX(Land_Use[MAX],MATCH(LEFT($D878,5),Land_Use[Tech],0)),0)*$E878</f>
        <v>0</v>
      </c>
      <c r="N878" s="15">
        <f t="shared" si="232"/>
        <v>0</v>
      </c>
      <c r="O878" s="11">
        <f t="shared" si="233"/>
        <v>0</v>
      </c>
      <c r="P878" s="11">
        <f t="shared" si="234"/>
        <v>0</v>
      </c>
      <c r="Q878" s="11">
        <f t="shared" si="235"/>
        <v>0</v>
      </c>
      <c r="R878" s="11">
        <f t="shared" si="236"/>
        <v>0</v>
      </c>
      <c r="S878" s="30">
        <f t="shared" si="240"/>
        <v>0</v>
      </c>
      <c r="T878" s="30">
        <f t="shared" si="241"/>
        <v>0</v>
      </c>
      <c r="U878" s="30">
        <f t="shared" si="242"/>
        <v>0</v>
      </c>
      <c r="V878" s="30">
        <f t="shared" si="243"/>
        <v>0</v>
      </c>
      <c r="W878" s="30">
        <f t="shared" si="244"/>
        <v>0</v>
      </c>
      <c r="X878" s="30">
        <f t="shared" si="245"/>
        <v>0</v>
      </c>
      <c r="Z878" s="23" t="s">
        <v>76</v>
      </c>
      <c r="AA878" s="40">
        <f>IF(C878="Electricity",E878*SUMIFS(Electricity!S:S,Electricity!P:P,UserMade_Scenario!B878,Electricity!M:M,UserMade_Scenario!Z878,Electricity!O:O,UserMade_Scenario!D878),"")</f>
        <v>446132.69287876197</v>
      </c>
      <c r="AB878" s="76">
        <f>1/Assumptions!$B$23/1000000000000</f>
        <v>3.5998225679871703E-9</v>
      </c>
      <c r="AC878" s="67" t="s">
        <v>82</v>
      </c>
      <c r="AD878" s="69">
        <f>INDEX(Table11[AVG
CO2e MT per MWh],MATCH(UserMade_Scenario!$B878,Table11[[Year]:[Year]],0))</f>
        <v>-8.0671518999999914E-2</v>
      </c>
      <c r="AE878" s="69">
        <f>INDEX(Table11[MIN
CO2e MT per MWh],MATCH(UserMade_Scenario!$B878,Table11[[Year]:[Year]],0))</f>
        <v>-5.468362375000009E-2</v>
      </c>
      <c r="AF878" s="69">
        <f>INDEX(Table11[MAX CO2e MT per MWh],MATCH(UserMade_Scenario!$B878,Table11[[Year]:[Year]],0))</f>
        <v>-0.10665941325000003</v>
      </c>
      <c r="AG878" s="68">
        <f>IFERROR(INDEX(WaterUseH2[Average Direct Water Consumption (Gal/ kg h2)],MATCH(LEFT(D878,3),WaterUseH2[Key],0)),0)</f>
        <v>0</v>
      </c>
      <c r="AH878">
        <v>14</v>
      </c>
      <c r="AI878">
        <v>1.4</v>
      </c>
      <c r="AJ878">
        <v>250</v>
      </c>
      <c r="AK878">
        <v>0.31</v>
      </c>
      <c r="AL878" s="63">
        <f>IFERROR(INDEX(Job_Training[[Solar]:[Wind]],MATCH(AL$1,Job_Training[[`Typical Entry Level Education`]:[`Typical Entry Level Education`]],0),MATCH(LEFT($D878,5),Job_Training[[#Headers],[Solar]:[Wind]],0)),0)</f>
        <v>0</v>
      </c>
      <c r="AM878" s="63">
        <f>IFERROR(INDEX(Job_Training[[Solar]:[Wind]],MATCH(AM$1,Job_Training[[`Typical Entry Level Education`]:[`Typical Entry Level Education`]],0),MATCH(LEFT($D878,5),Job_Training[[#Headers],[Solar]:[Wind]],0)),0)</f>
        <v>0</v>
      </c>
      <c r="AN878" s="63">
        <f>IFERROR(INDEX(Job_Training[[Solar]:[Wind]],MATCH(AN$1,Job_Training[[`Typical Entry Level Education`]:[`Typical Entry Level Education`]],0),MATCH(LEFT($D878,5),Job_Training[[#Headers],[Solar]:[Wind]],0)),0)</f>
        <v>0</v>
      </c>
      <c r="AO878" s="63">
        <f>IFERROR(INDEX(Job_Training[[Solar]:[Wind]],MATCH(AO$1,Job_Training[[`Typical Entry Level Education`]:[`Typical Entry Level Education`]],0),MATCH(LEFT($D878,5),Job_Training[[#Headers],[Solar]:[Wind]],0)),0)</f>
        <v>0</v>
      </c>
      <c r="AP878">
        <f t="shared" si="246"/>
        <v>23.809523809523796</v>
      </c>
      <c r="AQ878" s="63">
        <f>IF(AP878&gt;0,IFERROR(INDEX(Assumptions!$C$165:$D$165,MATCH(LEFT($D878,5),Job_Training[[#Headers],[Solar]:[Wind]],0)),0),0)</f>
        <v>0</v>
      </c>
      <c r="AR878">
        <f>IF(AP878&gt;0,IFERROR(INDEX(Assumptions!$C$166:$D$166,MATCH(LEFT($D878,5),Job_Training[[#Headers],[Solar]:[Wind]],0)),0),0)</f>
        <v>0</v>
      </c>
    </row>
    <row r="879" spans="1:44" hidden="1" x14ac:dyDescent="0.35">
      <c r="A879" t="str">
        <f>UserInput!$B$82</f>
        <v>Incremental Buildout</v>
      </c>
      <c r="B879">
        <v>2041</v>
      </c>
      <c r="C879" t="s">
        <v>41</v>
      </c>
      <c r="D879" t="s">
        <v>85</v>
      </c>
      <c r="E879" s="120">
        <f>INDEX(UserInput!$C$82:$M$102,MATCH(UserMade_Scenario!B879,UserInput!$A$82:$A$102,0),MATCH(LEFT(IF(RIGHT(C879,2)="H2",UserMade_Scenario!C879,D879),3),UserInput!$C$25:$M$25,0))</f>
        <v>404.76190476190465</v>
      </c>
      <c r="F879" t="s">
        <v>81</v>
      </c>
      <c r="G879" s="14">
        <f t="shared" si="247"/>
        <v>1.7063734446507227E-3</v>
      </c>
      <c r="H879" s="63">
        <f t="shared" si="237"/>
        <v>3.6237382040492677E-2</v>
      </c>
      <c r="I879" s="63">
        <f t="shared" si="238"/>
        <v>2.347604775784079E-2</v>
      </c>
      <c r="J879" s="63">
        <f t="shared" si="239"/>
        <v>4.8998715849128717E-2</v>
      </c>
      <c r="K879" s="30">
        <f>IF(OR(LEFT($D879,5)="Solar",$D879="Wind"),INDEX(Land_Use[AVG],MATCH(LEFT($D879,5),Land_Use[Tech],0)),0)*$E879</f>
        <v>0</v>
      </c>
      <c r="L879" s="30">
        <f>IF(OR(LEFT($D879,5)="Solar",$D879="Wind"),INDEX(Land_Use[MIN],MATCH(LEFT($D879,5),Land_Use[Tech],0)),0)*$E879</f>
        <v>0</v>
      </c>
      <c r="M879" s="30">
        <f>IF(OR(LEFT($D879,5)="Solar",$D879="Wind"),INDEX(Land_Use[MAX],MATCH(LEFT($D879,5),Land_Use[Tech],0)),0)*$E879</f>
        <v>0</v>
      </c>
      <c r="N879" s="15">
        <f t="shared" si="232"/>
        <v>0</v>
      </c>
      <c r="O879" s="11">
        <f t="shared" si="233"/>
        <v>0</v>
      </c>
      <c r="P879" s="11">
        <f t="shared" si="234"/>
        <v>0</v>
      </c>
      <c r="Q879" s="11">
        <f t="shared" si="235"/>
        <v>0</v>
      </c>
      <c r="R879" s="11">
        <f t="shared" si="236"/>
        <v>0</v>
      </c>
      <c r="S879" s="30">
        <f t="shared" si="240"/>
        <v>0</v>
      </c>
      <c r="T879" s="30">
        <f t="shared" si="241"/>
        <v>0</v>
      </c>
      <c r="U879" s="30">
        <f t="shared" si="242"/>
        <v>0</v>
      </c>
      <c r="V879" s="30">
        <f t="shared" si="243"/>
        <v>0</v>
      </c>
      <c r="W879" s="30">
        <f t="shared" si="244"/>
        <v>0</v>
      </c>
      <c r="X879" s="30">
        <f t="shared" si="245"/>
        <v>0</v>
      </c>
      <c r="Z879" s="23" t="s">
        <v>76</v>
      </c>
      <c r="AA879" s="40">
        <f>IF(C879="Electricity",E879*SUMIFS(Electricity!S:S,Electricity!P:P,UserMade_Scenario!B879,Electricity!M:M,UserMade_Scenario!Z879,Electricity!O:O,UserMade_Scenario!D879),"")</f>
        <v>474015.98618368461</v>
      </c>
      <c r="AB879" s="76">
        <f>1/Assumptions!$B$23/1000000000000</f>
        <v>3.5998225679871703E-9</v>
      </c>
      <c r="AC879" s="67" t="s">
        <v>82</v>
      </c>
      <c r="AD879" s="69">
        <f>INDEX(Table11[AVG
CO2e MT per MWh],MATCH(UserMade_Scenario!$B879,Table11[[Year]:[Year]],0))</f>
        <v>-7.6447594799999907E-2</v>
      </c>
      <c r="AE879" s="69">
        <f>INDEX(Table11[MIN
CO2e MT per MWh],MATCH(UserMade_Scenario!$B879,Table11[[Year]:[Year]],0))</f>
        <v>-4.9525856600000091E-2</v>
      </c>
      <c r="AF879" s="69">
        <f>INDEX(Table11[MAX CO2e MT per MWh],MATCH(UserMade_Scenario!$B879,Table11[[Year]:[Year]],0))</f>
        <v>-0.10336933200000002</v>
      </c>
      <c r="AG879" s="68">
        <f>IFERROR(INDEX(WaterUseH2[Average Direct Water Consumption (Gal/ kg h2)],MATCH(LEFT(D879,3),WaterUseH2[Key],0)),0)</f>
        <v>0</v>
      </c>
      <c r="AH879">
        <v>14</v>
      </c>
      <c r="AI879">
        <v>1.4</v>
      </c>
      <c r="AJ879">
        <v>250</v>
      </c>
      <c r="AK879">
        <v>0.31</v>
      </c>
      <c r="AL879" s="63">
        <f>IFERROR(INDEX(Job_Training[[Solar]:[Wind]],MATCH(AL$1,Job_Training[[`Typical Entry Level Education`]:[`Typical Entry Level Education`]],0),MATCH(LEFT($D879,5),Job_Training[[#Headers],[Solar]:[Wind]],0)),0)</f>
        <v>0</v>
      </c>
      <c r="AM879" s="63">
        <f>IFERROR(INDEX(Job_Training[[Solar]:[Wind]],MATCH(AM$1,Job_Training[[`Typical Entry Level Education`]:[`Typical Entry Level Education`]],0),MATCH(LEFT($D879,5),Job_Training[[#Headers],[Solar]:[Wind]],0)),0)</f>
        <v>0</v>
      </c>
      <c r="AN879" s="63">
        <f>IFERROR(INDEX(Job_Training[[Solar]:[Wind]],MATCH(AN$1,Job_Training[[`Typical Entry Level Education`]:[`Typical Entry Level Education`]],0),MATCH(LEFT($D879,5),Job_Training[[#Headers],[Solar]:[Wind]],0)),0)</f>
        <v>0</v>
      </c>
      <c r="AO879" s="63">
        <f>IFERROR(INDEX(Job_Training[[Solar]:[Wind]],MATCH(AO$1,Job_Training[[`Typical Entry Level Education`]:[`Typical Entry Level Education`]],0),MATCH(LEFT($D879,5),Job_Training[[#Headers],[Solar]:[Wind]],0)),0)</f>
        <v>0</v>
      </c>
      <c r="AP879">
        <f t="shared" si="246"/>
        <v>23.809523809523796</v>
      </c>
      <c r="AQ879" s="63">
        <f>IF(AP879&gt;0,IFERROR(INDEX(Assumptions!$C$165:$D$165,MATCH(LEFT($D879,5),Job_Training[[#Headers],[Solar]:[Wind]],0)),0),0)</f>
        <v>0</v>
      </c>
      <c r="AR879">
        <f>IF(AP879&gt;0,IFERROR(INDEX(Assumptions!$C$166:$D$166,MATCH(LEFT($D879,5),Job_Training[[#Headers],[Solar]:[Wind]],0)),0),0)</f>
        <v>0</v>
      </c>
    </row>
    <row r="880" spans="1:44" hidden="1" x14ac:dyDescent="0.35">
      <c r="A880" t="str">
        <f>UserInput!$B$82</f>
        <v>Incremental Buildout</v>
      </c>
      <c r="B880">
        <v>2042</v>
      </c>
      <c r="C880" t="s">
        <v>41</v>
      </c>
      <c r="D880" t="s">
        <v>85</v>
      </c>
      <c r="E880" s="120">
        <f>INDEX(UserInput!$C$82:$M$102,MATCH(UserMade_Scenario!B880,UserInput!$A$82:$A$102,0),MATCH(LEFT(IF(RIGHT(C880,2)="H2",UserMade_Scenario!C880,D880),3),UserInput!$C$25:$M$25,0))</f>
        <v>428.57142857142844</v>
      </c>
      <c r="F880" t="s">
        <v>81</v>
      </c>
      <c r="G880" s="14">
        <f t="shared" si="247"/>
        <v>1.8067483531595885E-3</v>
      </c>
      <c r="H880" s="63">
        <f t="shared" si="237"/>
        <v>3.6249008236162457E-2</v>
      </c>
      <c r="I880" s="63">
        <f t="shared" si="238"/>
        <v>2.2268312127241122E-2</v>
      </c>
      <c r="J880" s="63">
        <f t="shared" si="239"/>
        <v>5.0229703843184662E-2</v>
      </c>
      <c r="K880" s="30">
        <f>IF(OR(LEFT($D880,5)="Solar",$D880="Wind"),INDEX(Land_Use[AVG],MATCH(LEFT($D880,5),Land_Use[Tech],0)),0)*$E880</f>
        <v>0</v>
      </c>
      <c r="L880" s="30">
        <f>IF(OR(LEFT($D880,5)="Solar",$D880="Wind"),INDEX(Land_Use[MIN],MATCH(LEFT($D880,5),Land_Use[Tech],0)),0)*$E880</f>
        <v>0</v>
      </c>
      <c r="M880" s="30">
        <f>IF(OR(LEFT($D880,5)="Solar",$D880="Wind"),INDEX(Land_Use[MAX],MATCH(LEFT($D880,5),Land_Use[Tech],0)),0)*$E880</f>
        <v>0</v>
      </c>
      <c r="N880" s="15">
        <f t="shared" si="232"/>
        <v>0</v>
      </c>
      <c r="O880" s="11">
        <f t="shared" si="233"/>
        <v>0</v>
      </c>
      <c r="P880" s="11">
        <f t="shared" si="234"/>
        <v>0</v>
      </c>
      <c r="Q880" s="11">
        <f t="shared" si="235"/>
        <v>0</v>
      </c>
      <c r="R880" s="11">
        <f t="shared" si="236"/>
        <v>0</v>
      </c>
      <c r="S880" s="30">
        <f t="shared" si="240"/>
        <v>0</v>
      </c>
      <c r="T880" s="30">
        <f t="shared" si="241"/>
        <v>0</v>
      </c>
      <c r="U880" s="30">
        <f t="shared" si="242"/>
        <v>0</v>
      </c>
      <c r="V880" s="30">
        <f t="shared" si="243"/>
        <v>0</v>
      </c>
      <c r="W880" s="30">
        <f t="shared" si="244"/>
        <v>0</v>
      </c>
      <c r="X880" s="30">
        <f t="shared" si="245"/>
        <v>0</v>
      </c>
      <c r="Z880" s="23" t="s">
        <v>76</v>
      </c>
      <c r="AA880" s="40">
        <f>IF(C880="Electricity",E880*SUMIFS(Electricity!S:S,Electricity!P:P,UserMade_Scenario!B880,Electricity!M:M,UserMade_Scenario!Z880,Electricity!O:O,UserMade_Scenario!D880),"")</f>
        <v>501899.27948860719</v>
      </c>
      <c r="AB880" s="76">
        <f>1/Assumptions!$B$23/1000000000000</f>
        <v>3.5998225679871703E-9</v>
      </c>
      <c r="AC880" s="67" t="s">
        <v>82</v>
      </c>
      <c r="AD880" s="69">
        <f>INDEX(Table11[AVG
CO2e MT per MWh],MATCH(UserMade_Scenario!$B880,Table11[[Year]:[Year]],0))</f>
        <v>-7.2223670599999901E-2</v>
      </c>
      <c r="AE880" s="69">
        <f>INDEX(Table11[MIN
CO2e MT per MWh],MATCH(UserMade_Scenario!$B880,Table11[[Year]:[Year]],0))</f>
        <v>-4.4368089450000092E-2</v>
      </c>
      <c r="AF880" s="69">
        <f>INDEX(Table11[MAX CO2e MT per MWh],MATCH(UserMade_Scenario!$B880,Table11[[Year]:[Year]],0))</f>
        <v>-0.10007925075000002</v>
      </c>
      <c r="AG880" s="68">
        <f>IFERROR(INDEX(WaterUseH2[Average Direct Water Consumption (Gal/ kg h2)],MATCH(LEFT(D880,3),WaterUseH2[Key],0)),0)</f>
        <v>0</v>
      </c>
      <c r="AH880">
        <v>14</v>
      </c>
      <c r="AI880">
        <v>1.4</v>
      </c>
      <c r="AJ880">
        <v>250</v>
      </c>
      <c r="AK880">
        <v>0.31</v>
      </c>
      <c r="AL880" s="63">
        <f>IFERROR(INDEX(Job_Training[[Solar]:[Wind]],MATCH(AL$1,Job_Training[[`Typical Entry Level Education`]:[`Typical Entry Level Education`]],0),MATCH(LEFT($D880,5),Job_Training[[#Headers],[Solar]:[Wind]],0)),0)</f>
        <v>0</v>
      </c>
      <c r="AM880" s="63">
        <f>IFERROR(INDEX(Job_Training[[Solar]:[Wind]],MATCH(AM$1,Job_Training[[`Typical Entry Level Education`]:[`Typical Entry Level Education`]],0),MATCH(LEFT($D880,5),Job_Training[[#Headers],[Solar]:[Wind]],0)),0)</f>
        <v>0</v>
      </c>
      <c r="AN880" s="63">
        <f>IFERROR(INDEX(Job_Training[[Solar]:[Wind]],MATCH(AN$1,Job_Training[[`Typical Entry Level Education`]:[`Typical Entry Level Education`]],0),MATCH(LEFT($D880,5),Job_Training[[#Headers],[Solar]:[Wind]],0)),0)</f>
        <v>0</v>
      </c>
      <c r="AO880" s="63">
        <f>IFERROR(INDEX(Job_Training[[Solar]:[Wind]],MATCH(AO$1,Job_Training[[`Typical Entry Level Education`]:[`Typical Entry Level Education`]],0),MATCH(LEFT($D880,5),Job_Training[[#Headers],[Solar]:[Wind]],0)),0)</f>
        <v>0</v>
      </c>
      <c r="AP880">
        <f t="shared" si="246"/>
        <v>23.809523809523796</v>
      </c>
      <c r="AQ880" s="63">
        <f>IF(AP880&gt;0,IFERROR(INDEX(Assumptions!$C$165:$D$165,MATCH(LEFT($D880,5),Job_Training[[#Headers],[Solar]:[Wind]],0)),0),0)</f>
        <v>0</v>
      </c>
      <c r="AR880">
        <f>IF(AP880&gt;0,IFERROR(INDEX(Assumptions!$C$166:$D$166,MATCH(LEFT($D880,5),Job_Training[[#Headers],[Solar]:[Wind]],0)),0),0)</f>
        <v>0</v>
      </c>
    </row>
    <row r="881" spans="1:44" hidden="1" x14ac:dyDescent="0.35">
      <c r="A881" t="str">
        <f>UserInput!$B$82</f>
        <v>Incremental Buildout</v>
      </c>
      <c r="B881">
        <v>2043</v>
      </c>
      <c r="C881" t="s">
        <v>41</v>
      </c>
      <c r="D881" t="s">
        <v>85</v>
      </c>
      <c r="E881" s="120">
        <f>INDEX(UserInput!$C$82:$M$102,MATCH(UserMade_Scenario!B881,UserInput!$A$82:$A$102,0),MATCH(LEFT(IF(RIGHT(C881,2)="H2",UserMade_Scenario!C881,D881),3),UserInput!$C$25:$M$25,0))</f>
        <v>452.38095238095224</v>
      </c>
      <c r="F881" t="s">
        <v>81</v>
      </c>
      <c r="G881" s="14">
        <f t="shared" si="247"/>
        <v>1.9071232616684546E-3</v>
      </c>
      <c r="H881" s="63">
        <f t="shared" si="237"/>
        <v>3.602508059709951E-2</v>
      </c>
      <c r="I881" s="63">
        <f t="shared" si="238"/>
        <v>2.0772945428157566E-2</v>
      </c>
      <c r="J881" s="63">
        <f t="shared" si="239"/>
        <v>5.1277215236259048E-2</v>
      </c>
      <c r="K881" s="30">
        <f>IF(OR(LEFT($D881,5)="Solar",$D881="Wind"),INDEX(Land_Use[AVG],MATCH(LEFT($D881,5),Land_Use[Tech],0)),0)*$E881</f>
        <v>0</v>
      </c>
      <c r="L881" s="30">
        <f>IF(OR(LEFT($D881,5)="Solar",$D881="Wind"),INDEX(Land_Use[MIN],MATCH(LEFT($D881,5),Land_Use[Tech],0)),0)*$E881</f>
        <v>0</v>
      </c>
      <c r="M881" s="30">
        <f>IF(OR(LEFT($D881,5)="Solar",$D881="Wind"),INDEX(Land_Use[MAX],MATCH(LEFT($D881,5),Land_Use[Tech],0)),0)*$E881</f>
        <v>0</v>
      </c>
      <c r="N881" s="15">
        <f t="shared" si="232"/>
        <v>0</v>
      </c>
      <c r="O881" s="11">
        <f t="shared" si="233"/>
        <v>0</v>
      </c>
      <c r="P881" s="11">
        <f t="shared" si="234"/>
        <v>0</v>
      </c>
      <c r="Q881" s="11">
        <f t="shared" si="235"/>
        <v>0</v>
      </c>
      <c r="R881" s="11">
        <f t="shared" si="236"/>
        <v>0</v>
      </c>
      <c r="S881" s="30">
        <f t="shared" si="240"/>
        <v>0</v>
      </c>
      <c r="T881" s="30">
        <f t="shared" si="241"/>
        <v>0</v>
      </c>
      <c r="U881" s="30">
        <f t="shared" si="242"/>
        <v>0</v>
      </c>
      <c r="V881" s="30">
        <f t="shared" si="243"/>
        <v>0</v>
      </c>
      <c r="W881" s="30">
        <f t="shared" si="244"/>
        <v>0</v>
      </c>
      <c r="X881" s="30">
        <f t="shared" si="245"/>
        <v>0</v>
      </c>
      <c r="Z881" s="23" t="s">
        <v>76</v>
      </c>
      <c r="AA881" s="40">
        <f>IF(C881="Electricity",E881*SUMIFS(Electricity!S:S,Electricity!P:P,UserMade_Scenario!B881,Electricity!M:M,UserMade_Scenario!Z881,Electricity!O:O,UserMade_Scenario!D881),"")</f>
        <v>529782.57279352983</v>
      </c>
      <c r="AB881" s="76">
        <f>1/Assumptions!$B$23/1000000000000</f>
        <v>3.5998225679871703E-9</v>
      </c>
      <c r="AC881" s="67" t="s">
        <v>82</v>
      </c>
      <c r="AD881" s="69">
        <f>INDEX(Table11[AVG
CO2e MT per MWh],MATCH(UserMade_Scenario!$B881,Table11[[Year]:[Year]],0))</f>
        <v>-6.7999746399999894E-2</v>
      </c>
      <c r="AE881" s="69">
        <f>INDEX(Table11[MIN
CO2e MT per MWh],MATCH(UserMade_Scenario!$B881,Table11[[Year]:[Year]],0))</f>
        <v>-3.9210322300000093E-2</v>
      </c>
      <c r="AF881" s="69">
        <f>INDEX(Table11[MAX CO2e MT per MWh],MATCH(UserMade_Scenario!$B881,Table11[[Year]:[Year]],0))</f>
        <v>-9.6789169500000008E-2</v>
      </c>
      <c r="AG881" s="68">
        <f>IFERROR(INDEX(WaterUseH2[Average Direct Water Consumption (Gal/ kg h2)],MATCH(LEFT(D881,3),WaterUseH2[Key],0)),0)</f>
        <v>0</v>
      </c>
      <c r="AH881">
        <v>14</v>
      </c>
      <c r="AI881">
        <v>1.4</v>
      </c>
      <c r="AJ881">
        <v>250</v>
      </c>
      <c r="AK881">
        <v>0.31</v>
      </c>
      <c r="AL881" s="63">
        <f>IFERROR(INDEX(Job_Training[[Solar]:[Wind]],MATCH(AL$1,Job_Training[[`Typical Entry Level Education`]:[`Typical Entry Level Education`]],0),MATCH(LEFT($D881,5),Job_Training[[#Headers],[Solar]:[Wind]],0)),0)</f>
        <v>0</v>
      </c>
      <c r="AM881" s="63">
        <f>IFERROR(INDEX(Job_Training[[Solar]:[Wind]],MATCH(AM$1,Job_Training[[`Typical Entry Level Education`]:[`Typical Entry Level Education`]],0),MATCH(LEFT($D881,5),Job_Training[[#Headers],[Solar]:[Wind]],0)),0)</f>
        <v>0</v>
      </c>
      <c r="AN881" s="63">
        <f>IFERROR(INDEX(Job_Training[[Solar]:[Wind]],MATCH(AN$1,Job_Training[[`Typical Entry Level Education`]:[`Typical Entry Level Education`]],0),MATCH(LEFT($D881,5),Job_Training[[#Headers],[Solar]:[Wind]],0)),0)</f>
        <v>0</v>
      </c>
      <c r="AO881" s="63">
        <f>IFERROR(INDEX(Job_Training[[Solar]:[Wind]],MATCH(AO$1,Job_Training[[`Typical Entry Level Education`]:[`Typical Entry Level Education`]],0),MATCH(LEFT($D881,5),Job_Training[[#Headers],[Solar]:[Wind]],0)),0)</f>
        <v>0</v>
      </c>
      <c r="AP881">
        <f t="shared" si="246"/>
        <v>23.809523809523796</v>
      </c>
      <c r="AQ881" s="63">
        <f>IF(AP881&gt;0,IFERROR(INDEX(Assumptions!$C$165:$D$165,MATCH(LEFT($D881,5),Job_Training[[#Headers],[Solar]:[Wind]],0)),0),0)</f>
        <v>0</v>
      </c>
      <c r="AR881">
        <f>IF(AP881&gt;0,IFERROR(INDEX(Assumptions!$C$166:$D$166,MATCH(LEFT($D881,5),Job_Training[[#Headers],[Solar]:[Wind]],0)),0),0)</f>
        <v>0</v>
      </c>
    </row>
    <row r="882" spans="1:44" hidden="1" x14ac:dyDescent="0.35">
      <c r="A882" t="str">
        <f>UserInput!$B$82</f>
        <v>Incremental Buildout</v>
      </c>
      <c r="B882">
        <v>2044</v>
      </c>
      <c r="C882" t="s">
        <v>41</v>
      </c>
      <c r="D882" t="s">
        <v>85</v>
      </c>
      <c r="E882" s="120">
        <f>INDEX(UserInput!$C$82:$M$102,MATCH(UserMade_Scenario!B882,UserInput!$A$82:$A$102,0),MATCH(LEFT(IF(RIGHT(C882,2)="H2",UserMade_Scenario!C882,D882),3),UserInput!$C$25:$M$25,0))</f>
        <v>476.19047619047603</v>
      </c>
      <c r="F882" t="s">
        <v>81</v>
      </c>
      <c r="G882" s="14">
        <f t="shared" si="247"/>
        <v>2.0074981701773205E-3</v>
      </c>
      <c r="H882" s="63">
        <f t="shared" si="237"/>
        <v>3.556559912330385E-2</v>
      </c>
      <c r="I882" s="63">
        <f t="shared" si="238"/>
        <v>1.8989947660590121E-2</v>
      </c>
      <c r="J882" s="63">
        <f t="shared" si="239"/>
        <v>5.214125002835189E-2</v>
      </c>
      <c r="K882" s="30">
        <f>IF(OR(LEFT($D882,5)="Solar",$D882="Wind"),INDEX(Land_Use[AVG],MATCH(LEFT($D882,5),Land_Use[Tech],0)),0)*$E882</f>
        <v>0</v>
      </c>
      <c r="L882" s="30">
        <f>IF(OR(LEFT($D882,5)="Solar",$D882="Wind"),INDEX(Land_Use[MIN],MATCH(LEFT($D882,5),Land_Use[Tech],0)),0)*$E882</f>
        <v>0</v>
      </c>
      <c r="M882" s="30">
        <f>IF(OR(LEFT($D882,5)="Solar",$D882="Wind"),INDEX(Land_Use[MAX],MATCH(LEFT($D882,5),Land_Use[Tech],0)),0)*$E882</f>
        <v>0</v>
      </c>
      <c r="N882" s="15">
        <f t="shared" si="232"/>
        <v>0</v>
      </c>
      <c r="O882" s="11">
        <f t="shared" si="233"/>
        <v>0</v>
      </c>
      <c r="P882" s="11">
        <f t="shared" si="234"/>
        <v>0</v>
      </c>
      <c r="Q882" s="11">
        <f t="shared" si="235"/>
        <v>0</v>
      </c>
      <c r="R882" s="11">
        <f t="shared" si="236"/>
        <v>0</v>
      </c>
      <c r="S882" s="30">
        <f t="shared" si="240"/>
        <v>0</v>
      </c>
      <c r="T882" s="30">
        <f t="shared" si="241"/>
        <v>0</v>
      </c>
      <c r="U882" s="30">
        <f t="shared" si="242"/>
        <v>0</v>
      </c>
      <c r="V882" s="30">
        <f t="shared" si="243"/>
        <v>0</v>
      </c>
      <c r="W882" s="30">
        <f t="shared" si="244"/>
        <v>0</v>
      </c>
      <c r="X882" s="30">
        <f t="shared" si="245"/>
        <v>0</v>
      </c>
      <c r="Z882" s="23" t="s">
        <v>76</v>
      </c>
      <c r="AA882" s="40">
        <f>IF(C882="Electricity",E882*SUMIFS(Electricity!S:S,Electricity!P:P,UserMade_Scenario!B882,Electricity!M:M,UserMade_Scenario!Z882,Electricity!O:O,UserMade_Scenario!D882),"")</f>
        <v>557665.86609845248</v>
      </c>
      <c r="AB882" s="76">
        <f>1/Assumptions!$B$23/1000000000000</f>
        <v>3.5998225679871703E-9</v>
      </c>
      <c r="AC882" s="67" t="s">
        <v>82</v>
      </c>
      <c r="AD882" s="69">
        <f>INDEX(Table11[AVG
CO2e MT per MWh],MATCH(UserMade_Scenario!$B882,Table11[[Year]:[Year]],0))</f>
        <v>-6.3775822199999888E-2</v>
      </c>
      <c r="AE882" s="69">
        <f>INDEX(Table11[MIN
CO2e MT per MWh],MATCH(UserMade_Scenario!$B882,Table11[[Year]:[Year]],0))</f>
        <v>-3.4052555150000094E-2</v>
      </c>
      <c r="AF882" s="69">
        <f>INDEX(Table11[MAX CO2e MT per MWh],MATCH(UserMade_Scenario!$B882,Table11[[Year]:[Year]],0))</f>
        <v>-9.3499088250000001E-2</v>
      </c>
      <c r="AG882" s="68">
        <f>IFERROR(INDEX(WaterUseH2[Average Direct Water Consumption (Gal/ kg h2)],MATCH(LEFT(D882,3),WaterUseH2[Key],0)),0)</f>
        <v>0</v>
      </c>
      <c r="AH882">
        <v>14</v>
      </c>
      <c r="AI882">
        <v>1.4</v>
      </c>
      <c r="AJ882">
        <v>250</v>
      </c>
      <c r="AK882">
        <v>0.31</v>
      </c>
      <c r="AL882" s="63">
        <f>IFERROR(INDEX(Job_Training[[Solar]:[Wind]],MATCH(AL$1,Job_Training[[`Typical Entry Level Education`]:[`Typical Entry Level Education`]],0),MATCH(LEFT($D882,5),Job_Training[[#Headers],[Solar]:[Wind]],0)),0)</f>
        <v>0</v>
      </c>
      <c r="AM882" s="63">
        <f>IFERROR(INDEX(Job_Training[[Solar]:[Wind]],MATCH(AM$1,Job_Training[[`Typical Entry Level Education`]:[`Typical Entry Level Education`]],0),MATCH(LEFT($D882,5),Job_Training[[#Headers],[Solar]:[Wind]],0)),0)</f>
        <v>0</v>
      </c>
      <c r="AN882" s="63">
        <f>IFERROR(INDEX(Job_Training[[Solar]:[Wind]],MATCH(AN$1,Job_Training[[`Typical Entry Level Education`]:[`Typical Entry Level Education`]],0),MATCH(LEFT($D882,5),Job_Training[[#Headers],[Solar]:[Wind]],0)),0)</f>
        <v>0</v>
      </c>
      <c r="AO882" s="63">
        <f>IFERROR(INDEX(Job_Training[[Solar]:[Wind]],MATCH(AO$1,Job_Training[[`Typical Entry Level Education`]:[`Typical Entry Level Education`]],0),MATCH(LEFT($D882,5),Job_Training[[#Headers],[Solar]:[Wind]],0)),0)</f>
        <v>0</v>
      </c>
      <c r="AP882">
        <f t="shared" si="246"/>
        <v>23.809523809523796</v>
      </c>
      <c r="AQ882" s="63">
        <f>IF(AP882&gt;0,IFERROR(INDEX(Assumptions!$C$165:$D$165,MATCH(LEFT($D882,5),Job_Training[[#Headers],[Solar]:[Wind]],0)),0),0)</f>
        <v>0</v>
      </c>
      <c r="AR882">
        <f>IF(AP882&gt;0,IFERROR(INDEX(Assumptions!$C$166:$D$166,MATCH(LEFT($D882,5),Job_Training[[#Headers],[Solar]:[Wind]],0)),0),0)</f>
        <v>0</v>
      </c>
    </row>
    <row r="883" spans="1:44" hidden="1" x14ac:dyDescent="0.35">
      <c r="A883" t="str">
        <f>UserInput!$B$82</f>
        <v>Incremental Buildout</v>
      </c>
      <c r="B883">
        <v>2045</v>
      </c>
      <c r="C883" t="s">
        <v>41</v>
      </c>
      <c r="D883" t="s">
        <v>85</v>
      </c>
      <c r="E883" s="120">
        <f>INDEX(UserInput!$C$82:$M$102,MATCH(UserMade_Scenario!B883,UserInput!$A$82:$A$102,0),MATCH(LEFT(IF(RIGHT(C883,2)="H2",UserMade_Scenario!C883,D883),3),UserInput!$C$25:$M$25,0))</f>
        <v>500</v>
      </c>
      <c r="F883" t="s">
        <v>81</v>
      </c>
      <c r="G883" s="14">
        <f t="shared" si="247"/>
        <v>2.107873078686187E-3</v>
      </c>
      <c r="H883" s="63">
        <f t="shared" si="237"/>
        <v>3.4870563814775477E-2</v>
      </c>
      <c r="I883" s="63">
        <f t="shared" si="238"/>
        <v>1.6919318824538791E-2</v>
      </c>
      <c r="J883" s="63">
        <f t="shared" si="239"/>
        <v>5.2821808219463189E-2</v>
      </c>
      <c r="K883" s="30">
        <f>IF(OR(LEFT($D883,5)="Solar",$D883="Wind"),INDEX(Land_Use[AVG],MATCH(LEFT($D883,5),Land_Use[Tech],0)),0)*$E883</f>
        <v>0</v>
      </c>
      <c r="L883" s="30">
        <f>IF(OR(LEFT($D883,5)="Solar",$D883="Wind"),INDEX(Land_Use[MIN],MATCH(LEFT($D883,5),Land_Use[Tech],0)),0)*$E883</f>
        <v>0</v>
      </c>
      <c r="M883" s="30">
        <f>IF(OR(LEFT($D883,5)="Solar",$D883="Wind"),INDEX(Land_Use[MAX],MATCH(LEFT($D883,5),Land_Use[Tech],0)),0)*$E883</f>
        <v>0</v>
      </c>
      <c r="N883" s="15">
        <f t="shared" si="232"/>
        <v>0</v>
      </c>
      <c r="O883" s="11">
        <f t="shared" si="233"/>
        <v>0</v>
      </c>
      <c r="P883" s="11">
        <f t="shared" si="234"/>
        <v>0</v>
      </c>
      <c r="Q883" s="11">
        <f t="shared" si="235"/>
        <v>0</v>
      </c>
      <c r="R883" s="11">
        <f t="shared" si="236"/>
        <v>0</v>
      </c>
      <c r="S883" s="30">
        <f t="shared" si="240"/>
        <v>0</v>
      </c>
      <c r="T883" s="30">
        <f t="shared" si="241"/>
        <v>0</v>
      </c>
      <c r="U883" s="30">
        <f t="shared" si="242"/>
        <v>0</v>
      </c>
      <c r="V883" s="30">
        <f t="shared" si="243"/>
        <v>0</v>
      </c>
      <c r="W883" s="30">
        <f t="shared" si="244"/>
        <v>0</v>
      </c>
      <c r="X883" s="30">
        <f t="shared" si="245"/>
        <v>0</v>
      </c>
      <c r="Z883" s="23" t="s">
        <v>76</v>
      </c>
      <c r="AA883" s="40">
        <f>IF(C883="Electricity",E883*SUMIFS(Electricity!S:S,Electricity!P:P,UserMade_Scenario!B883,Electricity!M:M,UserMade_Scenario!Z883,Electricity!O:O,UserMade_Scenario!D883),"")</f>
        <v>585549.15940337523</v>
      </c>
      <c r="AB883" s="76">
        <f>1/Assumptions!$B$23/1000000000000</f>
        <v>3.5998225679871703E-9</v>
      </c>
      <c r="AC883" s="67" t="s">
        <v>82</v>
      </c>
      <c r="AD883" s="69">
        <f>INDEX(Table11[AVG
CO2e MT per MWh],MATCH(UserMade_Scenario!$B883,Table11[[Year]:[Year]],0))</f>
        <v>-5.9551897999999888E-2</v>
      </c>
      <c r="AE883" s="69">
        <f>INDEX(Table11[MIN
CO2e MT per MWh],MATCH(UserMade_Scenario!$B883,Table11[[Year]:[Year]],0))</f>
        <v>-2.8894788000000095E-2</v>
      </c>
      <c r="AF883" s="69">
        <f>INDEX(Table11[MAX CO2e MT per MWh],MATCH(UserMade_Scenario!$B883,Table11[[Year]:[Year]],0))</f>
        <v>-9.0209006999999994E-2</v>
      </c>
      <c r="AG883" s="68">
        <f>IFERROR(INDEX(WaterUseH2[Average Direct Water Consumption (Gal/ kg h2)],MATCH(LEFT(D883,3),WaterUseH2[Key],0)),0)</f>
        <v>0</v>
      </c>
      <c r="AH883">
        <v>14</v>
      </c>
      <c r="AI883">
        <v>1.4</v>
      </c>
      <c r="AJ883">
        <v>250</v>
      </c>
      <c r="AK883">
        <v>0.31</v>
      </c>
      <c r="AL883" s="63">
        <f>IFERROR(INDEX(Job_Training[[Solar]:[Wind]],MATCH(AL$1,Job_Training[[`Typical Entry Level Education`]:[`Typical Entry Level Education`]],0),MATCH(LEFT($D883,5),Job_Training[[#Headers],[Solar]:[Wind]],0)),0)</f>
        <v>0</v>
      </c>
      <c r="AM883" s="63">
        <f>IFERROR(INDEX(Job_Training[[Solar]:[Wind]],MATCH(AM$1,Job_Training[[`Typical Entry Level Education`]:[`Typical Entry Level Education`]],0),MATCH(LEFT($D883,5),Job_Training[[#Headers],[Solar]:[Wind]],0)),0)</f>
        <v>0</v>
      </c>
      <c r="AN883" s="63">
        <f>IFERROR(INDEX(Job_Training[[Solar]:[Wind]],MATCH(AN$1,Job_Training[[`Typical Entry Level Education`]:[`Typical Entry Level Education`]],0),MATCH(LEFT($D883,5),Job_Training[[#Headers],[Solar]:[Wind]],0)),0)</f>
        <v>0</v>
      </c>
      <c r="AO883" s="63">
        <f>IFERROR(INDEX(Job_Training[[Solar]:[Wind]],MATCH(AO$1,Job_Training[[`Typical Entry Level Education`]:[`Typical Entry Level Education`]],0),MATCH(LEFT($D883,5),Job_Training[[#Headers],[Solar]:[Wind]],0)),0)</f>
        <v>0</v>
      </c>
      <c r="AP883">
        <f t="shared" si="246"/>
        <v>23.809523809523967</v>
      </c>
      <c r="AQ883" s="63">
        <f>IF(AP883&gt;0,IFERROR(INDEX(Assumptions!$C$165:$D$165,MATCH(LEFT($D883,5),Job_Training[[#Headers],[Solar]:[Wind]],0)),0),0)</f>
        <v>0</v>
      </c>
      <c r="AR883">
        <f>IF(AP883&gt;0,IFERROR(INDEX(Assumptions!$C$166:$D$166,MATCH(LEFT($D883,5),Job_Training[[#Headers],[Solar]:[Wind]],0)),0),0)</f>
        <v>0</v>
      </c>
    </row>
    <row r="884" spans="1:44" hidden="1" x14ac:dyDescent="0.35">
      <c r="A884" t="str">
        <f>UserInput!$B$82</f>
        <v>Incremental Buildout</v>
      </c>
      <c r="B884">
        <v>2025</v>
      </c>
      <c r="C884" t="s">
        <v>41</v>
      </c>
      <c r="D884" t="s">
        <v>86</v>
      </c>
      <c r="E884" s="120">
        <f>INDEX(UserInput!$C$82:$M$102,MATCH(UserMade_Scenario!B884,UserInput!$A$82:$A$102,0),MATCH(LEFT(IF(RIGHT(C884,2)="H2",UserMade_Scenario!C884,D884),3),UserInput!$C$25:$M$25,0))</f>
        <v>0</v>
      </c>
      <c r="F884" t="s">
        <v>81</v>
      </c>
      <c r="G884" s="14">
        <f t="shared" si="247"/>
        <v>0</v>
      </c>
      <c r="H884" s="63">
        <f t="shared" si="237"/>
        <v>0</v>
      </c>
      <c r="I884" s="63">
        <f t="shared" si="238"/>
        <v>0</v>
      </c>
      <c r="J884" s="63">
        <f t="shared" si="239"/>
        <v>0</v>
      </c>
      <c r="K884" s="30">
        <f>IF(OR(LEFT($D884,5)="Solar",$D884="Wind"),INDEX(Land_Use[AVG],MATCH(LEFT($D884,5),Land_Use[Tech],0)),0)*$E884</f>
        <v>0</v>
      </c>
      <c r="L884" s="30">
        <f>IF(OR(LEFT($D884,5)="Solar",$D884="Wind"),INDEX(Land_Use[MIN],MATCH(LEFT($D884,5),Land_Use[Tech],0)),0)*$E884</f>
        <v>0</v>
      </c>
      <c r="M884" s="30">
        <f>IF(OR(LEFT($D884,5)="Solar",$D884="Wind"),INDEX(Land_Use[MAX],MATCH(LEFT($D884,5),Land_Use[Tech],0)),0)*$E884</f>
        <v>0</v>
      </c>
      <c r="N884" s="15">
        <f t="shared" si="232"/>
        <v>0</v>
      </c>
      <c r="O884" s="11">
        <f t="shared" si="233"/>
        <v>0</v>
      </c>
      <c r="P884" s="11">
        <f t="shared" si="234"/>
        <v>0</v>
      </c>
      <c r="Q884" s="11">
        <f t="shared" si="235"/>
        <v>0</v>
      </c>
      <c r="R884" s="11">
        <f t="shared" si="236"/>
        <v>0</v>
      </c>
      <c r="S884" s="30">
        <f t="shared" si="240"/>
        <v>0</v>
      </c>
      <c r="T884" s="30">
        <f t="shared" si="241"/>
        <v>0</v>
      </c>
      <c r="U884" s="30">
        <f t="shared" si="242"/>
        <v>0</v>
      </c>
      <c r="V884" s="30">
        <f t="shared" si="243"/>
        <v>0</v>
      </c>
      <c r="W884" s="30">
        <f t="shared" si="244"/>
        <v>0</v>
      </c>
      <c r="X884" s="30">
        <f t="shared" si="245"/>
        <v>0</v>
      </c>
      <c r="Z884" s="23" t="s">
        <v>76</v>
      </c>
      <c r="AA884" s="40">
        <f>IF(C884="Electricity",E884*SUMIFS(Electricity!S:S,Electricity!P:P,UserMade_Scenario!B884,Electricity!M:M,UserMade_Scenario!Z884,Electricity!O:O,UserMade_Scenario!D884),"")</f>
        <v>0</v>
      </c>
      <c r="AB884" s="76">
        <f>1/Assumptions!$B$23/1000000000000</f>
        <v>3.5998225679871703E-9</v>
      </c>
      <c r="AC884" s="67" t="s">
        <v>82</v>
      </c>
      <c r="AD884" s="69">
        <f>INDEX(Table11[AVG
CO2e MT per MWh],MATCH(UserMade_Scenario!$B884,Table11[[Year]:[Year]],0))</f>
        <v>-0.14403038200000001</v>
      </c>
      <c r="AE884" s="69">
        <f>INDEX(Table11[MIN
CO2e MT per MWh],MATCH(UserMade_Scenario!$B884,Table11[[Year]:[Year]],0))</f>
        <v>-0.13205013099999999</v>
      </c>
      <c r="AF884" s="69">
        <f>INDEX(Table11[MAX CO2e MT per MWh],MATCH(UserMade_Scenario!$B884,Table11[[Year]:[Year]],0))</f>
        <v>-0.15601063200000001</v>
      </c>
      <c r="AG884" s="68">
        <f>IFERROR(INDEX(WaterUseH2[Average Direct Water Consumption (Gal/ kg h2)],MATCH(LEFT(D884,3),WaterUseH2[Key],0)),0)</f>
        <v>0</v>
      </c>
      <c r="AH884">
        <v>14</v>
      </c>
      <c r="AI884">
        <v>1.4</v>
      </c>
      <c r="AJ884">
        <v>250</v>
      </c>
      <c r="AK884">
        <v>0.31</v>
      </c>
      <c r="AL884" s="63">
        <f>IFERROR(INDEX(Job_Training[[Solar]:[Wind]],MATCH(AL$1,Job_Training[[`Typical Entry Level Education`]:[`Typical Entry Level Education`]],0),MATCH(LEFT($D884,5),Job_Training[[#Headers],[Solar]:[Wind]],0)),0)</f>
        <v>0</v>
      </c>
      <c r="AM884" s="63">
        <f>IFERROR(INDEX(Job_Training[[Solar]:[Wind]],MATCH(AM$1,Job_Training[[`Typical Entry Level Education`]:[`Typical Entry Level Education`]],0),MATCH(LEFT($D884,5),Job_Training[[#Headers],[Solar]:[Wind]],0)),0)</f>
        <v>0</v>
      </c>
      <c r="AN884" s="63">
        <f>IFERROR(INDEX(Job_Training[[Solar]:[Wind]],MATCH(AN$1,Job_Training[[`Typical Entry Level Education`]:[`Typical Entry Level Education`]],0),MATCH(LEFT($D884,5),Job_Training[[#Headers],[Solar]:[Wind]],0)),0)</f>
        <v>0</v>
      </c>
      <c r="AO884" s="63">
        <f>IFERROR(INDEX(Job_Training[[Solar]:[Wind]],MATCH(AO$1,Job_Training[[`Typical Entry Level Education`]:[`Typical Entry Level Education`]],0),MATCH(LEFT($D884,5),Job_Training[[#Headers],[Solar]:[Wind]],0)),0)</f>
        <v>0</v>
      </c>
      <c r="AP884">
        <f t="shared" si="246"/>
        <v>0</v>
      </c>
      <c r="AQ884" s="63">
        <f>IF(AP884&gt;0,IFERROR(INDEX(Assumptions!$C$165:$D$165,MATCH(LEFT($D884,5),Job_Training[[#Headers],[Solar]:[Wind]],0)),0),0)</f>
        <v>0</v>
      </c>
      <c r="AR884">
        <f>IF(AP884&gt;0,IFERROR(INDEX(Assumptions!$C$166:$D$166,MATCH(LEFT($D884,5),Job_Training[[#Headers],[Solar]:[Wind]],0)),0),0)</f>
        <v>0</v>
      </c>
    </row>
    <row r="885" spans="1:44" hidden="1" x14ac:dyDescent="0.35">
      <c r="A885" t="str">
        <f>UserInput!$B$82</f>
        <v>Incremental Buildout</v>
      </c>
      <c r="B885">
        <v>2026</v>
      </c>
      <c r="C885" t="s">
        <v>41</v>
      </c>
      <c r="D885" t="s">
        <v>86</v>
      </c>
      <c r="E885" s="120">
        <f>INDEX(UserInput!$C$82:$M$102,MATCH(UserMade_Scenario!B885,UserInput!$A$82:$A$102,0),MATCH(LEFT(IF(RIGHT(C885,2)="H2",UserMade_Scenario!C885,D885),3),UserInput!$C$25:$M$25,0))</f>
        <v>0</v>
      </c>
      <c r="F885" t="s">
        <v>81</v>
      </c>
      <c r="G885" s="14">
        <f t="shared" si="247"/>
        <v>0</v>
      </c>
      <c r="H885" s="63">
        <f t="shared" si="237"/>
        <v>0</v>
      </c>
      <c r="I885" s="63">
        <f t="shared" si="238"/>
        <v>0</v>
      </c>
      <c r="J885" s="63">
        <f t="shared" si="239"/>
        <v>0</v>
      </c>
      <c r="K885" s="30">
        <f>IF(OR(LEFT($D885,5)="Solar",$D885="Wind"),INDEX(Land_Use[AVG],MATCH(LEFT($D885,5),Land_Use[Tech],0)),0)*$E885</f>
        <v>0</v>
      </c>
      <c r="L885" s="30">
        <f>IF(OR(LEFT($D885,5)="Solar",$D885="Wind"),INDEX(Land_Use[MIN],MATCH(LEFT($D885,5),Land_Use[Tech],0)),0)*$E885</f>
        <v>0</v>
      </c>
      <c r="M885" s="30">
        <f>IF(OR(LEFT($D885,5)="Solar",$D885="Wind"),INDEX(Land_Use[MAX],MATCH(LEFT($D885,5),Land_Use[Tech],0)),0)*$E885</f>
        <v>0</v>
      </c>
      <c r="N885" s="15">
        <f t="shared" si="232"/>
        <v>0</v>
      </c>
      <c r="O885" s="11">
        <f t="shared" si="233"/>
        <v>0</v>
      </c>
      <c r="P885" s="11">
        <f t="shared" si="234"/>
        <v>0</v>
      </c>
      <c r="Q885" s="11">
        <f t="shared" si="235"/>
        <v>0</v>
      </c>
      <c r="R885" s="11">
        <f t="shared" si="236"/>
        <v>0</v>
      </c>
      <c r="S885" s="30">
        <f t="shared" si="240"/>
        <v>0</v>
      </c>
      <c r="T885" s="30">
        <f t="shared" si="241"/>
        <v>0</v>
      </c>
      <c r="U885" s="30">
        <f t="shared" si="242"/>
        <v>0</v>
      </c>
      <c r="V885" s="30">
        <f t="shared" si="243"/>
        <v>0</v>
      </c>
      <c r="W885" s="30">
        <f t="shared" si="244"/>
        <v>0</v>
      </c>
      <c r="X885" s="30">
        <f t="shared" si="245"/>
        <v>0</v>
      </c>
      <c r="Z885" s="23" t="s">
        <v>76</v>
      </c>
      <c r="AA885" s="40">
        <f>IF(C885="Electricity",E885*SUMIFS(Electricity!S:S,Electricity!P:P,UserMade_Scenario!B885,Electricity!M:M,UserMade_Scenario!Z885,Electricity!O:O,UserMade_Scenario!D885),"")</f>
        <v>0</v>
      </c>
      <c r="AB885" s="76">
        <f>1/Assumptions!$B$23/1000000000000</f>
        <v>3.5998225679871703E-9</v>
      </c>
      <c r="AC885" s="67" t="s">
        <v>82</v>
      </c>
      <c r="AD885" s="69">
        <f>INDEX(Table11[AVG
CO2e MT per MWh],MATCH(UserMade_Scenario!$B885,Table11[[Year]:[Year]],0))</f>
        <v>-0.13980645780000001</v>
      </c>
      <c r="AE885" s="69">
        <f>INDEX(Table11[MIN
CO2e MT per MWh],MATCH(UserMade_Scenario!$B885,Table11[[Year]:[Year]],0))</f>
        <v>-0.12689236385</v>
      </c>
      <c r="AF885" s="69">
        <f>INDEX(Table11[MAX CO2e MT per MWh],MATCH(UserMade_Scenario!$B885,Table11[[Year]:[Year]],0))</f>
        <v>-0.15272055075000002</v>
      </c>
      <c r="AG885" s="68">
        <f>IFERROR(INDEX(WaterUseH2[Average Direct Water Consumption (Gal/ kg h2)],MATCH(LEFT(D885,3),WaterUseH2[Key],0)),0)</f>
        <v>0</v>
      </c>
      <c r="AH885">
        <v>14</v>
      </c>
      <c r="AI885">
        <v>1.4</v>
      </c>
      <c r="AJ885">
        <v>250</v>
      </c>
      <c r="AK885">
        <v>0.31</v>
      </c>
      <c r="AL885" s="63">
        <f>IFERROR(INDEX(Job_Training[[Solar]:[Wind]],MATCH(AL$1,Job_Training[[`Typical Entry Level Education`]:[`Typical Entry Level Education`]],0),MATCH(LEFT($D885,5),Job_Training[[#Headers],[Solar]:[Wind]],0)),0)</f>
        <v>0</v>
      </c>
      <c r="AM885" s="63">
        <f>IFERROR(INDEX(Job_Training[[Solar]:[Wind]],MATCH(AM$1,Job_Training[[`Typical Entry Level Education`]:[`Typical Entry Level Education`]],0),MATCH(LEFT($D885,5),Job_Training[[#Headers],[Solar]:[Wind]],0)),0)</f>
        <v>0</v>
      </c>
      <c r="AN885" s="63">
        <f>IFERROR(INDEX(Job_Training[[Solar]:[Wind]],MATCH(AN$1,Job_Training[[`Typical Entry Level Education`]:[`Typical Entry Level Education`]],0),MATCH(LEFT($D885,5),Job_Training[[#Headers],[Solar]:[Wind]],0)),0)</f>
        <v>0</v>
      </c>
      <c r="AO885" s="63">
        <f>IFERROR(INDEX(Job_Training[[Solar]:[Wind]],MATCH(AO$1,Job_Training[[`Typical Entry Level Education`]:[`Typical Entry Level Education`]],0),MATCH(LEFT($D885,5),Job_Training[[#Headers],[Solar]:[Wind]],0)),0)</f>
        <v>0</v>
      </c>
      <c r="AP885">
        <f t="shared" si="246"/>
        <v>0</v>
      </c>
      <c r="AQ885" s="63">
        <f>IF(AP885&gt;0,IFERROR(INDEX(Assumptions!$C$165:$D$165,MATCH(LEFT($D885,5),Job_Training[[#Headers],[Solar]:[Wind]],0)),0),0)</f>
        <v>0</v>
      </c>
      <c r="AR885">
        <f>IF(AP885&gt;0,IFERROR(INDEX(Assumptions!$C$166:$D$166,MATCH(LEFT($D885,5),Job_Training[[#Headers],[Solar]:[Wind]],0)),0),0)</f>
        <v>0</v>
      </c>
    </row>
    <row r="886" spans="1:44" hidden="1" x14ac:dyDescent="0.35">
      <c r="A886" t="str">
        <f>UserInput!$B$82</f>
        <v>Incremental Buildout</v>
      </c>
      <c r="B886">
        <v>2027</v>
      </c>
      <c r="C886" t="s">
        <v>41</v>
      </c>
      <c r="D886" t="s">
        <v>86</v>
      </c>
      <c r="E886" s="120">
        <f>INDEX(UserInput!$C$82:$M$102,MATCH(UserMade_Scenario!B886,UserInput!$A$82:$A$102,0),MATCH(LEFT(IF(RIGHT(C886,2)="H2",UserMade_Scenario!C886,D886),3),UserInput!$C$25:$M$25,0))</f>
        <v>0</v>
      </c>
      <c r="F886" t="s">
        <v>81</v>
      </c>
      <c r="G886" s="14">
        <f t="shared" si="247"/>
        <v>0</v>
      </c>
      <c r="H886" s="63">
        <f t="shared" si="237"/>
        <v>0</v>
      </c>
      <c r="I886" s="63">
        <f t="shared" si="238"/>
        <v>0</v>
      </c>
      <c r="J886" s="63">
        <f t="shared" si="239"/>
        <v>0</v>
      </c>
      <c r="K886" s="30">
        <f>IF(OR(LEFT($D886,5)="Solar",$D886="Wind"),INDEX(Land_Use[AVG],MATCH(LEFT($D886,5),Land_Use[Tech],0)),0)*$E886</f>
        <v>0</v>
      </c>
      <c r="L886" s="30">
        <f>IF(OR(LEFT($D886,5)="Solar",$D886="Wind"),INDEX(Land_Use[MIN],MATCH(LEFT($D886,5),Land_Use[Tech],0)),0)*$E886</f>
        <v>0</v>
      </c>
      <c r="M886" s="30">
        <f>IF(OR(LEFT($D886,5)="Solar",$D886="Wind"),INDEX(Land_Use[MAX],MATCH(LEFT($D886,5),Land_Use[Tech],0)),0)*$E886</f>
        <v>0</v>
      </c>
      <c r="N886" s="15">
        <f t="shared" si="232"/>
        <v>0</v>
      </c>
      <c r="O886" s="11">
        <f t="shared" si="233"/>
        <v>0</v>
      </c>
      <c r="P886" s="11">
        <f t="shared" si="234"/>
        <v>0</v>
      </c>
      <c r="Q886" s="11">
        <f t="shared" si="235"/>
        <v>0</v>
      </c>
      <c r="R886" s="11">
        <f t="shared" si="236"/>
        <v>0</v>
      </c>
      <c r="S886" s="30">
        <f t="shared" si="240"/>
        <v>0</v>
      </c>
      <c r="T886" s="30">
        <f t="shared" si="241"/>
        <v>0</v>
      </c>
      <c r="U886" s="30">
        <f t="shared" si="242"/>
        <v>0</v>
      </c>
      <c r="V886" s="30">
        <f t="shared" si="243"/>
        <v>0</v>
      </c>
      <c r="W886" s="30">
        <f t="shared" si="244"/>
        <v>0</v>
      </c>
      <c r="X886" s="30">
        <f t="shared" si="245"/>
        <v>0</v>
      </c>
      <c r="Z886" s="23" t="s">
        <v>76</v>
      </c>
      <c r="AA886" s="40">
        <f>IF(C886="Electricity",E886*SUMIFS(Electricity!S:S,Electricity!P:P,UserMade_Scenario!B886,Electricity!M:M,UserMade_Scenario!Z886,Electricity!O:O,UserMade_Scenario!D886),"")</f>
        <v>0</v>
      </c>
      <c r="AB886" s="76">
        <f>1/Assumptions!$B$23/1000000000000</f>
        <v>3.5998225679871703E-9</v>
      </c>
      <c r="AC886" s="67" t="s">
        <v>82</v>
      </c>
      <c r="AD886" s="69">
        <f>INDEX(Table11[AVG
CO2e MT per MWh],MATCH(UserMade_Scenario!$B886,Table11[[Year]:[Year]],0))</f>
        <v>-0.1355825336</v>
      </c>
      <c r="AE886" s="69">
        <f>INDEX(Table11[MIN
CO2e MT per MWh],MATCH(UserMade_Scenario!$B886,Table11[[Year]:[Year]],0))</f>
        <v>-0.1217345967</v>
      </c>
      <c r="AF886" s="69">
        <f>INDEX(Table11[MAX CO2e MT per MWh],MATCH(UserMade_Scenario!$B886,Table11[[Year]:[Year]],0))</f>
        <v>-0.14943046950000002</v>
      </c>
      <c r="AG886" s="68">
        <f>IFERROR(INDEX(WaterUseH2[Average Direct Water Consumption (Gal/ kg h2)],MATCH(LEFT(D886,3),WaterUseH2[Key],0)),0)</f>
        <v>0</v>
      </c>
      <c r="AH886">
        <v>14</v>
      </c>
      <c r="AI886">
        <v>1.4</v>
      </c>
      <c r="AJ886">
        <v>250</v>
      </c>
      <c r="AK886">
        <v>0.31</v>
      </c>
      <c r="AL886" s="63">
        <f>IFERROR(INDEX(Job_Training[[Solar]:[Wind]],MATCH(AL$1,Job_Training[[`Typical Entry Level Education`]:[`Typical Entry Level Education`]],0),MATCH(LEFT($D886,5),Job_Training[[#Headers],[Solar]:[Wind]],0)),0)</f>
        <v>0</v>
      </c>
      <c r="AM886" s="63">
        <f>IFERROR(INDEX(Job_Training[[Solar]:[Wind]],MATCH(AM$1,Job_Training[[`Typical Entry Level Education`]:[`Typical Entry Level Education`]],0),MATCH(LEFT($D886,5),Job_Training[[#Headers],[Solar]:[Wind]],0)),0)</f>
        <v>0</v>
      </c>
      <c r="AN886" s="63">
        <f>IFERROR(INDEX(Job_Training[[Solar]:[Wind]],MATCH(AN$1,Job_Training[[`Typical Entry Level Education`]:[`Typical Entry Level Education`]],0),MATCH(LEFT($D886,5),Job_Training[[#Headers],[Solar]:[Wind]],0)),0)</f>
        <v>0</v>
      </c>
      <c r="AO886" s="63">
        <f>IFERROR(INDEX(Job_Training[[Solar]:[Wind]],MATCH(AO$1,Job_Training[[`Typical Entry Level Education`]:[`Typical Entry Level Education`]],0),MATCH(LEFT($D886,5),Job_Training[[#Headers],[Solar]:[Wind]],0)),0)</f>
        <v>0</v>
      </c>
      <c r="AP886">
        <f t="shared" si="246"/>
        <v>0</v>
      </c>
      <c r="AQ886" s="63">
        <f>IF(AP886&gt;0,IFERROR(INDEX(Assumptions!$C$165:$D$165,MATCH(LEFT($D886,5),Job_Training[[#Headers],[Solar]:[Wind]],0)),0),0)</f>
        <v>0</v>
      </c>
      <c r="AR886">
        <f>IF(AP886&gt;0,IFERROR(INDEX(Assumptions!$C$166:$D$166,MATCH(LEFT($D886,5),Job_Training[[#Headers],[Solar]:[Wind]],0)),0),0)</f>
        <v>0</v>
      </c>
    </row>
    <row r="887" spans="1:44" hidden="1" x14ac:dyDescent="0.35">
      <c r="A887" t="str">
        <f>UserInput!$B$82</f>
        <v>Incremental Buildout</v>
      </c>
      <c r="B887">
        <v>2028</v>
      </c>
      <c r="C887" t="s">
        <v>41</v>
      </c>
      <c r="D887" t="s">
        <v>86</v>
      </c>
      <c r="E887" s="120">
        <f>INDEX(UserInput!$C$82:$M$102,MATCH(UserMade_Scenario!B887,UserInput!$A$82:$A$102,0),MATCH(LEFT(IF(RIGHT(C887,2)="H2",UserMade_Scenario!C887,D887),3),UserInput!$C$25:$M$25,0))</f>
        <v>0</v>
      </c>
      <c r="F887" t="s">
        <v>81</v>
      </c>
      <c r="G887" s="14">
        <f t="shared" si="247"/>
        <v>0</v>
      </c>
      <c r="H887" s="63">
        <f t="shared" ref="H887:H950" si="248">IF($C887="Electricity",$AA887/1000000,$G887)*AD887*-1</f>
        <v>0</v>
      </c>
      <c r="I887" s="63">
        <f t="shared" ref="I887:I950" si="249">IF($C887="Electricity",$AA887/1000000,$G887)*AE887*-1</f>
        <v>0</v>
      </c>
      <c r="J887" s="63">
        <f t="shared" ref="J887:J950" si="250">IF($C887="Electricity",$AA887/1000000,$G887)*AF887*-1</f>
        <v>0</v>
      </c>
      <c r="K887" s="30">
        <f>IF(OR(LEFT($D887,5)="Solar",$D887="Wind"),INDEX(Land_Use[AVG],MATCH(LEFT($D887,5),Land_Use[Tech],0)),0)*$E887</f>
        <v>0</v>
      </c>
      <c r="L887" s="30">
        <f>IF(OR(LEFT($D887,5)="Solar",$D887="Wind"),INDEX(Land_Use[MIN],MATCH(LEFT($D887,5),Land_Use[Tech],0)),0)*$E887</f>
        <v>0</v>
      </c>
      <c r="M887" s="30">
        <f>IF(OR(LEFT($D887,5)="Solar",$D887="Wind"),INDEX(Land_Use[MAX],MATCH(LEFT($D887,5),Land_Use[Tech],0)),0)*$E887</f>
        <v>0</v>
      </c>
      <c r="N887" s="15">
        <f t="shared" si="232"/>
        <v>0</v>
      </c>
      <c r="O887" s="11">
        <f t="shared" si="233"/>
        <v>0</v>
      </c>
      <c r="P887" s="11">
        <f t="shared" si="234"/>
        <v>0</v>
      </c>
      <c r="Q887" s="11">
        <f t="shared" si="235"/>
        <v>0</v>
      </c>
      <c r="R887" s="11">
        <f t="shared" si="236"/>
        <v>0</v>
      </c>
      <c r="S887" s="30">
        <f t="shared" si="240"/>
        <v>0</v>
      </c>
      <c r="T887" s="30">
        <f t="shared" si="241"/>
        <v>0</v>
      </c>
      <c r="U887" s="30">
        <f t="shared" si="242"/>
        <v>0</v>
      </c>
      <c r="V887" s="30">
        <f t="shared" si="243"/>
        <v>0</v>
      </c>
      <c r="W887" s="30">
        <f t="shared" si="244"/>
        <v>0</v>
      </c>
      <c r="X887" s="30">
        <f t="shared" si="245"/>
        <v>0</v>
      </c>
      <c r="Z887" s="23" t="s">
        <v>76</v>
      </c>
      <c r="AA887" s="40">
        <f>IF(C887="Electricity",E887*SUMIFS(Electricity!S:S,Electricity!P:P,UserMade_Scenario!B887,Electricity!M:M,UserMade_Scenario!Z887,Electricity!O:O,UserMade_Scenario!D887),"")</f>
        <v>0</v>
      </c>
      <c r="AB887" s="76">
        <f>1/Assumptions!$B$23/1000000000000</f>
        <v>3.5998225679871703E-9</v>
      </c>
      <c r="AC887" s="67" t="s">
        <v>82</v>
      </c>
      <c r="AD887" s="69">
        <f>INDEX(Table11[AVG
CO2e MT per MWh],MATCH(UserMade_Scenario!$B887,Table11[[Year]:[Year]],0))</f>
        <v>-0.13135860939999999</v>
      </c>
      <c r="AE887" s="69">
        <f>INDEX(Table11[MIN
CO2e MT per MWh],MATCH(UserMade_Scenario!$B887,Table11[[Year]:[Year]],0))</f>
        <v>-0.11657682955000001</v>
      </c>
      <c r="AF887" s="69">
        <f>INDEX(Table11[MAX CO2e MT per MWh],MATCH(UserMade_Scenario!$B887,Table11[[Year]:[Year]],0))</f>
        <v>-0.14614038825000003</v>
      </c>
      <c r="AG887" s="68">
        <f>IFERROR(INDEX(WaterUseH2[Average Direct Water Consumption (Gal/ kg h2)],MATCH(LEFT(D887,3),WaterUseH2[Key],0)),0)</f>
        <v>0</v>
      </c>
      <c r="AH887">
        <v>14</v>
      </c>
      <c r="AI887">
        <v>1.4</v>
      </c>
      <c r="AJ887">
        <v>250</v>
      </c>
      <c r="AK887">
        <v>0.31</v>
      </c>
      <c r="AL887" s="63">
        <f>IFERROR(INDEX(Job_Training[[Solar]:[Wind]],MATCH(AL$1,Job_Training[[`Typical Entry Level Education`]:[`Typical Entry Level Education`]],0),MATCH(LEFT($D887,5),Job_Training[[#Headers],[Solar]:[Wind]],0)),0)</f>
        <v>0</v>
      </c>
      <c r="AM887" s="63">
        <f>IFERROR(INDEX(Job_Training[[Solar]:[Wind]],MATCH(AM$1,Job_Training[[`Typical Entry Level Education`]:[`Typical Entry Level Education`]],0),MATCH(LEFT($D887,5),Job_Training[[#Headers],[Solar]:[Wind]],0)),0)</f>
        <v>0</v>
      </c>
      <c r="AN887" s="63">
        <f>IFERROR(INDEX(Job_Training[[Solar]:[Wind]],MATCH(AN$1,Job_Training[[`Typical Entry Level Education`]:[`Typical Entry Level Education`]],0),MATCH(LEFT($D887,5),Job_Training[[#Headers],[Solar]:[Wind]],0)),0)</f>
        <v>0</v>
      </c>
      <c r="AO887" s="63">
        <f>IFERROR(INDEX(Job_Training[[Solar]:[Wind]],MATCH(AO$1,Job_Training[[`Typical Entry Level Education`]:[`Typical Entry Level Education`]],0),MATCH(LEFT($D887,5),Job_Training[[#Headers],[Solar]:[Wind]],0)),0)</f>
        <v>0</v>
      </c>
      <c r="AP887">
        <f t="shared" si="246"/>
        <v>0</v>
      </c>
      <c r="AQ887" s="63">
        <f>IF(AP887&gt;0,IFERROR(INDEX(Assumptions!$C$165:$D$165,MATCH(LEFT($D887,5),Job_Training[[#Headers],[Solar]:[Wind]],0)),0),0)</f>
        <v>0</v>
      </c>
      <c r="AR887">
        <f>IF(AP887&gt;0,IFERROR(INDEX(Assumptions!$C$166:$D$166,MATCH(LEFT($D887,5),Job_Training[[#Headers],[Solar]:[Wind]],0)),0),0)</f>
        <v>0</v>
      </c>
    </row>
    <row r="888" spans="1:44" hidden="1" x14ac:dyDescent="0.35">
      <c r="A888" t="str">
        <f>UserInput!$B$82</f>
        <v>Incremental Buildout</v>
      </c>
      <c r="B888">
        <v>2029</v>
      </c>
      <c r="C888" t="s">
        <v>41</v>
      </c>
      <c r="D888" t="s">
        <v>86</v>
      </c>
      <c r="E888" s="120">
        <f>INDEX(UserInput!$C$82:$M$102,MATCH(UserMade_Scenario!B888,UserInput!$A$82:$A$102,0),MATCH(LEFT(IF(RIGHT(C888,2)="H2",UserMade_Scenario!C888,D888),3),UserInput!$C$25:$M$25,0))</f>
        <v>0</v>
      </c>
      <c r="F888" t="s">
        <v>81</v>
      </c>
      <c r="G888" s="14">
        <f t="shared" si="247"/>
        <v>0</v>
      </c>
      <c r="H888" s="63">
        <f t="shared" si="248"/>
        <v>0</v>
      </c>
      <c r="I888" s="63">
        <f t="shared" si="249"/>
        <v>0</v>
      </c>
      <c r="J888" s="63">
        <f t="shared" si="250"/>
        <v>0</v>
      </c>
      <c r="K888" s="30">
        <f>IF(OR(LEFT($D888,5)="Solar",$D888="Wind"),INDEX(Land_Use[AVG],MATCH(LEFT($D888,5),Land_Use[Tech],0)),0)*$E888</f>
        <v>0</v>
      </c>
      <c r="L888" s="30">
        <f>IF(OR(LEFT($D888,5)="Solar",$D888="Wind"),INDEX(Land_Use[MIN],MATCH(LEFT($D888,5),Land_Use[Tech],0)),0)*$E888</f>
        <v>0</v>
      </c>
      <c r="M888" s="30">
        <f>IF(OR(LEFT($D888,5)="Solar",$D888="Wind"),INDEX(Land_Use[MAX],MATCH(LEFT($D888,5),Land_Use[Tech],0)),0)*$E888</f>
        <v>0</v>
      </c>
      <c r="N888" s="15">
        <f t="shared" si="232"/>
        <v>0</v>
      </c>
      <c r="O888" s="11">
        <f t="shared" si="233"/>
        <v>0</v>
      </c>
      <c r="P888" s="11">
        <f t="shared" si="234"/>
        <v>0</v>
      </c>
      <c r="Q888" s="11">
        <f t="shared" si="235"/>
        <v>0</v>
      </c>
      <c r="R888" s="11">
        <f t="shared" si="236"/>
        <v>0</v>
      </c>
      <c r="S888" s="30">
        <f t="shared" si="240"/>
        <v>0</v>
      </c>
      <c r="T888" s="30">
        <f t="shared" si="241"/>
        <v>0</v>
      </c>
      <c r="U888" s="30">
        <f t="shared" si="242"/>
        <v>0</v>
      </c>
      <c r="V888" s="30">
        <f t="shared" si="243"/>
        <v>0</v>
      </c>
      <c r="W888" s="30">
        <f t="shared" si="244"/>
        <v>0</v>
      </c>
      <c r="X888" s="30">
        <f t="shared" si="245"/>
        <v>0</v>
      </c>
      <c r="Z888" s="23" t="s">
        <v>76</v>
      </c>
      <c r="AA888" s="40">
        <f>IF(C888="Electricity",E888*SUMIFS(Electricity!S:S,Electricity!P:P,UserMade_Scenario!B888,Electricity!M:M,UserMade_Scenario!Z888,Electricity!O:O,UserMade_Scenario!D888),"")</f>
        <v>0</v>
      </c>
      <c r="AB888" s="76">
        <f>1/Assumptions!$B$23/1000000000000</f>
        <v>3.5998225679871703E-9</v>
      </c>
      <c r="AC888" s="67" t="s">
        <v>82</v>
      </c>
      <c r="AD888" s="69">
        <f>INDEX(Table11[AVG
CO2e MT per MWh],MATCH(UserMade_Scenario!$B888,Table11[[Year]:[Year]],0))</f>
        <v>-0.12713468519999999</v>
      </c>
      <c r="AE888" s="69">
        <f>INDEX(Table11[MIN
CO2e MT per MWh],MATCH(UserMade_Scenario!$B888,Table11[[Year]:[Year]],0))</f>
        <v>-0.11141906240000002</v>
      </c>
      <c r="AF888" s="69">
        <f>INDEX(Table11[MAX CO2e MT per MWh],MATCH(UserMade_Scenario!$B888,Table11[[Year]:[Year]],0))</f>
        <v>-0.14285030700000004</v>
      </c>
      <c r="AG888" s="68">
        <f>IFERROR(INDEX(WaterUseH2[Average Direct Water Consumption (Gal/ kg h2)],MATCH(LEFT(D888,3),WaterUseH2[Key],0)),0)</f>
        <v>0</v>
      </c>
      <c r="AH888">
        <v>14</v>
      </c>
      <c r="AI888">
        <v>1.4</v>
      </c>
      <c r="AJ888">
        <v>250</v>
      </c>
      <c r="AK888">
        <v>0.31</v>
      </c>
      <c r="AL888" s="63">
        <f>IFERROR(INDEX(Job_Training[[Solar]:[Wind]],MATCH(AL$1,Job_Training[[`Typical Entry Level Education`]:[`Typical Entry Level Education`]],0),MATCH(LEFT($D888,5),Job_Training[[#Headers],[Solar]:[Wind]],0)),0)</f>
        <v>0</v>
      </c>
      <c r="AM888" s="63">
        <f>IFERROR(INDEX(Job_Training[[Solar]:[Wind]],MATCH(AM$1,Job_Training[[`Typical Entry Level Education`]:[`Typical Entry Level Education`]],0),MATCH(LEFT($D888,5),Job_Training[[#Headers],[Solar]:[Wind]],0)),0)</f>
        <v>0</v>
      </c>
      <c r="AN888" s="63">
        <f>IFERROR(INDEX(Job_Training[[Solar]:[Wind]],MATCH(AN$1,Job_Training[[`Typical Entry Level Education`]:[`Typical Entry Level Education`]],0),MATCH(LEFT($D888,5),Job_Training[[#Headers],[Solar]:[Wind]],0)),0)</f>
        <v>0</v>
      </c>
      <c r="AO888" s="63">
        <f>IFERROR(INDEX(Job_Training[[Solar]:[Wind]],MATCH(AO$1,Job_Training[[`Typical Entry Level Education`]:[`Typical Entry Level Education`]],0),MATCH(LEFT($D888,5),Job_Training[[#Headers],[Solar]:[Wind]],0)),0)</f>
        <v>0</v>
      </c>
      <c r="AP888">
        <f t="shared" si="246"/>
        <v>0</v>
      </c>
      <c r="AQ888" s="63">
        <f>IF(AP888&gt;0,IFERROR(INDEX(Assumptions!$C$165:$D$165,MATCH(LEFT($D888,5),Job_Training[[#Headers],[Solar]:[Wind]],0)),0),0)</f>
        <v>0</v>
      </c>
      <c r="AR888">
        <f>IF(AP888&gt;0,IFERROR(INDEX(Assumptions!$C$166:$D$166,MATCH(LEFT($D888,5),Job_Training[[#Headers],[Solar]:[Wind]],0)),0),0)</f>
        <v>0</v>
      </c>
    </row>
    <row r="889" spans="1:44" hidden="1" x14ac:dyDescent="0.35">
      <c r="A889" t="str">
        <f>UserInput!$B$82</f>
        <v>Incremental Buildout</v>
      </c>
      <c r="B889">
        <v>2030</v>
      </c>
      <c r="C889" t="s">
        <v>41</v>
      </c>
      <c r="D889" t="s">
        <v>86</v>
      </c>
      <c r="E889" s="120">
        <f>INDEX(UserInput!$C$82:$M$102,MATCH(UserMade_Scenario!B889,UserInput!$A$82:$A$102,0),MATCH(LEFT(IF(RIGHT(C889,2)="H2",UserMade_Scenario!C889,D889),3),UserInput!$C$25:$M$25,0))</f>
        <v>0</v>
      </c>
      <c r="F889" t="s">
        <v>81</v>
      </c>
      <c r="G889" s="14">
        <f t="shared" si="247"/>
        <v>0</v>
      </c>
      <c r="H889" s="63">
        <f t="shared" si="248"/>
        <v>0</v>
      </c>
      <c r="I889" s="63">
        <f t="shared" si="249"/>
        <v>0</v>
      </c>
      <c r="J889" s="63">
        <f t="shared" si="250"/>
        <v>0</v>
      </c>
      <c r="K889" s="30">
        <f>IF(OR(LEFT($D889,5)="Solar",$D889="Wind"),INDEX(Land_Use[AVG],MATCH(LEFT($D889,5),Land_Use[Tech],0)),0)*$E889</f>
        <v>0</v>
      </c>
      <c r="L889" s="30">
        <f>IF(OR(LEFT($D889,5)="Solar",$D889="Wind"),INDEX(Land_Use[MIN],MATCH(LEFT($D889,5),Land_Use[Tech],0)),0)*$E889</f>
        <v>0</v>
      </c>
      <c r="M889" s="30">
        <f>IF(OR(LEFT($D889,5)="Solar",$D889="Wind"),INDEX(Land_Use[MAX],MATCH(LEFT($D889,5),Land_Use[Tech],0)),0)*$E889</f>
        <v>0</v>
      </c>
      <c r="N889" s="15">
        <f t="shared" si="232"/>
        <v>0</v>
      </c>
      <c r="O889" s="11">
        <f t="shared" si="233"/>
        <v>0</v>
      </c>
      <c r="P889" s="11">
        <f t="shared" si="234"/>
        <v>0</v>
      </c>
      <c r="Q889" s="11">
        <f t="shared" si="235"/>
        <v>0</v>
      </c>
      <c r="R889" s="11">
        <f t="shared" si="236"/>
        <v>0</v>
      </c>
      <c r="S889" s="30">
        <f t="shared" si="240"/>
        <v>0</v>
      </c>
      <c r="T889" s="30">
        <f t="shared" si="241"/>
        <v>0</v>
      </c>
      <c r="U889" s="30">
        <f t="shared" si="242"/>
        <v>0</v>
      </c>
      <c r="V889" s="30">
        <f t="shared" si="243"/>
        <v>0</v>
      </c>
      <c r="W889" s="30">
        <f t="shared" si="244"/>
        <v>0</v>
      </c>
      <c r="X889" s="30">
        <f t="shared" si="245"/>
        <v>0</v>
      </c>
      <c r="Z889" s="23" t="s">
        <v>76</v>
      </c>
      <c r="AA889" s="40">
        <f>IF(C889="Electricity",E889*SUMIFS(Electricity!S:S,Electricity!P:P,UserMade_Scenario!B889,Electricity!M:M,UserMade_Scenario!Z889,Electricity!O:O,UserMade_Scenario!D889),"")</f>
        <v>0</v>
      </c>
      <c r="AB889" s="76">
        <f>1/Assumptions!$B$23/1000000000000</f>
        <v>3.5998225679871703E-9</v>
      </c>
      <c r="AC889" s="67" t="s">
        <v>82</v>
      </c>
      <c r="AD889" s="69">
        <f>INDEX(Table11[AVG
CO2e MT per MWh],MATCH(UserMade_Scenario!$B889,Table11[[Year]:[Year]],0))</f>
        <v>-0.12291076099999998</v>
      </c>
      <c r="AE889" s="69">
        <f>INDEX(Table11[MIN
CO2e MT per MWh],MATCH(UserMade_Scenario!$B889,Table11[[Year]:[Year]],0))</f>
        <v>-0.10626129525000003</v>
      </c>
      <c r="AF889" s="69">
        <f>INDEX(Table11[MAX CO2e MT per MWh],MATCH(UserMade_Scenario!$B889,Table11[[Year]:[Year]],0))</f>
        <v>-0.13956022575000004</v>
      </c>
      <c r="AG889" s="68">
        <f>IFERROR(INDEX(WaterUseH2[Average Direct Water Consumption (Gal/ kg h2)],MATCH(LEFT(D889,3),WaterUseH2[Key],0)),0)</f>
        <v>0</v>
      </c>
      <c r="AH889">
        <v>14</v>
      </c>
      <c r="AI889">
        <v>1.4</v>
      </c>
      <c r="AJ889">
        <v>250</v>
      </c>
      <c r="AK889">
        <v>0.31</v>
      </c>
      <c r="AL889" s="63">
        <f>IFERROR(INDEX(Job_Training[[Solar]:[Wind]],MATCH(AL$1,Job_Training[[`Typical Entry Level Education`]:[`Typical Entry Level Education`]],0),MATCH(LEFT($D889,5),Job_Training[[#Headers],[Solar]:[Wind]],0)),0)</f>
        <v>0</v>
      </c>
      <c r="AM889" s="63">
        <f>IFERROR(INDEX(Job_Training[[Solar]:[Wind]],MATCH(AM$1,Job_Training[[`Typical Entry Level Education`]:[`Typical Entry Level Education`]],0),MATCH(LEFT($D889,5),Job_Training[[#Headers],[Solar]:[Wind]],0)),0)</f>
        <v>0</v>
      </c>
      <c r="AN889" s="63">
        <f>IFERROR(INDEX(Job_Training[[Solar]:[Wind]],MATCH(AN$1,Job_Training[[`Typical Entry Level Education`]:[`Typical Entry Level Education`]],0),MATCH(LEFT($D889,5),Job_Training[[#Headers],[Solar]:[Wind]],0)),0)</f>
        <v>0</v>
      </c>
      <c r="AO889" s="63">
        <f>IFERROR(INDEX(Job_Training[[Solar]:[Wind]],MATCH(AO$1,Job_Training[[`Typical Entry Level Education`]:[`Typical Entry Level Education`]],0),MATCH(LEFT($D889,5),Job_Training[[#Headers],[Solar]:[Wind]],0)),0)</f>
        <v>0</v>
      </c>
      <c r="AP889">
        <f t="shared" si="246"/>
        <v>0</v>
      </c>
      <c r="AQ889" s="63">
        <f>IF(AP889&gt;0,IFERROR(INDEX(Assumptions!$C$165:$D$165,MATCH(LEFT($D889,5),Job_Training[[#Headers],[Solar]:[Wind]],0)),0),0)</f>
        <v>0</v>
      </c>
      <c r="AR889">
        <f>IF(AP889&gt;0,IFERROR(INDEX(Assumptions!$C$166:$D$166,MATCH(LEFT($D889,5),Job_Training[[#Headers],[Solar]:[Wind]],0)),0),0)</f>
        <v>0</v>
      </c>
    </row>
    <row r="890" spans="1:44" hidden="1" x14ac:dyDescent="0.35">
      <c r="A890" t="str">
        <f>UserInput!$B$82</f>
        <v>Incremental Buildout</v>
      </c>
      <c r="B890">
        <v>2031</v>
      </c>
      <c r="C890" t="s">
        <v>41</v>
      </c>
      <c r="D890" t="s">
        <v>86</v>
      </c>
      <c r="E890" s="120">
        <f>INDEX(UserInput!$C$82:$M$102,MATCH(UserMade_Scenario!B890,UserInput!$A$82:$A$102,0),MATCH(LEFT(IF(RIGHT(C890,2)="H2",UserMade_Scenario!C890,D890),3),UserInput!$C$25:$M$25,0))</f>
        <v>66.666666666666671</v>
      </c>
      <c r="F890" t="s">
        <v>81</v>
      </c>
      <c r="G890" s="14">
        <f t="shared" si="247"/>
        <v>4.4012200961342365E-4</v>
      </c>
      <c r="H890" s="63">
        <f t="shared" si="248"/>
        <v>1.4510906618457147E-2</v>
      </c>
      <c r="I890" s="63">
        <f t="shared" si="249"/>
        <v>1.2361133674224428E-2</v>
      </c>
      <c r="J890" s="63">
        <f t="shared" si="250"/>
        <v>1.6660679440427744E-2</v>
      </c>
      <c r="K890" s="30">
        <f>IF(OR(LEFT($D890,5)="Solar",$D890="Wind"),INDEX(Land_Use[AVG],MATCH(LEFT($D890,5),Land_Use[Tech],0)),0)*$E890</f>
        <v>0</v>
      </c>
      <c r="L890" s="30">
        <f>IF(OR(LEFT($D890,5)="Solar",$D890="Wind"),INDEX(Land_Use[MIN],MATCH(LEFT($D890,5),Land_Use[Tech],0)),0)*$E890</f>
        <v>0</v>
      </c>
      <c r="M890" s="30">
        <f>IF(OR(LEFT($D890,5)="Solar",$D890="Wind"),INDEX(Land_Use[MAX],MATCH(LEFT($D890,5),Land_Use[Tech],0)),0)*$E890</f>
        <v>0</v>
      </c>
      <c r="N890" s="15">
        <f t="shared" si="232"/>
        <v>0</v>
      </c>
      <c r="O890" s="11">
        <f t="shared" si="233"/>
        <v>0</v>
      </c>
      <c r="P890" s="11">
        <f t="shared" si="234"/>
        <v>0</v>
      </c>
      <c r="Q890" s="11">
        <f t="shared" si="235"/>
        <v>0</v>
      </c>
      <c r="R890" s="11">
        <f t="shared" si="236"/>
        <v>0</v>
      </c>
      <c r="S890" s="30">
        <f t="shared" si="240"/>
        <v>0</v>
      </c>
      <c r="T890" s="30">
        <f t="shared" si="241"/>
        <v>0</v>
      </c>
      <c r="U890" s="30">
        <f t="shared" si="242"/>
        <v>0</v>
      </c>
      <c r="V890" s="30">
        <f t="shared" si="243"/>
        <v>0</v>
      </c>
      <c r="W890" s="30">
        <f t="shared" si="244"/>
        <v>0</v>
      </c>
      <c r="X890" s="30">
        <f t="shared" si="245"/>
        <v>0</v>
      </c>
      <c r="Z890" s="23" t="s">
        <v>76</v>
      </c>
      <c r="AA890" s="40">
        <f>IF(C890="Electricity",E890*SUMIFS(Electricity!S:S,Electricity!P:P,UserMade_Scenario!B890,Electricity!M:M,UserMade_Scenario!Z890,Electricity!O:O,UserMade_Scenario!D890),"")</f>
        <v>122262.13967526641</v>
      </c>
      <c r="AB890" s="76">
        <f>1/Assumptions!$B$23/1000000000000</f>
        <v>3.5998225679871703E-9</v>
      </c>
      <c r="AC890" s="67" t="s">
        <v>82</v>
      </c>
      <c r="AD890" s="69">
        <f>INDEX(Table11[AVG
CO2e MT per MWh],MATCH(UserMade_Scenario!$B890,Table11[[Year]:[Year]],0))</f>
        <v>-0.11868683679999997</v>
      </c>
      <c r="AE890" s="69">
        <f>INDEX(Table11[MIN
CO2e MT per MWh],MATCH(UserMade_Scenario!$B890,Table11[[Year]:[Year]],0))</f>
        <v>-0.10110352810000003</v>
      </c>
      <c r="AF890" s="69">
        <f>INDEX(Table11[MAX CO2e MT per MWh],MATCH(UserMade_Scenario!$B890,Table11[[Year]:[Year]],0))</f>
        <v>-0.13627014450000005</v>
      </c>
      <c r="AG890" s="68">
        <f>IFERROR(INDEX(WaterUseH2[Average Direct Water Consumption (Gal/ kg h2)],MATCH(LEFT(D890,3),WaterUseH2[Key],0)),0)</f>
        <v>0</v>
      </c>
      <c r="AH890">
        <v>14</v>
      </c>
      <c r="AI890">
        <v>1.4</v>
      </c>
      <c r="AJ890">
        <v>250</v>
      </c>
      <c r="AK890">
        <v>0.31</v>
      </c>
      <c r="AL890" s="63">
        <f>IFERROR(INDEX(Job_Training[[Solar]:[Wind]],MATCH(AL$1,Job_Training[[`Typical Entry Level Education`]:[`Typical Entry Level Education`]],0),MATCH(LEFT($D890,5),Job_Training[[#Headers],[Solar]:[Wind]],0)),0)</f>
        <v>0</v>
      </c>
      <c r="AM890" s="63">
        <f>IFERROR(INDEX(Job_Training[[Solar]:[Wind]],MATCH(AM$1,Job_Training[[`Typical Entry Level Education`]:[`Typical Entry Level Education`]],0),MATCH(LEFT($D890,5),Job_Training[[#Headers],[Solar]:[Wind]],0)),0)</f>
        <v>0</v>
      </c>
      <c r="AN890" s="63">
        <f>IFERROR(INDEX(Job_Training[[Solar]:[Wind]],MATCH(AN$1,Job_Training[[`Typical Entry Level Education`]:[`Typical Entry Level Education`]],0),MATCH(LEFT($D890,5),Job_Training[[#Headers],[Solar]:[Wind]],0)),0)</f>
        <v>0</v>
      </c>
      <c r="AO890" s="63">
        <f>IFERROR(INDEX(Job_Training[[Solar]:[Wind]],MATCH(AO$1,Job_Training[[`Typical Entry Level Education`]:[`Typical Entry Level Education`]],0),MATCH(LEFT($D890,5),Job_Training[[#Headers],[Solar]:[Wind]],0)),0)</f>
        <v>0</v>
      </c>
      <c r="AP890">
        <f t="shared" si="246"/>
        <v>66.666666666666671</v>
      </c>
      <c r="AQ890" s="63">
        <f>IF(AP890&gt;0,IFERROR(INDEX(Assumptions!$C$165:$D$165,MATCH(LEFT($D890,5),Job_Training[[#Headers],[Solar]:[Wind]],0)),0),0)</f>
        <v>0</v>
      </c>
      <c r="AR890">
        <f>IF(AP890&gt;0,IFERROR(INDEX(Assumptions!$C$166:$D$166,MATCH(LEFT($D890,5),Job_Training[[#Headers],[Solar]:[Wind]],0)),0),0)</f>
        <v>0</v>
      </c>
    </row>
    <row r="891" spans="1:44" hidden="1" x14ac:dyDescent="0.35">
      <c r="A891" t="str">
        <f>UserInput!$B$82</f>
        <v>Incremental Buildout</v>
      </c>
      <c r="B891">
        <v>2032</v>
      </c>
      <c r="C891" t="s">
        <v>41</v>
      </c>
      <c r="D891" t="s">
        <v>86</v>
      </c>
      <c r="E891" s="120">
        <f>INDEX(UserInput!$C$82:$M$102,MATCH(UserMade_Scenario!B891,UserInput!$A$82:$A$102,0),MATCH(LEFT(IF(RIGHT(C891,2)="H2",UserMade_Scenario!C891,D891),3),UserInput!$C$25:$M$25,0))</f>
        <v>133.33333333333334</v>
      </c>
      <c r="F891" t="s">
        <v>81</v>
      </c>
      <c r="G891" s="14">
        <f t="shared" si="247"/>
        <v>8.9329225203572699E-4</v>
      </c>
      <c r="H891" s="63">
        <f t="shared" si="248"/>
        <v>2.8403853534424248E-2</v>
      </c>
      <c r="I891" s="63">
        <f t="shared" si="249"/>
        <v>2.3808841478603817E-2</v>
      </c>
      <c r="J891" s="63">
        <f t="shared" si="250"/>
        <v>3.2998865342095757E-2</v>
      </c>
      <c r="K891" s="30">
        <f>IF(OR(LEFT($D891,5)="Solar",$D891="Wind"),INDEX(Land_Use[AVG],MATCH(LEFT($D891,5),Land_Use[Tech],0)),0)*$E891</f>
        <v>0</v>
      </c>
      <c r="L891" s="30">
        <f>IF(OR(LEFT($D891,5)="Solar",$D891="Wind"),INDEX(Land_Use[MIN],MATCH(LEFT($D891,5),Land_Use[Tech],0)),0)*$E891</f>
        <v>0</v>
      </c>
      <c r="M891" s="30">
        <f>IF(OR(LEFT($D891,5)="Solar",$D891="Wind"),INDEX(Land_Use[MAX],MATCH(LEFT($D891,5),Land_Use[Tech],0)),0)*$E891</f>
        <v>0</v>
      </c>
      <c r="N891" s="15">
        <f t="shared" si="232"/>
        <v>0</v>
      </c>
      <c r="O891" s="11">
        <f t="shared" si="233"/>
        <v>0</v>
      </c>
      <c r="P891" s="11">
        <f t="shared" si="234"/>
        <v>0</v>
      </c>
      <c r="Q891" s="11">
        <f t="shared" si="235"/>
        <v>0</v>
      </c>
      <c r="R891" s="11">
        <f t="shared" si="236"/>
        <v>0</v>
      </c>
      <c r="S891" s="30">
        <f t="shared" si="240"/>
        <v>0</v>
      </c>
      <c r="T891" s="30">
        <f t="shared" si="241"/>
        <v>0</v>
      </c>
      <c r="U891" s="30">
        <f t="shared" si="242"/>
        <v>0</v>
      </c>
      <c r="V891" s="30">
        <f t="shared" si="243"/>
        <v>0</v>
      </c>
      <c r="W891" s="30">
        <f t="shared" si="244"/>
        <v>0</v>
      </c>
      <c r="X891" s="30">
        <f t="shared" si="245"/>
        <v>0</v>
      </c>
      <c r="Z891" s="23" t="s">
        <v>76</v>
      </c>
      <c r="AA891" s="40">
        <f>IF(C891="Electricity",E891*SUMIFS(Electricity!S:S,Electricity!P:P,UserMade_Scenario!B891,Electricity!M:M,UserMade_Scenario!Z891,Electricity!O:O,UserMade_Scenario!D891),"")</f>
        <v>248148.96711290095</v>
      </c>
      <c r="AB891" s="76">
        <f>1/Assumptions!$B$23/1000000000000</f>
        <v>3.5998225679871703E-9</v>
      </c>
      <c r="AC891" s="67" t="s">
        <v>82</v>
      </c>
      <c r="AD891" s="69">
        <f>INDEX(Table11[AVG
CO2e MT per MWh],MATCH(UserMade_Scenario!$B891,Table11[[Year]:[Year]],0))</f>
        <v>-0.11446291259999997</v>
      </c>
      <c r="AE891" s="69">
        <f>INDEX(Table11[MIN
CO2e MT per MWh],MATCH(UserMade_Scenario!$B891,Table11[[Year]:[Year]],0))</f>
        <v>-9.5945760950000042E-2</v>
      </c>
      <c r="AF891" s="69">
        <f>INDEX(Table11[MAX CO2e MT per MWh],MATCH(UserMade_Scenario!$B891,Table11[[Year]:[Year]],0))</f>
        <v>-0.13298006325000006</v>
      </c>
      <c r="AG891" s="68">
        <f>IFERROR(INDEX(WaterUseH2[Average Direct Water Consumption (Gal/ kg h2)],MATCH(LEFT(D891,3),WaterUseH2[Key],0)),0)</f>
        <v>0</v>
      </c>
      <c r="AH891">
        <v>14</v>
      </c>
      <c r="AI891">
        <v>1.4</v>
      </c>
      <c r="AJ891">
        <v>250</v>
      </c>
      <c r="AK891">
        <v>0.31</v>
      </c>
      <c r="AL891" s="63">
        <f>IFERROR(INDEX(Job_Training[[Solar]:[Wind]],MATCH(AL$1,Job_Training[[`Typical Entry Level Education`]:[`Typical Entry Level Education`]],0),MATCH(LEFT($D891,5),Job_Training[[#Headers],[Solar]:[Wind]],0)),0)</f>
        <v>0</v>
      </c>
      <c r="AM891" s="63">
        <f>IFERROR(INDEX(Job_Training[[Solar]:[Wind]],MATCH(AM$1,Job_Training[[`Typical Entry Level Education`]:[`Typical Entry Level Education`]],0),MATCH(LEFT($D891,5),Job_Training[[#Headers],[Solar]:[Wind]],0)),0)</f>
        <v>0</v>
      </c>
      <c r="AN891" s="63">
        <f>IFERROR(INDEX(Job_Training[[Solar]:[Wind]],MATCH(AN$1,Job_Training[[`Typical Entry Level Education`]:[`Typical Entry Level Education`]],0),MATCH(LEFT($D891,5),Job_Training[[#Headers],[Solar]:[Wind]],0)),0)</f>
        <v>0</v>
      </c>
      <c r="AO891" s="63">
        <f>IFERROR(INDEX(Job_Training[[Solar]:[Wind]],MATCH(AO$1,Job_Training[[`Typical Entry Level Education`]:[`Typical Entry Level Education`]],0),MATCH(LEFT($D891,5),Job_Training[[#Headers],[Solar]:[Wind]],0)),0)</f>
        <v>0</v>
      </c>
      <c r="AP891">
        <f t="shared" si="246"/>
        <v>66.666666666666671</v>
      </c>
      <c r="AQ891" s="63">
        <f>IF(AP891&gt;0,IFERROR(INDEX(Assumptions!$C$165:$D$165,MATCH(LEFT($D891,5),Job_Training[[#Headers],[Solar]:[Wind]],0)),0),0)</f>
        <v>0</v>
      </c>
      <c r="AR891">
        <f>IF(AP891&gt;0,IFERROR(INDEX(Assumptions!$C$166:$D$166,MATCH(LEFT($D891,5),Job_Training[[#Headers],[Solar]:[Wind]],0)),0),0)</f>
        <v>0</v>
      </c>
    </row>
    <row r="892" spans="1:44" hidden="1" x14ac:dyDescent="0.35">
      <c r="A892" t="str">
        <f>UserInput!$B$82</f>
        <v>Incremental Buildout</v>
      </c>
      <c r="B892">
        <v>2033</v>
      </c>
      <c r="C892" t="s">
        <v>41</v>
      </c>
      <c r="D892" t="s">
        <v>86</v>
      </c>
      <c r="E892" s="120">
        <f>INDEX(UserInput!$C$82:$M$102,MATCH(UserMade_Scenario!B892,UserInput!$A$82:$A$102,0),MATCH(LEFT(IF(RIGHT(C892,2)="H2",UserMade_Scenario!C892,D892),3),UserInput!$C$25:$M$25,0))</f>
        <v>200</v>
      </c>
      <c r="F892" t="s">
        <v>81</v>
      </c>
      <c r="G892" s="14">
        <f t="shared" si="247"/>
        <v>1.3595107272669101E-3</v>
      </c>
      <c r="H892" s="63">
        <f t="shared" si="248"/>
        <v>4.1632909528830572E-2</v>
      </c>
      <c r="I892" s="63">
        <f t="shared" si="249"/>
        <v>3.4287037526728924E-2</v>
      </c>
      <c r="J892" s="63">
        <f t="shared" si="250"/>
        <v>4.8978781153271811E-2</v>
      </c>
      <c r="K892" s="30">
        <f>IF(OR(LEFT($D892,5)="Solar",$D892="Wind"),INDEX(Land_Use[AVG],MATCH(LEFT($D892,5),Land_Use[Tech],0)),0)*$E892</f>
        <v>0</v>
      </c>
      <c r="L892" s="30">
        <f>IF(OR(LEFT($D892,5)="Solar",$D892="Wind"),INDEX(Land_Use[MIN],MATCH(LEFT($D892,5),Land_Use[Tech],0)),0)*$E892</f>
        <v>0</v>
      </c>
      <c r="M892" s="30">
        <f>IF(OR(LEFT($D892,5)="Solar",$D892="Wind"),INDEX(Land_Use[MAX],MATCH(LEFT($D892,5),Land_Use[Tech],0)),0)*$E892</f>
        <v>0</v>
      </c>
      <c r="N892" s="15">
        <f t="shared" si="232"/>
        <v>0</v>
      </c>
      <c r="O892" s="11">
        <f t="shared" si="233"/>
        <v>0</v>
      </c>
      <c r="P892" s="11">
        <f t="shared" si="234"/>
        <v>0</v>
      </c>
      <c r="Q892" s="11">
        <f t="shared" si="235"/>
        <v>0</v>
      </c>
      <c r="R892" s="11">
        <f t="shared" si="236"/>
        <v>0</v>
      </c>
      <c r="S892" s="30">
        <f t="shared" si="240"/>
        <v>0</v>
      </c>
      <c r="T892" s="30">
        <f t="shared" si="241"/>
        <v>0</v>
      </c>
      <c r="U892" s="30">
        <f t="shared" si="242"/>
        <v>0</v>
      </c>
      <c r="V892" s="30">
        <f t="shared" si="243"/>
        <v>0</v>
      </c>
      <c r="W892" s="30">
        <f t="shared" si="244"/>
        <v>0</v>
      </c>
      <c r="X892" s="30">
        <f t="shared" si="245"/>
        <v>0</v>
      </c>
      <c r="Z892" s="23" t="s">
        <v>76</v>
      </c>
      <c r="AA892" s="40">
        <f>IF(C892="Electricity",E892*SUMIFS(Electricity!S:S,Electricity!P:P,UserMade_Scenario!B892,Electricity!M:M,UserMade_Scenario!Z892,Electricity!O:O,UserMade_Scenario!D892),"")</f>
        <v>377660.48231290362</v>
      </c>
      <c r="AB892" s="76">
        <f>1/Assumptions!$B$23/1000000000000</f>
        <v>3.5998225679871703E-9</v>
      </c>
      <c r="AC892" s="67" t="s">
        <v>82</v>
      </c>
      <c r="AD892" s="69">
        <f>INDEX(Table11[AVG
CO2e MT per MWh],MATCH(UserMade_Scenario!$B892,Table11[[Year]:[Year]],0))</f>
        <v>-0.11023898839999996</v>
      </c>
      <c r="AE892" s="69">
        <f>INDEX(Table11[MIN
CO2e MT per MWh],MATCH(UserMade_Scenario!$B892,Table11[[Year]:[Year]],0))</f>
        <v>-9.078799380000005E-2</v>
      </c>
      <c r="AF892" s="69">
        <f>INDEX(Table11[MAX CO2e MT per MWh],MATCH(UserMade_Scenario!$B892,Table11[[Year]:[Year]],0))</f>
        <v>-0.12968998200000006</v>
      </c>
      <c r="AG892" s="68">
        <f>IFERROR(INDEX(WaterUseH2[Average Direct Water Consumption (Gal/ kg h2)],MATCH(LEFT(D892,3),WaterUseH2[Key],0)),0)</f>
        <v>0</v>
      </c>
      <c r="AH892">
        <v>14</v>
      </c>
      <c r="AI892">
        <v>1.4</v>
      </c>
      <c r="AJ892">
        <v>250</v>
      </c>
      <c r="AK892">
        <v>0.31</v>
      </c>
      <c r="AL892" s="63">
        <f>IFERROR(INDEX(Job_Training[[Solar]:[Wind]],MATCH(AL$1,Job_Training[[`Typical Entry Level Education`]:[`Typical Entry Level Education`]],0),MATCH(LEFT($D892,5),Job_Training[[#Headers],[Solar]:[Wind]],0)),0)</f>
        <v>0</v>
      </c>
      <c r="AM892" s="63">
        <f>IFERROR(INDEX(Job_Training[[Solar]:[Wind]],MATCH(AM$1,Job_Training[[`Typical Entry Level Education`]:[`Typical Entry Level Education`]],0),MATCH(LEFT($D892,5),Job_Training[[#Headers],[Solar]:[Wind]],0)),0)</f>
        <v>0</v>
      </c>
      <c r="AN892" s="63">
        <f>IFERROR(INDEX(Job_Training[[Solar]:[Wind]],MATCH(AN$1,Job_Training[[`Typical Entry Level Education`]:[`Typical Entry Level Education`]],0),MATCH(LEFT($D892,5),Job_Training[[#Headers],[Solar]:[Wind]],0)),0)</f>
        <v>0</v>
      </c>
      <c r="AO892" s="63">
        <f>IFERROR(INDEX(Job_Training[[Solar]:[Wind]],MATCH(AO$1,Job_Training[[`Typical Entry Level Education`]:[`Typical Entry Level Education`]],0),MATCH(LEFT($D892,5),Job_Training[[#Headers],[Solar]:[Wind]],0)),0)</f>
        <v>0</v>
      </c>
      <c r="AP892">
        <f t="shared" si="246"/>
        <v>66.666666666666657</v>
      </c>
      <c r="AQ892" s="63">
        <f>IF(AP892&gt;0,IFERROR(INDEX(Assumptions!$C$165:$D$165,MATCH(LEFT($D892,5),Job_Training[[#Headers],[Solar]:[Wind]],0)),0),0)</f>
        <v>0</v>
      </c>
      <c r="AR892">
        <f>IF(AP892&gt;0,IFERROR(INDEX(Assumptions!$C$166:$D$166,MATCH(LEFT($D892,5),Job_Training[[#Headers],[Solar]:[Wind]],0)),0),0)</f>
        <v>0</v>
      </c>
    </row>
    <row r="893" spans="1:44" hidden="1" x14ac:dyDescent="0.35">
      <c r="A893" t="str">
        <f>UserInput!$B$82</f>
        <v>Incremental Buildout</v>
      </c>
      <c r="B893">
        <v>2034</v>
      </c>
      <c r="C893" t="s">
        <v>41</v>
      </c>
      <c r="D893" t="s">
        <v>86</v>
      </c>
      <c r="E893" s="120">
        <f>INDEX(UserInput!$C$82:$M$102,MATCH(UserMade_Scenario!B893,UserInput!$A$82:$A$102,0),MATCH(LEFT(IF(RIGHT(C893,2)="H2",UserMade_Scenario!C893,D893),3),UserInput!$C$25:$M$25,0))</f>
        <v>266.66666666666669</v>
      </c>
      <c r="F893" t="s">
        <v>81</v>
      </c>
      <c r="G893" s="14">
        <f t="shared" si="247"/>
        <v>1.838777435306973E-3</v>
      </c>
      <c r="H893" s="63">
        <f t="shared" si="248"/>
        <v>5.4152143382605392E-2</v>
      </c>
      <c r="I893" s="63">
        <f t="shared" si="249"/>
        <v>4.3739635932190497E-2</v>
      </c>
      <c r="J893" s="63">
        <f t="shared" si="250"/>
        <v>6.4564650322223707E-2</v>
      </c>
      <c r="K893" s="30">
        <f>IF(OR(LEFT($D893,5)="Solar",$D893="Wind"),INDEX(Land_Use[AVG],MATCH(LEFT($D893,5),Land_Use[Tech],0)),0)*$E893</f>
        <v>0</v>
      </c>
      <c r="L893" s="30">
        <f>IF(OR(LEFT($D893,5)="Solar",$D893="Wind"),INDEX(Land_Use[MIN],MATCH(LEFT($D893,5),Land_Use[Tech],0)),0)*$E893</f>
        <v>0</v>
      </c>
      <c r="M893" s="30">
        <f>IF(OR(LEFT($D893,5)="Solar",$D893="Wind"),INDEX(Land_Use[MAX],MATCH(LEFT($D893,5),Land_Use[Tech],0)),0)*$E893</f>
        <v>0</v>
      </c>
      <c r="N893" s="15">
        <f t="shared" si="232"/>
        <v>0</v>
      </c>
      <c r="O893" s="11">
        <f t="shared" si="233"/>
        <v>0</v>
      </c>
      <c r="P893" s="11">
        <f t="shared" si="234"/>
        <v>0</v>
      </c>
      <c r="Q893" s="11">
        <f t="shared" si="235"/>
        <v>0</v>
      </c>
      <c r="R893" s="11">
        <f t="shared" si="236"/>
        <v>0</v>
      </c>
      <c r="S893" s="30">
        <f t="shared" si="240"/>
        <v>0</v>
      </c>
      <c r="T893" s="30">
        <f t="shared" si="241"/>
        <v>0</v>
      </c>
      <c r="U893" s="30">
        <f t="shared" si="242"/>
        <v>0</v>
      </c>
      <c r="V893" s="30">
        <f t="shared" si="243"/>
        <v>0</v>
      </c>
      <c r="W893" s="30">
        <f t="shared" si="244"/>
        <v>0</v>
      </c>
      <c r="X893" s="30">
        <f t="shared" si="245"/>
        <v>0</v>
      </c>
      <c r="Z893" s="23" t="s">
        <v>76</v>
      </c>
      <c r="AA893" s="40">
        <f>IF(C893="Electricity",E893*SUMIFS(Electricity!S:S,Electricity!P:P,UserMade_Scenario!B893,Electricity!M:M,UserMade_Scenario!Z893,Electricity!O:O,UserMade_Scenario!D893),"")</f>
        <v>510796.68527527445</v>
      </c>
      <c r="AB893" s="76">
        <f>1/Assumptions!$B$23/1000000000000</f>
        <v>3.5998225679871703E-9</v>
      </c>
      <c r="AC893" s="67" t="s">
        <v>82</v>
      </c>
      <c r="AD893" s="69">
        <f>INDEX(Table11[AVG
CO2e MT per MWh],MATCH(UserMade_Scenario!$B893,Table11[[Year]:[Year]],0))</f>
        <v>-0.10601506419999995</v>
      </c>
      <c r="AE893" s="69">
        <f>INDEX(Table11[MIN
CO2e MT per MWh],MATCH(UserMade_Scenario!$B893,Table11[[Year]:[Year]],0))</f>
        <v>-8.5630226650000058E-2</v>
      </c>
      <c r="AF893" s="69">
        <f>INDEX(Table11[MAX CO2e MT per MWh],MATCH(UserMade_Scenario!$B893,Table11[[Year]:[Year]],0))</f>
        <v>-0.12639990075000007</v>
      </c>
      <c r="AG893" s="68">
        <f>IFERROR(INDEX(WaterUseH2[Average Direct Water Consumption (Gal/ kg h2)],MATCH(LEFT(D893,3),WaterUseH2[Key],0)),0)</f>
        <v>0</v>
      </c>
      <c r="AH893">
        <v>14</v>
      </c>
      <c r="AI893">
        <v>1.4</v>
      </c>
      <c r="AJ893">
        <v>250</v>
      </c>
      <c r="AK893">
        <v>0.31</v>
      </c>
      <c r="AL893" s="63">
        <f>IFERROR(INDEX(Job_Training[[Solar]:[Wind]],MATCH(AL$1,Job_Training[[`Typical Entry Level Education`]:[`Typical Entry Level Education`]],0),MATCH(LEFT($D893,5),Job_Training[[#Headers],[Solar]:[Wind]],0)),0)</f>
        <v>0</v>
      </c>
      <c r="AM893" s="63">
        <f>IFERROR(INDEX(Job_Training[[Solar]:[Wind]],MATCH(AM$1,Job_Training[[`Typical Entry Level Education`]:[`Typical Entry Level Education`]],0),MATCH(LEFT($D893,5),Job_Training[[#Headers],[Solar]:[Wind]],0)),0)</f>
        <v>0</v>
      </c>
      <c r="AN893" s="63">
        <f>IFERROR(INDEX(Job_Training[[Solar]:[Wind]],MATCH(AN$1,Job_Training[[`Typical Entry Level Education`]:[`Typical Entry Level Education`]],0),MATCH(LEFT($D893,5),Job_Training[[#Headers],[Solar]:[Wind]],0)),0)</f>
        <v>0</v>
      </c>
      <c r="AO893" s="63">
        <f>IFERROR(INDEX(Job_Training[[Solar]:[Wind]],MATCH(AO$1,Job_Training[[`Typical Entry Level Education`]:[`Typical Entry Level Education`]],0),MATCH(LEFT($D893,5),Job_Training[[#Headers],[Solar]:[Wind]],0)),0)</f>
        <v>0</v>
      </c>
      <c r="AP893">
        <f t="shared" si="246"/>
        <v>66.666666666666686</v>
      </c>
      <c r="AQ893" s="63">
        <f>IF(AP893&gt;0,IFERROR(INDEX(Assumptions!$C$165:$D$165,MATCH(LEFT($D893,5),Job_Training[[#Headers],[Solar]:[Wind]],0)),0),0)</f>
        <v>0</v>
      </c>
      <c r="AR893">
        <f>IF(AP893&gt;0,IFERROR(INDEX(Assumptions!$C$166:$D$166,MATCH(LEFT($D893,5),Job_Training[[#Headers],[Solar]:[Wind]],0)),0),0)</f>
        <v>0</v>
      </c>
    </row>
    <row r="894" spans="1:44" hidden="1" x14ac:dyDescent="0.35">
      <c r="A894" t="str">
        <f>UserInput!$B$82</f>
        <v>Incremental Buildout</v>
      </c>
      <c r="B894">
        <v>2035</v>
      </c>
      <c r="C894" t="s">
        <v>41</v>
      </c>
      <c r="D894" t="s">
        <v>86</v>
      </c>
      <c r="E894" s="120">
        <f>INDEX(UserInput!$C$82:$M$102,MATCH(UserMade_Scenario!B894,UserInput!$A$82:$A$102,0),MATCH(LEFT(IF(RIGHT(C894,2)="H2",UserMade_Scenario!C894,D894),3),UserInput!$C$25:$M$25,0))</f>
        <v>333.33333333333337</v>
      </c>
      <c r="F894" t="s">
        <v>81</v>
      </c>
      <c r="G894" s="14">
        <f t="shared" si="247"/>
        <v>2.3310923761559153E-3</v>
      </c>
      <c r="H894" s="63">
        <f t="shared" si="248"/>
        <v>6.5915623876677973E-2</v>
      </c>
      <c r="I894" s="63">
        <f t="shared" si="249"/>
        <v>5.2110550808579292E-2</v>
      </c>
      <c r="J894" s="63">
        <f t="shared" si="250"/>
        <v>7.9720696297219229E-2</v>
      </c>
      <c r="K894" s="30">
        <f>IF(OR(LEFT($D894,5)="Solar",$D894="Wind"),INDEX(Land_Use[AVG],MATCH(LEFT($D894,5),Land_Use[Tech],0)),0)*$E894</f>
        <v>0</v>
      </c>
      <c r="L894" s="30">
        <f>IF(OR(LEFT($D894,5)="Solar",$D894="Wind"),INDEX(Land_Use[MIN],MATCH(LEFT($D894,5),Land_Use[Tech],0)),0)*$E894</f>
        <v>0</v>
      </c>
      <c r="M894" s="30">
        <f>IF(OR(LEFT($D894,5)="Solar",$D894="Wind"),INDEX(Land_Use[MAX],MATCH(LEFT($D894,5),Land_Use[Tech],0)),0)*$E894</f>
        <v>0</v>
      </c>
      <c r="N894" s="15">
        <f t="shared" si="232"/>
        <v>0</v>
      </c>
      <c r="O894" s="11">
        <f t="shared" si="233"/>
        <v>0</v>
      </c>
      <c r="P894" s="11">
        <f t="shared" si="234"/>
        <v>0</v>
      </c>
      <c r="Q894" s="11">
        <f t="shared" si="235"/>
        <v>0</v>
      </c>
      <c r="R894" s="11">
        <f t="shared" si="236"/>
        <v>0</v>
      </c>
      <c r="S894" s="30">
        <f t="shared" si="240"/>
        <v>0</v>
      </c>
      <c r="T894" s="30">
        <f t="shared" si="241"/>
        <v>0</v>
      </c>
      <c r="U894" s="30">
        <f t="shared" si="242"/>
        <v>0</v>
      </c>
      <c r="V894" s="30">
        <f t="shared" si="243"/>
        <v>0</v>
      </c>
      <c r="W894" s="30">
        <f t="shared" si="244"/>
        <v>0</v>
      </c>
      <c r="X894" s="30">
        <f t="shared" si="245"/>
        <v>0</v>
      </c>
      <c r="Z894" s="23" t="s">
        <v>76</v>
      </c>
      <c r="AA894" s="40">
        <f>IF(C894="Electricity",E894*SUMIFS(Electricity!S:S,Electricity!P:P,UserMade_Scenario!B894,Electricity!M:M,UserMade_Scenario!Z894,Electricity!O:O,UserMade_Scenario!D894),"")</f>
        <v>647557.57600001339</v>
      </c>
      <c r="AB894" s="76">
        <f>1/Assumptions!$B$23/1000000000000</f>
        <v>3.5998225679871703E-9</v>
      </c>
      <c r="AC894" s="67" t="s">
        <v>82</v>
      </c>
      <c r="AD894" s="69">
        <f>INDEX(Table11[AVG
CO2e MT per MWh],MATCH(UserMade_Scenario!$B894,Table11[[Year]:[Year]],0))</f>
        <v>-0.10179113999999995</v>
      </c>
      <c r="AE894" s="69">
        <f>INDEX(Table11[MIN
CO2e MT per MWh],MATCH(UserMade_Scenario!$B894,Table11[[Year]:[Year]],0))</f>
        <v>-8.0472459500000065E-2</v>
      </c>
      <c r="AF894" s="69">
        <f>INDEX(Table11[MAX CO2e MT per MWh],MATCH(UserMade_Scenario!$B894,Table11[[Year]:[Year]],0))</f>
        <v>-0.12310981950000006</v>
      </c>
      <c r="AG894" s="68">
        <f>IFERROR(INDEX(WaterUseH2[Average Direct Water Consumption (Gal/ kg h2)],MATCH(LEFT(D894,3),WaterUseH2[Key],0)),0)</f>
        <v>0</v>
      </c>
      <c r="AH894">
        <v>14</v>
      </c>
      <c r="AI894">
        <v>1.4</v>
      </c>
      <c r="AJ894">
        <v>250</v>
      </c>
      <c r="AK894">
        <v>0.31</v>
      </c>
      <c r="AL894" s="63">
        <f>IFERROR(INDEX(Job_Training[[Solar]:[Wind]],MATCH(AL$1,Job_Training[[`Typical Entry Level Education`]:[`Typical Entry Level Education`]],0),MATCH(LEFT($D894,5),Job_Training[[#Headers],[Solar]:[Wind]],0)),0)</f>
        <v>0</v>
      </c>
      <c r="AM894" s="63">
        <f>IFERROR(INDEX(Job_Training[[Solar]:[Wind]],MATCH(AM$1,Job_Training[[`Typical Entry Level Education`]:[`Typical Entry Level Education`]],0),MATCH(LEFT($D894,5),Job_Training[[#Headers],[Solar]:[Wind]],0)),0)</f>
        <v>0</v>
      </c>
      <c r="AN894" s="63">
        <f>IFERROR(INDEX(Job_Training[[Solar]:[Wind]],MATCH(AN$1,Job_Training[[`Typical Entry Level Education`]:[`Typical Entry Level Education`]],0),MATCH(LEFT($D894,5),Job_Training[[#Headers],[Solar]:[Wind]],0)),0)</f>
        <v>0</v>
      </c>
      <c r="AO894" s="63">
        <f>IFERROR(INDEX(Job_Training[[Solar]:[Wind]],MATCH(AO$1,Job_Training[[`Typical Entry Level Education`]:[`Typical Entry Level Education`]],0),MATCH(LEFT($D894,5),Job_Training[[#Headers],[Solar]:[Wind]],0)),0)</f>
        <v>0</v>
      </c>
      <c r="AP894">
        <f t="shared" si="246"/>
        <v>66.666666666666686</v>
      </c>
      <c r="AQ894" s="63">
        <f>IF(AP894&gt;0,IFERROR(INDEX(Assumptions!$C$165:$D$165,MATCH(LEFT($D894,5),Job_Training[[#Headers],[Solar]:[Wind]],0)),0),0)</f>
        <v>0</v>
      </c>
      <c r="AR894">
        <f>IF(AP894&gt;0,IFERROR(INDEX(Assumptions!$C$166:$D$166,MATCH(LEFT($D894,5),Job_Training[[#Headers],[Solar]:[Wind]],0)),0),0)</f>
        <v>0</v>
      </c>
    </row>
    <row r="895" spans="1:44" hidden="1" x14ac:dyDescent="0.35">
      <c r="A895" t="str">
        <f>UserInput!$B$82</f>
        <v>Incremental Buildout</v>
      </c>
      <c r="B895">
        <v>2036</v>
      </c>
      <c r="C895" t="s">
        <v>41</v>
      </c>
      <c r="D895" t="s">
        <v>86</v>
      </c>
      <c r="E895" s="120">
        <f>INDEX(UserInput!$C$82:$M$102,MATCH(UserMade_Scenario!B895,UserInput!$A$82:$A$102,0),MATCH(LEFT(IF(RIGHT(C895,2)="H2",UserMade_Scenario!C895,D895),3),UserInput!$C$25:$M$25,0))</f>
        <v>400.00000000000006</v>
      </c>
      <c r="F895" t="s">
        <v>81</v>
      </c>
      <c r="G895" s="14">
        <f t="shared" si="247"/>
        <v>2.8364555498137378E-3</v>
      </c>
      <c r="H895" s="63">
        <f t="shared" si="248"/>
        <v>7.6877419791977583E-2</v>
      </c>
      <c r="I895" s="63">
        <f t="shared" si="249"/>
        <v>5.9343696269486067E-2</v>
      </c>
      <c r="J895" s="63">
        <f t="shared" si="250"/>
        <v>9.4411142526526146E-2</v>
      </c>
      <c r="K895" s="30">
        <f>IF(OR(LEFT($D895,5)="Solar",$D895="Wind"),INDEX(Land_Use[AVG],MATCH(LEFT($D895,5),Land_Use[Tech],0)),0)*$E895</f>
        <v>0</v>
      </c>
      <c r="L895" s="30">
        <f>IF(OR(LEFT($D895,5)="Solar",$D895="Wind"),INDEX(Land_Use[MIN],MATCH(LEFT($D895,5),Land_Use[Tech],0)),0)*$E895</f>
        <v>0</v>
      </c>
      <c r="M895" s="30">
        <f>IF(OR(LEFT($D895,5)="Solar",$D895="Wind"),INDEX(Land_Use[MAX],MATCH(LEFT($D895,5),Land_Use[Tech],0)),0)*$E895</f>
        <v>0</v>
      </c>
      <c r="N895" s="15">
        <f t="shared" ref="N895:N958" si="251">E895*AG895*1000/1000000</f>
        <v>0</v>
      </c>
      <c r="O895" s="11">
        <f t="shared" ref="O895:O958" si="252">$K895*AH$2</f>
        <v>0</v>
      </c>
      <c r="P895" s="11">
        <f t="shared" ref="P895:P958" si="253">$K895*AI$2</f>
        <v>0</v>
      </c>
      <c r="Q895" s="11">
        <f t="shared" ref="Q895:Q958" si="254">$K895*AJ$2</f>
        <v>0</v>
      </c>
      <c r="R895" s="11">
        <f t="shared" ref="R895:R958" si="255">$K895*AK$2</f>
        <v>0</v>
      </c>
      <c r="S895" s="30">
        <f t="shared" si="240"/>
        <v>0</v>
      </c>
      <c r="T895" s="30">
        <f t="shared" si="241"/>
        <v>0</v>
      </c>
      <c r="U895" s="30">
        <f t="shared" si="242"/>
        <v>0</v>
      </c>
      <c r="V895" s="30">
        <f t="shared" si="243"/>
        <v>0</v>
      </c>
      <c r="W895" s="30">
        <f t="shared" si="244"/>
        <v>0</v>
      </c>
      <c r="X895" s="30">
        <f t="shared" si="245"/>
        <v>0</v>
      </c>
      <c r="Z895" s="23" t="s">
        <v>76</v>
      </c>
      <c r="AA895" s="40">
        <f>IF(C895="Electricity",E895*SUMIFS(Electricity!S:S,Electricity!P:P,UserMade_Scenario!B895,Electricity!M:M,UserMade_Scenario!Z895,Electricity!O:O,UserMade_Scenario!D895),"")</f>
        <v>787943.15448712057</v>
      </c>
      <c r="AB895" s="76">
        <f>1/Assumptions!$B$23/1000000000000</f>
        <v>3.5998225679871703E-9</v>
      </c>
      <c r="AC895" s="67" t="s">
        <v>82</v>
      </c>
      <c r="AD895" s="69">
        <f>INDEX(Table11[AVG
CO2e MT per MWh],MATCH(UserMade_Scenario!$B895,Table11[[Year]:[Year]],0))</f>
        <v>-9.756721579999994E-2</v>
      </c>
      <c r="AE895" s="69">
        <f>INDEX(Table11[MIN
CO2e MT per MWh],MATCH(UserMade_Scenario!$B895,Table11[[Year]:[Year]],0))</f>
        <v>-7.5314692350000073E-2</v>
      </c>
      <c r="AF895" s="69">
        <f>INDEX(Table11[MAX CO2e MT per MWh],MATCH(UserMade_Scenario!$B895,Table11[[Year]:[Year]],0))</f>
        <v>-0.11981973825000006</v>
      </c>
      <c r="AG895" s="68">
        <f>IFERROR(INDEX(WaterUseH2[Average Direct Water Consumption (Gal/ kg h2)],MATCH(LEFT(D895,3),WaterUseH2[Key],0)),0)</f>
        <v>0</v>
      </c>
      <c r="AH895">
        <v>14</v>
      </c>
      <c r="AI895">
        <v>1.4</v>
      </c>
      <c r="AJ895">
        <v>250</v>
      </c>
      <c r="AK895">
        <v>0.31</v>
      </c>
      <c r="AL895" s="63">
        <f>IFERROR(INDEX(Job_Training[[Solar]:[Wind]],MATCH(AL$1,Job_Training[[`Typical Entry Level Education`]:[`Typical Entry Level Education`]],0),MATCH(LEFT($D895,5),Job_Training[[#Headers],[Solar]:[Wind]],0)),0)</f>
        <v>0</v>
      </c>
      <c r="AM895" s="63">
        <f>IFERROR(INDEX(Job_Training[[Solar]:[Wind]],MATCH(AM$1,Job_Training[[`Typical Entry Level Education`]:[`Typical Entry Level Education`]],0),MATCH(LEFT($D895,5),Job_Training[[#Headers],[Solar]:[Wind]],0)),0)</f>
        <v>0</v>
      </c>
      <c r="AN895" s="63">
        <f>IFERROR(INDEX(Job_Training[[Solar]:[Wind]],MATCH(AN$1,Job_Training[[`Typical Entry Level Education`]:[`Typical Entry Level Education`]],0),MATCH(LEFT($D895,5),Job_Training[[#Headers],[Solar]:[Wind]],0)),0)</f>
        <v>0</v>
      </c>
      <c r="AO895" s="63">
        <f>IFERROR(INDEX(Job_Training[[Solar]:[Wind]],MATCH(AO$1,Job_Training[[`Typical Entry Level Education`]:[`Typical Entry Level Education`]],0),MATCH(LEFT($D895,5),Job_Training[[#Headers],[Solar]:[Wind]],0)),0)</f>
        <v>0</v>
      </c>
      <c r="AP895">
        <f t="shared" si="246"/>
        <v>66.666666666666686</v>
      </c>
      <c r="AQ895" s="63">
        <f>IF(AP895&gt;0,IFERROR(INDEX(Assumptions!$C$165:$D$165,MATCH(LEFT($D895,5),Job_Training[[#Headers],[Solar]:[Wind]],0)),0),0)</f>
        <v>0</v>
      </c>
      <c r="AR895">
        <f>IF(AP895&gt;0,IFERROR(INDEX(Assumptions!$C$166:$D$166,MATCH(LEFT($D895,5),Job_Training[[#Headers],[Solar]:[Wind]],0)),0),0)</f>
        <v>0</v>
      </c>
    </row>
    <row r="896" spans="1:44" hidden="1" x14ac:dyDescent="0.35">
      <c r="A896" t="str">
        <f>UserInput!$B$82</f>
        <v>Incremental Buildout</v>
      </c>
      <c r="B896">
        <v>2037</v>
      </c>
      <c r="C896" t="s">
        <v>41</v>
      </c>
      <c r="D896" t="s">
        <v>86</v>
      </c>
      <c r="E896" s="120">
        <f>INDEX(UserInput!$C$82:$M$102,MATCH(UserMade_Scenario!B896,UserInput!$A$82:$A$102,0),MATCH(LEFT(IF(RIGHT(C896,2)="H2",UserMade_Scenario!C896,D896),3),UserInput!$C$25:$M$25,0))</f>
        <v>466.66666666666674</v>
      </c>
      <c r="F896" t="s">
        <v>81</v>
      </c>
      <c r="G896" s="14">
        <f t="shared" si="247"/>
        <v>3.35486695628044E-3</v>
      </c>
      <c r="H896" s="63">
        <f t="shared" si="248"/>
        <v>8.6991599909433476E-2</v>
      </c>
      <c r="I896" s="63">
        <f t="shared" si="249"/>
        <v>6.5382986428501544E-2</v>
      </c>
      <c r="J896" s="63">
        <f t="shared" si="250"/>
        <v>0.10860021245841223</v>
      </c>
      <c r="K896" s="30">
        <f>IF(OR(LEFT($D896,5)="Solar",$D896="Wind"),INDEX(Land_Use[AVG],MATCH(LEFT($D896,5),Land_Use[Tech],0)),0)*$E896</f>
        <v>0</v>
      </c>
      <c r="L896" s="30">
        <f>IF(OR(LEFT($D896,5)="Solar",$D896="Wind"),INDEX(Land_Use[MIN],MATCH(LEFT($D896,5),Land_Use[Tech],0)),0)*$E896</f>
        <v>0</v>
      </c>
      <c r="M896" s="30">
        <f>IF(OR(LEFT($D896,5)="Solar",$D896="Wind"),INDEX(Land_Use[MAX],MATCH(LEFT($D896,5),Land_Use[Tech],0)),0)*$E896</f>
        <v>0</v>
      </c>
      <c r="N896" s="15">
        <f t="shared" si="251"/>
        <v>0</v>
      </c>
      <c r="O896" s="11">
        <f t="shared" si="252"/>
        <v>0</v>
      </c>
      <c r="P896" s="11">
        <f t="shared" si="253"/>
        <v>0</v>
      </c>
      <c r="Q896" s="11">
        <f t="shared" si="254"/>
        <v>0</v>
      </c>
      <c r="R896" s="11">
        <f t="shared" si="255"/>
        <v>0</v>
      </c>
      <c r="S896" s="30">
        <f t="shared" si="240"/>
        <v>0</v>
      </c>
      <c r="T896" s="30">
        <f t="shared" si="241"/>
        <v>0</v>
      </c>
      <c r="U896" s="30">
        <f t="shared" si="242"/>
        <v>0</v>
      </c>
      <c r="V896" s="30">
        <f t="shared" si="243"/>
        <v>0</v>
      </c>
      <c r="W896" s="30">
        <f t="shared" si="244"/>
        <v>0</v>
      </c>
      <c r="X896" s="30">
        <f t="shared" si="245"/>
        <v>0</v>
      </c>
      <c r="Z896" s="23" t="s">
        <v>76</v>
      </c>
      <c r="AA896" s="40">
        <f>IF(C896="Electricity",E896*SUMIFS(Electricity!S:S,Electricity!P:P,UserMade_Scenario!B896,Electricity!M:M,UserMade_Scenario!Z896,Electricity!O:O,UserMade_Scenario!D896),"")</f>
        <v>931953.42073659576</v>
      </c>
      <c r="AB896" s="76">
        <f>1/Assumptions!$B$23/1000000000000</f>
        <v>3.5998225679871703E-9</v>
      </c>
      <c r="AC896" s="67" t="s">
        <v>82</v>
      </c>
      <c r="AD896" s="69">
        <f>INDEX(Table11[AVG
CO2e MT per MWh],MATCH(UserMade_Scenario!$B896,Table11[[Year]:[Year]],0))</f>
        <v>-9.3343291599999934E-2</v>
      </c>
      <c r="AE896" s="69">
        <f>INDEX(Table11[MIN
CO2e MT per MWh],MATCH(UserMade_Scenario!$B896,Table11[[Year]:[Year]],0))</f>
        <v>-7.0156925200000081E-2</v>
      </c>
      <c r="AF896" s="69">
        <f>INDEX(Table11[MAX CO2e MT per MWh],MATCH(UserMade_Scenario!$B896,Table11[[Year]:[Year]],0))</f>
        <v>-0.11652965700000005</v>
      </c>
      <c r="AG896" s="68">
        <f>IFERROR(INDEX(WaterUseH2[Average Direct Water Consumption (Gal/ kg h2)],MATCH(LEFT(D896,3),WaterUseH2[Key],0)),0)</f>
        <v>0</v>
      </c>
      <c r="AH896">
        <v>14</v>
      </c>
      <c r="AI896">
        <v>1.4</v>
      </c>
      <c r="AJ896">
        <v>250</v>
      </c>
      <c r="AK896">
        <v>0.31</v>
      </c>
      <c r="AL896" s="63">
        <f>IFERROR(INDEX(Job_Training[[Solar]:[Wind]],MATCH(AL$1,Job_Training[[`Typical Entry Level Education`]:[`Typical Entry Level Education`]],0),MATCH(LEFT($D896,5),Job_Training[[#Headers],[Solar]:[Wind]],0)),0)</f>
        <v>0</v>
      </c>
      <c r="AM896" s="63">
        <f>IFERROR(INDEX(Job_Training[[Solar]:[Wind]],MATCH(AM$1,Job_Training[[`Typical Entry Level Education`]:[`Typical Entry Level Education`]],0),MATCH(LEFT($D896,5),Job_Training[[#Headers],[Solar]:[Wind]],0)),0)</f>
        <v>0</v>
      </c>
      <c r="AN896" s="63">
        <f>IFERROR(INDEX(Job_Training[[Solar]:[Wind]],MATCH(AN$1,Job_Training[[`Typical Entry Level Education`]:[`Typical Entry Level Education`]],0),MATCH(LEFT($D896,5),Job_Training[[#Headers],[Solar]:[Wind]],0)),0)</f>
        <v>0</v>
      </c>
      <c r="AO896" s="63">
        <f>IFERROR(INDEX(Job_Training[[Solar]:[Wind]],MATCH(AO$1,Job_Training[[`Typical Entry Level Education`]:[`Typical Entry Level Education`]],0),MATCH(LEFT($D896,5),Job_Training[[#Headers],[Solar]:[Wind]],0)),0)</f>
        <v>0</v>
      </c>
      <c r="AP896">
        <f t="shared" si="246"/>
        <v>66.666666666666686</v>
      </c>
      <c r="AQ896" s="63">
        <f>IF(AP896&gt;0,IFERROR(INDEX(Assumptions!$C$165:$D$165,MATCH(LEFT($D896,5),Job_Training[[#Headers],[Solar]:[Wind]],0)),0),0)</f>
        <v>0</v>
      </c>
      <c r="AR896">
        <f>IF(AP896&gt;0,IFERROR(INDEX(Assumptions!$C$166:$D$166,MATCH(LEFT($D896,5),Job_Training[[#Headers],[Solar]:[Wind]],0)),0),0)</f>
        <v>0</v>
      </c>
    </row>
    <row r="897" spans="1:44" hidden="1" x14ac:dyDescent="0.35">
      <c r="A897" t="str">
        <f>UserInput!$B$82</f>
        <v>Incremental Buildout</v>
      </c>
      <c r="B897">
        <v>2038</v>
      </c>
      <c r="C897" t="s">
        <v>41</v>
      </c>
      <c r="D897" t="s">
        <v>86</v>
      </c>
      <c r="E897" s="120">
        <f>INDEX(UserInput!$C$82:$M$102,MATCH(UserMade_Scenario!B897,UserInput!$A$82:$A$102,0),MATCH(LEFT(IF(RIGHT(C897,2)="H2",UserMade_Scenario!C897,D897),3),UserInput!$C$25:$M$25,0))</f>
        <v>533.33333333333337</v>
      </c>
      <c r="F897" t="s">
        <v>81</v>
      </c>
      <c r="G897" s="14">
        <f t="shared" si="247"/>
        <v>3.8863265955560214E-3</v>
      </c>
      <c r="H897" s="63">
        <f t="shared" si="248"/>
        <v>9.621223300997496E-2</v>
      </c>
      <c r="I897" s="63">
        <f t="shared" si="249"/>
        <v>7.0172335399216523E-2</v>
      </c>
      <c r="J897" s="63">
        <f t="shared" si="250"/>
        <v>0.12225212954114531</v>
      </c>
      <c r="K897" s="30">
        <f>IF(OR(LEFT($D897,5)="Solar",$D897="Wind"),INDEX(Land_Use[AVG],MATCH(LEFT($D897,5),Land_Use[Tech],0)),0)*$E897</f>
        <v>0</v>
      </c>
      <c r="L897" s="30">
        <f>IF(OR(LEFT($D897,5)="Solar",$D897="Wind"),INDEX(Land_Use[MIN],MATCH(LEFT($D897,5),Land_Use[Tech],0)),0)*$E897</f>
        <v>0</v>
      </c>
      <c r="M897" s="30">
        <f>IF(OR(LEFT($D897,5)="Solar",$D897="Wind"),INDEX(Land_Use[MAX],MATCH(LEFT($D897,5),Land_Use[Tech],0)),0)*$E897</f>
        <v>0</v>
      </c>
      <c r="N897" s="15">
        <f t="shared" si="251"/>
        <v>0</v>
      </c>
      <c r="O897" s="11">
        <f t="shared" si="252"/>
        <v>0</v>
      </c>
      <c r="P897" s="11">
        <f t="shared" si="253"/>
        <v>0</v>
      </c>
      <c r="Q897" s="11">
        <f t="shared" si="254"/>
        <v>0</v>
      </c>
      <c r="R897" s="11">
        <f t="shared" si="255"/>
        <v>0</v>
      </c>
      <c r="S897" s="30">
        <f t="shared" si="240"/>
        <v>0</v>
      </c>
      <c r="T897" s="30">
        <f t="shared" si="241"/>
        <v>0</v>
      </c>
      <c r="U897" s="30">
        <f t="shared" si="242"/>
        <v>0</v>
      </c>
      <c r="V897" s="30">
        <f t="shared" si="243"/>
        <v>0</v>
      </c>
      <c r="W897" s="30">
        <f t="shared" si="244"/>
        <v>0</v>
      </c>
      <c r="X897" s="30">
        <f t="shared" si="245"/>
        <v>0</v>
      </c>
      <c r="Z897" s="23" t="s">
        <v>76</v>
      </c>
      <c r="AA897" s="40">
        <f>IF(C897="Electricity",E897*SUMIFS(Electricity!S:S,Electricity!P:P,UserMade_Scenario!B897,Electricity!M:M,UserMade_Scenario!Z897,Electricity!O:O,UserMade_Scenario!D897),"")</f>
        <v>1079588.3747484391</v>
      </c>
      <c r="AB897" s="76">
        <f>1/Assumptions!$B$23/1000000000000</f>
        <v>3.5998225679871703E-9</v>
      </c>
      <c r="AC897" s="67" t="s">
        <v>82</v>
      </c>
      <c r="AD897" s="69">
        <f>INDEX(Table11[AVG
CO2e MT per MWh],MATCH(UserMade_Scenario!$B897,Table11[[Year]:[Year]],0))</f>
        <v>-8.9119367399999927E-2</v>
      </c>
      <c r="AE897" s="69">
        <f>INDEX(Table11[MIN
CO2e MT per MWh],MATCH(UserMade_Scenario!$B897,Table11[[Year]:[Year]],0))</f>
        <v>-6.4999158050000089E-2</v>
      </c>
      <c r="AF897" s="69">
        <f>INDEX(Table11[MAX CO2e MT per MWh],MATCH(UserMade_Scenario!$B897,Table11[[Year]:[Year]],0))</f>
        <v>-0.11323957575000004</v>
      </c>
      <c r="AG897" s="68">
        <f>IFERROR(INDEX(WaterUseH2[Average Direct Water Consumption (Gal/ kg h2)],MATCH(LEFT(D897,3),WaterUseH2[Key],0)),0)</f>
        <v>0</v>
      </c>
      <c r="AH897">
        <v>14</v>
      </c>
      <c r="AI897">
        <v>1.4</v>
      </c>
      <c r="AJ897">
        <v>250</v>
      </c>
      <c r="AK897">
        <v>0.31</v>
      </c>
      <c r="AL897" s="63">
        <f>IFERROR(INDEX(Job_Training[[Solar]:[Wind]],MATCH(AL$1,Job_Training[[`Typical Entry Level Education`]:[`Typical Entry Level Education`]],0),MATCH(LEFT($D897,5),Job_Training[[#Headers],[Solar]:[Wind]],0)),0)</f>
        <v>0</v>
      </c>
      <c r="AM897" s="63">
        <f>IFERROR(INDEX(Job_Training[[Solar]:[Wind]],MATCH(AM$1,Job_Training[[`Typical Entry Level Education`]:[`Typical Entry Level Education`]],0),MATCH(LEFT($D897,5),Job_Training[[#Headers],[Solar]:[Wind]],0)),0)</f>
        <v>0</v>
      </c>
      <c r="AN897" s="63">
        <f>IFERROR(INDEX(Job_Training[[Solar]:[Wind]],MATCH(AN$1,Job_Training[[`Typical Entry Level Education`]:[`Typical Entry Level Education`]],0),MATCH(LEFT($D897,5),Job_Training[[#Headers],[Solar]:[Wind]],0)),0)</f>
        <v>0</v>
      </c>
      <c r="AO897" s="63">
        <f>IFERROR(INDEX(Job_Training[[Solar]:[Wind]],MATCH(AO$1,Job_Training[[`Typical Entry Level Education`]:[`Typical Entry Level Education`]],0),MATCH(LEFT($D897,5),Job_Training[[#Headers],[Solar]:[Wind]],0)),0)</f>
        <v>0</v>
      </c>
      <c r="AP897">
        <f t="shared" si="246"/>
        <v>66.666666666666629</v>
      </c>
      <c r="AQ897" s="63">
        <f>IF(AP897&gt;0,IFERROR(INDEX(Assumptions!$C$165:$D$165,MATCH(LEFT($D897,5),Job_Training[[#Headers],[Solar]:[Wind]],0)),0),0)</f>
        <v>0</v>
      </c>
      <c r="AR897">
        <f>IF(AP897&gt;0,IFERROR(INDEX(Assumptions!$C$166:$D$166,MATCH(LEFT($D897,5),Job_Training[[#Headers],[Solar]:[Wind]],0)),0),0)</f>
        <v>0</v>
      </c>
    </row>
    <row r="898" spans="1:44" hidden="1" x14ac:dyDescent="0.35">
      <c r="A898" t="str">
        <f>UserInput!$B$82</f>
        <v>Incremental Buildout</v>
      </c>
      <c r="B898">
        <v>2039</v>
      </c>
      <c r="C898" t="s">
        <v>41</v>
      </c>
      <c r="D898" t="s">
        <v>86</v>
      </c>
      <c r="E898" s="120">
        <f>INDEX(UserInput!$C$82:$M$102,MATCH(UserMade_Scenario!B898,UserInput!$A$82:$A$102,0),MATCH(LEFT(IF(RIGHT(C898,2)="H2",UserMade_Scenario!C898,D898),3),UserInput!$C$25:$M$25,0))</f>
        <v>600</v>
      </c>
      <c r="F898" t="s">
        <v>81</v>
      </c>
      <c r="G898" s="14">
        <f t="shared" si="247"/>
        <v>4.4308344676404826E-3</v>
      </c>
      <c r="H898" s="63">
        <f t="shared" si="248"/>
        <v>0.10449338787453122</v>
      </c>
      <c r="I898" s="63">
        <f t="shared" si="249"/>
        <v>7.365565729522168E-2</v>
      </c>
      <c r="J898" s="63">
        <f t="shared" si="250"/>
        <v>0.1353311172229931</v>
      </c>
      <c r="K898" s="30">
        <f>IF(OR(LEFT($D898,5)="Solar",$D898="Wind"),INDEX(Land_Use[AVG],MATCH(LEFT($D898,5),Land_Use[Tech],0)),0)*$E898</f>
        <v>0</v>
      </c>
      <c r="L898" s="30">
        <f>IF(OR(LEFT($D898,5)="Solar",$D898="Wind"),INDEX(Land_Use[MIN],MATCH(LEFT($D898,5),Land_Use[Tech],0)),0)*$E898</f>
        <v>0</v>
      </c>
      <c r="M898" s="30">
        <f>IF(OR(LEFT($D898,5)="Solar",$D898="Wind"),INDEX(Land_Use[MAX],MATCH(LEFT($D898,5),Land_Use[Tech],0)),0)*$E898</f>
        <v>0</v>
      </c>
      <c r="N898" s="15">
        <f t="shared" si="251"/>
        <v>0</v>
      </c>
      <c r="O898" s="11">
        <f t="shared" si="252"/>
        <v>0</v>
      </c>
      <c r="P898" s="11">
        <f t="shared" si="253"/>
        <v>0</v>
      </c>
      <c r="Q898" s="11">
        <f t="shared" si="254"/>
        <v>0</v>
      </c>
      <c r="R898" s="11">
        <f t="shared" si="255"/>
        <v>0</v>
      </c>
      <c r="S898" s="30">
        <f t="shared" si="240"/>
        <v>0</v>
      </c>
      <c r="T898" s="30">
        <f t="shared" si="241"/>
        <v>0</v>
      </c>
      <c r="U898" s="30">
        <f t="shared" si="242"/>
        <v>0</v>
      </c>
      <c r="V898" s="30">
        <f t="shared" si="243"/>
        <v>0</v>
      </c>
      <c r="W898" s="30">
        <f t="shared" si="244"/>
        <v>0</v>
      </c>
      <c r="X898" s="30">
        <f t="shared" si="245"/>
        <v>0</v>
      </c>
      <c r="Z898" s="23" t="s">
        <v>76</v>
      </c>
      <c r="AA898" s="40">
        <f>IF(C898="Electricity",E898*SUMIFS(Electricity!S:S,Electricity!P:P,UserMade_Scenario!B898,Electricity!M:M,UserMade_Scenario!Z898,Electricity!O:O,UserMade_Scenario!D898),"")</f>
        <v>1230848.0165226504</v>
      </c>
      <c r="AB898" s="76">
        <f>1/Assumptions!$B$23/1000000000000</f>
        <v>3.5998225679871703E-9</v>
      </c>
      <c r="AC898" s="67" t="s">
        <v>82</v>
      </c>
      <c r="AD898" s="69">
        <f>INDEX(Table11[AVG
CO2e MT per MWh],MATCH(UserMade_Scenario!$B898,Table11[[Year]:[Year]],0))</f>
        <v>-8.489544319999992E-2</v>
      </c>
      <c r="AE898" s="69">
        <f>INDEX(Table11[MIN
CO2e MT per MWh],MATCH(UserMade_Scenario!$B898,Table11[[Year]:[Year]],0))</f>
        <v>-5.984139090000009E-2</v>
      </c>
      <c r="AF898" s="69">
        <f>INDEX(Table11[MAX CO2e MT per MWh],MATCH(UserMade_Scenario!$B898,Table11[[Year]:[Year]],0))</f>
        <v>-0.10994949450000004</v>
      </c>
      <c r="AG898" s="68">
        <f>IFERROR(INDEX(WaterUseH2[Average Direct Water Consumption (Gal/ kg h2)],MATCH(LEFT(D898,3),WaterUseH2[Key],0)),0)</f>
        <v>0</v>
      </c>
      <c r="AH898">
        <v>14</v>
      </c>
      <c r="AI898">
        <v>1.4</v>
      </c>
      <c r="AJ898">
        <v>250</v>
      </c>
      <c r="AK898">
        <v>0.31</v>
      </c>
      <c r="AL898" s="63">
        <f>IFERROR(INDEX(Job_Training[[Solar]:[Wind]],MATCH(AL$1,Job_Training[[`Typical Entry Level Education`]:[`Typical Entry Level Education`]],0),MATCH(LEFT($D898,5),Job_Training[[#Headers],[Solar]:[Wind]],0)),0)</f>
        <v>0</v>
      </c>
      <c r="AM898" s="63">
        <f>IFERROR(INDEX(Job_Training[[Solar]:[Wind]],MATCH(AM$1,Job_Training[[`Typical Entry Level Education`]:[`Typical Entry Level Education`]],0),MATCH(LEFT($D898,5),Job_Training[[#Headers],[Solar]:[Wind]],0)),0)</f>
        <v>0</v>
      </c>
      <c r="AN898" s="63">
        <f>IFERROR(INDEX(Job_Training[[Solar]:[Wind]],MATCH(AN$1,Job_Training[[`Typical Entry Level Education`]:[`Typical Entry Level Education`]],0),MATCH(LEFT($D898,5),Job_Training[[#Headers],[Solar]:[Wind]],0)),0)</f>
        <v>0</v>
      </c>
      <c r="AO898" s="63">
        <f>IFERROR(INDEX(Job_Training[[Solar]:[Wind]],MATCH(AO$1,Job_Training[[`Typical Entry Level Education`]:[`Typical Entry Level Education`]],0),MATCH(LEFT($D898,5),Job_Training[[#Headers],[Solar]:[Wind]],0)),0)</f>
        <v>0</v>
      </c>
      <c r="AP898">
        <f t="shared" si="246"/>
        <v>66.666666666666629</v>
      </c>
      <c r="AQ898" s="63">
        <f>IF(AP898&gt;0,IFERROR(INDEX(Assumptions!$C$165:$D$165,MATCH(LEFT($D898,5),Job_Training[[#Headers],[Solar]:[Wind]],0)),0),0)</f>
        <v>0</v>
      </c>
      <c r="AR898">
        <f>IF(AP898&gt;0,IFERROR(INDEX(Assumptions!$C$166:$D$166,MATCH(LEFT($D898,5),Job_Training[[#Headers],[Solar]:[Wind]],0)),0),0)</f>
        <v>0</v>
      </c>
    </row>
    <row r="899" spans="1:44" hidden="1" x14ac:dyDescent="0.35">
      <c r="A899" t="str">
        <f>UserInput!$B$82</f>
        <v>Incremental Buildout</v>
      </c>
      <c r="B899">
        <v>2040</v>
      </c>
      <c r="C899" t="s">
        <v>41</v>
      </c>
      <c r="D899" t="s">
        <v>86</v>
      </c>
      <c r="E899" s="120">
        <f>INDEX(UserInput!$C$82:$M$102,MATCH(UserMade_Scenario!B899,UserInput!$A$82:$A$102,0),MATCH(LEFT(IF(RIGHT(C899,2)="H2",UserMade_Scenario!C899,D899),3),UserInput!$C$25:$M$25,0))</f>
        <v>666.66666666666663</v>
      </c>
      <c r="F899" t="s">
        <v>81</v>
      </c>
      <c r="G899" s="14">
        <f t="shared" si="247"/>
        <v>4.988390572533823E-3</v>
      </c>
      <c r="H899" s="63">
        <f t="shared" si="248"/>
        <v>0.11178913328403162</v>
      </c>
      <c r="I899" s="63">
        <f t="shared" si="249"/>
        <v>7.5776866230107848E-2</v>
      </c>
      <c r="J899" s="63">
        <f t="shared" si="250"/>
        <v>0.14780139895222344</v>
      </c>
      <c r="K899" s="30">
        <f>IF(OR(LEFT($D899,5)="Solar",$D899="Wind"),INDEX(Land_Use[AVG],MATCH(LEFT($D899,5),Land_Use[Tech],0)),0)*$E899</f>
        <v>0</v>
      </c>
      <c r="L899" s="30">
        <f>IF(OR(LEFT($D899,5)="Solar",$D899="Wind"),INDEX(Land_Use[MIN],MATCH(LEFT($D899,5),Land_Use[Tech],0)),0)*$E899</f>
        <v>0</v>
      </c>
      <c r="M899" s="30">
        <f>IF(OR(LEFT($D899,5)="Solar",$D899="Wind"),INDEX(Land_Use[MAX],MATCH(LEFT($D899,5),Land_Use[Tech],0)),0)*$E899</f>
        <v>0</v>
      </c>
      <c r="N899" s="15">
        <f t="shared" si="251"/>
        <v>0</v>
      </c>
      <c r="O899" s="11">
        <f t="shared" si="252"/>
        <v>0</v>
      </c>
      <c r="P899" s="11">
        <f t="shared" si="253"/>
        <v>0</v>
      </c>
      <c r="Q899" s="11">
        <f t="shared" si="254"/>
        <v>0</v>
      </c>
      <c r="R899" s="11">
        <f t="shared" si="255"/>
        <v>0</v>
      </c>
      <c r="S899" s="30">
        <f t="shared" ref="S899:S962" si="256">MAX($AP899*AL899,0)</f>
        <v>0</v>
      </c>
      <c r="T899" s="30">
        <f t="shared" ref="T899:T962" si="257">MAX($AP899*AM899,0)</f>
        <v>0</v>
      </c>
      <c r="U899" s="30">
        <f t="shared" ref="U899:U962" si="258">MAX($AP899*AN899,0)</f>
        <v>0</v>
      </c>
      <c r="V899" s="30">
        <f t="shared" ref="V899:V962" si="259">MAX($AP899*AO899,0)</f>
        <v>0</v>
      </c>
      <c r="W899" s="30">
        <f t="shared" ref="W899:W962" si="260">$AP899*AQ899</f>
        <v>0</v>
      </c>
      <c r="X899" s="30">
        <f t="shared" ref="X899:X962" si="261">$AP899*AR899</f>
        <v>0</v>
      </c>
      <c r="Z899" s="23" t="s">
        <v>76</v>
      </c>
      <c r="AA899" s="40">
        <f>IF(C899="Electricity",E899*SUMIFS(Electricity!S:S,Electricity!P:P,UserMade_Scenario!B899,Electricity!M:M,UserMade_Scenario!Z899,Electricity!O:O,UserMade_Scenario!D899),"")</f>
        <v>1385732.3460592299</v>
      </c>
      <c r="AB899" s="76">
        <f>1/Assumptions!$B$23/1000000000000</f>
        <v>3.5998225679871703E-9</v>
      </c>
      <c r="AC899" s="67" t="s">
        <v>82</v>
      </c>
      <c r="AD899" s="69">
        <f>INDEX(Table11[AVG
CO2e MT per MWh],MATCH(UserMade_Scenario!$B899,Table11[[Year]:[Year]],0))</f>
        <v>-8.0671518999999914E-2</v>
      </c>
      <c r="AE899" s="69">
        <f>INDEX(Table11[MIN
CO2e MT per MWh],MATCH(UserMade_Scenario!$B899,Table11[[Year]:[Year]],0))</f>
        <v>-5.468362375000009E-2</v>
      </c>
      <c r="AF899" s="69">
        <f>INDEX(Table11[MAX CO2e MT per MWh],MATCH(UserMade_Scenario!$B899,Table11[[Year]:[Year]],0))</f>
        <v>-0.10665941325000003</v>
      </c>
      <c r="AG899" s="68">
        <f>IFERROR(INDEX(WaterUseH2[Average Direct Water Consumption (Gal/ kg h2)],MATCH(LEFT(D899,3),WaterUseH2[Key],0)),0)</f>
        <v>0</v>
      </c>
      <c r="AH899">
        <v>14</v>
      </c>
      <c r="AI899">
        <v>1.4</v>
      </c>
      <c r="AJ899">
        <v>250</v>
      </c>
      <c r="AK899">
        <v>0.31</v>
      </c>
      <c r="AL899" s="63">
        <f>IFERROR(INDEX(Job_Training[[Solar]:[Wind]],MATCH(AL$1,Job_Training[[`Typical Entry Level Education`]:[`Typical Entry Level Education`]],0),MATCH(LEFT($D899,5),Job_Training[[#Headers],[Solar]:[Wind]],0)),0)</f>
        <v>0</v>
      </c>
      <c r="AM899" s="63">
        <f>IFERROR(INDEX(Job_Training[[Solar]:[Wind]],MATCH(AM$1,Job_Training[[`Typical Entry Level Education`]:[`Typical Entry Level Education`]],0),MATCH(LEFT($D899,5),Job_Training[[#Headers],[Solar]:[Wind]],0)),0)</f>
        <v>0</v>
      </c>
      <c r="AN899" s="63">
        <f>IFERROR(INDEX(Job_Training[[Solar]:[Wind]],MATCH(AN$1,Job_Training[[`Typical Entry Level Education`]:[`Typical Entry Level Education`]],0),MATCH(LEFT($D899,5),Job_Training[[#Headers],[Solar]:[Wind]],0)),0)</f>
        <v>0</v>
      </c>
      <c r="AO899" s="63">
        <f>IFERROR(INDEX(Job_Training[[Solar]:[Wind]],MATCH(AO$1,Job_Training[[`Typical Entry Level Education`]:[`Typical Entry Level Education`]],0),MATCH(LEFT($D899,5),Job_Training[[#Headers],[Solar]:[Wind]],0)),0)</f>
        <v>0</v>
      </c>
      <c r="AP899">
        <f t="shared" ref="AP899:AP962" si="262">IF(OR($C899="Electricity",$D899="Solar (Off-Grid)"),IF($B899=2025,$E899,$E899-$E898),0)</f>
        <v>66.666666666666629</v>
      </c>
      <c r="AQ899" s="63">
        <f>IF(AP899&gt;0,IFERROR(INDEX(Assumptions!$C$165:$D$165,MATCH(LEFT($D899,5),Job_Training[[#Headers],[Solar]:[Wind]],0)),0),0)</f>
        <v>0</v>
      </c>
      <c r="AR899">
        <f>IF(AP899&gt;0,IFERROR(INDEX(Assumptions!$C$166:$D$166,MATCH(LEFT($D899,5),Job_Training[[#Headers],[Solar]:[Wind]],0)),0),0)</f>
        <v>0</v>
      </c>
    </row>
    <row r="900" spans="1:44" hidden="1" x14ac:dyDescent="0.35">
      <c r="A900" t="str">
        <f>UserInput!$B$82</f>
        <v>Incremental Buildout</v>
      </c>
      <c r="B900">
        <v>2041</v>
      </c>
      <c r="C900" t="s">
        <v>41</v>
      </c>
      <c r="D900" t="s">
        <v>86</v>
      </c>
      <c r="E900" s="120">
        <f>INDEX(UserInput!$C$82:$M$102,MATCH(UserMade_Scenario!B900,UserInput!$A$82:$A$102,0),MATCH(LEFT(IF(RIGHT(C900,2)="H2",UserMade_Scenario!C900,D900),3),UserInput!$C$25:$M$25,0))</f>
        <v>733.33333333333326</v>
      </c>
      <c r="F900" t="s">
        <v>81</v>
      </c>
      <c r="G900" s="14">
        <f t="shared" si="247"/>
        <v>5.5589949102360431E-3</v>
      </c>
      <c r="H900" s="63">
        <f t="shared" si="248"/>
        <v>0.11805353801940538</v>
      </c>
      <c r="I900" s="63">
        <f t="shared" si="249"/>
        <v>7.6479876317465736E-2</v>
      </c>
      <c r="J900" s="63">
        <f t="shared" si="250"/>
        <v>0.15962719817710413</v>
      </c>
      <c r="K900" s="30">
        <f>IF(OR(LEFT($D900,5)="Solar",$D900="Wind"),INDEX(Land_Use[AVG],MATCH(LEFT($D900,5),Land_Use[Tech],0)),0)*$E900</f>
        <v>0</v>
      </c>
      <c r="L900" s="30">
        <f>IF(OR(LEFT($D900,5)="Solar",$D900="Wind"),INDEX(Land_Use[MIN],MATCH(LEFT($D900,5),Land_Use[Tech],0)),0)*$E900</f>
        <v>0</v>
      </c>
      <c r="M900" s="30">
        <f>IF(OR(LEFT($D900,5)="Solar",$D900="Wind"),INDEX(Land_Use[MAX],MATCH(LEFT($D900,5),Land_Use[Tech],0)),0)*$E900</f>
        <v>0</v>
      </c>
      <c r="N900" s="15">
        <f t="shared" si="251"/>
        <v>0</v>
      </c>
      <c r="O900" s="11">
        <f t="shared" si="252"/>
        <v>0</v>
      </c>
      <c r="P900" s="11">
        <f t="shared" si="253"/>
        <v>0</v>
      </c>
      <c r="Q900" s="11">
        <f t="shared" si="254"/>
        <v>0</v>
      </c>
      <c r="R900" s="11">
        <f t="shared" si="255"/>
        <v>0</v>
      </c>
      <c r="S900" s="30">
        <f t="shared" si="256"/>
        <v>0</v>
      </c>
      <c r="T900" s="30">
        <f t="shared" si="257"/>
        <v>0</v>
      </c>
      <c r="U900" s="30">
        <f t="shared" si="258"/>
        <v>0</v>
      </c>
      <c r="V900" s="30">
        <f t="shared" si="259"/>
        <v>0</v>
      </c>
      <c r="W900" s="30">
        <f t="shared" si="260"/>
        <v>0</v>
      </c>
      <c r="X900" s="30">
        <f t="shared" si="261"/>
        <v>0</v>
      </c>
      <c r="Z900" s="23" t="s">
        <v>76</v>
      </c>
      <c r="AA900" s="40">
        <f>IF(C900="Electricity",E900*SUMIFS(Electricity!S:S,Electricity!P:P,UserMade_Scenario!B900,Electricity!M:M,UserMade_Scenario!Z900,Electricity!O:O,UserMade_Scenario!D900),"")</f>
        <v>1544241.3633581775</v>
      </c>
      <c r="AB900" s="76">
        <f>1/Assumptions!$B$23/1000000000000</f>
        <v>3.5998225679871703E-9</v>
      </c>
      <c r="AC900" s="67" t="s">
        <v>82</v>
      </c>
      <c r="AD900" s="69">
        <f>INDEX(Table11[AVG
CO2e MT per MWh],MATCH(UserMade_Scenario!$B900,Table11[[Year]:[Year]],0))</f>
        <v>-7.6447594799999907E-2</v>
      </c>
      <c r="AE900" s="69">
        <f>INDEX(Table11[MIN
CO2e MT per MWh],MATCH(UserMade_Scenario!$B900,Table11[[Year]:[Year]],0))</f>
        <v>-4.9525856600000091E-2</v>
      </c>
      <c r="AF900" s="69">
        <f>INDEX(Table11[MAX CO2e MT per MWh],MATCH(UserMade_Scenario!$B900,Table11[[Year]:[Year]],0))</f>
        <v>-0.10336933200000002</v>
      </c>
      <c r="AG900" s="68">
        <f>IFERROR(INDEX(WaterUseH2[Average Direct Water Consumption (Gal/ kg h2)],MATCH(LEFT(D900,3),WaterUseH2[Key],0)),0)</f>
        <v>0</v>
      </c>
      <c r="AH900">
        <v>14</v>
      </c>
      <c r="AI900">
        <v>1.4</v>
      </c>
      <c r="AJ900">
        <v>250</v>
      </c>
      <c r="AK900">
        <v>0.31</v>
      </c>
      <c r="AL900" s="63">
        <f>IFERROR(INDEX(Job_Training[[Solar]:[Wind]],MATCH(AL$1,Job_Training[[`Typical Entry Level Education`]:[`Typical Entry Level Education`]],0),MATCH(LEFT($D900,5),Job_Training[[#Headers],[Solar]:[Wind]],0)),0)</f>
        <v>0</v>
      </c>
      <c r="AM900" s="63">
        <f>IFERROR(INDEX(Job_Training[[Solar]:[Wind]],MATCH(AM$1,Job_Training[[`Typical Entry Level Education`]:[`Typical Entry Level Education`]],0),MATCH(LEFT($D900,5),Job_Training[[#Headers],[Solar]:[Wind]],0)),0)</f>
        <v>0</v>
      </c>
      <c r="AN900" s="63">
        <f>IFERROR(INDEX(Job_Training[[Solar]:[Wind]],MATCH(AN$1,Job_Training[[`Typical Entry Level Education`]:[`Typical Entry Level Education`]],0),MATCH(LEFT($D900,5),Job_Training[[#Headers],[Solar]:[Wind]],0)),0)</f>
        <v>0</v>
      </c>
      <c r="AO900" s="63">
        <f>IFERROR(INDEX(Job_Training[[Solar]:[Wind]],MATCH(AO$1,Job_Training[[`Typical Entry Level Education`]:[`Typical Entry Level Education`]],0),MATCH(LEFT($D900,5),Job_Training[[#Headers],[Solar]:[Wind]],0)),0)</f>
        <v>0</v>
      </c>
      <c r="AP900">
        <f t="shared" si="262"/>
        <v>66.666666666666629</v>
      </c>
      <c r="AQ900" s="63">
        <f>IF(AP900&gt;0,IFERROR(INDEX(Assumptions!$C$165:$D$165,MATCH(LEFT($D900,5),Job_Training[[#Headers],[Solar]:[Wind]],0)),0),0)</f>
        <v>0</v>
      </c>
      <c r="AR900">
        <f>IF(AP900&gt;0,IFERROR(INDEX(Assumptions!$C$166:$D$166,MATCH(LEFT($D900,5),Job_Training[[#Headers],[Solar]:[Wind]],0)),0),0)</f>
        <v>0</v>
      </c>
    </row>
    <row r="901" spans="1:44" hidden="1" x14ac:dyDescent="0.35">
      <c r="A901" t="str">
        <f>UserInput!$B$82</f>
        <v>Incremental Buildout</v>
      </c>
      <c r="B901">
        <v>2042</v>
      </c>
      <c r="C901" t="s">
        <v>41</v>
      </c>
      <c r="D901" t="s">
        <v>86</v>
      </c>
      <c r="E901" s="120">
        <f>INDEX(UserInput!$C$82:$M$102,MATCH(UserMade_Scenario!B901,UserInput!$A$82:$A$102,0),MATCH(LEFT(IF(RIGHT(C901,2)="H2",UserMade_Scenario!C901,D901),3),UserInput!$C$25:$M$25,0))</f>
        <v>799.99999999999989</v>
      </c>
      <c r="F901" t="s">
        <v>81</v>
      </c>
      <c r="G901" s="14">
        <f t="shared" si="247"/>
        <v>6.1426474807471437E-3</v>
      </c>
      <c r="H901" s="63">
        <f t="shared" si="248"/>
        <v>0.12324067086158179</v>
      </c>
      <c r="I901" s="63">
        <f t="shared" si="249"/>
        <v>7.5708601670886111E-2</v>
      </c>
      <c r="J901" s="63">
        <f t="shared" si="250"/>
        <v>0.1707727383459029</v>
      </c>
      <c r="K901" s="30">
        <f>IF(OR(LEFT($D901,5)="Solar",$D901="Wind"),INDEX(Land_Use[AVG],MATCH(LEFT($D901,5),Land_Use[Tech],0)),0)*$E901</f>
        <v>0</v>
      </c>
      <c r="L901" s="30">
        <f>IF(OR(LEFT($D901,5)="Solar",$D901="Wind"),INDEX(Land_Use[MIN],MATCH(LEFT($D901,5),Land_Use[Tech],0)),0)*$E901</f>
        <v>0</v>
      </c>
      <c r="M901" s="30">
        <f>IF(OR(LEFT($D901,5)="Solar",$D901="Wind"),INDEX(Land_Use[MAX],MATCH(LEFT($D901,5),Land_Use[Tech],0)),0)*$E901</f>
        <v>0</v>
      </c>
      <c r="N901" s="15">
        <f t="shared" si="251"/>
        <v>0</v>
      </c>
      <c r="O901" s="11">
        <f t="shared" si="252"/>
        <v>0</v>
      </c>
      <c r="P901" s="11">
        <f t="shared" si="253"/>
        <v>0</v>
      </c>
      <c r="Q901" s="11">
        <f t="shared" si="254"/>
        <v>0</v>
      </c>
      <c r="R901" s="11">
        <f t="shared" si="255"/>
        <v>0</v>
      </c>
      <c r="S901" s="30">
        <f t="shared" si="256"/>
        <v>0</v>
      </c>
      <c r="T901" s="30">
        <f t="shared" si="257"/>
        <v>0</v>
      </c>
      <c r="U901" s="30">
        <f t="shared" si="258"/>
        <v>0</v>
      </c>
      <c r="V901" s="30">
        <f t="shared" si="259"/>
        <v>0</v>
      </c>
      <c r="W901" s="30">
        <f t="shared" si="260"/>
        <v>0</v>
      </c>
      <c r="X901" s="30">
        <f t="shared" si="261"/>
        <v>0</v>
      </c>
      <c r="Z901" s="23" t="s">
        <v>76</v>
      </c>
      <c r="AA901" s="40">
        <f>IF(C901="Electricity",E901*SUMIFS(Electricity!S:S,Electricity!P:P,UserMade_Scenario!B901,Electricity!M:M,UserMade_Scenario!Z901,Electricity!O:O,UserMade_Scenario!D901),"")</f>
        <v>1706375.0684194933</v>
      </c>
      <c r="AB901" s="76">
        <f>1/Assumptions!$B$23/1000000000000</f>
        <v>3.5998225679871703E-9</v>
      </c>
      <c r="AC901" s="67" t="s">
        <v>82</v>
      </c>
      <c r="AD901" s="69">
        <f>INDEX(Table11[AVG
CO2e MT per MWh],MATCH(UserMade_Scenario!$B901,Table11[[Year]:[Year]],0))</f>
        <v>-7.2223670599999901E-2</v>
      </c>
      <c r="AE901" s="69">
        <f>INDEX(Table11[MIN
CO2e MT per MWh],MATCH(UserMade_Scenario!$B901,Table11[[Year]:[Year]],0))</f>
        <v>-4.4368089450000092E-2</v>
      </c>
      <c r="AF901" s="69">
        <f>INDEX(Table11[MAX CO2e MT per MWh],MATCH(UserMade_Scenario!$B901,Table11[[Year]:[Year]],0))</f>
        <v>-0.10007925075000002</v>
      </c>
      <c r="AG901" s="68">
        <f>IFERROR(INDEX(WaterUseH2[Average Direct Water Consumption (Gal/ kg h2)],MATCH(LEFT(D901,3),WaterUseH2[Key],0)),0)</f>
        <v>0</v>
      </c>
      <c r="AH901">
        <v>14</v>
      </c>
      <c r="AI901">
        <v>1.4</v>
      </c>
      <c r="AJ901">
        <v>250</v>
      </c>
      <c r="AK901">
        <v>0.31</v>
      </c>
      <c r="AL901" s="63">
        <f>IFERROR(INDEX(Job_Training[[Solar]:[Wind]],MATCH(AL$1,Job_Training[[`Typical Entry Level Education`]:[`Typical Entry Level Education`]],0),MATCH(LEFT($D901,5),Job_Training[[#Headers],[Solar]:[Wind]],0)),0)</f>
        <v>0</v>
      </c>
      <c r="AM901" s="63">
        <f>IFERROR(INDEX(Job_Training[[Solar]:[Wind]],MATCH(AM$1,Job_Training[[`Typical Entry Level Education`]:[`Typical Entry Level Education`]],0),MATCH(LEFT($D901,5),Job_Training[[#Headers],[Solar]:[Wind]],0)),0)</f>
        <v>0</v>
      </c>
      <c r="AN901" s="63">
        <f>IFERROR(INDEX(Job_Training[[Solar]:[Wind]],MATCH(AN$1,Job_Training[[`Typical Entry Level Education`]:[`Typical Entry Level Education`]],0),MATCH(LEFT($D901,5),Job_Training[[#Headers],[Solar]:[Wind]],0)),0)</f>
        <v>0</v>
      </c>
      <c r="AO901" s="63">
        <f>IFERROR(INDEX(Job_Training[[Solar]:[Wind]],MATCH(AO$1,Job_Training[[`Typical Entry Level Education`]:[`Typical Entry Level Education`]],0),MATCH(LEFT($D901,5),Job_Training[[#Headers],[Solar]:[Wind]],0)),0)</f>
        <v>0</v>
      </c>
      <c r="AP901">
        <f t="shared" si="262"/>
        <v>66.666666666666629</v>
      </c>
      <c r="AQ901" s="63">
        <f>IF(AP901&gt;0,IFERROR(INDEX(Assumptions!$C$165:$D$165,MATCH(LEFT($D901,5),Job_Training[[#Headers],[Solar]:[Wind]],0)),0),0)</f>
        <v>0</v>
      </c>
      <c r="AR901">
        <f>IF(AP901&gt;0,IFERROR(INDEX(Assumptions!$C$166:$D$166,MATCH(LEFT($D901,5),Job_Training[[#Headers],[Solar]:[Wind]],0)),0),0)</f>
        <v>0</v>
      </c>
    </row>
    <row r="902" spans="1:44" hidden="1" x14ac:dyDescent="0.35">
      <c r="A902" t="str">
        <f>UserInput!$B$82</f>
        <v>Incremental Buildout</v>
      </c>
      <c r="B902">
        <v>2043</v>
      </c>
      <c r="C902" t="s">
        <v>41</v>
      </c>
      <c r="D902" t="s">
        <v>86</v>
      </c>
      <c r="E902" s="120">
        <f>INDEX(UserInput!$C$82:$M$102,MATCH(UserMade_Scenario!B902,UserInput!$A$82:$A$102,0),MATCH(LEFT(IF(RIGHT(C902,2)="H2",UserMade_Scenario!C902,D902),3),UserInput!$C$25:$M$25,0))</f>
        <v>866.66666666666652</v>
      </c>
      <c r="F902" t="s">
        <v>81</v>
      </c>
      <c r="G902" s="14">
        <f t="shared" si="247"/>
        <v>6.739348284067124E-3</v>
      </c>
      <c r="H902" s="63">
        <f t="shared" si="248"/>
        <v>0.1273046005914901</v>
      </c>
      <c r="I902" s="63">
        <f t="shared" si="249"/>
        <v>7.3406956403959708E-2</v>
      </c>
      <c r="J902" s="63">
        <f t="shared" si="250"/>
        <v>0.18120224290688758</v>
      </c>
      <c r="K902" s="30">
        <f>IF(OR(LEFT($D902,5)="Solar",$D902="Wind"),INDEX(Land_Use[AVG],MATCH(LEFT($D902,5),Land_Use[Tech],0)),0)*$E902</f>
        <v>0</v>
      </c>
      <c r="L902" s="30">
        <f>IF(OR(LEFT($D902,5)="Solar",$D902="Wind"),INDEX(Land_Use[MIN],MATCH(LEFT($D902,5),Land_Use[Tech],0)),0)*$E902</f>
        <v>0</v>
      </c>
      <c r="M902" s="30">
        <f>IF(OR(LEFT($D902,5)="Solar",$D902="Wind"),INDEX(Land_Use[MAX],MATCH(LEFT($D902,5),Land_Use[Tech],0)),0)*$E902</f>
        <v>0</v>
      </c>
      <c r="N902" s="15">
        <f t="shared" si="251"/>
        <v>0</v>
      </c>
      <c r="O902" s="11">
        <f t="shared" si="252"/>
        <v>0</v>
      </c>
      <c r="P902" s="11">
        <f t="shared" si="253"/>
        <v>0</v>
      </c>
      <c r="Q902" s="11">
        <f t="shared" si="254"/>
        <v>0</v>
      </c>
      <c r="R902" s="11">
        <f t="shared" si="255"/>
        <v>0</v>
      </c>
      <c r="S902" s="30">
        <f t="shared" si="256"/>
        <v>0</v>
      </c>
      <c r="T902" s="30">
        <f t="shared" si="257"/>
        <v>0</v>
      </c>
      <c r="U902" s="30">
        <f t="shared" si="258"/>
        <v>0</v>
      </c>
      <c r="V902" s="30">
        <f t="shared" si="259"/>
        <v>0</v>
      </c>
      <c r="W902" s="30">
        <f t="shared" si="260"/>
        <v>0</v>
      </c>
      <c r="X902" s="30">
        <f t="shared" si="261"/>
        <v>0</v>
      </c>
      <c r="Z902" s="23" t="s">
        <v>76</v>
      </c>
      <c r="AA902" s="40">
        <f>IF(C902="Electricity",E902*SUMIFS(Electricity!S:S,Electricity!P:P,UserMade_Scenario!B902,Electricity!M:M,UserMade_Scenario!Z902,Electricity!O:O,UserMade_Scenario!D902),"")</f>
        <v>1872133.4612431773</v>
      </c>
      <c r="AB902" s="76">
        <f>1/Assumptions!$B$23/1000000000000</f>
        <v>3.5998225679871703E-9</v>
      </c>
      <c r="AC902" s="67" t="s">
        <v>82</v>
      </c>
      <c r="AD902" s="69">
        <f>INDEX(Table11[AVG
CO2e MT per MWh],MATCH(UserMade_Scenario!$B902,Table11[[Year]:[Year]],0))</f>
        <v>-6.7999746399999894E-2</v>
      </c>
      <c r="AE902" s="69">
        <f>INDEX(Table11[MIN
CO2e MT per MWh],MATCH(UserMade_Scenario!$B902,Table11[[Year]:[Year]],0))</f>
        <v>-3.9210322300000093E-2</v>
      </c>
      <c r="AF902" s="69">
        <f>INDEX(Table11[MAX CO2e MT per MWh],MATCH(UserMade_Scenario!$B902,Table11[[Year]:[Year]],0))</f>
        <v>-9.6789169500000008E-2</v>
      </c>
      <c r="AG902" s="68">
        <f>IFERROR(INDEX(WaterUseH2[Average Direct Water Consumption (Gal/ kg h2)],MATCH(LEFT(D902,3),WaterUseH2[Key],0)),0)</f>
        <v>0</v>
      </c>
      <c r="AH902">
        <v>14</v>
      </c>
      <c r="AI902">
        <v>1.4</v>
      </c>
      <c r="AJ902">
        <v>250</v>
      </c>
      <c r="AK902">
        <v>0.31</v>
      </c>
      <c r="AL902" s="63">
        <f>IFERROR(INDEX(Job_Training[[Solar]:[Wind]],MATCH(AL$1,Job_Training[[`Typical Entry Level Education`]:[`Typical Entry Level Education`]],0),MATCH(LEFT($D902,5),Job_Training[[#Headers],[Solar]:[Wind]],0)),0)</f>
        <v>0</v>
      </c>
      <c r="AM902" s="63">
        <f>IFERROR(INDEX(Job_Training[[Solar]:[Wind]],MATCH(AM$1,Job_Training[[`Typical Entry Level Education`]:[`Typical Entry Level Education`]],0),MATCH(LEFT($D902,5),Job_Training[[#Headers],[Solar]:[Wind]],0)),0)</f>
        <v>0</v>
      </c>
      <c r="AN902" s="63">
        <f>IFERROR(INDEX(Job_Training[[Solar]:[Wind]],MATCH(AN$1,Job_Training[[`Typical Entry Level Education`]:[`Typical Entry Level Education`]],0),MATCH(LEFT($D902,5),Job_Training[[#Headers],[Solar]:[Wind]],0)),0)</f>
        <v>0</v>
      </c>
      <c r="AO902" s="63">
        <f>IFERROR(INDEX(Job_Training[[Solar]:[Wind]],MATCH(AO$1,Job_Training[[`Typical Entry Level Education`]:[`Typical Entry Level Education`]],0),MATCH(LEFT($D902,5),Job_Training[[#Headers],[Solar]:[Wind]],0)),0)</f>
        <v>0</v>
      </c>
      <c r="AP902">
        <f t="shared" si="262"/>
        <v>66.666666666666629</v>
      </c>
      <c r="AQ902" s="63">
        <f>IF(AP902&gt;0,IFERROR(INDEX(Assumptions!$C$165:$D$165,MATCH(LEFT($D902,5),Job_Training[[#Headers],[Solar]:[Wind]],0)),0),0)</f>
        <v>0</v>
      </c>
      <c r="AR902">
        <f>IF(AP902&gt;0,IFERROR(INDEX(Assumptions!$C$166:$D$166,MATCH(LEFT($D902,5),Job_Training[[#Headers],[Solar]:[Wind]],0)),0),0)</f>
        <v>0</v>
      </c>
    </row>
    <row r="903" spans="1:44" hidden="1" x14ac:dyDescent="0.35">
      <c r="A903" t="str">
        <f>UserInput!$B$82</f>
        <v>Incremental Buildout</v>
      </c>
      <c r="B903">
        <v>2044</v>
      </c>
      <c r="C903" t="s">
        <v>41</v>
      </c>
      <c r="D903" t="s">
        <v>86</v>
      </c>
      <c r="E903" s="120">
        <f>INDEX(UserInput!$C$82:$M$102,MATCH(UserMade_Scenario!B903,UserInput!$A$82:$A$102,0),MATCH(LEFT(IF(RIGHT(C903,2)="H2",UserMade_Scenario!C903,D903),3),UserInput!$C$25:$M$25,0))</f>
        <v>933.33333333333314</v>
      </c>
      <c r="F903" t="s">
        <v>81</v>
      </c>
      <c r="G903" s="14">
        <f t="shared" si="247"/>
        <v>7.3490973201959841E-3</v>
      </c>
      <c r="H903" s="63">
        <f t="shared" si="248"/>
        <v>0.13019939599005956</v>
      </c>
      <c r="I903" s="63">
        <f t="shared" si="249"/>
        <v>6.9518854630277294E-2</v>
      </c>
      <c r="J903" s="63">
        <f t="shared" si="250"/>
        <v>0.19087993530832592</v>
      </c>
      <c r="K903" s="30">
        <f>IF(OR(LEFT($D903,5)="Solar",$D903="Wind"),INDEX(Land_Use[AVG],MATCH(LEFT($D903,5),Land_Use[Tech],0)),0)*$E903</f>
        <v>0</v>
      </c>
      <c r="L903" s="30">
        <f>IF(OR(LEFT($D903,5)="Solar",$D903="Wind"),INDEX(Land_Use[MIN],MATCH(LEFT($D903,5),Land_Use[Tech],0)),0)*$E903</f>
        <v>0</v>
      </c>
      <c r="M903" s="30">
        <f>IF(OR(LEFT($D903,5)="Solar",$D903="Wind"),INDEX(Land_Use[MAX],MATCH(LEFT($D903,5),Land_Use[Tech],0)),0)*$E903</f>
        <v>0</v>
      </c>
      <c r="N903" s="15">
        <f t="shared" si="251"/>
        <v>0</v>
      </c>
      <c r="O903" s="11">
        <f t="shared" si="252"/>
        <v>0</v>
      </c>
      <c r="P903" s="11">
        <f t="shared" si="253"/>
        <v>0</v>
      </c>
      <c r="Q903" s="11">
        <f t="shared" si="254"/>
        <v>0</v>
      </c>
      <c r="R903" s="11">
        <f t="shared" si="255"/>
        <v>0</v>
      </c>
      <c r="S903" s="30">
        <f t="shared" si="256"/>
        <v>0</v>
      </c>
      <c r="T903" s="30">
        <f t="shared" si="257"/>
        <v>0</v>
      </c>
      <c r="U903" s="30">
        <f t="shared" si="258"/>
        <v>0</v>
      </c>
      <c r="V903" s="30">
        <f t="shared" si="259"/>
        <v>0</v>
      </c>
      <c r="W903" s="30">
        <f t="shared" si="260"/>
        <v>0</v>
      </c>
      <c r="X903" s="30">
        <f t="shared" si="261"/>
        <v>0</v>
      </c>
      <c r="Z903" s="23" t="s">
        <v>76</v>
      </c>
      <c r="AA903" s="40">
        <f>IF(C903="Electricity",E903*SUMIFS(Electricity!S:S,Electricity!P:P,UserMade_Scenario!B903,Electricity!M:M,UserMade_Scenario!Z903,Electricity!O:O,UserMade_Scenario!D903),"")</f>
        <v>2041516.5418292293</v>
      </c>
      <c r="AB903" s="76">
        <f>1/Assumptions!$B$23/1000000000000</f>
        <v>3.5998225679871703E-9</v>
      </c>
      <c r="AC903" s="67" t="s">
        <v>82</v>
      </c>
      <c r="AD903" s="69">
        <f>INDEX(Table11[AVG
CO2e MT per MWh],MATCH(UserMade_Scenario!$B903,Table11[[Year]:[Year]],0))</f>
        <v>-6.3775822199999888E-2</v>
      </c>
      <c r="AE903" s="69">
        <f>INDEX(Table11[MIN
CO2e MT per MWh],MATCH(UserMade_Scenario!$B903,Table11[[Year]:[Year]],0))</f>
        <v>-3.4052555150000094E-2</v>
      </c>
      <c r="AF903" s="69">
        <f>INDEX(Table11[MAX CO2e MT per MWh],MATCH(UserMade_Scenario!$B903,Table11[[Year]:[Year]],0))</f>
        <v>-9.3499088250000001E-2</v>
      </c>
      <c r="AG903" s="68">
        <f>IFERROR(INDEX(WaterUseH2[Average Direct Water Consumption (Gal/ kg h2)],MATCH(LEFT(D903,3),WaterUseH2[Key],0)),0)</f>
        <v>0</v>
      </c>
      <c r="AH903">
        <v>14</v>
      </c>
      <c r="AI903">
        <v>1.4</v>
      </c>
      <c r="AJ903">
        <v>250</v>
      </c>
      <c r="AK903">
        <v>0.31</v>
      </c>
      <c r="AL903" s="63">
        <f>IFERROR(INDEX(Job_Training[[Solar]:[Wind]],MATCH(AL$1,Job_Training[[`Typical Entry Level Education`]:[`Typical Entry Level Education`]],0),MATCH(LEFT($D903,5),Job_Training[[#Headers],[Solar]:[Wind]],0)),0)</f>
        <v>0</v>
      </c>
      <c r="AM903" s="63">
        <f>IFERROR(INDEX(Job_Training[[Solar]:[Wind]],MATCH(AM$1,Job_Training[[`Typical Entry Level Education`]:[`Typical Entry Level Education`]],0),MATCH(LEFT($D903,5),Job_Training[[#Headers],[Solar]:[Wind]],0)),0)</f>
        <v>0</v>
      </c>
      <c r="AN903" s="63">
        <f>IFERROR(INDEX(Job_Training[[Solar]:[Wind]],MATCH(AN$1,Job_Training[[`Typical Entry Level Education`]:[`Typical Entry Level Education`]],0),MATCH(LEFT($D903,5),Job_Training[[#Headers],[Solar]:[Wind]],0)),0)</f>
        <v>0</v>
      </c>
      <c r="AO903" s="63">
        <f>IFERROR(INDEX(Job_Training[[Solar]:[Wind]],MATCH(AO$1,Job_Training[[`Typical Entry Level Education`]:[`Typical Entry Level Education`]],0),MATCH(LEFT($D903,5),Job_Training[[#Headers],[Solar]:[Wind]],0)),0)</f>
        <v>0</v>
      </c>
      <c r="AP903">
        <f t="shared" si="262"/>
        <v>66.666666666666629</v>
      </c>
      <c r="AQ903" s="63">
        <f>IF(AP903&gt;0,IFERROR(INDEX(Assumptions!$C$165:$D$165,MATCH(LEFT($D903,5),Job_Training[[#Headers],[Solar]:[Wind]],0)),0),0)</f>
        <v>0</v>
      </c>
      <c r="AR903">
        <f>IF(AP903&gt;0,IFERROR(INDEX(Assumptions!$C$166:$D$166,MATCH(LEFT($D903,5),Job_Training[[#Headers],[Solar]:[Wind]],0)),0),0)</f>
        <v>0</v>
      </c>
    </row>
    <row r="904" spans="1:44" hidden="1" x14ac:dyDescent="0.35">
      <c r="A904" t="str">
        <f>UserInput!$B$82</f>
        <v>Incremental Buildout</v>
      </c>
      <c r="B904">
        <v>2045</v>
      </c>
      <c r="C904" t="s">
        <v>41</v>
      </c>
      <c r="D904" t="s">
        <v>86</v>
      </c>
      <c r="E904" s="120">
        <f>INDEX(UserInput!$C$82:$M$102,MATCH(UserMade_Scenario!B904,UserInput!$A$82:$A$102,0),MATCH(LEFT(IF(RIGHT(C904,2)="H2",UserMade_Scenario!C904,D904),3),UserInput!$C$25:$M$25,0))</f>
        <v>999.99999999999977</v>
      </c>
      <c r="F904" t="s">
        <v>81</v>
      </c>
      <c r="G904" s="14">
        <f t="shared" si="247"/>
        <v>7.9718945891337229E-3</v>
      </c>
      <c r="H904" s="63">
        <f t="shared" si="248"/>
        <v>0.13187912583821948</v>
      </c>
      <c r="I904" s="63">
        <f t="shared" si="249"/>
        <v>6.3988210463429632E-2</v>
      </c>
      <c r="J904" s="63">
        <f t="shared" si="250"/>
        <v>0.19977003899848572</v>
      </c>
      <c r="K904" s="30">
        <f>IF(OR(LEFT($D904,5)="Solar",$D904="Wind"),INDEX(Land_Use[AVG],MATCH(LEFT($D904,5),Land_Use[Tech],0)),0)*$E904</f>
        <v>0</v>
      </c>
      <c r="L904" s="30">
        <f>IF(OR(LEFT($D904,5)="Solar",$D904="Wind"),INDEX(Land_Use[MIN],MATCH(LEFT($D904,5),Land_Use[Tech],0)),0)*$E904</f>
        <v>0</v>
      </c>
      <c r="M904" s="30">
        <f>IF(OR(LEFT($D904,5)="Solar",$D904="Wind"),INDEX(Land_Use[MAX],MATCH(LEFT($D904,5),Land_Use[Tech],0)),0)*$E904</f>
        <v>0</v>
      </c>
      <c r="N904" s="15">
        <f t="shared" si="251"/>
        <v>0</v>
      </c>
      <c r="O904" s="11">
        <f t="shared" si="252"/>
        <v>0</v>
      </c>
      <c r="P904" s="11">
        <f t="shared" si="253"/>
        <v>0</v>
      </c>
      <c r="Q904" s="11">
        <f t="shared" si="254"/>
        <v>0</v>
      </c>
      <c r="R904" s="11">
        <f t="shared" si="255"/>
        <v>0</v>
      </c>
      <c r="S904" s="30">
        <f t="shared" si="256"/>
        <v>0</v>
      </c>
      <c r="T904" s="30">
        <f t="shared" si="257"/>
        <v>0</v>
      </c>
      <c r="U904" s="30">
        <f t="shared" si="258"/>
        <v>0</v>
      </c>
      <c r="V904" s="30">
        <f t="shared" si="259"/>
        <v>0</v>
      </c>
      <c r="W904" s="30">
        <f t="shared" si="260"/>
        <v>0</v>
      </c>
      <c r="X904" s="30">
        <f t="shared" si="261"/>
        <v>0</v>
      </c>
      <c r="Z904" s="23" t="s">
        <v>76</v>
      </c>
      <c r="AA904" s="40">
        <f>IF(C904="Electricity",E904*SUMIFS(Electricity!S:S,Electricity!P:P,UserMade_Scenario!B904,Electricity!M:M,UserMade_Scenario!Z904,Electricity!O:O,UserMade_Scenario!D904),"")</f>
        <v>2214524.3101776494</v>
      </c>
      <c r="AB904" s="76">
        <f>1/Assumptions!$B$23/1000000000000</f>
        <v>3.5998225679871703E-9</v>
      </c>
      <c r="AC904" s="67" t="s">
        <v>82</v>
      </c>
      <c r="AD904" s="69">
        <f>INDEX(Table11[AVG
CO2e MT per MWh],MATCH(UserMade_Scenario!$B904,Table11[[Year]:[Year]],0))</f>
        <v>-5.9551897999999888E-2</v>
      </c>
      <c r="AE904" s="69">
        <f>INDEX(Table11[MIN
CO2e MT per MWh],MATCH(UserMade_Scenario!$B904,Table11[[Year]:[Year]],0))</f>
        <v>-2.8894788000000095E-2</v>
      </c>
      <c r="AF904" s="69">
        <f>INDEX(Table11[MAX CO2e MT per MWh],MATCH(UserMade_Scenario!$B904,Table11[[Year]:[Year]],0))</f>
        <v>-9.0209006999999994E-2</v>
      </c>
      <c r="AG904" s="68">
        <f>IFERROR(INDEX(WaterUseH2[Average Direct Water Consumption (Gal/ kg h2)],MATCH(LEFT(D904,3),WaterUseH2[Key],0)),0)</f>
        <v>0</v>
      </c>
      <c r="AH904">
        <v>14</v>
      </c>
      <c r="AI904">
        <v>1.4</v>
      </c>
      <c r="AJ904">
        <v>250</v>
      </c>
      <c r="AK904">
        <v>0.31</v>
      </c>
      <c r="AL904" s="63">
        <f>IFERROR(INDEX(Job_Training[[Solar]:[Wind]],MATCH(AL$1,Job_Training[[`Typical Entry Level Education`]:[`Typical Entry Level Education`]],0),MATCH(LEFT($D904,5),Job_Training[[#Headers],[Solar]:[Wind]],0)),0)</f>
        <v>0</v>
      </c>
      <c r="AM904" s="63">
        <f>IFERROR(INDEX(Job_Training[[Solar]:[Wind]],MATCH(AM$1,Job_Training[[`Typical Entry Level Education`]:[`Typical Entry Level Education`]],0),MATCH(LEFT($D904,5),Job_Training[[#Headers],[Solar]:[Wind]],0)),0)</f>
        <v>0</v>
      </c>
      <c r="AN904" s="63">
        <f>IFERROR(INDEX(Job_Training[[Solar]:[Wind]],MATCH(AN$1,Job_Training[[`Typical Entry Level Education`]:[`Typical Entry Level Education`]],0),MATCH(LEFT($D904,5),Job_Training[[#Headers],[Solar]:[Wind]],0)),0)</f>
        <v>0</v>
      </c>
      <c r="AO904" s="63">
        <f>IFERROR(INDEX(Job_Training[[Solar]:[Wind]],MATCH(AO$1,Job_Training[[`Typical Entry Level Education`]:[`Typical Entry Level Education`]],0),MATCH(LEFT($D904,5),Job_Training[[#Headers],[Solar]:[Wind]],0)),0)</f>
        <v>0</v>
      </c>
      <c r="AP904">
        <f t="shared" si="262"/>
        <v>66.666666666666629</v>
      </c>
      <c r="AQ904" s="63">
        <f>IF(AP904&gt;0,IFERROR(INDEX(Assumptions!$C$165:$D$165,MATCH(LEFT($D904,5),Job_Training[[#Headers],[Solar]:[Wind]],0)),0),0)</f>
        <v>0</v>
      </c>
      <c r="AR904">
        <f>IF(AP904&gt;0,IFERROR(INDEX(Assumptions!$C$166:$D$166,MATCH(LEFT($D904,5),Job_Training[[#Headers],[Solar]:[Wind]],0)),0),0)</f>
        <v>0</v>
      </c>
    </row>
    <row r="905" spans="1:44" hidden="1" x14ac:dyDescent="0.35">
      <c r="A905" t="str">
        <f>UserInput!$B$82</f>
        <v>Incremental Buildout</v>
      </c>
      <c r="B905">
        <v>2025</v>
      </c>
      <c r="C905" t="s">
        <v>87</v>
      </c>
      <c r="D905" t="s">
        <v>88</v>
      </c>
      <c r="E905" s="66">
        <f>INDEX(UserInput!$C$82:$M$102,MATCH(UserMade_Scenario!B905,UserInput!$A$82:$A$102,0),MATCH(LEFT(IF(RIGHT(C905,2)="H2",UserMade_Scenario!C905,D905),3),UserInput!$C$25:$M$25,0))</f>
        <v>47.61904761904762</v>
      </c>
      <c r="F905" t="s">
        <v>89</v>
      </c>
      <c r="G905" s="14">
        <f t="shared" ref="G905:G968" si="263">E905*AB905</f>
        <v>5.2047619047619045E-5</v>
      </c>
      <c r="H905" s="63">
        <f t="shared" si="248"/>
        <v>1.192983476190476E-2</v>
      </c>
      <c r="I905" s="63">
        <f t="shared" si="249"/>
        <v>1.1019521904761903E-2</v>
      </c>
      <c r="J905" s="63">
        <f t="shared" si="250"/>
        <v>2.1236832545017997E-2</v>
      </c>
      <c r="K905" s="30">
        <f>IF(OR(LEFT($D905,5)="Solar",$D905="Wind"),INDEX(Land_Use[AVG],MATCH(LEFT($D905,5),Land_Use[Tech],0)),0)*$E905</f>
        <v>0</v>
      </c>
      <c r="L905" s="30">
        <f>IF(OR(LEFT($D905,5)="Solar",$D905="Wind"),INDEX(Land_Use[MIN],MATCH(LEFT($D905,5),Land_Use[Tech],0)),0)*$E905</f>
        <v>0</v>
      </c>
      <c r="M905" s="30">
        <f>IF(OR(LEFT($D905,5)="Solar",$D905="Wind"),INDEX(Land_Use[MAX],MATCH(LEFT($D905,5),Land_Use[Tech],0)),0)*$E905</f>
        <v>0</v>
      </c>
      <c r="N905" s="15">
        <f t="shared" si="251"/>
        <v>0</v>
      </c>
      <c r="O905" s="11">
        <f t="shared" si="252"/>
        <v>0</v>
      </c>
      <c r="P905" s="11">
        <f t="shared" si="253"/>
        <v>0</v>
      </c>
      <c r="Q905" s="11">
        <f t="shared" si="254"/>
        <v>0</v>
      </c>
      <c r="R905" s="11">
        <f t="shared" si="255"/>
        <v>0</v>
      </c>
      <c r="S905" s="30">
        <f t="shared" si="256"/>
        <v>0</v>
      </c>
      <c r="T905" s="30">
        <f t="shared" si="257"/>
        <v>0</v>
      </c>
      <c r="U905" s="30">
        <f t="shared" si="258"/>
        <v>0</v>
      </c>
      <c r="V905" s="30">
        <f t="shared" si="259"/>
        <v>0</v>
      </c>
      <c r="W905" s="30">
        <f t="shared" si="260"/>
        <v>0</v>
      </c>
      <c r="X905" s="30">
        <f t="shared" si="261"/>
        <v>0</v>
      </c>
      <c r="Z905" s="23" t="s">
        <v>76</v>
      </c>
      <c r="AA905" s="40" t="str">
        <f>IF(C905="Electricity",E905*SUMIFS(Electricity!S:S,Electricity!P:P,UserMade_Scenario!B905,Electricity!M:M,UserMade_Scenario!Z905,Electricity!O:O,UserMade_Scenario!D905),"")</f>
        <v/>
      </c>
      <c r="AB905" s="67">
        <v>1.093E-6</v>
      </c>
      <c r="AC905" s="67" t="s">
        <v>90</v>
      </c>
      <c r="AD905" s="39">
        <f>IFERROR(INDEX(Assumptions!B$145:B$146,MATCH($D905,Assumptions!$A$145:$A$146,0)),0)</f>
        <v>-229.20999999999998</v>
      </c>
      <c r="AE905" s="39">
        <f>IFERROR(INDEX(Assumptions!C$145:C$146,MATCH($D905,Assumptions!$A$145:$A$146,0)),0)</f>
        <v>-211.71999999999997</v>
      </c>
      <c r="AF905" s="39">
        <f>IFERROR(INDEX(Assumptions!D$145:D$146,MATCH($D905,Assumptions!$A$145:$A$146,0)),0)</f>
        <v>-408.02697478991581</v>
      </c>
      <c r="AG905" s="68">
        <f>IFERROR(INDEX(WaterUseH2[Average Direct Water Consumption (Gal/ kg h2)],MATCH(LEFT(D905,3),WaterUseH2[Key],0)),0)</f>
        <v>0</v>
      </c>
      <c r="AH905">
        <v>14</v>
      </c>
      <c r="AI905">
        <v>1.4</v>
      </c>
      <c r="AJ905">
        <v>250</v>
      </c>
      <c r="AK905">
        <v>0.31</v>
      </c>
      <c r="AL905" s="63">
        <f>IFERROR(INDEX(Job_Training[[Solar]:[Wind]],MATCH(AL$1,Job_Training[[`Typical Entry Level Education`]:[`Typical Entry Level Education`]],0),MATCH(LEFT($D905,5),Job_Training[[#Headers],[Solar]:[Wind]],0)),0)</f>
        <v>0</v>
      </c>
      <c r="AM905" s="63">
        <f>IFERROR(INDEX(Job_Training[[Solar]:[Wind]],MATCH(AM$1,Job_Training[[`Typical Entry Level Education`]:[`Typical Entry Level Education`]],0),MATCH(LEFT($D905,5),Job_Training[[#Headers],[Solar]:[Wind]],0)),0)</f>
        <v>0</v>
      </c>
      <c r="AN905" s="63">
        <f>IFERROR(INDEX(Job_Training[[Solar]:[Wind]],MATCH(AN$1,Job_Training[[`Typical Entry Level Education`]:[`Typical Entry Level Education`]],0),MATCH(LEFT($D905,5),Job_Training[[#Headers],[Solar]:[Wind]],0)),0)</f>
        <v>0</v>
      </c>
      <c r="AO905" s="63">
        <f>IFERROR(INDEX(Job_Training[[Solar]:[Wind]],MATCH(AO$1,Job_Training[[`Typical Entry Level Education`]:[`Typical Entry Level Education`]],0),MATCH(LEFT($D905,5),Job_Training[[#Headers],[Solar]:[Wind]],0)),0)</f>
        <v>0</v>
      </c>
      <c r="AP905">
        <f t="shared" si="262"/>
        <v>0</v>
      </c>
      <c r="AQ905" s="63">
        <f>IF(AP905&gt;0,IFERROR(INDEX(Assumptions!$C$165:$D$165,MATCH(LEFT($D905,5),Job_Training[[#Headers],[Solar]:[Wind]],0)),0),0)</f>
        <v>0</v>
      </c>
      <c r="AR905">
        <f>IF(AP905&gt;0,IFERROR(INDEX(Assumptions!$C$166:$D$166,MATCH(LEFT($D905,5),Job_Training[[#Headers],[Solar]:[Wind]],0)),0),0)</f>
        <v>0</v>
      </c>
    </row>
    <row r="906" spans="1:44" hidden="1" x14ac:dyDescent="0.35">
      <c r="A906" t="str">
        <f>UserInput!$B$82</f>
        <v>Incremental Buildout</v>
      </c>
      <c r="B906">
        <v>2026</v>
      </c>
      <c r="C906" t="s">
        <v>87</v>
      </c>
      <c r="D906" t="s">
        <v>88</v>
      </c>
      <c r="E906" s="66">
        <f>INDEX(UserInput!$C$82:$M$102,MATCH(UserMade_Scenario!B906,UserInput!$A$82:$A$102,0),MATCH(LEFT(IF(RIGHT(C906,2)="H2",UserMade_Scenario!C906,D906),3),UserInput!$C$25:$M$25,0))</f>
        <v>95.238095238095241</v>
      </c>
      <c r="F906" t="s">
        <v>89</v>
      </c>
      <c r="G906" s="14">
        <f t="shared" si="263"/>
        <v>1.0409523809523809E-4</v>
      </c>
      <c r="H906" s="63">
        <f t="shared" si="248"/>
        <v>2.385966952380952E-2</v>
      </c>
      <c r="I906" s="63">
        <f t="shared" si="249"/>
        <v>2.2039043809523807E-2</v>
      </c>
      <c r="J906" s="63">
        <f t="shared" si="250"/>
        <v>4.2473665090035993E-2</v>
      </c>
      <c r="K906" s="30">
        <f>IF(OR(LEFT($D906,5)="Solar",$D906="Wind"),INDEX(Land_Use[AVG],MATCH(LEFT($D906,5),Land_Use[Tech],0)),0)*$E906</f>
        <v>0</v>
      </c>
      <c r="L906" s="30">
        <f>IF(OR(LEFT($D906,5)="Solar",$D906="Wind"),INDEX(Land_Use[MIN],MATCH(LEFT($D906,5),Land_Use[Tech],0)),0)*$E906</f>
        <v>0</v>
      </c>
      <c r="M906" s="30">
        <f>IF(OR(LEFT($D906,5)="Solar",$D906="Wind"),INDEX(Land_Use[MAX],MATCH(LEFT($D906,5),Land_Use[Tech],0)),0)*$E906</f>
        <v>0</v>
      </c>
      <c r="N906" s="15">
        <f t="shared" si="251"/>
        <v>0</v>
      </c>
      <c r="O906" s="11">
        <f t="shared" si="252"/>
        <v>0</v>
      </c>
      <c r="P906" s="11">
        <f t="shared" si="253"/>
        <v>0</v>
      </c>
      <c r="Q906" s="11">
        <f t="shared" si="254"/>
        <v>0</v>
      </c>
      <c r="R906" s="11">
        <f t="shared" si="255"/>
        <v>0</v>
      </c>
      <c r="S906" s="30">
        <f t="shared" si="256"/>
        <v>0</v>
      </c>
      <c r="T906" s="30">
        <f t="shared" si="257"/>
        <v>0</v>
      </c>
      <c r="U906" s="30">
        <f t="shared" si="258"/>
        <v>0</v>
      </c>
      <c r="V906" s="30">
        <f t="shared" si="259"/>
        <v>0</v>
      </c>
      <c r="W906" s="30">
        <f t="shared" si="260"/>
        <v>0</v>
      </c>
      <c r="X906" s="30">
        <f t="shared" si="261"/>
        <v>0</v>
      </c>
      <c r="Z906" s="23" t="s">
        <v>76</v>
      </c>
      <c r="AA906" s="40" t="str">
        <f>IF(C906="Electricity",E906*SUMIFS(Electricity!S:S,Electricity!P:P,UserMade_Scenario!B906,Electricity!M:M,UserMade_Scenario!Z906,Electricity!O:O,UserMade_Scenario!D906),"")</f>
        <v/>
      </c>
      <c r="AB906" s="67">
        <v>1.093E-6</v>
      </c>
      <c r="AC906" s="67" t="s">
        <v>90</v>
      </c>
      <c r="AD906" s="39">
        <f>IFERROR(INDEX(Assumptions!B$145:B$146,MATCH($D906,Assumptions!$A$145:$A$146,0)),0)</f>
        <v>-229.20999999999998</v>
      </c>
      <c r="AE906" s="39">
        <f>IFERROR(INDEX(Assumptions!C$145:C$146,MATCH($D906,Assumptions!$A$145:$A$146,0)),0)</f>
        <v>-211.71999999999997</v>
      </c>
      <c r="AF906" s="39">
        <f>IFERROR(INDEX(Assumptions!D$145:D$146,MATCH($D906,Assumptions!$A$145:$A$146,0)),0)</f>
        <v>-408.02697478991581</v>
      </c>
      <c r="AG906" s="68">
        <f>IFERROR(INDEX(WaterUseH2[Average Direct Water Consumption (Gal/ kg h2)],MATCH(LEFT(D906,3),WaterUseH2[Key],0)),0)</f>
        <v>0</v>
      </c>
      <c r="AH906">
        <v>14</v>
      </c>
      <c r="AI906">
        <v>1.4</v>
      </c>
      <c r="AJ906">
        <v>250</v>
      </c>
      <c r="AK906">
        <v>0.31</v>
      </c>
      <c r="AL906" s="63">
        <f>IFERROR(INDEX(Job_Training[[Solar]:[Wind]],MATCH(AL$1,Job_Training[[`Typical Entry Level Education`]:[`Typical Entry Level Education`]],0),MATCH(LEFT($D906,5),Job_Training[[#Headers],[Solar]:[Wind]],0)),0)</f>
        <v>0</v>
      </c>
      <c r="AM906" s="63">
        <f>IFERROR(INDEX(Job_Training[[Solar]:[Wind]],MATCH(AM$1,Job_Training[[`Typical Entry Level Education`]:[`Typical Entry Level Education`]],0),MATCH(LEFT($D906,5),Job_Training[[#Headers],[Solar]:[Wind]],0)),0)</f>
        <v>0</v>
      </c>
      <c r="AN906" s="63">
        <f>IFERROR(INDEX(Job_Training[[Solar]:[Wind]],MATCH(AN$1,Job_Training[[`Typical Entry Level Education`]:[`Typical Entry Level Education`]],0),MATCH(LEFT($D906,5),Job_Training[[#Headers],[Solar]:[Wind]],0)),0)</f>
        <v>0</v>
      </c>
      <c r="AO906" s="63">
        <f>IFERROR(INDEX(Job_Training[[Solar]:[Wind]],MATCH(AO$1,Job_Training[[`Typical Entry Level Education`]:[`Typical Entry Level Education`]],0),MATCH(LEFT($D906,5),Job_Training[[#Headers],[Solar]:[Wind]],0)),0)</f>
        <v>0</v>
      </c>
      <c r="AP906">
        <f t="shared" si="262"/>
        <v>0</v>
      </c>
      <c r="AQ906" s="63">
        <f>IF(AP906&gt;0,IFERROR(INDEX(Assumptions!$C$165:$D$165,MATCH(LEFT($D906,5),Job_Training[[#Headers],[Solar]:[Wind]],0)),0),0)</f>
        <v>0</v>
      </c>
      <c r="AR906">
        <f>IF(AP906&gt;0,IFERROR(INDEX(Assumptions!$C$166:$D$166,MATCH(LEFT($D906,5),Job_Training[[#Headers],[Solar]:[Wind]],0)),0),0)</f>
        <v>0</v>
      </c>
    </row>
    <row r="907" spans="1:44" hidden="1" x14ac:dyDescent="0.35">
      <c r="A907" t="str">
        <f>UserInput!$B$82</f>
        <v>Incremental Buildout</v>
      </c>
      <c r="B907">
        <v>2027</v>
      </c>
      <c r="C907" t="s">
        <v>87</v>
      </c>
      <c r="D907" t="s">
        <v>88</v>
      </c>
      <c r="E907" s="66">
        <f>INDEX(UserInput!$C$82:$M$102,MATCH(UserMade_Scenario!B907,UserInput!$A$82:$A$102,0),MATCH(LEFT(IF(RIGHT(C907,2)="H2",UserMade_Scenario!C907,D907),3),UserInput!$C$25:$M$25,0))</f>
        <v>142.85714285714286</v>
      </c>
      <c r="F907" t="s">
        <v>89</v>
      </c>
      <c r="G907" s="14">
        <f t="shared" si="263"/>
        <v>1.5614285714285714E-4</v>
      </c>
      <c r="H907" s="63">
        <f t="shared" si="248"/>
        <v>3.5789504285714278E-2</v>
      </c>
      <c r="I907" s="63">
        <f t="shared" si="249"/>
        <v>3.3058565714285705E-2</v>
      </c>
      <c r="J907" s="63">
        <f t="shared" si="250"/>
        <v>6.3710497635054E-2</v>
      </c>
      <c r="K907" s="30">
        <f>IF(OR(LEFT($D907,5)="Solar",$D907="Wind"),INDEX(Land_Use[AVG],MATCH(LEFT($D907,5),Land_Use[Tech],0)),0)*$E907</f>
        <v>0</v>
      </c>
      <c r="L907" s="30">
        <f>IF(OR(LEFT($D907,5)="Solar",$D907="Wind"),INDEX(Land_Use[MIN],MATCH(LEFT($D907,5),Land_Use[Tech],0)),0)*$E907</f>
        <v>0</v>
      </c>
      <c r="M907" s="30">
        <f>IF(OR(LEFT($D907,5)="Solar",$D907="Wind"),INDEX(Land_Use[MAX],MATCH(LEFT($D907,5),Land_Use[Tech],0)),0)*$E907</f>
        <v>0</v>
      </c>
      <c r="N907" s="15">
        <f t="shared" si="251"/>
        <v>0</v>
      </c>
      <c r="O907" s="11">
        <f t="shared" si="252"/>
        <v>0</v>
      </c>
      <c r="P907" s="11">
        <f t="shared" si="253"/>
        <v>0</v>
      </c>
      <c r="Q907" s="11">
        <f t="shared" si="254"/>
        <v>0</v>
      </c>
      <c r="R907" s="11">
        <f t="shared" si="255"/>
        <v>0</v>
      </c>
      <c r="S907" s="30">
        <f t="shared" si="256"/>
        <v>0</v>
      </c>
      <c r="T907" s="30">
        <f t="shared" si="257"/>
        <v>0</v>
      </c>
      <c r="U907" s="30">
        <f t="shared" si="258"/>
        <v>0</v>
      </c>
      <c r="V907" s="30">
        <f t="shared" si="259"/>
        <v>0</v>
      </c>
      <c r="W907" s="30">
        <f t="shared" si="260"/>
        <v>0</v>
      </c>
      <c r="X907" s="30">
        <f t="shared" si="261"/>
        <v>0</v>
      </c>
      <c r="Z907" s="23" t="s">
        <v>76</v>
      </c>
      <c r="AA907" s="40" t="str">
        <f>IF(C907="Electricity",E907*SUMIFS(Electricity!S:S,Electricity!P:P,UserMade_Scenario!B907,Electricity!M:M,UserMade_Scenario!Z907,Electricity!O:O,UserMade_Scenario!D907),"")</f>
        <v/>
      </c>
      <c r="AB907" s="67">
        <v>1.093E-6</v>
      </c>
      <c r="AC907" s="67" t="s">
        <v>90</v>
      </c>
      <c r="AD907" s="39">
        <f>IFERROR(INDEX(Assumptions!B$145:B$146,MATCH($D907,Assumptions!$A$145:$A$146,0)),0)</f>
        <v>-229.20999999999998</v>
      </c>
      <c r="AE907" s="39">
        <f>IFERROR(INDEX(Assumptions!C$145:C$146,MATCH($D907,Assumptions!$A$145:$A$146,0)),0)</f>
        <v>-211.71999999999997</v>
      </c>
      <c r="AF907" s="39">
        <f>IFERROR(INDEX(Assumptions!D$145:D$146,MATCH($D907,Assumptions!$A$145:$A$146,0)),0)</f>
        <v>-408.02697478991581</v>
      </c>
      <c r="AG907" s="68">
        <f>IFERROR(INDEX(WaterUseH2[Average Direct Water Consumption (Gal/ kg h2)],MATCH(LEFT(D907,3),WaterUseH2[Key],0)),0)</f>
        <v>0</v>
      </c>
      <c r="AH907">
        <v>14</v>
      </c>
      <c r="AI907">
        <v>1.4</v>
      </c>
      <c r="AJ907">
        <v>250</v>
      </c>
      <c r="AK907">
        <v>0.31</v>
      </c>
      <c r="AL907" s="63">
        <f>IFERROR(INDEX(Job_Training[[Solar]:[Wind]],MATCH(AL$1,Job_Training[[`Typical Entry Level Education`]:[`Typical Entry Level Education`]],0),MATCH(LEFT($D907,5),Job_Training[[#Headers],[Solar]:[Wind]],0)),0)</f>
        <v>0</v>
      </c>
      <c r="AM907" s="63">
        <f>IFERROR(INDEX(Job_Training[[Solar]:[Wind]],MATCH(AM$1,Job_Training[[`Typical Entry Level Education`]:[`Typical Entry Level Education`]],0),MATCH(LEFT($D907,5),Job_Training[[#Headers],[Solar]:[Wind]],0)),0)</f>
        <v>0</v>
      </c>
      <c r="AN907" s="63">
        <f>IFERROR(INDEX(Job_Training[[Solar]:[Wind]],MATCH(AN$1,Job_Training[[`Typical Entry Level Education`]:[`Typical Entry Level Education`]],0),MATCH(LEFT($D907,5),Job_Training[[#Headers],[Solar]:[Wind]],0)),0)</f>
        <v>0</v>
      </c>
      <c r="AO907" s="63">
        <f>IFERROR(INDEX(Job_Training[[Solar]:[Wind]],MATCH(AO$1,Job_Training[[`Typical Entry Level Education`]:[`Typical Entry Level Education`]],0),MATCH(LEFT($D907,5),Job_Training[[#Headers],[Solar]:[Wind]],0)),0)</f>
        <v>0</v>
      </c>
      <c r="AP907">
        <f t="shared" si="262"/>
        <v>0</v>
      </c>
      <c r="AQ907" s="63">
        <f>IF(AP907&gt;0,IFERROR(INDEX(Assumptions!$C$165:$D$165,MATCH(LEFT($D907,5),Job_Training[[#Headers],[Solar]:[Wind]],0)),0),0)</f>
        <v>0</v>
      </c>
      <c r="AR907">
        <f>IF(AP907&gt;0,IFERROR(INDEX(Assumptions!$C$166:$D$166,MATCH(LEFT($D907,5),Job_Training[[#Headers],[Solar]:[Wind]],0)),0),0)</f>
        <v>0</v>
      </c>
    </row>
    <row r="908" spans="1:44" hidden="1" x14ac:dyDescent="0.35">
      <c r="A908" t="str">
        <f>UserInput!$B$82</f>
        <v>Incremental Buildout</v>
      </c>
      <c r="B908">
        <v>2028</v>
      </c>
      <c r="C908" t="s">
        <v>87</v>
      </c>
      <c r="D908" t="s">
        <v>88</v>
      </c>
      <c r="E908" s="66">
        <f>INDEX(UserInput!$C$82:$M$102,MATCH(UserMade_Scenario!B908,UserInput!$A$82:$A$102,0),MATCH(LEFT(IF(RIGHT(C908,2)="H2",UserMade_Scenario!C908,D908),3),UserInput!$C$25:$M$25,0))</f>
        <v>190.47619047619048</v>
      </c>
      <c r="F908" t="s">
        <v>89</v>
      </c>
      <c r="G908" s="14">
        <f t="shared" si="263"/>
        <v>2.0819047619047618E-4</v>
      </c>
      <c r="H908" s="63">
        <f t="shared" si="248"/>
        <v>4.771933904761904E-2</v>
      </c>
      <c r="I908" s="63">
        <f t="shared" si="249"/>
        <v>4.4078087619047614E-2</v>
      </c>
      <c r="J908" s="63">
        <f t="shared" si="250"/>
        <v>8.4947330180071987E-2</v>
      </c>
      <c r="K908" s="30">
        <f>IF(OR(LEFT($D908,5)="Solar",$D908="Wind"),INDEX(Land_Use[AVG],MATCH(LEFT($D908,5),Land_Use[Tech],0)),0)*$E908</f>
        <v>0</v>
      </c>
      <c r="L908" s="30">
        <f>IF(OR(LEFT($D908,5)="Solar",$D908="Wind"),INDEX(Land_Use[MIN],MATCH(LEFT($D908,5),Land_Use[Tech],0)),0)*$E908</f>
        <v>0</v>
      </c>
      <c r="M908" s="30">
        <f>IF(OR(LEFT($D908,5)="Solar",$D908="Wind"),INDEX(Land_Use[MAX],MATCH(LEFT($D908,5),Land_Use[Tech],0)),0)*$E908</f>
        <v>0</v>
      </c>
      <c r="N908" s="15">
        <f t="shared" si="251"/>
        <v>0</v>
      </c>
      <c r="O908" s="11">
        <f t="shared" si="252"/>
        <v>0</v>
      </c>
      <c r="P908" s="11">
        <f t="shared" si="253"/>
        <v>0</v>
      </c>
      <c r="Q908" s="11">
        <f t="shared" si="254"/>
        <v>0</v>
      </c>
      <c r="R908" s="11">
        <f t="shared" si="255"/>
        <v>0</v>
      </c>
      <c r="S908" s="30">
        <f t="shared" si="256"/>
        <v>0</v>
      </c>
      <c r="T908" s="30">
        <f t="shared" si="257"/>
        <v>0</v>
      </c>
      <c r="U908" s="30">
        <f t="shared" si="258"/>
        <v>0</v>
      </c>
      <c r="V908" s="30">
        <f t="shared" si="259"/>
        <v>0</v>
      </c>
      <c r="W908" s="30">
        <f t="shared" si="260"/>
        <v>0</v>
      </c>
      <c r="X908" s="30">
        <f t="shared" si="261"/>
        <v>0</v>
      </c>
      <c r="Z908" s="23" t="s">
        <v>76</v>
      </c>
      <c r="AA908" s="40" t="str">
        <f>IF(C908="Electricity",E908*SUMIFS(Electricity!S:S,Electricity!P:P,UserMade_Scenario!B908,Electricity!M:M,UserMade_Scenario!Z908,Electricity!O:O,UserMade_Scenario!D908),"")</f>
        <v/>
      </c>
      <c r="AB908" s="67">
        <v>1.093E-6</v>
      </c>
      <c r="AC908" s="67" t="s">
        <v>90</v>
      </c>
      <c r="AD908" s="39">
        <f>IFERROR(INDEX(Assumptions!B$145:B$146,MATCH($D908,Assumptions!$A$145:$A$146,0)),0)</f>
        <v>-229.20999999999998</v>
      </c>
      <c r="AE908" s="39">
        <f>IFERROR(INDEX(Assumptions!C$145:C$146,MATCH($D908,Assumptions!$A$145:$A$146,0)),0)</f>
        <v>-211.71999999999997</v>
      </c>
      <c r="AF908" s="39">
        <f>IFERROR(INDEX(Assumptions!D$145:D$146,MATCH($D908,Assumptions!$A$145:$A$146,0)),0)</f>
        <v>-408.02697478991581</v>
      </c>
      <c r="AG908" s="68">
        <f>IFERROR(INDEX(WaterUseH2[Average Direct Water Consumption (Gal/ kg h2)],MATCH(LEFT(D908,3),WaterUseH2[Key],0)),0)</f>
        <v>0</v>
      </c>
      <c r="AH908">
        <v>14</v>
      </c>
      <c r="AI908">
        <v>1.4</v>
      </c>
      <c r="AJ908">
        <v>250</v>
      </c>
      <c r="AK908">
        <v>0.31</v>
      </c>
      <c r="AL908" s="63">
        <f>IFERROR(INDEX(Job_Training[[Solar]:[Wind]],MATCH(AL$1,Job_Training[[`Typical Entry Level Education`]:[`Typical Entry Level Education`]],0),MATCH(LEFT($D908,5),Job_Training[[#Headers],[Solar]:[Wind]],0)),0)</f>
        <v>0</v>
      </c>
      <c r="AM908" s="63">
        <f>IFERROR(INDEX(Job_Training[[Solar]:[Wind]],MATCH(AM$1,Job_Training[[`Typical Entry Level Education`]:[`Typical Entry Level Education`]],0),MATCH(LEFT($D908,5),Job_Training[[#Headers],[Solar]:[Wind]],0)),0)</f>
        <v>0</v>
      </c>
      <c r="AN908" s="63">
        <f>IFERROR(INDEX(Job_Training[[Solar]:[Wind]],MATCH(AN$1,Job_Training[[`Typical Entry Level Education`]:[`Typical Entry Level Education`]],0),MATCH(LEFT($D908,5),Job_Training[[#Headers],[Solar]:[Wind]],0)),0)</f>
        <v>0</v>
      </c>
      <c r="AO908" s="63">
        <f>IFERROR(INDEX(Job_Training[[Solar]:[Wind]],MATCH(AO$1,Job_Training[[`Typical Entry Level Education`]:[`Typical Entry Level Education`]],0),MATCH(LEFT($D908,5),Job_Training[[#Headers],[Solar]:[Wind]],0)),0)</f>
        <v>0</v>
      </c>
      <c r="AP908">
        <f t="shared" si="262"/>
        <v>0</v>
      </c>
      <c r="AQ908" s="63">
        <f>IF(AP908&gt;0,IFERROR(INDEX(Assumptions!$C$165:$D$165,MATCH(LEFT($D908,5),Job_Training[[#Headers],[Solar]:[Wind]],0)),0),0)</f>
        <v>0</v>
      </c>
      <c r="AR908">
        <f>IF(AP908&gt;0,IFERROR(INDEX(Assumptions!$C$166:$D$166,MATCH(LEFT($D908,5),Job_Training[[#Headers],[Solar]:[Wind]],0)),0),0)</f>
        <v>0</v>
      </c>
    </row>
    <row r="909" spans="1:44" hidden="1" x14ac:dyDescent="0.35">
      <c r="A909" t="str">
        <f>UserInput!$B$82</f>
        <v>Incremental Buildout</v>
      </c>
      <c r="B909">
        <v>2029</v>
      </c>
      <c r="C909" t="s">
        <v>87</v>
      </c>
      <c r="D909" t="s">
        <v>88</v>
      </c>
      <c r="E909" s="66">
        <f>INDEX(UserInput!$C$82:$M$102,MATCH(UserMade_Scenario!B909,UserInput!$A$82:$A$102,0),MATCH(LEFT(IF(RIGHT(C909,2)="H2",UserMade_Scenario!C909,D909),3),UserInput!$C$25:$M$25,0))</f>
        <v>238.0952380952381</v>
      </c>
      <c r="F909" t="s">
        <v>89</v>
      </c>
      <c r="G909" s="14">
        <f t="shared" si="263"/>
        <v>2.6023809523809523E-4</v>
      </c>
      <c r="H909" s="63">
        <f t="shared" si="248"/>
        <v>5.9649173809523802E-2</v>
      </c>
      <c r="I909" s="63">
        <f t="shared" si="249"/>
        <v>5.5097609523809515E-2</v>
      </c>
      <c r="J909" s="63">
        <f t="shared" si="250"/>
        <v>0.10618416272508999</v>
      </c>
      <c r="K909" s="30">
        <f>IF(OR(LEFT($D909,5)="Solar",$D909="Wind"),INDEX(Land_Use[AVG],MATCH(LEFT($D909,5),Land_Use[Tech],0)),0)*$E909</f>
        <v>0</v>
      </c>
      <c r="L909" s="30">
        <f>IF(OR(LEFT($D909,5)="Solar",$D909="Wind"),INDEX(Land_Use[MIN],MATCH(LEFT($D909,5),Land_Use[Tech],0)),0)*$E909</f>
        <v>0</v>
      </c>
      <c r="M909" s="30">
        <f>IF(OR(LEFT($D909,5)="Solar",$D909="Wind"),INDEX(Land_Use[MAX],MATCH(LEFT($D909,5),Land_Use[Tech],0)),0)*$E909</f>
        <v>0</v>
      </c>
      <c r="N909" s="15">
        <f t="shared" si="251"/>
        <v>0</v>
      </c>
      <c r="O909" s="11">
        <f t="shared" si="252"/>
        <v>0</v>
      </c>
      <c r="P909" s="11">
        <f t="shared" si="253"/>
        <v>0</v>
      </c>
      <c r="Q909" s="11">
        <f t="shared" si="254"/>
        <v>0</v>
      </c>
      <c r="R909" s="11">
        <f t="shared" si="255"/>
        <v>0</v>
      </c>
      <c r="S909" s="30">
        <f t="shared" si="256"/>
        <v>0</v>
      </c>
      <c r="T909" s="30">
        <f t="shared" si="257"/>
        <v>0</v>
      </c>
      <c r="U909" s="30">
        <f t="shared" si="258"/>
        <v>0</v>
      </c>
      <c r="V909" s="30">
        <f t="shared" si="259"/>
        <v>0</v>
      </c>
      <c r="W909" s="30">
        <f t="shared" si="260"/>
        <v>0</v>
      </c>
      <c r="X909" s="30">
        <f t="shared" si="261"/>
        <v>0</v>
      </c>
      <c r="Z909" s="23" t="s">
        <v>76</v>
      </c>
      <c r="AA909" s="40" t="str">
        <f>IF(C909="Electricity",E909*SUMIFS(Electricity!S:S,Electricity!P:P,UserMade_Scenario!B909,Electricity!M:M,UserMade_Scenario!Z909,Electricity!O:O,UserMade_Scenario!D909),"")</f>
        <v/>
      </c>
      <c r="AB909" s="67">
        <v>1.093E-6</v>
      </c>
      <c r="AC909" s="67" t="s">
        <v>90</v>
      </c>
      <c r="AD909" s="39">
        <f>IFERROR(INDEX(Assumptions!B$145:B$146,MATCH($D909,Assumptions!$A$145:$A$146,0)),0)</f>
        <v>-229.20999999999998</v>
      </c>
      <c r="AE909" s="39">
        <f>IFERROR(INDEX(Assumptions!C$145:C$146,MATCH($D909,Assumptions!$A$145:$A$146,0)),0)</f>
        <v>-211.71999999999997</v>
      </c>
      <c r="AF909" s="39">
        <f>IFERROR(INDEX(Assumptions!D$145:D$146,MATCH($D909,Assumptions!$A$145:$A$146,0)),0)</f>
        <v>-408.02697478991581</v>
      </c>
      <c r="AG909" s="68">
        <f>IFERROR(INDEX(WaterUseH2[Average Direct Water Consumption (Gal/ kg h2)],MATCH(LEFT(D909,3),WaterUseH2[Key],0)),0)</f>
        <v>0</v>
      </c>
      <c r="AH909">
        <v>14</v>
      </c>
      <c r="AI909">
        <v>1.4</v>
      </c>
      <c r="AJ909">
        <v>250</v>
      </c>
      <c r="AK909">
        <v>0.31</v>
      </c>
      <c r="AL909" s="63">
        <f>IFERROR(INDEX(Job_Training[[Solar]:[Wind]],MATCH(AL$1,Job_Training[[`Typical Entry Level Education`]:[`Typical Entry Level Education`]],0),MATCH(LEFT($D909,5),Job_Training[[#Headers],[Solar]:[Wind]],0)),0)</f>
        <v>0</v>
      </c>
      <c r="AM909" s="63">
        <f>IFERROR(INDEX(Job_Training[[Solar]:[Wind]],MATCH(AM$1,Job_Training[[`Typical Entry Level Education`]:[`Typical Entry Level Education`]],0),MATCH(LEFT($D909,5),Job_Training[[#Headers],[Solar]:[Wind]],0)),0)</f>
        <v>0</v>
      </c>
      <c r="AN909" s="63">
        <f>IFERROR(INDEX(Job_Training[[Solar]:[Wind]],MATCH(AN$1,Job_Training[[`Typical Entry Level Education`]:[`Typical Entry Level Education`]],0),MATCH(LEFT($D909,5),Job_Training[[#Headers],[Solar]:[Wind]],0)),0)</f>
        <v>0</v>
      </c>
      <c r="AO909" s="63">
        <f>IFERROR(INDEX(Job_Training[[Solar]:[Wind]],MATCH(AO$1,Job_Training[[`Typical Entry Level Education`]:[`Typical Entry Level Education`]],0),MATCH(LEFT($D909,5),Job_Training[[#Headers],[Solar]:[Wind]],0)),0)</f>
        <v>0</v>
      </c>
      <c r="AP909">
        <f t="shared" si="262"/>
        <v>0</v>
      </c>
      <c r="AQ909" s="63">
        <f>IF(AP909&gt;0,IFERROR(INDEX(Assumptions!$C$165:$D$165,MATCH(LEFT($D909,5),Job_Training[[#Headers],[Solar]:[Wind]],0)),0),0)</f>
        <v>0</v>
      </c>
      <c r="AR909">
        <f>IF(AP909&gt;0,IFERROR(INDEX(Assumptions!$C$166:$D$166,MATCH(LEFT($D909,5),Job_Training[[#Headers],[Solar]:[Wind]],0)),0),0)</f>
        <v>0</v>
      </c>
    </row>
    <row r="910" spans="1:44" hidden="1" x14ac:dyDescent="0.35">
      <c r="A910" t="str">
        <f>UserInput!$B$82</f>
        <v>Incremental Buildout</v>
      </c>
      <c r="B910">
        <v>2030</v>
      </c>
      <c r="C910" t="s">
        <v>87</v>
      </c>
      <c r="D910" t="s">
        <v>88</v>
      </c>
      <c r="E910" s="66">
        <f>INDEX(UserInput!$C$82:$M$102,MATCH(UserMade_Scenario!B910,UserInput!$A$82:$A$102,0),MATCH(LEFT(IF(RIGHT(C910,2)="H2",UserMade_Scenario!C910,D910),3),UserInput!$C$25:$M$25,0))</f>
        <v>285.71428571428572</v>
      </c>
      <c r="F910" t="s">
        <v>89</v>
      </c>
      <c r="G910" s="14">
        <f t="shared" si="263"/>
        <v>3.1228571428571427E-4</v>
      </c>
      <c r="H910" s="63">
        <f t="shared" si="248"/>
        <v>7.1579008571428557E-2</v>
      </c>
      <c r="I910" s="63">
        <f t="shared" si="249"/>
        <v>6.611713142857141E-2</v>
      </c>
      <c r="J910" s="63">
        <f t="shared" si="250"/>
        <v>0.127420995270108</v>
      </c>
      <c r="K910" s="30">
        <f>IF(OR(LEFT($D910,5)="Solar",$D910="Wind"),INDEX(Land_Use[AVG],MATCH(LEFT($D910,5),Land_Use[Tech],0)),0)*$E910</f>
        <v>0</v>
      </c>
      <c r="L910" s="30">
        <f>IF(OR(LEFT($D910,5)="Solar",$D910="Wind"),INDEX(Land_Use[MIN],MATCH(LEFT($D910,5),Land_Use[Tech],0)),0)*$E910</f>
        <v>0</v>
      </c>
      <c r="M910" s="30">
        <f>IF(OR(LEFT($D910,5)="Solar",$D910="Wind"),INDEX(Land_Use[MAX],MATCH(LEFT($D910,5),Land_Use[Tech],0)),0)*$E910</f>
        <v>0</v>
      </c>
      <c r="N910" s="15">
        <f t="shared" si="251"/>
        <v>0</v>
      </c>
      <c r="O910" s="11">
        <f t="shared" si="252"/>
        <v>0</v>
      </c>
      <c r="P910" s="11">
        <f t="shared" si="253"/>
        <v>0</v>
      </c>
      <c r="Q910" s="11">
        <f t="shared" si="254"/>
        <v>0</v>
      </c>
      <c r="R910" s="11">
        <f t="shared" si="255"/>
        <v>0</v>
      </c>
      <c r="S910" s="30">
        <f t="shared" si="256"/>
        <v>0</v>
      </c>
      <c r="T910" s="30">
        <f t="shared" si="257"/>
        <v>0</v>
      </c>
      <c r="U910" s="30">
        <f t="shared" si="258"/>
        <v>0</v>
      </c>
      <c r="V910" s="30">
        <f t="shared" si="259"/>
        <v>0</v>
      </c>
      <c r="W910" s="30">
        <f t="shared" si="260"/>
        <v>0</v>
      </c>
      <c r="X910" s="30">
        <f t="shared" si="261"/>
        <v>0</v>
      </c>
      <c r="Z910" s="23" t="s">
        <v>76</v>
      </c>
      <c r="AA910" s="40" t="str">
        <f>IF(C910="Electricity",E910*SUMIFS(Electricity!S:S,Electricity!P:P,UserMade_Scenario!B910,Electricity!M:M,UserMade_Scenario!Z910,Electricity!O:O,UserMade_Scenario!D910),"")</f>
        <v/>
      </c>
      <c r="AB910" s="67">
        <v>1.093E-6</v>
      </c>
      <c r="AC910" s="67" t="s">
        <v>90</v>
      </c>
      <c r="AD910" s="39">
        <f>IFERROR(INDEX(Assumptions!B$145:B$146,MATCH($D910,Assumptions!$A$145:$A$146,0)),0)</f>
        <v>-229.20999999999998</v>
      </c>
      <c r="AE910" s="39">
        <f>IFERROR(INDEX(Assumptions!C$145:C$146,MATCH($D910,Assumptions!$A$145:$A$146,0)),0)</f>
        <v>-211.71999999999997</v>
      </c>
      <c r="AF910" s="39">
        <f>IFERROR(INDEX(Assumptions!D$145:D$146,MATCH($D910,Assumptions!$A$145:$A$146,0)),0)</f>
        <v>-408.02697478991581</v>
      </c>
      <c r="AG910" s="68">
        <f>IFERROR(INDEX(WaterUseH2[Average Direct Water Consumption (Gal/ kg h2)],MATCH(LEFT(D910,3),WaterUseH2[Key],0)),0)</f>
        <v>0</v>
      </c>
      <c r="AH910">
        <v>14</v>
      </c>
      <c r="AI910">
        <v>1.4</v>
      </c>
      <c r="AJ910">
        <v>250</v>
      </c>
      <c r="AK910">
        <v>0.31</v>
      </c>
      <c r="AL910" s="63">
        <f>IFERROR(INDEX(Job_Training[[Solar]:[Wind]],MATCH(AL$1,Job_Training[[`Typical Entry Level Education`]:[`Typical Entry Level Education`]],0),MATCH(LEFT($D910,5),Job_Training[[#Headers],[Solar]:[Wind]],0)),0)</f>
        <v>0</v>
      </c>
      <c r="AM910" s="63">
        <f>IFERROR(INDEX(Job_Training[[Solar]:[Wind]],MATCH(AM$1,Job_Training[[`Typical Entry Level Education`]:[`Typical Entry Level Education`]],0),MATCH(LEFT($D910,5),Job_Training[[#Headers],[Solar]:[Wind]],0)),0)</f>
        <v>0</v>
      </c>
      <c r="AN910" s="63">
        <f>IFERROR(INDEX(Job_Training[[Solar]:[Wind]],MATCH(AN$1,Job_Training[[`Typical Entry Level Education`]:[`Typical Entry Level Education`]],0),MATCH(LEFT($D910,5),Job_Training[[#Headers],[Solar]:[Wind]],0)),0)</f>
        <v>0</v>
      </c>
      <c r="AO910" s="63">
        <f>IFERROR(INDEX(Job_Training[[Solar]:[Wind]],MATCH(AO$1,Job_Training[[`Typical Entry Level Education`]:[`Typical Entry Level Education`]],0),MATCH(LEFT($D910,5),Job_Training[[#Headers],[Solar]:[Wind]],0)),0)</f>
        <v>0</v>
      </c>
      <c r="AP910">
        <f t="shared" si="262"/>
        <v>0</v>
      </c>
      <c r="AQ910" s="63">
        <f>IF(AP910&gt;0,IFERROR(INDEX(Assumptions!$C$165:$D$165,MATCH(LEFT($D910,5),Job_Training[[#Headers],[Solar]:[Wind]],0)),0),0)</f>
        <v>0</v>
      </c>
      <c r="AR910">
        <f>IF(AP910&gt;0,IFERROR(INDEX(Assumptions!$C$166:$D$166,MATCH(LEFT($D910,5),Job_Training[[#Headers],[Solar]:[Wind]],0)),0),0)</f>
        <v>0</v>
      </c>
    </row>
    <row r="911" spans="1:44" hidden="1" x14ac:dyDescent="0.35">
      <c r="A911" t="str">
        <f>UserInput!$B$82</f>
        <v>Incremental Buildout</v>
      </c>
      <c r="B911">
        <v>2031</v>
      </c>
      <c r="C911" t="s">
        <v>87</v>
      </c>
      <c r="D911" t="s">
        <v>88</v>
      </c>
      <c r="E911" s="66">
        <f>INDEX(UserInput!$C$82:$M$102,MATCH(UserMade_Scenario!B911,UserInput!$A$82:$A$102,0),MATCH(LEFT(IF(RIGHT(C911,2)="H2",UserMade_Scenario!C911,D911),3),UserInput!$C$25:$M$25,0))</f>
        <v>333.33333333333337</v>
      </c>
      <c r="F911" t="s">
        <v>89</v>
      </c>
      <c r="G911" s="14">
        <f t="shared" si="263"/>
        <v>3.6433333333333337E-4</v>
      </c>
      <c r="H911" s="63">
        <f t="shared" si="248"/>
        <v>8.3508843333333332E-2</v>
      </c>
      <c r="I911" s="63">
        <f t="shared" si="249"/>
        <v>7.7136653333333333E-2</v>
      </c>
      <c r="J911" s="63">
        <f t="shared" si="250"/>
        <v>0.14865782781512601</v>
      </c>
      <c r="K911" s="30">
        <f>IF(OR(LEFT($D911,5)="Solar",$D911="Wind"),INDEX(Land_Use[AVG],MATCH(LEFT($D911,5),Land_Use[Tech],0)),0)*$E911</f>
        <v>0</v>
      </c>
      <c r="L911" s="30">
        <f>IF(OR(LEFT($D911,5)="Solar",$D911="Wind"),INDEX(Land_Use[MIN],MATCH(LEFT($D911,5),Land_Use[Tech],0)),0)*$E911</f>
        <v>0</v>
      </c>
      <c r="M911" s="30">
        <f>IF(OR(LEFT($D911,5)="Solar",$D911="Wind"),INDEX(Land_Use[MAX],MATCH(LEFT($D911,5),Land_Use[Tech],0)),0)*$E911</f>
        <v>0</v>
      </c>
      <c r="N911" s="15">
        <f t="shared" si="251"/>
        <v>0</v>
      </c>
      <c r="O911" s="11">
        <f t="shared" si="252"/>
        <v>0</v>
      </c>
      <c r="P911" s="11">
        <f t="shared" si="253"/>
        <v>0</v>
      </c>
      <c r="Q911" s="11">
        <f t="shared" si="254"/>
        <v>0</v>
      </c>
      <c r="R911" s="11">
        <f t="shared" si="255"/>
        <v>0</v>
      </c>
      <c r="S911" s="30">
        <f t="shared" si="256"/>
        <v>0</v>
      </c>
      <c r="T911" s="30">
        <f t="shared" si="257"/>
        <v>0</v>
      </c>
      <c r="U911" s="30">
        <f t="shared" si="258"/>
        <v>0</v>
      </c>
      <c r="V911" s="30">
        <f t="shared" si="259"/>
        <v>0</v>
      </c>
      <c r="W911" s="30">
        <f t="shared" si="260"/>
        <v>0</v>
      </c>
      <c r="X911" s="30">
        <f t="shared" si="261"/>
        <v>0</v>
      </c>
      <c r="Z911" s="23" t="s">
        <v>76</v>
      </c>
      <c r="AA911" s="40" t="str">
        <f>IF(C911="Electricity",E911*SUMIFS(Electricity!S:S,Electricity!P:P,UserMade_Scenario!B911,Electricity!M:M,UserMade_Scenario!Z911,Electricity!O:O,UserMade_Scenario!D911),"")</f>
        <v/>
      </c>
      <c r="AB911" s="67">
        <v>1.093E-6</v>
      </c>
      <c r="AC911" s="67" t="s">
        <v>90</v>
      </c>
      <c r="AD911" s="39">
        <f>IFERROR(INDEX(Assumptions!B$145:B$146,MATCH($D911,Assumptions!$A$145:$A$146,0)),0)</f>
        <v>-229.20999999999998</v>
      </c>
      <c r="AE911" s="39">
        <f>IFERROR(INDEX(Assumptions!C$145:C$146,MATCH($D911,Assumptions!$A$145:$A$146,0)),0)</f>
        <v>-211.71999999999997</v>
      </c>
      <c r="AF911" s="39">
        <f>IFERROR(INDEX(Assumptions!D$145:D$146,MATCH($D911,Assumptions!$A$145:$A$146,0)),0)</f>
        <v>-408.02697478991581</v>
      </c>
      <c r="AG911" s="68">
        <f>IFERROR(INDEX(WaterUseH2[Average Direct Water Consumption (Gal/ kg h2)],MATCH(LEFT(D911,3),WaterUseH2[Key],0)),0)</f>
        <v>0</v>
      </c>
      <c r="AH911">
        <v>14</v>
      </c>
      <c r="AI911">
        <v>1.4</v>
      </c>
      <c r="AJ911">
        <v>250</v>
      </c>
      <c r="AK911">
        <v>0.31</v>
      </c>
      <c r="AL911" s="63">
        <f>IFERROR(INDEX(Job_Training[[Solar]:[Wind]],MATCH(AL$1,Job_Training[[`Typical Entry Level Education`]:[`Typical Entry Level Education`]],0),MATCH(LEFT($D911,5),Job_Training[[#Headers],[Solar]:[Wind]],0)),0)</f>
        <v>0</v>
      </c>
      <c r="AM911" s="63">
        <f>IFERROR(INDEX(Job_Training[[Solar]:[Wind]],MATCH(AM$1,Job_Training[[`Typical Entry Level Education`]:[`Typical Entry Level Education`]],0),MATCH(LEFT($D911,5),Job_Training[[#Headers],[Solar]:[Wind]],0)),0)</f>
        <v>0</v>
      </c>
      <c r="AN911" s="63">
        <f>IFERROR(INDEX(Job_Training[[Solar]:[Wind]],MATCH(AN$1,Job_Training[[`Typical Entry Level Education`]:[`Typical Entry Level Education`]],0),MATCH(LEFT($D911,5),Job_Training[[#Headers],[Solar]:[Wind]],0)),0)</f>
        <v>0</v>
      </c>
      <c r="AO911" s="63">
        <f>IFERROR(INDEX(Job_Training[[Solar]:[Wind]],MATCH(AO$1,Job_Training[[`Typical Entry Level Education`]:[`Typical Entry Level Education`]],0),MATCH(LEFT($D911,5),Job_Training[[#Headers],[Solar]:[Wind]],0)),0)</f>
        <v>0</v>
      </c>
      <c r="AP911">
        <f t="shared" si="262"/>
        <v>0</v>
      </c>
      <c r="AQ911" s="63">
        <f>IF(AP911&gt;0,IFERROR(INDEX(Assumptions!$C$165:$D$165,MATCH(LEFT($D911,5),Job_Training[[#Headers],[Solar]:[Wind]],0)),0),0)</f>
        <v>0</v>
      </c>
      <c r="AR911">
        <f>IF(AP911&gt;0,IFERROR(INDEX(Assumptions!$C$166:$D$166,MATCH(LEFT($D911,5),Job_Training[[#Headers],[Solar]:[Wind]],0)),0),0)</f>
        <v>0</v>
      </c>
    </row>
    <row r="912" spans="1:44" hidden="1" x14ac:dyDescent="0.35">
      <c r="A912" t="str">
        <f>UserInput!$B$82</f>
        <v>Incremental Buildout</v>
      </c>
      <c r="B912">
        <v>2032</v>
      </c>
      <c r="C912" t="s">
        <v>87</v>
      </c>
      <c r="D912" t="s">
        <v>88</v>
      </c>
      <c r="E912" s="66">
        <f>INDEX(UserInput!$C$82:$M$102,MATCH(UserMade_Scenario!B912,UserInput!$A$82:$A$102,0),MATCH(LEFT(IF(RIGHT(C912,2)="H2",UserMade_Scenario!C912,D912),3),UserInput!$C$25:$M$25,0))</f>
        <v>380.95238095238096</v>
      </c>
      <c r="F912" t="s">
        <v>89</v>
      </c>
      <c r="G912" s="14">
        <f t="shared" si="263"/>
        <v>4.1638095238095236E-4</v>
      </c>
      <c r="H912" s="63">
        <f t="shared" si="248"/>
        <v>9.543867809523808E-2</v>
      </c>
      <c r="I912" s="63">
        <f t="shared" si="249"/>
        <v>8.8156175238095227E-2</v>
      </c>
      <c r="J912" s="63">
        <f t="shared" si="250"/>
        <v>0.16989466036014397</v>
      </c>
      <c r="K912" s="30">
        <f>IF(OR(LEFT($D912,5)="Solar",$D912="Wind"),INDEX(Land_Use[AVG],MATCH(LEFT($D912,5),Land_Use[Tech],0)),0)*$E912</f>
        <v>0</v>
      </c>
      <c r="L912" s="30">
        <f>IF(OR(LEFT($D912,5)="Solar",$D912="Wind"),INDEX(Land_Use[MIN],MATCH(LEFT($D912,5),Land_Use[Tech],0)),0)*$E912</f>
        <v>0</v>
      </c>
      <c r="M912" s="30">
        <f>IF(OR(LEFT($D912,5)="Solar",$D912="Wind"),INDEX(Land_Use[MAX],MATCH(LEFT($D912,5),Land_Use[Tech],0)),0)*$E912</f>
        <v>0</v>
      </c>
      <c r="N912" s="15">
        <f t="shared" si="251"/>
        <v>0</v>
      </c>
      <c r="O912" s="11">
        <f t="shared" si="252"/>
        <v>0</v>
      </c>
      <c r="P912" s="11">
        <f t="shared" si="253"/>
        <v>0</v>
      </c>
      <c r="Q912" s="11">
        <f t="shared" si="254"/>
        <v>0</v>
      </c>
      <c r="R912" s="11">
        <f t="shared" si="255"/>
        <v>0</v>
      </c>
      <c r="S912" s="30">
        <f t="shared" si="256"/>
        <v>0</v>
      </c>
      <c r="T912" s="30">
        <f t="shared" si="257"/>
        <v>0</v>
      </c>
      <c r="U912" s="30">
        <f t="shared" si="258"/>
        <v>0</v>
      </c>
      <c r="V912" s="30">
        <f t="shared" si="259"/>
        <v>0</v>
      </c>
      <c r="W912" s="30">
        <f t="shared" si="260"/>
        <v>0</v>
      </c>
      <c r="X912" s="30">
        <f t="shared" si="261"/>
        <v>0</v>
      </c>
      <c r="Z912" s="23" t="s">
        <v>76</v>
      </c>
      <c r="AA912" s="40" t="str">
        <f>IF(C912="Electricity",E912*SUMIFS(Electricity!S:S,Electricity!P:P,UserMade_Scenario!B912,Electricity!M:M,UserMade_Scenario!Z912,Electricity!O:O,UserMade_Scenario!D912),"")</f>
        <v/>
      </c>
      <c r="AB912" s="67">
        <v>1.093E-6</v>
      </c>
      <c r="AC912" s="67" t="s">
        <v>90</v>
      </c>
      <c r="AD912" s="39">
        <f>IFERROR(INDEX(Assumptions!B$145:B$146,MATCH($D912,Assumptions!$A$145:$A$146,0)),0)</f>
        <v>-229.20999999999998</v>
      </c>
      <c r="AE912" s="39">
        <f>IFERROR(INDEX(Assumptions!C$145:C$146,MATCH($D912,Assumptions!$A$145:$A$146,0)),0)</f>
        <v>-211.71999999999997</v>
      </c>
      <c r="AF912" s="39">
        <f>IFERROR(INDEX(Assumptions!D$145:D$146,MATCH($D912,Assumptions!$A$145:$A$146,0)),0)</f>
        <v>-408.02697478991581</v>
      </c>
      <c r="AG912" s="68">
        <f>IFERROR(INDEX(WaterUseH2[Average Direct Water Consumption (Gal/ kg h2)],MATCH(LEFT(D912,3),WaterUseH2[Key],0)),0)</f>
        <v>0</v>
      </c>
      <c r="AH912">
        <v>14</v>
      </c>
      <c r="AI912">
        <v>1.4</v>
      </c>
      <c r="AJ912">
        <v>250</v>
      </c>
      <c r="AK912">
        <v>0.31</v>
      </c>
      <c r="AL912" s="63">
        <f>IFERROR(INDEX(Job_Training[[Solar]:[Wind]],MATCH(AL$1,Job_Training[[`Typical Entry Level Education`]:[`Typical Entry Level Education`]],0),MATCH(LEFT($D912,5),Job_Training[[#Headers],[Solar]:[Wind]],0)),0)</f>
        <v>0</v>
      </c>
      <c r="AM912" s="63">
        <f>IFERROR(INDEX(Job_Training[[Solar]:[Wind]],MATCH(AM$1,Job_Training[[`Typical Entry Level Education`]:[`Typical Entry Level Education`]],0),MATCH(LEFT($D912,5),Job_Training[[#Headers],[Solar]:[Wind]],0)),0)</f>
        <v>0</v>
      </c>
      <c r="AN912" s="63">
        <f>IFERROR(INDEX(Job_Training[[Solar]:[Wind]],MATCH(AN$1,Job_Training[[`Typical Entry Level Education`]:[`Typical Entry Level Education`]],0),MATCH(LEFT($D912,5),Job_Training[[#Headers],[Solar]:[Wind]],0)),0)</f>
        <v>0</v>
      </c>
      <c r="AO912" s="63">
        <f>IFERROR(INDEX(Job_Training[[Solar]:[Wind]],MATCH(AO$1,Job_Training[[`Typical Entry Level Education`]:[`Typical Entry Level Education`]],0),MATCH(LEFT($D912,5),Job_Training[[#Headers],[Solar]:[Wind]],0)),0)</f>
        <v>0</v>
      </c>
      <c r="AP912">
        <f t="shared" si="262"/>
        <v>0</v>
      </c>
      <c r="AQ912" s="63">
        <f>IF(AP912&gt;0,IFERROR(INDEX(Assumptions!$C$165:$D$165,MATCH(LEFT($D912,5),Job_Training[[#Headers],[Solar]:[Wind]],0)),0),0)</f>
        <v>0</v>
      </c>
      <c r="AR912">
        <f>IF(AP912&gt;0,IFERROR(INDEX(Assumptions!$C$166:$D$166,MATCH(LEFT($D912,5),Job_Training[[#Headers],[Solar]:[Wind]],0)),0),0)</f>
        <v>0</v>
      </c>
    </row>
    <row r="913" spans="1:44" hidden="1" x14ac:dyDescent="0.35">
      <c r="A913" t="str">
        <f>UserInput!$B$82</f>
        <v>Incremental Buildout</v>
      </c>
      <c r="B913">
        <v>2033</v>
      </c>
      <c r="C913" t="s">
        <v>87</v>
      </c>
      <c r="D913" t="s">
        <v>88</v>
      </c>
      <c r="E913" s="66">
        <f>INDEX(UserInput!$C$82:$M$102,MATCH(UserMade_Scenario!B913,UserInput!$A$82:$A$102,0),MATCH(LEFT(IF(RIGHT(C913,2)="H2",UserMade_Scenario!C913,D913),3),UserInput!$C$25:$M$25,0))</f>
        <v>428.57142857142856</v>
      </c>
      <c r="F913" t="s">
        <v>89</v>
      </c>
      <c r="G913" s="14">
        <f t="shared" si="263"/>
        <v>4.6842857142857141E-4</v>
      </c>
      <c r="H913" s="63">
        <f t="shared" si="248"/>
        <v>0.10736851285714284</v>
      </c>
      <c r="I913" s="63">
        <f t="shared" si="249"/>
        <v>9.9175697142857122E-2</v>
      </c>
      <c r="J913" s="63">
        <f t="shared" si="250"/>
        <v>0.19113149290516199</v>
      </c>
      <c r="K913" s="30">
        <f>IF(OR(LEFT($D913,5)="Solar",$D913="Wind"),INDEX(Land_Use[AVG],MATCH(LEFT($D913,5),Land_Use[Tech],0)),0)*$E913</f>
        <v>0</v>
      </c>
      <c r="L913" s="30">
        <f>IF(OR(LEFT($D913,5)="Solar",$D913="Wind"),INDEX(Land_Use[MIN],MATCH(LEFT($D913,5),Land_Use[Tech],0)),0)*$E913</f>
        <v>0</v>
      </c>
      <c r="M913" s="30">
        <f>IF(OR(LEFT($D913,5)="Solar",$D913="Wind"),INDEX(Land_Use[MAX],MATCH(LEFT($D913,5),Land_Use[Tech],0)),0)*$E913</f>
        <v>0</v>
      </c>
      <c r="N913" s="15">
        <f t="shared" si="251"/>
        <v>0</v>
      </c>
      <c r="O913" s="11">
        <f t="shared" si="252"/>
        <v>0</v>
      </c>
      <c r="P913" s="11">
        <f t="shared" si="253"/>
        <v>0</v>
      </c>
      <c r="Q913" s="11">
        <f t="shared" si="254"/>
        <v>0</v>
      </c>
      <c r="R913" s="11">
        <f t="shared" si="255"/>
        <v>0</v>
      </c>
      <c r="S913" s="30">
        <f t="shared" si="256"/>
        <v>0</v>
      </c>
      <c r="T913" s="30">
        <f t="shared" si="257"/>
        <v>0</v>
      </c>
      <c r="U913" s="30">
        <f t="shared" si="258"/>
        <v>0</v>
      </c>
      <c r="V913" s="30">
        <f t="shared" si="259"/>
        <v>0</v>
      </c>
      <c r="W913" s="30">
        <f t="shared" si="260"/>
        <v>0</v>
      </c>
      <c r="X913" s="30">
        <f t="shared" si="261"/>
        <v>0</v>
      </c>
      <c r="Z913" s="23" t="s">
        <v>76</v>
      </c>
      <c r="AA913" s="40" t="str">
        <f>IF(C913="Electricity",E913*SUMIFS(Electricity!S:S,Electricity!P:P,UserMade_Scenario!B913,Electricity!M:M,UserMade_Scenario!Z913,Electricity!O:O,UserMade_Scenario!D913),"")</f>
        <v/>
      </c>
      <c r="AB913" s="67">
        <v>1.093E-6</v>
      </c>
      <c r="AC913" s="67" t="s">
        <v>90</v>
      </c>
      <c r="AD913" s="39">
        <f>IFERROR(INDEX(Assumptions!B$145:B$146,MATCH($D913,Assumptions!$A$145:$A$146,0)),0)</f>
        <v>-229.20999999999998</v>
      </c>
      <c r="AE913" s="39">
        <f>IFERROR(INDEX(Assumptions!C$145:C$146,MATCH($D913,Assumptions!$A$145:$A$146,0)),0)</f>
        <v>-211.71999999999997</v>
      </c>
      <c r="AF913" s="39">
        <f>IFERROR(INDEX(Assumptions!D$145:D$146,MATCH($D913,Assumptions!$A$145:$A$146,0)),0)</f>
        <v>-408.02697478991581</v>
      </c>
      <c r="AG913" s="68">
        <f>IFERROR(INDEX(WaterUseH2[Average Direct Water Consumption (Gal/ kg h2)],MATCH(LEFT(D913,3),WaterUseH2[Key],0)),0)</f>
        <v>0</v>
      </c>
      <c r="AH913">
        <v>14</v>
      </c>
      <c r="AI913">
        <v>1.4</v>
      </c>
      <c r="AJ913">
        <v>250</v>
      </c>
      <c r="AK913">
        <v>0.31</v>
      </c>
      <c r="AL913" s="63">
        <f>IFERROR(INDEX(Job_Training[[Solar]:[Wind]],MATCH(AL$1,Job_Training[[`Typical Entry Level Education`]:[`Typical Entry Level Education`]],0),MATCH(LEFT($D913,5),Job_Training[[#Headers],[Solar]:[Wind]],0)),0)</f>
        <v>0</v>
      </c>
      <c r="AM913" s="63">
        <f>IFERROR(INDEX(Job_Training[[Solar]:[Wind]],MATCH(AM$1,Job_Training[[`Typical Entry Level Education`]:[`Typical Entry Level Education`]],0),MATCH(LEFT($D913,5),Job_Training[[#Headers],[Solar]:[Wind]],0)),0)</f>
        <v>0</v>
      </c>
      <c r="AN913" s="63">
        <f>IFERROR(INDEX(Job_Training[[Solar]:[Wind]],MATCH(AN$1,Job_Training[[`Typical Entry Level Education`]:[`Typical Entry Level Education`]],0),MATCH(LEFT($D913,5),Job_Training[[#Headers],[Solar]:[Wind]],0)),0)</f>
        <v>0</v>
      </c>
      <c r="AO913" s="63">
        <f>IFERROR(INDEX(Job_Training[[Solar]:[Wind]],MATCH(AO$1,Job_Training[[`Typical Entry Level Education`]:[`Typical Entry Level Education`]],0),MATCH(LEFT($D913,5),Job_Training[[#Headers],[Solar]:[Wind]],0)),0)</f>
        <v>0</v>
      </c>
      <c r="AP913">
        <f t="shared" si="262"/>
        <v>0</v>
      </c>
      <c r="AQ913" s="63">
        <f>IF(AP913&gt;0,IFERROR(INDEX(Assumptions!$C$165:$D$165,MATCH(LEFT($D913,5),Job_Training[[#Headers],[Solar]:[Wind]],0)),0),0)</f>
        <v>0</v>
      </c>
      <c r="AR913">
        <f>IF(AP913&gt;0,IFERROR(INDEX(Assumptions!$C$166:$D$166,MATCH(LEFT($D913,5),Job_Training[[#Headers],[Solar]:[Wind]],0)),0),0)</f>
        <v>0</v>
      </c>
    </row>
    <row r="914" spans="1:44" hidden="1" x14ac:dyDescent="0.35">
      <c r="A914" t="str">
        <f>UserInput!$B$82</f>
        <v>Incremental Buildout</v>
      </c>
      <c r="B914">
        <v>2034</v>
      </c>
      <c r="C914" t="s">
        <v>87</v>
      </c>
      <c r="D914" t="s">
        <v>88</v>
      </c>
      <c r="E914" s="66">
        <f>INDEX(UserInput!$C$82:$M$102,MATCH(UserMade_Scenario!B914,UserInput!$A$82:$A$102,0),MATCH(LEFT(IF(RIGHT(C914,2)="H2",UserMade_Scenario!C914,D914),3),UserInput!$C$25:$M$25,0))</f>
        <v>476.19047619047615</v>
      </c>
      <c r="F914" t="s">
        <v>89</v>
      </c>
      <c r="G914" s="14">
        <f t="shared" si="263"/>
        <v>5.2047619047619056E-4</v>
      </c>
      <c r="H914" s="63">
        <f t="shared" si="248"/>
        <v>0.11929834761904763</v>
      </c>
      <c r="I914" s="63">
        <f t="shared" si="249"/>
        <v>0.11019521904761904</v>
      </c>
      <c r="J914" s="63">
        <f t="shared" si="250"/>
        <v>0.21236832545018003</v>
      </c>
      <c r="K914" s="30">
        <f>IF(OR(LEFT($D914,5)="Solar",$D914="Wind"),INDEX(Land_Use[AVG],MATCH(LEFT($D914,5),Land_Use[Tech],0)),0)*$E914</f>
        <v>0</v>
      </c>
      <c r="L914" s="30">
        <f>IF(OR(LEFT($D914,5)="Solar",$D914="Wind"),INDEX(Land_Use[MIN],MATCH(LEFT($D914,5),Land_Use[Tech],0)),0)*$E914</f>
        <v>0</v>
      </c>
      <c r="M914" s="30">
        <f>IF(OR(LEFT($D914,5)="Solar",$D914="Wind"),INDEX(Land_Use[MAX],MATCH(LEFT($D914,5),Land_Use[Tech],0)),0)*$E914</f>
        <v>0</v>
      </c>
      <c r="N914" s="15">
        <f t="shared" si="251"/>
        <v>0</v>
      </c>
      <c r="O914" s="11">
        <f t="shared" si="252"/>
        <v>0</v>
      </c>
      <c r="P914" s="11">
        <f t="shared" si="253"/>
        <v>0</v>
      </c>
      <c r="Q914" s="11">
        <f t="shared" si="254"/>
        <v>0</v>
      </c>
      <c r="R914" s="11">
        <f t="shared" si="255"/>
        <v>0</v>
      </c>
      <c r="S914" s="30">
        <f t="shared" si="256"/>
        <v>0</v>
      </c>
      <c r="T914" s="30">
        <f t="shared" si="257"/>
        <v>0</v>
      </c>
      <c r="U914" s="30">
        <f t="shared" si="258"/>
        <v>0</v>
      </c>
      <c r="V914" s="30">
        <f t="shared" si="259"/>
        <v>0</v>
      </c>
      <c r="W914" s="30">
        <f t="shared" si="260"/>
        <v>0</v>
      </c>
      <c r="X914" s="30">
        <f t="shared" si="261"/>
        <v>0</v>
      </c>
      <c r="Z914" s="23" t="s">
        <v>76</v>
      </c>
      <c r="AA914" s="40" t="str">
        <f>IF(C914="Electricity",E914*SUMIFS(Electricity!S:S,Electricity!P:P,UserMade_Scenario!B914,Electricity!M:M,UserMade_Scenario!Z914,Electricity!O:O,UserMade_Scenario!D914),"")</f>
        <v/>
      </c>
      <c r="AB914" s="67">
        <v>1.0930000000000002E-6</v>
      </c>
      <c r="AC914" s="67" t="s">
        <v>90</v>
      </c>
      <c r="AD914" s="39">
        <f>IFERROR(INDEX(Assumptions!B$145:B$146,MATCH($D914,Assumptions!$A$145:$A$146,0)),0)</f>
        <v>-229.20999999999998</v>
      </c>
      <c r="AE914" s="39">
        <f>IFERROR(INDEX(Assumptions!C$145:C$146,MATCH($D914,Assumptions!$A$145:$A$146,0)),0)</f>
        <v>-211.71999999999997</v>
      </c>
      <c r="AF914" s="39">
        <f>IFERROR(INDEX(Assumptions!D$145:D$146,MATCH($D914,Assumptions!$A$145:$A$146,0)),0)</f>
        <v>-408.02697478991581</v>
      </c>
      <c r="AG914" s="68">
        <f>IFERROR(INDEX(WaterUseH2[Average Direct Water Consumption (Gal/ kg h2)],MATCH(LEFT(D914,3),WaterUseH2[Key],0)),0)</f>
        <v>0</v>
      </c>
      <c r="AH914">
        <v>14</v>
      </c>
      <c r="AI914">
        <v>1.4</v>
      </c>
      <c r="AJ914">
        <v>250</v>
      </c>
      <c r="AK914">
        <v>0.31</v>
      </c>
      <c r="AL914" s="63">
        <f>IFERROR(INDEX(Job_Training[[Solar]:[Wind]],MATCH(AL$1,Job_Training[[`Typical Entry Level Education`]:[`Typical Entry Level Education`]],0),MATCH(LEFT($D914,5),Job_Training[[#Headers],[Solar]:[Wind]],0)),0)</f>
        <v>0</v>
      </c>
      <c r="AM914" s="63">
        <f>IFERROR(INDEX(Job_Training[[Solar]:[Wind]],MATCH(AM$1,Job_Training[[`Typical Entry Level Education`]:[`Typical Entry Level Education`]],0),MATCH(LEFT($D914,5),Job_Training[[#Headers],[Solar]:[Wind]],0)),0)</f>
        <v>0</v>
      </c>
      <c r="AN914" s="63">
        <f>IFERROR(INDEX(Job_Training[[Solar]:[Wind]],MATCH(AN$1,Job_Training[[`Typical Entry Level Education`]:[`Typical Entry Level Education`]],0),MATCH(LEFT($D914,5),Job_Training[[#Headers],[Solar]:[Wind]],0)),0)</f>
        <v>0</v>
      </c>
      <c r="AO914" s="63">
        <f>IFERROR(INDEX(Job_Training[[Solar]:[Wind]],MATCH(AO$1,Job_Training[[`Typical Entry Level Education`]:[`Typical Entry Level Education`]],0),MATCH(LEFT($D914,5),Job_Training[[#Headers],[Solar]:[Wind]],0)),0)</f>
        <v>0</v>
      </c>
      <c r="AP914">
        <f t="shared" si="262"/>
        <v>0</v>
      </c>
      <c r="AQ914" s="63">
        <f>IF(AP914&gt;0,IFERROR(INDEX(Assumptions!$C$165:$D$165,MATCH(LEFT($D914,5),Job_Training[[#Headers],[Solar]:[Wind]],0)),0),0)</f>
        <v>0</v>
      </c>
      <c r="AR914">
        <f>IF(AP914&gt;0,IFERROR(INDEX(Assumptions!$C$166:$D$166,MATCH(LEFT($D914,5),Job_Training[[#Headers],[Solar]:[Wind]],0)),0),0)</f>
        <v>0</v>
      </c>
    </row>
    <row r="915" spans="1:44" hidden="1" x14ac:dyDescent="0.35">
      <c r="A915" t="str">
        <f>UserInput!$B$82</f>
        <v>Incremental Buildout</v>
      </c>
      <c r="B915">
        <v>2035</v>
      </c>
      <c r="C915" t="s">
        <v>87</v>
      </c>
      <c r="D915" t="s">
        <v>88</v>
      </c>
      <c r="E915" s="66">
        <f>INDEX(UserInput!$C$82:$M$102,MATCH(UserMade_Scenario!B915,UserInput!$A$82:$A$102,0),MATCH(LEFT(IF(RIGHT(C915,2)="H2",UserMade_Scenario!C915,D915),3),UserInput!$C$25:$M$25,0))</f>
        <v>523.80952380952374</v>
      </c>
      <c r="F915" t="s">
        <v>89</v>
      </c>
      <c r="G915" s="14">
        <f t="shared" si="263"/>
        <v>5.7252380952380955E-4</v>
      </c>
      <c r="H915" s="63">
        <f t="shared" si="248"/>
        <v>0.13122818238095238</v>
      </c>
      <c r="I915" s="63">
        <f t="shared" si="249"/>
        <v>0.12121474095238094</v>
      </c>
      <c r="J915" s="63">
        <f t="shared" si="250"/>
        <v>0.23360515799519802</v>
      </c>
      <c r="K915" s="30">
        <f>IF(OR(LEFT($D915,5)="Solar",$D915="Wind"),INDEX(Land_Use[AVG],MATCH(LEFT($D915,5),Land_Use[Tech],0)),0)*$E915</f>
        <v>0</v>
      </c>
      <c r="L915" s="30">
        <f>IF(OR(LEFT($D915,5)="Solar",$D915="Wind"),INDEX(Land_Use[MIN],MATCH(LEFT($D915,5),Land_Use[Tech],0)),0)*$E915</f>
        <v>0</v>
      </c>
      <c r="M915" s="30">
        <f>IF(OR(LEFT($D915,5)="Solar",$D915="Wind"),INDEX(Land_Use[MAX],MATCH(LEFT($D915,5),Land_Use[Tech],0)),0)*$E915</f>
        <v>0</v>
      </c>
      <c r="N915" s="15">
        <f t="shared" si="251"/>
        <v>0</v>
      </c>
      <c r="O915" s="11">
        <f t="shared" si="252"/>
        <v>0</v>
      </c>
      <c r="P915" s="11">
        <f t="shared" si="253"/>
        <v>0</v>
      </c>
      <c r="Q915" s="11">
        <f t="shared" si="254"/>
        <v>0</v>
      </c>
      <c r="R915" s="11">
        <f t="shared" si="255"/>
        <v>0</v>
      </c>
      <c r="S915" s="30">
        <f t="shared" si="256"/>
        <v>0</v>
      </c>
      <c r="T915" s="30">
        <f t="shared" si="257"/>
        <v>0</v>
      </c>
      <c r="U915" s="30">
        <f t="shared" si="258"/>
        <v>0</v>
      </c>
      <c r="V915" s="30">
        <f t="shared" si="259"/>
        <v>0</v>
      </c>
      <c r="W915" s="30">
        <f t="shared" si="260"/>
        <v>0</v>
      </c>
      <c r="X915" s="30">
        <f t="shared" si="261"/>
        <v>0</v>
      </c>
      <c r="Z915" s="23" t="s">
        <v>76</v>
      </c>
      <c r="AA915" s="40" t="str">
        <f>IF(C915="Electricity",E915*SUMIFS(Electricity!S:S,Electricity!P:P,UserMade_Scenario!B915,Electricity!M:M,UserMade_Scenario!Z915,Electricity!O:O,UserMade_Scenario!D915),"")</f>
        <v/>
      </c>
      <c r="AB915" s="67">
        <v>1.0930000000000002E-6</v>
      </c>
      <c r="AC915" s="67" t="s">
        <v>90</v>
      </c>
      <c r="AD915" s="39">
        <f>IFERROR(INDEX(Assumptions!B$145:B$146,MATCH($D915,Assumptions!$A$145:$A$146,0)),0)</f>
        <v>-229.20999999999998</v>
      </c>
      <c r="AE915" s="39">
        <f>IFERROR(INDEX(Assumptions!C$145:C$146,MATCH($D915,Assumptions!$A$145:$A$146,0)),0)</f>
        <v>-211.71999999999997</v>
      </c>
      <c r="AF915" s="39">
        <f>IFERROR(INDEX(Assumptions!D$145:D$146,MATCH($D915,Assumptions!$A$145:$A$146,0)),0)</f>
        <v>-408.02697478991581</v>
      </c>
      <c r="AG915" s="68">
        <f>IFERROR(INDEX(WaterUseH2[Average Direct Water Consumption (Gal/ kg h2)],MATCH(LEFT(D915,3),WaterUseH2[Key],0)),0)</f>
        <v>0</v>
      </c>
      <c r="AH915">
        <v>14</v>
      </c>
      <c r="AI915">
        <v>1.4</v>
      </c>
      <c r="AJ915">
        <v>250</v>
      </c>
      <c r="AK915">
        <v>0.31</v>
      </c>
      <c r="AL915" s="63">
        <f>IFERROR(INDEX(Job_Training[[Solar]:[Wind]],MATCH(AL$1,Job_Training[[`Typical Entry Level Education`]:[`Typical Entry Level Education`]],0),MATCH(LEFT($D915,5),Job_Training[[#Headers],[Solar]:[Wind]],0)),0)</f>
        <v>0</v>
      </c>
      <c r="AM915" s="63">
        <f>IFERROR(INDEX(Job_Training[[Solar]:[Wind]],MATCH(AM$1,Job_Training[[`Typical Entry Level Education`]:[`Typical Entry Level Education`]],0),MATCH(LEFT($D915,5),Job_Training[[#Headers],[Solar]:[Wind]],0)),0)</f>
        <v>0</v>
      </c>
      <c r="AN915" s="63">
        <f>IFERROR(INDEX(Job_Training[[Solar]:[Wind]],MATCH(AN$1,Job_Training[[`Typical Entry Level Education`]:[`Typical Entry Level Education`]],0),MATCH(LEFT($D915,5),Job_Training[[#Headers],[Solar]:[Wind]],0)),0)</f>
        <v>0</v>
      </c>
      <c r="AO915" s="63">
        <f>IFERROR(INDEX(Job_Training[[Solar]:[Wind]],MATCH(AO$1,Job_Training[[`Typical Entry Level Education`]:[`Typical Entry Level Education`]],0),MATCH(LEFT($D915,5),Job_Training[[#Headers],[Solar]:[Wind]],0)),0)</f>
        <v>0</v>
      </c>
      <c r="AP915">
        <f t="shared" si="262"/>
        <v>0</v>
      </c>
      <c r="AQ915" s="63">
        <f>IF(AP915&gt;0,IFERROR(INDEX(Assumptions!$C$165:$D$165,MATCH(LEFT($D915,5),Job_Training[[#Headers],[Solar]:[Wind]],0)),0),0)</f>
        <v>0</v>
      </c>
      <c r="AR915">
        <f>IF(AP915&gt;0,IFERROR(INDEX(Assumptions!$C$166:$D$166,MATCH(LEFT($D915,5),Job_Training[[#Headers],[Solar]:[Wind]],0)),0),0)</f>
        <v>0</v>
      </c>
    </row>
    <row r="916" spans="1:44" hidden="1" x14ac:dyDescent="0.35">
      <c r="A916" t="str">
        <f>UserInput!$B$82</f>
        <v>Incremental Buildout</v>
      </c>
      <c r="B916">
        <v>2036</v>
      </c>
      <c r="C916" t="s">
        <v>87</v>
      </c>
      <c r="D916" t="s">
        <v>88</v>
      </c>
      <c r="E916" s="66">
        <f>INDEX(UserInput!$C$82:$M$102,MATCH(UserMade_Scenario!B916,UserInput!$A$82:$A$102,0),MATCH(LEFT(IF(RIGHT(C916,2)="H2",UserMade_Scenario!C916,D916),3),UserInput!$C$25:$M$25,0))</f>
        <v>571.42857142857133</v>
      </c>
      <c r="F916" t="s">
        <v>89</v>
      </c>
      <c r="G916" s="14">
        <f t="shared" si="263"/>
        <v>6.2457142857142854E-4</v>
      </c>
      <c r="H916" s="63">
        <f t="shared" si="248"/>
        <v>0.14315801714285711</v>
      </c>
      <c r="I916" s="63">
        <f t="shared" si="249"/>
        <v>0.13223426285714282</v>
      </c>
      <c r="J916" s="63">
        <f t="shared" si="250"/>
        <v>0.254841990540216</v>
      </c>
      <c r="K916" s="30">
        <f>IF(OR(LEFT($D916,5)="Solar",$D916="Wind"),INDEX(Land_Use[AVG],MATCH(LEFT($D916,5),Land_Use[Tech],0)),0)*$E916</f>
        <v>0</v>
      </c>
      <c r="L916" s="30">
        <f>IF(OR(LEFT($D916,5)="Solar",$D916="Wind"),INDEX(Land_Use[MIN],MATCH(LEFT($D916,5),Land_Use[Tech],0)),0)*$E916</f>
        <v>0</v>
      </c>
      <c r="M916" s="30">
        <f>IF(OR(LEFT($D916,5)="Solar",$D916="Wind"),INDEX(Land_Use[MAX],MATCH(LEFT($D916,5),Land_Use[Tech],0)),0)*$E916</f>
        <v>0</v>
      </c>
      <c r="N916" s="15">
        <f t="shared" si="251"/>
        <v>0</v>
      </c>
      <c r="O916" s="11">
        <f t="shared" si="252"/>
        <v>0</v>
      </c>
      <c r="P916" s="11">
        <f t="shared" si="253"/>
        <v>0</v>
      </c>
      <c r="Q916" s="11">
        <f t="shared" si="254"/>
        <v>0</v>
      </c>
      <c r="R916" s="11">
        <f t="shared" si="255"/>
        <v>0</v>
      </c>
      <c r="S916" s="30">
        <f t="shared" si="256"/>
        <v>0</v>
      </c>
      <c r="T916" s="30">
        <f t="shared" si="257"/>
        <v>0</v>
      </c>
      <c r="U916" s="30">
        <f t="shared" si="258"/>
        <v>0</v>
      </c>
      <c r="V916" s="30">
        <f t="shared" si="259"/>
        <v>0</v>
      </c>
      <c r="W916" s="30">
        <f t="shared" si="260"/>
        <v>0</v>
      </c>
      <c r="X916" s="30">
        <f t="shared" si="261"/>
        <v>0</v>
      </c>
      <c r="Z916" s="23" t="s">
        <v>76</v>
      </c>
      <c r="AA916" s="40" t="str">
        <f>IF(C916="Electricity",E916*SUMIFS(Electricity!S:S,Electricity!P:P,UserMade_Scenario!B916,Electricity!M:M,UserMade_Scenario!Z916,Electricity!O:O,UserMade_Scenario!D916),"")</f>
        <v/>
      </c>
      <c r="AB916" s="67">
        <v>1.0930000000000002E-6</v>
      </c>
      <c r="AC916" s="67" t="s">
        <v>90</v>
      </c>
      <c r="AD916" s="39">
        <f>IFERROR(INDEX(Assumptions!B$145:B$146,MATCH($D916,Assumptions!$A$145:$A$146,0)),0)</f>
        <v>-229.20999999999998</v>
      </c>
      <c r="AE916" s="39">
        <f>IFERROR(INDEX(Assumptions!C$145:C$146,MATCH($D916,Assumptions!$A$145:$A$146,0)),0)</f>
        <v>-211.71999999999997</v>
      </c>
      <c r="AF916" s="39">
        <f>IFERROR(INDEX(Assumptions!D$145:D$146,MATCH($D916,Assumptions!$A$145:$A$146,0)),0)</f>
        <v>-408.02697478991581</v>
      </c>
      <c r="AG916" s="68">
        <f>IFERROR(INDEX(WaterUseH2[Average Direct Water Consumption (Gal/ kg h2)],MATCH(LEFT(D916,3),WaterUseH2[Key],0)),0)</f>
        <v>0</v>
      </c>
      <c r="AH916">
        <v>14</v>
      </c>
      <c r="AI916">
        <v>1.4</v>
      </c>
      <c r="AJ916">
        <v>250</v>
      </c>
      <c r="AK916">
        <v>0.31</v>
      </c>
      <c r="AL916" s="63">
        <f>IFERROR(INDEX(Job_Training[[Solar]:[Wind]],MATCH(AL$1,Job_Training[[`Typical Entry Level Education`]:[`Typical Entry Level Education`]],0),MATCH(LEFT($D916,5),Job_Training[[#Headers],[Solar]:[Wind]],0)),0)</f>
        <v>0</v>
      </c>
      <c r="AM916" s="63">
        <f>IFERROR(INDEX(Job_Training[[Solar]:[Wind]],MATCH(AM$1,Job_Training[[`Typical Entry Level Education`]:[`Typical Entry Level Education`]],0),MATCH(LEFT($D916,5),Job_Training[[#Headers],[Solar]:[Wind]],0)),0)</f>
        <v>0</v>
      </c>
      <c r="AN916" s="63">
        <f>IFERROR(INDEX(Job_Training[[Solar]:[Wind]],MATCH(AN$1,Job_Training[[`Typical Entry Level Education`]:[`Typical Entry Level Education`]],0),MATCH(LEFT($D916,5),Job_Training[[#Headers],[Solar]:[Wind]],0)),0)</f>
        <v>0</v>
      </c>
      <c r="AO916" s="63">
        <f>IFERROR(INDEX(Job_Training[[Solar]:[Wind]],MATCH(AO$1,Job_Training[[`Typical Entry Level Education`]:[`Typical Entry Level Education`]],0),MATCH(LEFT($D916,5),Job_Training[[#Headers],[Solar]:[Wind]],0)),0)</f>
        <v>0</v>
      </c>
      <c r="AP916">
        <f t="shared" si="262"/>
        <v>0</v>
      </c>
      <c r="AQ916" s="63">
        <f>IF(AP916&gt;0,IFERROR(INDEX(Assumptions!$C$165:$D$165,MATCH(LEFT($D916,5),Job_Training[[#Headers],[Solar]:[Wind]],0)),0),0)</f>
        <v>0</v>
      </c>
      <c r="AR916">
        <f>IF(AP916&gt;0,IFERROR(INDEX(Assumptions!$C$166:$D$166,MATCH(LEFT($D916,5),Job_Training[[#Headers],[Solar]:[Wind]],0)),0),0)</f>
        <v>0</v>
      </c>
    </row>
    <row r="917" spans="1:44" hidden="1" x14ac:dyDescent="0.35">
      <c r="A917" t="str">
        <f>UserInput!$B$82</f>
        <v>Incremental Buildout</v>
      </c>
      <c r="B917">
        <v>2037</v>
      </c>
      <c r="C917" t="s">
        <v>87</v>
      </c>
      <c r="D917" t="s">
        <v>88</v>
      </c>
      <c r="E917" s="66">
        <f>INDEX(UserInput!$C$82:$M$102,MATCH(UserMade_Scenario!B917,UserInput!$A$82:$A$102,0),MATCH(LEFT(IF(RIGHT(C917,2)="H2",UserMade_Scenario!C917,D917),3),UserInput!$C$25:$M$25,0))</f>
        <v>619.04761904761892</v>
      </c>
      <c r="F917" t="s">
        <v>89</v>
      </c>
      <c r="G917" s="14">
        <f t="shared" si="263"/>
        <v>6.7661904761904753E-4</v>
      </c>
      <c r="H917" s="63">
        <f t="shared" si="248"/>
        <v>0.15508785190476188</v>
      </c>
      <c r="I917" s="63">
        <f t="shared" si="249"/>
        <v>0.14325378476190473</v>
      </c>
      <c r="J917" s="63">
        <f t="shared" si="250"/>
        <v>0.27607882308523396</v>
      </c>
      <c r="K917" s="30">
        <f>IF(OR(LEFT($D917,5)="Solar",$D917="Wind"),INDEX(Land_Use[AVG],MATCH(LEFT($D917,5),Land_Use[Tech],0)),0)*$E917</f>
        <v>0</v>
      </c>
      <c r="L917" s="30">
        <f>IF(OR(LEFT($D917,5)="Solar",$D917="Wind"),INDEX(Land_Use[MIN],MATCH(LEFT($D917,5),Land_Use[Tech],0)),0)*$E917</f>
        <v>0</v>
      </c>
      <c r="M917" s="30">
        <f>IF(OR(LEFT($D917,5)="Solar",$D917="Wind"),INDEX(Land_Use[MAX],MATCH(LEFT($D917,5),Land_Use[Tech],0)),0)*$E917</f>
        <v>0</v>
      </c>
      <c r="N917" s="15">
        <f t="shared" si="251"/>
        <v>0</v>
      </c>
      <c r="O917" s="11">
        <f t="shared" si="252"/>
        <v>0</v>
      </c>
      <c r="P917" s="11">
        <f t="shared" si="253"/>
        <v>0</v>
      </c>
      <c r="Q917" s="11">
        <f t="shared" si="254"/>
        <v>0</v>
      </c>
      <c r="R917" s="11">
        <f t="shared" si="255"/>
        <v>0</v>
      </c>
      <c r="S917" s="30">
        <f t="shared" si="256"/>
        <v>0</v>
      </c>
      <c r="T917" s="30">
        <f t="shared" si="257"/>
        <v>0</v>
      </c>
      <c r="U917" s="30">
        <f t="shared" si="258"/>
        <v>0</v>
      </c>
      <c r="V917" s="30">
        <f t="shared" si="259"/>
        <v>0</v>
      </c>
      <c r="W917" s="30">
        <f t="shared" si="260"/>
        <v>0</v>
      </c>
      <c r="X917" s="30">
        <f t="shared" si="261"/>
        <v>0</v>
      </c>
      <c r="Z917" s="23" t="s">
        <v>76</v>
      </c>
      <c r="AA917" s="40" t="str">
        <f>IF(C917="Electricity",E917*SUMIFS(Electricity!S:S,Electricity!P:P,UserMade_Scenario!B917,Electricity!M:M,UserMade_Scenario!Z917,Electricity!O:O,UserMade_Scenario!D917),"")</f>
        <v/>
      </c>
      <c r="AB917" s="67">
        <v>1.0930000000000002E-6</v>
      </c>
      <c r="AC917" s="67" t="s">
        <v>90</v>
      </c>
      <c r="AD917" s="39">
        <f>IFERROR(INDEX(Assumptions!B$145:B$146,MATCH($D917,Assumptions!$A$145:$A$146,0)),0)</f>
        <v>-229.20999999999998</v>
      </c>
      <c r="AE917" s="39">
        <f>IFERROR(INDEX(Assumptions!C$145:C$146,MATCH($D917,Assumptions!$A$145:$A$146,0)),0)</f>
        <v>-211.71999999999997</v>
      </c>
      <c r="AF917" s="39">
        <f>IFERROR(INDEX(Assumptions!D$145:D$146,MATCH($D917,Assumptions!$A$145:$A$146,0)),0)</f>
        <v>-408.02697478991581</v>
      </c>
      <c r="AG917" s="68">
        <f>IFERROR(INDEX(WaterUseH2[Average Direct Water Consumption (Gal/ kg h2)],MATCH(LEFT(D917,3),WaterUseH2[Key],0)),0)</f>
        <v>0</v>
      </c>
      <c r="AH917">
        <v>14</v>
      </c>
      <c r="AI917">
        <v>1.4</v>
      </c>
      <c r="AJ917">
        <v>250</v>
      </c>
      <c r="AK917">
        <v>0.31</v>
      </c>
      <c r="AL917" s="63">
        <f>IFERROR(INDEX(Job_Training[[Solar]:[Wind]],MATCH(AL$1,Job_Training[[`Typical Entry Level Education`]:[`Typical Entry Level Education`]],0),MATCH(LEFT($D917,5),Job_Training[[#Headers],[Solar]:[Wind]],0)),0)</f>
        <v>0</v>
      </c>
      <c r="AM917" s="63">
        <f>IFERROR(INDEX(Job_Training[[Solar]:[Wind]],MATCH(AM$1,Job_Training[[`Typical Entry Level Education`]:[`Typical Entry Level Education`]],0),MATCH(LEFT($D917,5),Job_Training[[#Headers],[Solar]:[Wind]],0)),0)</f>
        <v>0</v>
      </c>
      <c r="AN917" s="63">
        <f>IFERROR(INDEX(Job_Training[[Solar]:[Wind]],MATCH(AN$1,Job_Training[[`Typical Entry Level Education`]:[`Typical Entry Level Education`]],0),MATCH(LEFT($D917,5),Job_Training[[#Headers],[Solar]:[Wind]],0)),0)</f>
        <v>0</v>
      </c>
      <c r="AO917" s="63">
        <f>IFERROR(INDEX(Job_Training[[Solar]:[Wind]],MATCH(AO$1,Job_Training[[`Typical Entry Level Education`]:[`Typical Entry Level Education`]],0),MATCH(LEFT($D917,5),Job_Training[[#Headers],[Solar]:[Wind]],0)),0)</f>
        <v>0</v>
      </c>
      <c r="AP917">
        <f t="shared" si="262"/>
        <v>0</v>
      </c>
      <c r="AQ917" s="63">
        <f>IF(AP917&gt;0,IFERROR(INDEX(Assumptions!$C$165:$D$165,MATCH(LEFT($D917,5),Job_Training[[#Headers],[Solar]:[Wind]],0)),0),0)</f>
        <v>0</v>
      </c>
      <c r="AR917">
        <f>IF(AP917&gt;0,IFERROR(INDEX(Assumptions!$C$166:$D$166,MATCH(LEFT($D917,5),Job_Training[[#Headers],[Solar]:[Wind]],0)),0),0)</f>
        <v>0</v>
      </c>
    </row>
    <row r="918" spans="1:44" hidden="1" x14ac:dyDescent="0.35">
      <c r="A918" t="str">
        <f>UserInput!$B$82</f>
        <v>Incremental Buildout</v>
      </c>
      <c r="B918">
        <v>2038</v>
      </c>
      <c r="C918" t="s">
        <v>87</v>
      </c>
      <c r="D918" t="s">
        <v>88</v>
      </c>
      <c r="E918" s="66">
        <f>INDEX(UserInput!$C$82:$M$102,MATCH(UserMade_Scenario!B918,UserInput!$A$82:$A$102,0),MATCH(LEFT(IF(RIGHT(C918,2)="H2",UserMade_Scenario!C918,D918),3),UserInput!$C$25:$M$25,0))</f>
        <v>666.66666666666652</v>
      </c>
      <c r="F918" t="s">
        <v>89</v>
      </c>
      <c r="G918" s="14">
        <f t="shared" si="263"/>
        <v>7.2866666666666663E-4</v>
      </c>
      <c r="H918" s="63">
        <f t="shared" si="248"/>
        <v>0.16701768666666664</v>
      </c>
      <c r="I918" s="63">
        <f t="shared" si="249"/>
        <v>0.15427330666666664</v>
      </c>
      <c r="J918" s="63">
        <f t="shared" si="250"/>
        <v>0.29731565563025197</v>
      </c>
      <c r="K918" s="30">
        <f>IF(OR(LEFT($D918,5)="Solar",$D918="Wind"),INDEX(Land_Use[AVG],MATCH(LEFT($D918,5),Land_Use[Tech],0)),0)*$E918</f>
        <v>0</v>
      </c>
      <c r="L918" s="30">
        <f>IF(OR(LEFT($D918,5)="Solar",$D918="Wind"),INDEX(Land_Use[MIN],MATCH(LEFT($D918,5),Land_Use[Tech],0)),0)*$E918</f>
        <v>0</v>
      </c>
      <c r="M918" s="30">
        <f>IF(OR(LEFT($D918,5)="Solar",$D918="Wind"),INDEX(Land_Use[MAX],MATCH(LEFT($D918,5),Land_Use[Tech],0)),0)*$E918</f>
        <v>0</v>
      </c>
      <c r="N918" s="15">
        <f t="shared" si="251"/>
        <v>0</v>
      </c>
      <c r="O918" s="11">
        <f t="shared" si="252"/>
        <v>0</v>
      </c>
      <c r="P918" s="11">
        <f t="shared" si="253"/>
        <v>0</v>
      </c>
      <c r="Q918" s="11">
        <f t="shared" si="254"/>
        <v>0</v>
      </c>
      <c r="R918" s="11">
        <f t="shared" si="255"/>
        <v>0</v>
      </c>
      <c r="S918" s="30">
        <f t="shared" si="256"/>
        <v>0</v>
      </c>
      <c r="T918" s="30">
        <f t="shared" si="257"/>
        <v>0</v>
      </c>
      <c r="U918" s="30">
        <f t="shared" si="258"/>
        <v>0</v>
      </c>
      <c r="V918" s="30">
        <f t="shared" si="259"/>
        <v>0</v>
      </c>
      <c r="W918" s="30">
        <f t="shared" si="260"/>
        <v>0</v>
      </c>
      <c r="X918" s="30">
        <f t="shared" si="261"/>
        <v>0</v>
      </c>
      <c r="Z918" s="23" t="s">
        <v>76</v>
      </c>
      <c r="AA918" s="40" t="str">
        <f>IF(C918="Electricity",E918*SUMIFS(Electricity!S:S,Electricity!P:P,UserMade_Scenario!B918,Electricity!M:M,UserMade_Scenario!Z918,Electricity!O:O,UserMade_Scenario!D918),"")</f>
        <v/>
      </c>
      <c r="AB918" s="67">
        <v>1.0930000000000002E-6</v>
      </c>
      <c r="AC918" s="67" t="s">
        <v>90</v>
      </c>
      <c r="AD918" s="39">
        <f>IFERROR(INDEX(Assumptions!B$145:B$146,MATCH($D918,Assumptions!$A$145:$A$146,0)),0)</f>
        <v>-229.20999999999998</v>
      </c>
      <c r="AE918" s="39">
        <f>IFERROR(INDEX(Assumptions!C$145:C$146,MATCH($D918,Assumptions!$A$145:$A$146,0)),0)</f>
        <v>-211.71999999999997</v>
      </c>
      <c r="AF918" s="39">
        <f>IFERROR(INDEX(Assumptions!D$145:D$146,MATCH($D918,Assumptions!$A$145:$A$146,0)),0)</f>
        <v>-408.02697478991581</v>
      </c>
      <c r="AG918" s="68">
        <f>IFERROR(INDEX(WaterUseH2[Average Direct Water Consumption (Gal/ kg h2)],MATCH(LEFT(D918,3),WaterUseH2[Key],0)),0)</f>
        <v>0</v>
      </c>
      <c r="AH918">
        <v>14</v>
      </c>
      <c r="AI918">
        <v>1.4</v>
      </c>
      <c r="AJ918">
        <v>250</v>
      </c>
      <c r="AK918">
        <v>0.31</v>
      </c>
      <c r="AL918" s="63">
        <f>IFERROR(INDEX(Job_Training[[Solar]:[Wind]],MATCH(AL$1,Job_Training[[`Typical Entry Level Education`]:[`Typical Entry Level Education`]],0),MATCH(LEFT($D918,5),Job_Training[[#Headers],[Solar]:[Wind]],0)),0)</f>
        <v>0</v>
      </c>
      <c r="AM918" s="63">
        <f>IFERROR(INDEX(Job_Training[[Solar]:[Wind]],MATCH(AM$1,Job_Training[[`Typical Entry Level Education`]:[`Typical Entry Level Education`]],0),MATCH(LEFT($D918,5),Job_Training[[#Headers],[Solar]:[Wind]],0)),0)</f>
        <v>0</v>
      </c>
      <c r="AN918" s="63">
        <f>IFERROR(INDEX(Job_Training[[Solar]:[Wind]],MATCH(AN$1,Job_Training[[`Typical Entry Level Education`]:[`Typical Entry Level Education`]],0),MATCH(LEFT($D918,5),Job_Training[[#Headers],[Solar]:[Wind]],0)),0)</f>
        <v>0</v>
      </c>
      <c r="AO918" s="63">
        <f>IFERROR(INDEX(Job_Training[[Solar]:[Wind]],MATCH(AO$1,Job_Training[[`Typical Entry Level Education`]:[`Typical Entry Level Education`]],0),MATCH(LEFT($D918,5),Job_Training[[#Headers],[Solar]:[Wind]],0)),0)</f>
        <v>0</v>
      </c>
      <c r="AP918">
        <f t="shared" si="262"/>
        <v>0</v>
      </c>
      <c r="AQ918" s="63">
        <f>IF(AP918&gt;0,IFERROR(INDEX(Assumptions!$C$165:$D$165,MATCH(LEFT($D918,5),Job_Training[[#Headers],[Solar]:[Wind]],0)),0),0)</f>
        <v>0</v>
      </c>
      <c r="AR918">
        <f>IF(AP918&gt;0,IFERROR(INDEX(Assumptions!$C$166:$D$166,MATCH(LEFT($D918,5),Job_Training[[#Headers],[Solar]:[Wind]],0)),0),0)</f>
        <v>0</v>
      </c>
    </row>
    <row r="919" spans="1:44" hidden="1" x14ac:dyDescent="0.35">
      <c r="A919" t="str">
        <f>UserInput!$B$82</f>
        <v>Incremental Buildout</v>
      </c>
      <c r="B919">
        <v>2039</v>
      </c>
      <c r="C919" t="s">
        <v>87</v>
      </c>
      <c r="D919" t="s">
        <v>88</v>
      </c>
      <c r="E919" s="66">
        <f>INDEX(UserInput!$C$82:$M$102,MATCH(UserMade_Scenario!B919,UserInput!$A$82:$A$102,0),MATCH(LEFT(IF(RIGHT(C919,2)="H2",UserMade_Scenario!C919,D919),3),UserInput!$C$25:$M$25,0))</f>
        <v>714.28571428571411</v>
      </c>
      <c r="F919" t="s">
        <v>89</v>
      </c>
      <c r="G919" s="14">
        <f t="shared" si="263"/>
        <v>7.8071428571428562E-4</v>
      </c>
      <c r="H919" s="63">
        <f t="shared" si="248"/>
        <v>0.1789475214285714</v>
      </c>
      <c r="I919" s="63">
        <f t="shared" si="249"/>
        <v>0.16529282857142852</v>
      </c>
      <c r="J919" s="63">
        <f t="shared" si="250"/>
        <v>0.31855248817526993</v>
      </c>
      <c r="K919" s="30">
        <f>IF(OR(LEFT($D919,5)="Solar",$D919="Wind"),INDEX(Land_Use[AVG],MATCH(LEFT($D919,5),Land_Use[Tech],0)),0)*$E919</f>
        <v>0</v>
      </c>
      <c r="L919" s="30">
        <f>IF(OR(LEFT($D919,5)="Solar",$D919="Wind"),INDEX(Land_Use[MIN],MATCH(LEFT($D919,5),Land_Use[Tech],0)),0)*$E919</f>
        <v>0</v>
      </c>
      <c r="M919" s="30">
        <f>IF(OR(LEFT($D919,5)="Solar",$D919="Wind"),INDEX(Land_Use[MAX],MATCH(LEFT($D919,5),Land_Use[Tech],0)),0)*$E919</f>
        <v>0</v>
      </c>
      <c r="N919" s="15">
        <f t="shared" si="251"/>
        <v>0</v>
      </c>
      <c r="O919" s="11">
        <f t="shared" si="252"/>
        <v>0</v>
      </c>
      <c r="P919" s="11">
        <f t="shared" si="253"/>
        <v>0</v>
      </c>
      <c r="Q919" s="11">
        <f t="shared" si="254"/>
        <v>0</v>
      </c>
      <c r="R919" s="11">
        <f t="shared" si="255"/>
        <v>0</v>
      </c>
      <c r="S919" s="30">
        <f t="shared" si="256"/>
        <v>0</v>
      </c>
      <c r="T919" s="30">
        <f t="shared" si="257"/>
        <v>0</v>
      </c>
      <c r="U919" s="30">
        <f t="shared" si="258"/>
        <v>0</v>
      </c>
      <c r="V919" s="30">
        <f t="shared" si="259"/>
        <v>0</v>
      </c>
      <c r="W919" s="30">
        <f t="shared" si="260"/>
        <v>0</v>
      </c>
      <c r="X919" s="30">
        <f t="shared" si="261"/>
        <v>0</v>
      </c>
      <c r="Z919" s="23" t="s">
        <v>76</v>
      </c>
      <c r="AA919" s="40" t="str">
        <f>IF(C919="Electricity",E919*SUMIFS(Electricity!S:S,Electricity!P:P,UserMade_Scenario!B919,Electricity!M:M,UserMade_Scenario!Z919,Electricity!O:O,UserMade_Scenario!D919),"")</f>
        <v/>
      </c>
      <c r="AB919" s="67">
        <v>1.0930000000000002E-6</v>
      </c>
      <c r="AC919" s="67" t="s">
        <v>90</v>
      </c>
      <c r="AD919" s="39">
        <f>IFERROR(INDEX(Assumptions!B$145:B$146,MATCH($D919,Assumptions!$A$145:$A$146,0)),0)</f>
        <v>-229.20999999999998</v>
      </c>
      <c r="AE919" s="39">
        <f>IFERROR(INDEX(Assumptions!C$145:C$146,MATCH($D919,Assumptions!$A$145:$A$146,0)),0)</f>
        <v>-211.71999999999997</v>
      </c>
      <c r="AF919" s="39">
        <f>IFERROR(INDEX(Assumptions!D$145:D$146,MATCH($D919,Assumptions!$A$145:$A$146,0)),0)</f>
        <v>-408.02697478991581</v>
      </c>
      <c r="AG919" s="68">
        <f>IFERROR(INDEX(WaterUseH2[Average Direct Water Consumption (Gal/ kg h2)],MATCH(LEFT(D919,3),WaterUseH2[Key],0)),0)</f>
        <v>0</v>
      </c>
      <c r="AH919">
        <v>14</v>
      </c>
      <c r="AI919">
        <v>1.4</v>
      </c>
      <c r="AJ919">
        <v>250</v>
      </c>
      <c r="AK919">
        <v>0.31</v>
      </c>
      <c r="AL919" s="63">
        <f>IFERROR(INDEX(Job_Training[[Solar]:[Wind]],MATCH(AL$1,Job_Training[[`Typical Entry Level Education`]:[`Typical Entry Level Education`]],0),MATCH(LEFT($D919,5),Job_Training[[#Headers],[Solar]:[Wind]],0)),0)</f>
        <v>0</v>
      </c>
      <c r="AM919" s="63">
        <f>IFERROR(INDEX(Job_Training[[Solar]:[Wind]],MATCH(AM$1,Job_Training[[`Typical Entry Level Education`]:[`Typical Entry Level Education`]],0),MATCH(LEFT($D919,5),Job_Training[[#Headers],[Solar]:[Wind]],0)),0)</f>
        <v>0</v>
      </c>
      <c r="AN919" s="63">
        <f>IFERROR(INDEX(Job_Training[[Solar]:[Wind]],MATCH(AN$1,Job_Training[[`Typical Entry Level Education`]:[`Typical Entry Level Education`]],0),MATCH(LEFT($D919,5),Job_Training[[#Headers],[Solar]:[Wind]],0)),0)</f>
        <v>0</v>
      </c>
      <c r="AO919" s="63">
        <f>IFERROR(INDEX(Job_Training[[Solar]:[Wind]],MATCH(AO$1,Job_Training[[`Typical Entry Level Education`]:[`Typical Entry Level Education`]],0),MATCH(LEFT($D919,5),Job_Training[[#Headers],[Solar]:[Wind]],0)),0)</f>
        <v>0</v>
      </c>
      <c r="AP919">
        <f t="shared" si="262"/>
        <v>0</v>
      </c>
      <c r="AQ919" s="63">
        <f>IF(AP919&gt;0,IFERROR(INDEX(Assumptions!$C$165:$D$165,MATCH(LEFT($D919,5),Job_Training[[#Headers],[Solar]:[Wind]],0)),0),0)</f>
        <v>0</v>
      </c>
      <c r="AR919">
        <f>IF(AP919&gt;0,IFERROR(INDEX(Assumptions!$C$166:$D$166,MATCH(LEFT($D919,5),Job_Training[[#Headers],[Solar]:[Wind]],0)),0),0)</f>
        <v>0</v>
      </c>
    </row>
    <row r="920" spans="1:44" hidden="1" x14ac:dyDescent="0.35">
      <c r="A920" t="str">
        <f>UserInput!$B$82</f>
        <v>Incremental Buildout</v>
      </c>
      <c r="B920">
        <v>2040</v>
      </c>
      <c r="C920" t="s">
        <v>87</v>
      </c>
      <c r="D920" t="s">
        <v>88</v>
      </c>
      <c r="E920" s="66">
        <f>INDEX(UserInput!$C$82:$M$102,MATCH(UserMade_Scenario!B920,UserInput!$A$82:$A$102,0),MATCH(LEFT(IF(RIGHT(C920,2)="H2",UserMade_Scenario!C920,D920),3),UserInput!$C$25:$M$25,0))</f>
        <v>761.9047619047617</v>
      </c>
      <c r="F920" t="s">
        <v>89</v>
      </c>
      <c r="G920" s="14">
        <f t="shared" si="263"/>
        <v>8.3276190476190462E-4</v>
      </c>
      <c r="H920" s="63">
        <f t="shared" si="248"/>
        <v>0.19087735619047613</v>
      </c>
      <c r="I920" s="63">
        <f t="shared" si="249"/>
        <v>0.17631235047619043</v>
      </c>
      <c r="J920" s="63">
        <f t="shared" si="250"/>
        <v>0.33978932072028795</v>
      </c>
      <c r="K920" s="30">
        <f>IF(OR(LEFT($D920,5)="Solar",$D920="Wind"),INDEX(Land_Use[AVG],MATCH(LEFT($D920,5),Land_Use[Tech],0)),0)*$E920</f>
        <v>0</v>
      </c>
      <c r="L920" s="30">
        <f>IF(OR(LEFT($D920,5)="Solar",$D920="Wind"),INDEX(Land_Use[MIN],MATCH(LEFT($D920,5),Land_Use[Tech],0)),0)*$E920</f>
        <v>0</v>
      </c>
      <c r="M920" s="30">
        <f>IF(OR(LEFT($D920,5)="Solar",$D920="Wind"),INDEX(Land_Use[MAX],MATCH(LEFT($D920,5),Land_Use[Tech],0)),0)*$E920</f>
        <v>0</v>
      </c>
      <c r="N920" s="15">
        <f t="shared" si="251"/>
        <v>0</v>
      </c>
      <c r="O920" s="11">
        <f t="shared" si="252"/>
        <v>0</v>
      </c>
      <c r="P920" s="11">
        <f t="shared" si="253"/>
        <v>0</v>
      </c>
      <c r="Q920" s="11">
        <f t="shared" si="254"/>
        <v>0</v>
      </c>
      <c r="R920" s="11">
        <f t="shared" si="255"/>
        <v>0</v>
      </c>
      <c r="S920" s="30">
        <f t="shared" si="256"/>
        <v>0</v>
      </c>
      <c r="T920" s="30">
        <f t="shared" si="257"/>
        <v>0</v>
      </c>
      <c r="U920" s="30">
        <f t="shared" si="258"/>
        <v>0</v>
      </c>
      <c r="V920" s="30">
        <f t="shared" si="259"/>
        <v>0</v>
      </c>
      <c r="W920" s="30">
        <f t="shared" si="260"/>
        <v>0</v>
      </c>
      <c r="X920" s="30">
        <f t="shared" si="261"/>
        <v>0</v>
      </c>
      <c r="Z920" s="23" t="s">
        <v>76</v>
      </c>
      <c r="AA920" s="40" t="str">
        <f>IF(C920="Electricity",E920*SUMIFS(Electricity!S:S,Electricity!P:P,UserMade_Scenario!B920,Electricity!M:M,UserMade_Scenario!Z920,Electricity!O:O,UserMade_Scenario!D920),"")</f>
        <v/>
      </c>
      <c r="AB920" s="67">
        <v>1.0930000000000002E-6</v>
      </c>
      <c r="AC920" s="67" t="s">
        <v>90</v>
      </c>
      <c r="AD920" s="39">
        <f>IFERROR(INDEX(Assumptions!B$145:B$146,MATCH($D920,Assumptions!$A$145:$A$146,0)),0)</f>
        <v>-229.20999999999998</v>
      </c>
      <c r="AE920" s="39">
        <f>IFERROR(INDEX(Assumptions!C$145:C$146,MATCH($D920,Assumptions!$A$145:$A$146,0)),0)</f>
        <v>-211.71999999999997</v>
      </c>
      <c r="AF920" s="39">
        <f>IFERROR(INDEX(Assumptions!D$145:D$146,MATCH($D920,Assumptions!$A$145:$A$146,0)),0)</f>
        <v>-408.02697478991581</v>
      </c>
      <c r="AG920" s="68">
        <f>IFERROR(INDEX(WaterUseH2[Average Direct Water Consumption (Gal/ kg h2)],MATCH(LEFT(D920,3),WaterUseH2[Key],0)),0)</f>
        <v>0</v>
      </c>
      <c r="AH920">
        <v>14</v>
      </c>
      <c r="AI920">
        <v>1.4</v>
      </c>
      <c r="AJ920">
        <v>250</v>
      </c>
      <c r="AK920">
        <v>0.31</v>
      </c>
      <c r="AL920" s="63">
        <f>IFERROR(INDEX(Job_Training[[Solar]:[Wind]],MATCH(AL$1,Job_Training[[`Typical Entry Level Education`]:[`Typical Entry Level Education`]],0),MATCH(LEFT($D920,5),Job_Training[[#Headers],[Solar]:[Wind]],0)),0)</f>
        <v>0</v>
      </c>
      <c r="AM920" s="63">
        <f>IFERROR(INDEX(Job_Training[[Solar]:[Wind]],MATCH(AM$1,Job_Training[[`Typical Entry Level Education`]:[`Typical Entry Level Education`]],0),MATCH(LEFT($D920,5),Job_Training[[#Headers],[Solar]:[Wind]],0)),0)</f>
        <v>0</v>
      </c>
      <c r="AN920" s="63">
        <f>IFERROR(INDEX(Job_Training[[Solar]:[Wind]],MATCH(AN$1,Job_Training[[`Typical Entry Level Education`]:[`Typical Entry Level Education`]],0),MATCH(LEFT($D920,5),Job_Training[[#Headers],[Solar]:[Wind]],0)),0)</f>
        <v>0</v>
      </c>
      <c r="AO920" s="63">
        <f>IFERROR(INDEX(Job_Training[[Solar]:[Wind]],MATCH(AO$1,Job_Training[[`Typical Entry Level Education`]:[`Typical Entry Level Education`]],0),MATCH(LEFT($D920,5),Job_Training[[#Headers],[Solar]:[Wind]],0)),0)</f>
        <v>0</v>
      </c>
      <c r="AP920">
        <f t="shared" si="262"/>
        <v>0</v>
      </c>
      <c r="AQ920" s="63">
        <f>IF(AP920&gt;0,IFERROR(INDEX(Assumptions!$C$165:$D$165,MATCH(LEFT($D920,5),Job_Training[[#Headers],[Solar]:[Wind]],0)),0),0)</f>
        <v>0</v>
      </c>
      <c r="AR920">
        <f>IF(AP920&gt;0,IFERROR(INDEX(Assumptions!$C$166:$D$166,MATCH(LEFT($D920,5),Job_Training[[#Headers],[Solar]:[Wind]],0)),0),0)</f>
        <v>0</v>
      </c>
    </row>
    <row r="921" spans="1:44" hidden="1" x14ac:dyDescent="0.35">
      <c r="A921" t="str">
        <f>UserInput!$B$82</f>
        <v>Incremental Buildout</v>
      </c>
      <c r="B921">
        <v>2041</v>
      </c>
      <c r="C921" t="s">
        <v>87</v>
      </c>
      <c r="D921" t="s">
        <v>88</v>
      </c>
      <c r="E921" s="66">
        <f>INDEX(UserInput!$C$82:$M$102,MATCH(UserMade_Scenario!B921,UserInput!$A$82:$A$102,0),MATCH(LEFT(IF(RIGHT(C921,2)="H2",UserMade_Scenario!C921,D921),3),UserInput!$C$25:$M$25,0))</f>
        <v>809.52380952380929</v>
      </c>
      <c r="F921" t="s">
        <v>89</v>
      </c>
      <c r="G921" s="14">
        <f t="shared" si="263"/>
        <v>8.8480952380952372E-4</v>
      </c>
      <c r="H921" s="63">
        <f t="shared" si="248"/>
        <v>0.20280719095238092</v>
      </c>
      <c r="I921" s="63">
        <f t="shared" si="249"/>
        <v>0.18733187238095234</v>
      </c>
      <c r="J921" s="63">
        <f t="shared" si="250"/>
        <v>0.36102615326530596</v>
      </c>
      <c r="K921" s="30">
        <f>IF(OR(LEFT($D921,5)="Solar",$D921="Wind"),INDEX(Land_Use[AVG],MATCH(LEFT($D921,5),Land_Use[Tech],0)),0)*$E921</f>
        <v>0</v>
      </c>
      <c r="L921" s="30">
        <f>IF(OR(LEFT($D921,5)="Solar",$D921="Wind"),INDEX(Land_Use[MIN],MATCH(LEFT($D921,5),Land_Use[Tech],0)),0)*$E921</f>
        <v>0</v>
      </c>
      <c r="M921" s="30">
        <f>IF(OR(LEFT($D921,5)="Solar",$D921="Wind"),INDEX(Land_Use[MAX],MATCH(LEFT($D921,5),Land_Use[Tech],0)),0)*$E921</f>
        <v>0</v>
      </c>
      <c r="N921" s="15">
        <f t="shared" si="251"/>
        <v>0</v>
      </c>
      <c r="O921" s="11">
        <f t="shared" si="252"/>
        <v>0</v>
      </c>
      <c r="P921" s="11">
        <f t="shared" si="253"/>
        <v>0</v>
      </c>
      <c r="Q921" s="11">
        <f t="shared" si="254"/>
        <v>0</v>
      </c>
      <c r="R921" s="11">
        <f t="shared" si="255"/>
        <v>0</v>
      </c>
      <c r="S921" s="30">
        <f t="shared" si="256"/>
        <v>0</v>
      </c>
      <c r="T921" s="30">
        <f t="shared" si="257"/>
        <v>0</v>
      </c>
      <c r="U921" s="30">
        <f t="shared" si="258"/>
        <v>0</v>
      </c>
      <c r="V921" s="30">
        <f t="shared" si="259"/>
        <v>0</v>
      </c>
      <c r="W921" s="30">
        <f t="shared" si="260"/>
        <v>0</v>
      </c>
      <c r="X921" s="30">
        <f t="shared" si="261"/>
        <v>0</v>
      </c>
      <c r="Z921" s="23" t="s">
        <v>76</v>
      </c>
      <c r="AA921" s="40" t="str">
        <f>IF(C921="Electricity",E921*SUMIFS(Electricity!S:S,Electricity!P:P,UserMade_Scenario!B921,Electricity!M:M,UserMade_Scenario!Z921,Electricity!O:O,UserMade_Scenario!D921),"")</f>
        <v/>
      </c>
      <c r="AB921" s="67">
        <v>1.0930000000000002E-6</v>
      </c>
      <c r="AC921" s="67" t="s">
        <v>90</v>
      </c>
      <c r="AD921" s="39">
        <f>IFERROR(INDEX(Assumptions!B$145:B$146,MATCH($D921,Assumptions!$A$145:$A$146,0)),0)</f>
        <v>-229.20999999999998</v>
      </c>
      <c r="AE921" s="39">
        <f>IFERROR(INDEX(Assumptions!C$145:C$146,MATCH($D921,Assumptions!$A$145:$A$146,0)),0)</f>
        <v>-211.71999999999997</v>
      </c>
      <c r="AF921" s="39">
        <f>IFERROR(INDEX(Assumptions!D$145:D$146,MATCH($D921,Assumptions!$A$145:$A$146,0)),0)</f>
        <v>-408.02697478991581</v>
      </c>
      <c r="AG921" s="68">
        <f>IFERROR(INDEX(WaterUseH2[Average Direct Water Consumption (Gal/ kg h2)],MATCH(LEFT(D921,3),WaterUseH2[Key],0)),0)</f>
        <v>0</v>
      </c>
      <c r="AH921">
        <v>14</v>
      </c>
      <c r="AI921">
        <v>1.4</v>
      </c>
      <c r="AJ921">
        <v>250</v>
      </c>
      <c r="AK921">
        <v>0.31</v>
      </c>
      <c r="AL921" s="63">
        <f>IFERROR(INDEX(Job_Training[[Solar]:[Wind]],MATCH(AL$1,Job_Training[[`Typical Entry Level Education`]:[`Typical Entry Level Education`]],0),MATCH(LEFT($D921,5),Job_Training[[#Headers],[Solar]:[Wind]],0)),0)</f>
        <v>0</v>
      </c>
      <c r="AM921" s="63">
        <f>IFERROR(INDEX(Job_Training[[Solar]:[Wind]],MATCH(AM$1,Job_Training[[`Typical Entry Level Education`]:[`Typical Entry Level Education`]],0),MATCH(LEFT($D921,5),Job_Training[[#Headers],[Solar]:[Wind]],0)),0)</f>
        <v>0</v>
      </c>
      <c r="AN921" s="63">
        <f>IFERROR(INDEX(Job_Training[[Solar]:[Wind]],MATCH(AN$1,Job_Training[[`Typical Entry Level Education`]:[`Typical Entry Level Education`]],0),MATCH(LEFT($D921,5),Job_Training[[#Headers],[Solar]:[Wind]],0)),0)</f>
        <v>0</v>
      </c>
      <c r="AO921" s="63">
        <f>IFERROR(INDEX(Job_Training[[Solar]:[Wind]],MATCH(AO$1,Job_Training[[`Typical Entry Level Education`]:[`Typical Entry Level Education`]],0),MATCH(LEFT($D921,5),Job_Training[[#Headers],[Solar]:[Wind]],0)),0)</f>
        <v>0</v>
      </c>
      <c r="AP921">
        <f t="shared" si="262"/>
        <v>0</v>
      </c>
      <c r="AQ921" s="63">
        <f>IF(AP921&gt;0,IFERROR(INDEX(Assumptions!$C$165:$D$165,MATCH(LEFT($D921,5),Job_Training[[#Headers],[Solar]:[Wind]],0)),0),0)</f>
        <v>0</v>
      </c>
      <c r="AR921">
        <f>IF(AP921&gt;0,IFERROR(INDEX(Assumptions!$C$166:$D$166,MATCH(LEFT($D921,5),Job_Training[[#Headers],[Solar]:[Wind]],0)),0),0)</f>
        <v>0</v>
      </c>
    </row>
    <row r="922" spans="1:44" hidden="1" x14ac:dyDescent="0.35">
      <c r="A922" t="str">
        <f>UserInput!$B$82</f>
        <v>Incremental Buildout</v>
      </c>
      <c r="B922">
        <v>2042</v>
      </c>
      <c r="C922" t="s">
        <v>87</v>
      </c>
      <c r="D922" t="s">
        <v>88</v>
      </c>
      <c r="E922" s="66">
        <f>INDEX(UserInput!$C$82:$M$102,MATCH(UserMade_Scenario!B922,UserInput!$A$82:$A$102,0),MATCH(LEFT(IF(RIGHT(C922,2)="H2",UserMade_Scenario!C922,D922),3),UserInput!$C$25:$M$25,0))</f>
        <v>857.14285714285688</v>
      </c>
      <c r="F922" t="s">
        <v>89</v>
      </c>
      <c r="G922" s="14">
        <f t="shared" si="263"/>
        <v>9.3685714285714271E-4</v>
      </c>
      <c r="H922" s="63">
        <f t="shared" si="248"/>
        <v>0.21473702571428566</v>
      </c>
      <c r="I922" s="63">
        <f t="shared" si="249"/>
        <v>0.19835139428571422</v>
      </c>
      <c r="J922" s="63">
        <f t="shared" si="250"/>
        <v>0.38226298581032392</v>
      </c>
      <c r="K922" s="30">
        <f>IF(OR(LEFT($D922,5)="Solar",$D922="Wind"),INDEX(Land_Use[AVG],MATCH(LEFT($D922,5),Land_Use[Tech],0)),0)*$E922</f>
        <v>0</v>
      </c>
      <c r="L922" s="30">
        <f>IF(OR(LEFT($D922,5)="Solar",$D922="Wind"),INDEX(Land_Use[MIN],MATCH(LEFT($D922,5),Land_Use[Tech],0)),0)*$E922</f>
        <v>0</v>
      </c>
      <c r="M922" s="30">
        <f>IF(OR(LEFT($D922,5)="Solar",$D922="Wind"),INDEX(Land_Use[MAX],MATCH(LEFT($D922,5),Land_Use[Tech],0)),0)*$E922</f>
        <v>0</v>
      </c>
      <c r="N922" s="15">
        <f t="shared" si="251"/>
        <v>0</v>
      </c>
      <c r="O922" s="11">
        <f t="shared" si="252"/>
        <v>0</v>
      </c>
      <c r="P922" s="11">
        <f t="shared" si="253"/>
        <v>0</v>
      </c>
      <c r="Q922" s="11">
        <f t="shared" si="254"/>
        <v>0</v>
      </c>
      <c r="R922" s="11">
        <f t="shared" si="255"/>
        <v>0</v>
      </c>
      <c r="S922" s="30">
        <f t="shared" si="256"/>
        <v>0</v>
      </c>
      <c r="T922" s="30">
        <f t="shared" si="257"/>
        <v>0</v>
      </c>
      <c r="U922" s="30">
        <f t="shared" si="258"/>
        <v>0</v>
      </c>
      <c r="V922" s="30">
        <f t="shared" si="259"/>
        <v>0</v>
      </c>
      <c r="W922" s="30">
        <f t="shared" si="260"/>
        <v>0</v>
      </c>
      <c r="X922" s="30">
        <f t="shared" si="261"/>
        <v>0</v>
      </c>
      <c r="Z922" s="23" t="s">
        <v>76</v>
      </c>
      <c r="AA922" s="40" t="str">
        <f>IF(C922="Electricity",E922*SUMIFS(Electricity!S:S,Electricity!P:P,UserMade_Scenario!B922,Electricity!M:M,UserMade_Scenario!Z922,Electricity!O:O,UserMade_Scenario!D922),"")</f>
        <v/>
      </c>
      <c r="AB922" s="67">
        <v>1.0930000000000002E-6</v>
      </c>
      <c r="AC922" s="67" t="s">
        <v>90</v>
      </c>
      <c r="AD922" s="39">
        <f>IFERROR(INDEX(Assumptions!B$145:B$146,MATCH($D922,Assumptions!$A$145:$A$146,0)),0)</f>
        <v>-229.20999999999998</v>
      </c>
      <c r="AE922" s="39">
        <f>IFERROR(INDEX(Assumptions!C$145:C$146,MATCH($D922,Assumptions!$A$145:$A$146,0)),0)</f>
        <v>-211.71999999999997</v>
      </c>
      <c r="AF922" s="39">
        <f>IFERROR(INDEX(Assumptions!D$145:D$146,MATCH($D922,Assumptions!$A$145:$A$146,0)),0)</f>
        <v>-408.02697478991581</v>
      </c>
      <c r="AG922" s="68">
        <f>IFERROR(INDEX(WaterUseH2[Average Direct Water Consumption (Gal/ kg h2)],MATCH(LEFT(D922,3),WaterUseH2[Key],0)),0)</f>
        <v>0</v>
      </c>
      <c r="AH922">
        <v>14</v>
      </c>
      <c r="AI922">
        <v>1.4</v>
      </c>
      <c r="AJ922">
        <v>250</v>
      </c>
      <c r="AK922">
        <v>0.31</v>
      </c>
      <c r="AL922" s="63">
        <f>IFERROR(INDEX(Job_Training[[Solar]:[Wind]],MATCH(AL$1,Job_Training[[`Typical Entry Level Education`]:[`Typical Entry Level Education`]],0),MATCH(LEFT($D922,5),Job_Training[[#Headers],[Solar]:[Wind]],0)),0)</f>
        <v>0</v>
      </c>
      <c r="AM922" s="63">
        <f>IFERROR(INDEX(Job_Training[[Solar]:[Wind]],MATCH(AM$1,Job_Training[[`Typical Entry Level Education`]:[`Typical Entry Level Education`]],0),MATCH(LEFT($D922,5),Job_Training[[#Headers],[Solar]:[Wind]],0)),0)</f>
        <v>0</v>
      </c>
      <c r="AN922" s="63">
        <f>IFERROR(INDEX(Job_Training[[Solar]:[Wind]],MATCH(AN$1,Job_Training[[`Typical Entry Level Education`]:[`Typical Entry Level Education`]],0),MATCH(LEFT($D922,5),Job_Training[[#Headers],[Solar]:[Wind]],0)),0)</f>
        <v>0</v>
      </c>
      <c r="AO922" s="63">
        <f>IFERROR(INDEX(Job_Training[[Solar]:[Wind]],MATCH(AO$1,Job_Training[[`Typical Entry Level Education`]:[`Typical Entry Level Education`]],0),MATCH(LEFT($D922,5),Job_Training[[#Headers],[Solar]:[Wind]],0)),0)</f>
        <v>0</v>
      </c>
      <c r="AP922">
        <f t="shared" si="262"/>
        <v>0</v>
      </c>
      <c r="AQ922" s="63">
        <f>IF(AP922&gt;0,IFERROR(INDEX(Assumptions!$C$165:$D$165,MATCH(LEFT($D922,5),Job_Training[[#Headers],[Solar]:[Wind]],0)),0),0)</f>
        <v>0</v>
      </c>
      <c r="AR922">
        <f>IF(AP922&gt;0,IFERROR(INDEX(Assumptions!$C$166:$D$166,MATCH(LEFT($D922,5),Job_Training[[#Headers],[Solar]:[Wind]],0)),0),0)</f>
        <v>0</v>
      </c>
    </row>
    <row r="923" spans="1:44" hidden="1" x14ac:dyDescent="0.35">
      <c r="A923" t="str">
        <f>UserInput!$B$82</f>
        <v>Incremental Buildout</v>
      </c>
      <c r="B923">
        <v>2043</v>
      </c>
      <c r="C923" t="s">
        <v>87</v>
      </c>
      <c r="D923" t="s">
        <v>88</v>
      </c>
      <c r="E923" s="66">
        <f>INDEX(UserInput!$C$82:$M$102,MATCH(UserMade_Scenario!B923,UserInput!$A$82:$A$102,0),MATCH(LEFT(IF(RIGHT(C923,2)="H2",UserMade_Scenario!C923,D923),3),UserInput!$C$25:$M$25,0))</f>
        <v>904.76190476190447</v>
      </c>
      <c r="F923" t="s">
        <v>89</v>
      </c>
      <c r="G923" s="14">
        <f t="shared" si="263"/>
        <v>9.8890476190476181E-4</v>
      </c>
      <c r="H923" s="63">
        <f t="shared" si="248"/>
        <v>0.22666686047619045</v>
      </c>
      <c r="I923" s="63">
        <f t="shared" si="249"/>
        <v>0.20937091619047615</v>
      </c>
      <c r="J923" s="63">
        <f t="shared" si="250"/>
        <v>0.40349981835534193</v>
      </c>
      <c r="K923" s="30">
        <f>IF(OR(LEFT($D923,5)="Solar",$D923="Wind"),INDEX(Land_Use[AVG],MATCH(LEFT($D923,5),Land_Use[Tech],0)),0)*$E923</f>
        <v>0</v>
      </c>
      <c r="L923" s="30">
        <f>IF(OR(LEFT($D923,5)="Solar",$D923="Wind"),INDEX(Land_Use[MIN],MATCH(LEFT($D923,5),Land_Use[Tech],0)),0)*$E923</f>
        <v>0</v>
      </c>
      <c r="M923" s="30">
        <f>IF(OR(LEFT($D923,5)="Solar",$D923="Wind"),INDEX(Land_Use[MAX],MATCH(LEFT($D923,5),Land_Use[Tech],0)),0)*$E923</f>
        <v>0</v>
      </c>
      <c r="N923" s="15">
        <f t="shared" si="251"/>
        <v>0</v>
      </c>
      <c r="O923" s="11">
        <f t="shared" si="252"/>
        <v>0</v>
      </c>
      <c r="P923" s="11">
        <f t="shared" si="253"/>
        <v>0</v>
      </c>
      <c r="Q923" s="11">
        <f t="shared" si="254"/>
        <v>0</v>
      </c>
      <c r="R923" s="11">
        <f t="shared" si="255"/>
        <v>0</v>
      </c>
      <c r="S923" s="30">
        <f t="shared" si="256"/>
        <v>0</v>
      </c>
      <c r="T923" s="30">
        <f t="shared" si="257"/>
        <v>0</v>
      </c>
      <c r="U923" s="30">
        <f t="shared" si="258"/>
        <v>0</v>
      </c>
      <c r="V923" s="30">
        <f t="shared" si="259"/>
        <v>0</v>
      </c>
      <c r="W923" s="30">
        <f t="shared" si="260"/>
        <v>0</v>
      </c>
      <c r="X923" s="30">
        <f t="shared" si="261"/>
        <v>0</v>
      </c>
      <c r="Z923" s="23" t="s">
        <v>76</v>
      </c>
      <c r="AA923" s="40" t="str">
        <f>IF(C923="Electricity",E923*SUMIFS(Electricity!S:S,Electricity!P:P,UserMade_Scenario!B923,Electricity!M:M,UserMade_Scenario!Z923,Electricity!O:O,UserMade_Scenario!D923),"")</f>
        <v/>
      </c>
      <c r="AB923" s="67">
        <v>1.0930000000000002E-6</v>
      </c>
      <c r="AC923" s="67" t="s">
        <v>90</v>
      </c>
      <c r="AD923" s="39">
        <f>IFERROR(INDEX(Assumptions!B$145:B$146,MATCH($D923,Assumptions!$A$145:$A$146,0)),0)</f>
        <v>-229.20999999999998</v>
      </c>
      <c r="AE923" s="39">
        <f>IFERROR(INDEX(Assumptions!C$145:C$146,MATCH($D923,Assumptions!$A$145:$A$146,0)),0)</f>
        <v>-211.71999999999997</v>
      </c>
      <c r="AF923" s="39">
        <f>IFERROR(INDEX(Assumptions!D$145:D$146,MATCH($D923,Assumptions!$A$145:$A$146,0)),0)</f>
        <v>-408.02697478991581</v>
      </c>
      <c r="AG923" s="68">
        <f>IFERROR(INDEX(WaterUseH2[Average Direct Water Consumption (Gal/ kg h2)],MATCH(LEFT(D923,3),WaterUseH2[Key],0)),0)</f>
        <v>0</v>
      </c>
      <c r="AH923">
        <v>14</v>
      </c>
      <c r="AI923">
        <v>1.4</v>
      </c>
      <c r="AJ923">
        <v>250</v>
      </c>
      <c r="AK923">
        <v>0.31</v>
      </c>
      <c r="AL923" s="63">
        <f>IFERROR(INDEX(Job_Training[[Solar]:[Wind]],MATCH(AL$1,Job_Training[[`Typical Entry Level Education`]:[`Typical Entry Level Education`]],0),MATCH(LEFT($D923,5),Job_Training[[#Headers],[Solar]:[Wind]],0)),0)</f>
        <v>0</v>
      </c>
      <c r="AM923" s="63">
        <f>IFERROR(INDEX(Job_Training[[Solar]:[Wind]],MATCH(AM$1,Job_Training[[`Typical Entry Level Education`]:[`Typical Entry Level Education`]],0),MATCH(LEFT($D923,5),Job_Training[[#Headers],[Solar]:[Wind]],0)),0)</f>
        <v>0</v>
      </c>
      <c r="AN923" s="63">
        <f>IFERROR(INDEX(Job_Training[[Solar]:[Wind]],MATCH(AN$1,Job_Training[[`Typical Entry Level Education`]:[`Typical Entry Level Education`]],0),MATCH(LEFT($D923,5),Job_Training[[#Headers],[Solar]:[Wind]],0)),0)</f>
        <v>0</v>
      </c>
      <c r="AO923" s="63">
        <f>IFERROR(INDEX(Job_Training[[Solar]:[Wind]],MATCH(AO$1,Job_Training[[`Typical Entry Level Education`]:[`Typical Entry Level Education`]],0),MATCH(LEFT($D923,5),Job_Training[[#Headers],[Solar]:[Wind]],0)),0)</f>
        <v>0</v>
      </c>
      <c r="AP923">
        <f t="shared" si="262"/>
        <v>0</v>
      </c>
      <c r="AQ923" s="63">
        <f>IF(AP923&gt;0,IFERROR(INDEX(Assumptions!$C$165:$D$165,MATCH(LEFT($D923,5),Job_Training[[#Headers],[Solar]:[Wind]],0)),0),0)</f>
        <v>0</v>
      </c>
      <c r="AR923">
        <f>IF(AP923&gt;0,IFERROR(INDEX(Assumptions!$C$166:$D$166,MATCH(LEFT($D923,5),Job_Training[[#Headers],[Solar]:[Wind]],0)),0),0)</f>
        <v>0</v>
      </c>
    </row>
    <row r="924" spans="1:44" hidden="1" x14ac:dyDescent="0.35">
      <c r="A924" t="str">
        <f>UserInput!$B$82</f>
        <v>Incremental Buildout</v>
      </c>
      <c r="B924">
        <v>2044</v>
      </c>
      <c r="C924" t="s">
        <v>87</v>
      </c>
      <c r="D924" t="s">
        <v>88</v>
      </c>
      <c r="E924" s="66">
        <f>INDEX(UserInput!$C$82:$M$102,MATCH(UserMade_Scenario!B924,UserInput!$A$82:$A$102,0),MATCH(LEFT(IF(RIGHT(C924,2)="H2",UserMade_Scenario!C924,D924),3),UserInput!$C$25:$M$25,0))</f>
        <v>952.38095238095207</v>
      </c>
      <c r="F924" t="s">
        <v>89</v>
      </c>
      <c r="G924" s="14">
        <f t="shared" si="263"/>
        <v>1.0409523809523807E-3</v>
      </c>
      <c r="H924" s="63">
        <f t="shared" si="248"/>
        <v>0.23859669523809515</v>
      </c>
      <c r="I924" s="63">
        <f t="shared" si="249"/>
        <v>0.22039043809523801</v>
      </c>
      <c r="J924" s="63">
        <f t="shared" si="250"/>
        <v>0.42473665090035989</v>
      </c>
      <c r="K924" s="30">
        <f>IF(OR(LEFT($D924,5)="Solar",$D924="Wind"),INDEX(Land_Use[AVG],MATCH(LEFT($D924,5),Land_Use[Tech],0)),0)*$E924</f>
        <v>0</v>
      </c>
      <c r="L924" s="30">
        <f>IF(OR(LEFT($D924,5)="Solar",$D924="Wind"),INDEX(Land_Use[MIN],MATCH(LEFT($D924,5),Land_Use[Tech],0)),0)*$E924</f>
        <v>0</v>
      </c>
      <c r="M924" s="30">
        <f>IF(OR(LEFT($D924,5)="Solar",$D924="Wind"),INDEX(Land_Use[MAX],MATCH(LEFT($D924,5),Land_Use[Tech],0)),0)*$E924</f>
        <v>0</v>
      </c>
      <c r="N924" s="15">
        <f t="shared" si="251"/>
        <v>0</v>
      </c>
      <c r="O924" s="11">
        <f t="shared" si="252"/>
        <v>0</v>
      </c>
      <c r="P924" s="11">
        <f t="shared" si="253"/>
        <v>0</v>
      </c>
      <c r="Q924" s="11">
        <f t="shared" si="254"/>
        <v>0</v>
      </c>
      <c r="R924" s="11">
        <f t="shared" si="255"/>
        <v>0</v>
      </c>
      <c r="S924" s="30">
        <f t="shared" si="256"/>
        <v>0</v>
      </c>
      <c r="T924" s="30">
        <f t="shared" si="257"/>
        <v>0</v>
      </c>
      <c r="U924" s="30">
        <f t="shared" si="258"/>
        <v>0</v>
      </c>
      <c r="V924" s="30">
        <f t="shared" si="259"/>
        <v>0</v>
      </c>
      <c r="W924" s="30">
        <f t="shared" si="260"/>
        <v>0</v>
      </c>
      <c r="X924" s="30">
        <f t="shared" si="261"/>
        <v>0</v>
      </c>
      <c r="Z924" s="23" t="s">
        <v>76</v>
      </c>
      <c r="AA924" s="40" t="str">
        <f>IF(C924="Electricity",E924*SUMIFS(Electricity!S:S,Electricity!P:P,UserMade_Scenario!B924,Electricity!M:M,UserMade_Scenario!Z924,Electricity!O:O,UserMade_Scenario!D924),"")</f>
        <v/>
      </c>
      <c r="AB924" s="67">
        <v>1.0930000000000002E-6</v>
      </c>
      <c r="AC924" s="67" t="s">
        <v>90</v>
      </c>
      <c r="AD924" s="39">
        <f>IFERROR(INDEX(Assumptions!B$145:B$146,MATCH($D924,Assumptions!$A$145:$A$146,0)),0)</f>
        <v>-229.20999999999998</v>
      </c>
      <c r="AE924" s="39">
        <f>IFERROR(INDEX(Assumptions!C$145:C$146,MATCH($D924,Assumptions!$A$145:$A$146,0)),0)</f>
        <v>-211.71999999999997</v>
      </c>
      <c r="AF924" s="39">
        <f>IFERROR(INDEX(Assumptions!D$145:D$146,MATCH($D924,Assumptions!$A$145:$A$146,0)),0)</f>
        <v>-408.02697478991581</v>
      </c>
      <c r="AG924" s="68">
        <f>IFERROR(INDEX(WaterUseH2[Average Direct Water Consumption (Gal/ kg h2)],MATCH(LEFT(D924,3),WaterUseH2[Key],0)),0)</f>
        <v>0</v>
      </c>
      <c r="AH924">
        <v>14</v>
      </c>
      <c r="AI924">
        <v>1.4</v>
      </c>
      <c r="AJ924">
        <v>250</v>
      </c>
      <c r="AK924">
        <v>0.31</v>
      </c>
      <c r="AL924" s="63">
        <f>IFERROR(INDEX(Job_Training[[Solar]:[Wind]],MATCH(AL$1,Job_Training[[`Typical Entry Level Education`]:[`Typical Entry Level Education`]],0),MATCH(LEFT($D924,5),Job_Training[[#Headers],[Solar]:[Wind]],0)),0)</f>
        <v>0</v>
      </c>
      <c r="AM924" s="63">
        <f>IFERROR(INDEX(Job_Training[[Solar]:[Wind]],MATCH(AM$1,Job_Training[[`Typical Entry Level Education`]:[`Typical Entry Level Education`]],0),MATCH(LEFT($D924,5),Job_Training[[#Headers],[Solar]:[Wind]],0)),0)</f>
        <v>0</v>
      </c>
      <c r="AN924" s="63">
        <f>IFERROR(INDEX(Job_Training[[Solar]:[Wind]],MATCH(AN$1,Job_Training[[`Typical Entry Level Education`]:[`Typical Entry Level Education`]],0),MATCH(LEFT($D924,5),Job_Training[[#Headers],[Solar]:[Wind]],0)),0)</f>
        <v>0</v>
      </c>
      <c r="AO924" s="63">
        <f>IFERROR(INDEX(Job_Training[[Solar]:[Wind]],MATCH(AO$1,Job_Training[[`Typical Entry Level Education`]:[`Typical Entry Level Education`]],0),MATCH(LEFT($D924,5),Job_Training[[#Headers],[Solar]:[Wind]],0)),0)</f>
        <v>0</v>
      </c>
      <c r="AP924">
        <f t="shared" si="262"/>
        <v>0</v>
      </c>
      <c r="AQ924" s="63">
        <f>IF(AP924&gt;0,IFERROR(INDEX(Assumptions!$C$165:$D$165,MATCH(LEFT($D924,5),Job_Training[[#Headers],[Solar]:[Wind]],0)),0),0)</f>
        <v>0</v>
      </c>
      <c r="AR924">
        <f>IF(AP924&gt;0,IFERROR(INDEX(Assumptions!$C$166:$D$166,MATCH(LEFT($D924,5),Job_Training[[#Headers],[Solar]:[Wind]],0)),0),0)</f>
        <v>0</v>
      </c>
    </row>
    <row r="925" spans="1:44" hidden="1" x14ac:dyDescent="0.35">
      <c r="A925" t="str">
        <f>UserInput!$B$82</f>
        <v>Incremental Buildout</v>
      </c>
      <c r="B925">
        <v>2045</v>
      </c>
      <c r="C925" t="s">
        <v>87</v>
      </c>
      <c r="D925" t="s">
        <v>88</v>
      </c>
      <c r="E925" s="66">
        <f>INDEX(UserInput!$C$82:$M$102,MATCH(UserMade_Scenario!B925,UserInput!$A$82:$A$102,0),MATCH(LEFT(IF(RIGHT(C925,2)="H2",UserMade_Scenario!C925,D925),3),UserInput!$C$25:$M$25,0))</f>
        <v>1000</v>
      </c>
      <c r="F925" t="s">
        <v>89</v>
      </c>
      <c r="G925" s="14">
        <f t="shared" si="263"/>
        <v>1.0930000000000002E-3</v>
      </c>
      <c r="H925" s="63">
        <f t="shared" si="248"/>
        <v>0.25052653000000003</v>
      </c>
      <c r="I925" s="63">
        <f t="shared" si="249"/>
        <v>0.23140996000000003</v>
      </c>
      <c r="J925" s="63">
        <f t="shared" si="250"/>
        <v>0.44597348344537807</v>
      </c>
      <c r="K925" s="30">
        <f>IF(OR(LEFT($D925,5)="Solar",$D925="Wind"),INDEX(Land_Use[AVG],MATCH(LEFT($D925,5),Land_Use[Tech],0)),0)*$E925</f>
        <v>0</v>
      </c>
      <c r="L925" s="30">
        <f>IF(OR(LEFT($D925,5)="Solar",$D925="Wind"),INDEX(Land_Use[MIN],MATCH(LEFT($D925,5),Land_Use[Tech],0)),0)*$E925</f>
        <v>0</v>
      </c>
      <c r="M925" s="30">
        <f>IF(OR(LEFT($D925,5)="Solar",$D925="Wind"),INDEX(Land_Use[MAX],MATCH(LEFT($D925,5),Land_Use[Tech],0)),0)*$E925</f>
        <v>0</v>
      </c>
      <c r="N925" s="15">
        <f t="shared" si="251"/>
        <v>0</v>
      </c>
      <c r="O925" s="11">
        <f t="shared" si="252"/>
        <v>0</v>
      </c>
      <c r="P925" s="11">
        <f t="shared" si="253"/>
        <v>0</v>
      </c>
      <c r="Q925" s="11">
        <f t="shared" si="254"/>
        <v>0</v>
      </c>
      <c r="R925" s="11">
        <f t="shared" si="255"/>
        <v>0</v>
      </c>
      <c r="S925" s="30">
        <f t="shared" si="256"/>
        <v>0</v>
      </c>
      <c r="T925" s="30">
        <f t="shared" si="257"/>
        <v>0</v>
      </c>
      <c r="U925" s="30">
        <f t="shared" si="258"/>
        <v>0</v>
      </c>
      <c r="V925" s="30">
        <f t="shared" si="259"/>
        <v>0</v>
      </c>
      <c r="W925" s="30">
        <f t="shared" si="260"/>
        <v>0</v>
      </c>
      <c r="X925" s="30">
        <f t="shared" si="261"/>
        <v>0</v>
      </c>
      <c r="Z925" s="23" t="s">
        <v>76</v>
      </c>
      <c r="AA925" s="40" t="str">
        <f>IF(C925="Electricity",E925*SUMIFS(Electricity!S:S,Electricity!P:P,UserMade_Scenario!B925,Electricity!M:M,UserMade_Scenario!Z925,Electricity!O:O,UserMade_Scenario!D925),"")</f>
        <v/>
      </c>
      <c r="AB925" s="67">
        <v>1.0930000000000002E-6</v>
      </c>
      <c r="AC925" s="67" t="s">
        <v>90</v>
      </c>
      <c r="AD925" s="39">
        <f>IFERROR(INDEX(Assumptions!B$145:B$146,MATCH($D925,Assumptions!$A$145:$A$146,0)),0)</f>
        <v>-229.20999999999998</v>
      </c>
      <c r="AE925" s="39">
        <f>IFERROR(INDEX(Assumptions!C$145:C$146,MATCH($D925,Assumptions!$A$145:$A$146,0)),0)</f>
        <v>-211.71999999999997</v>
      </c>
      <c r="AF925" s="39">
        <f>IFERROR(INDEX(Assumptions!D$145:D$146,MATCH($D925,Assumptions!$A$145:$A$146,0)),0)</f>
        <v>-408.02697478991581</v>
      </c>
      <c r="AG925" s="68">
        <f>IFERROR(INDEX(WaterUseH2[Average Direct Water Consumption (Gal/ kg h2)],MATCH(LEFT(D925,3),WaterUseH2[Key],0)),0)</f>
        <v>0</v>
      </c>
      <c r="AH925">
        <v>14</v>
      </c>
      <c r="AI925">
        <v>1.4</v>
      </c>
      <c r="AJ925">
        <v>250</v>
      </c>
      <c r="AK925">
        <v>0.31</v>
      </c>
      <c r="AL925" s="63">
        <f>IFERROR(INDEX(Job_Training[[Solar]:[Wind]],MATCH(AL$1,Job_Training[[`Typical Entry Level Education`]:[`Typical Entry Level Education`]],0),MATCH(LEFT($D925,5),Job_Training[[#Headers],[Solar]:[Wind]],0)),0)</f>
        <v>0</v>
      </c>
      <c r="AM925" s="63">
        <f>IFERROR(INDEX(Job_Training[[Solar]:[Wind]],MATCH(AM$1,Job_Training[[`Typical Entry Level Education`]:[`Typical Entry Level Education`]],0),MATCH(LEFT($D925,5),Job_Training[[#Headers],[Solar]:[Wind]],0)),0)</f>
        <v>0</v>
      </c>
      <c r="AN925" s="63">
        <f>IFERROR(INDEX(Job_Training[[Solar]:[Wind]],MATCH(AN$1,Job_Training[[`Typical Entry Level Education`]:[`Typical Entry Level Education`]],0),MATCH(LEFT($D925,5),Job_Training[[#Headers],[Solar]:[Wind]],0)),0)</f>
        <v>0</v>
      </c>
      <c r="AO925" s="63">
        <f>IFERROR(INDEX(Job_Training[[Solar]:[Wind]],MATCH(AO$1,Job_Training[[`Typical Entry Level Education`]:[`Typical Entry Level Education`]],0),MATCH(LEFT($D925,5),Job_Training[[#Headers],[Solar]:[Wind]],0)),0)</f>
        <v>0</v>
      </c>
      <c r="AP925">
        <f t="shared" si="262"/>
        <v>0</v>
      </c>
      <c r="AQ925" s="63">
        <f>IF(AP925&gt;0,IFERROR(INDEX(Assumptions!$C$165:$D$165,MATCH(LEFT($D925,5),Job_Training[[#Headers],[Solar]:[Wind]],0)),0),0)</f>
        <v>0</v>
      </c>
      <c r="AR925">
        <f>IF(AP925&gt;0,IFERROR(INDEX(Assumptions!$C$166:$D$166,MATCH(LEFT($D925,5),Job_Training[[#Headers],[Solar]:[Wind]],0)),0),0)</f>
        <v>0</v>
      </c>
    </row>
    <row r="926" spans="1:44" hidden="1" x14ac:dyDescent="0.35">
      <c r="A926" t="str">
        <f>UserInput!$B$82</f>
        <v>Incremental Buildout</v>
      </c>
      <c r="B926">
        <v>2025</v>
      </c>
      <c r="C926" t="s">
        <v>87</v>
      </c>
      <c r="D926" t="s">
        <v>91</v>
      </c>
      <c r="E926" s="66">
        <f>INDEX(UserInput!$C$82:$M$102,MATCH(UserMade_Scenario!B926,UserInput!$A$82:$A$102,0),MATCH(LEFT(IF(RIGHT(C926,2)="H2",UserMade_Scenario!C926,D926),3),UserInput!$C$25:$M$25,0))</f>
        <v>3.3333333333333335</v>
      </c>
      <c r="F926" t="s">
        <v>89</v>
      </c>
      <c r="G926" s="14">
        <f t="shared" si="263"/>
        <v>3.6433333333333333E-6</v>
      </c>
      <c r="H926" s="63">
        <f t="shared" si="248"/>
        <v>1.2463843333333332E-4</v>
      </c>
      <c r="I926" s="63">
        <f t="shared" si="249"/>
        <v>1.2463843333333332E-4</v>
      </c>
      <c r="J926" s="63">
        <f t="shared" si="250"/>
        <v>4.8552881666666663E-4</v>
      </c>
      <c r="K926" s="30">
        <f>IF(OR(LEFT($D926,5)="Solar",$D926="Wind"),INDEX(Land_Use[AVG],MATCH(LEFT($D926,5),Land_Use[Tech],0)),0)*$E926</f>
        <v>0</v>
      </c>
      <c r="L926" s="30">
        <f>IF(OR(LEFT($D926,5)="Solar",$D926="Wind"),INDEX(Land_Use[MIN],MATCH(LEFT($D926,5),Land_Use[Tech],0)),0)*$E926</f>
        <v>0</v>
      </c>
      <c r="M926" s="30">
        <f>IF(OR(LEFT($D926,5)="Solar",$D926="Wind"),INDEX(Land_Use[MAX],MATCH(LEFT($D926,5),Land_Use[Tech],0)),0)*$E926</f>
        <v>0</v>
      </c>
      <c r="N926" s="15">
        <f t="shared" si="251"/>
        <v>0</v>
      </c>
      <c r="O926" s="11">
        <f t="shared" si="252"/>
        <v>0</v>
      </c>
      <c r="P926" s="11">
        <f t="shared" si="253"/>
        <v>0</v>
      </c>
      <c r="Q926" s="11">
        <f t="shared" si="254"/>
        <v>0</v>
      </c>
      <c r="R926" s="11">
        <f t="shared" si="255"/>
        <v>0</v>
      </c>
      <c r="S926" s="30">
        <f t="shared" si="256"/>
        <v>0</v>
      </c>
      <c r="T926" s="30">
        <f t="shared" si="257"/>
        <v>0</v>
      </c>
      <c r="U926" s="30">
        <f t="shared" si="258"/>
        <v>0</v>
      </c>
      <c r="V926" s="30">
        <f t="shared" si="259"/>
        <v>0</v>
      </c>
      <c r="W926" s="30">
        <f t="shared" si="260"/>
        <v>0</v>
      </c>
      <c r="X926" s="30">
        <f t="shared" si="261"/>
        <v>0</v>
      </c>
      <c r="Z926" s="23" t="s">
        <v>76</v>
      </c>
      <c r="AA926" s="40" t="str">
        <f>IF(C926="Electricity",E926*SUMIFS(Electricity!S:S,Electricity!P:P,UserMade_Scenario!B926,Electricity!M:M,UserMade_Scenario!Z926,Electricity!O:O,UserMade_Scenario!D926),"")</f>
        <v/>
      </c>
      <c r="AB926" s="67">
        <v>1.093E-6</v>
      </c>
      <c r="AC926" s="67" t="s">
        <v>90</v>
      </c>
      <c r="AD926" s="39">
        <f>IFERROR(INDEX(Assumptions!B$145:B$146,MATCH($D926,Assumptions!$A$145:$A$146,0)),0)</f>
        <v>-34.209999999999994</v>
      </c>
      <c r="AE926" s="39">
        <f>IFERROR(INDEX(Assumptions!C$145:C$146,MATCH($D926,Assumptions!$A$145:$A$146,0)),0)</f>
        <v>-34.209999999999994</v>
      </c>
      <c r="AF926" s="39">
        <f>IFERROR(INDEX(Assumptions!D$145:D$146,MATCH($D926,Assumptions!$A$145:$A$146,0)),0)</f>
        <v>-133.26499999999999</v>
      </c>
      <c r="AG926" s="68">
        <f>IFERROR(INDEX(WaterUseH2[Average Direct Water Consumption (Gal/ kg h2)],MATCH(LEFT(D926,3),WaterUseH2[Key],0)),0)</f>
        <v>0</v>
      </c>
      <c r="AH926">
        <v>14</v>
      </c>
      <c r="AI926">
        <v>1.4</v>
      </c>
      <c r="AJ926">
        <v>250</v>
      </c>
      <c r="AK926">
        <v>0.31</v>
      </c>
      <c r="AL926" s="63">
        <f>IFERROR(INDEX(Job_Training[[Solar]:[Wind]],MATCH(AL$1,Job_Training[[`Typical Entry Level Education`]:[`Typical Entry Level Education`]],0),MATCH(LEFT($D926,5),Job_Training[[#Headers],[Solar]:[Wind]],0)),0)</f>
        <v>0</v>
      </c>
      <c r="AM926" s="63">
        <f>IFERROR(INDEX(Job_Training[[Solar]:[Wind]],MATCH(AM$1,Job_Training[[`Typical Entry Level Education`]:[`Typical Entry Level Education`]],0),MATCH(LEFT($D926,5),Job_Training[[#Headers],[Solar]:[Wind]],0)),0)</f>
        <v>0</v>
      </c>
      <c r="AN926" s="63">
        <f>IFERROR(INDEX(Job_Training[[Solar]:[Wind]],MATCH(AN$1,Job_Training[[`Typical Entry Level Education`]:[`Typical Entry Level Education`]],0),MATCH(LEFT($D926,5),Job_Training[[#Headers],[Solar]:[Wind]],0)),0)</f>
        <v>0</v>
      </c>
      <c r="AO926" s="63">
        <f>IFERROR(INDEX(Job_Training[[Solar]:[Wind]],MATCH(AO$1,Job_Training[[`Typical Entry Level Education`]:[`Typical Entry Level Education`]],0),MATCH(LEFT($D926,5),Job_Training[[#Headers],[Solar]:[Wind]],0)),0)</f>
        <v>0</v>
      </c>
      <c r="AP926">
        <f t="shared" si="262"/>
        <v>0</v>
      </c>
      <c r="AQ926" s="63">
        <f>IF(AP926&gt;0,IFERROR(INDEX(Assumptions!$C$165:$D$165,MATCH(LEFT($D926,5),Job_Training[[#Headers],[Solar]:[Wind]],0)),0),0)</f>
        <v>0</v>
      </c>
      <c r="AR926">
        <f>IF(AP926&gt;0,IFERROR(INDEX(Assumptions!$C$166:$D$166,MATCH(LEFT($D926,5),Job_Training[[#Headers],[Solar]:[Wind]],0)),0),0)</f>
        <v>0</v>
      </c>
    </row>
    <row r="927" spans="1:44" hidden="1" x14ac:dyDescent="0.35">
      <c r="A927" t="str">
        <f>UserInput!$B$82</f>
        <v>Incremental Buildout</v>
      </c>
      <c r="B927">
        <v>2026</v>
      </c>
      <c r="C927" t="s">
        <v>87</v>
      </c>
      <c r="D927" t="s">
        <v>91</v>
      </c>
      <c r="E927" s="66">
        <f>INDEX(UserInput!$C$82:$M$102,MATCH(UserMade_Scenario!B927,UserInput!$A$82:$A$102,0),MATCH(LEFT(IF(RIGHT(C927,2)="H2",UserMade_Scenario!C927,D927),3),UserInput!$C$25:$M$25,0))</f>
        <v>6.666666666666667</v>
      </c>
      <c r="F927" t="s">
        <v>89</v>
      </c>
      <c r="G927" s="14">
        <f t="shared" si="263"/>
        <v>7.2866666666666666E-6</v>
      </c>
      <c r="H927" s="63">
        <f t="shared" si="248"/>
        <v>2.4927686666666664E-4</v>
      </c>
      <c r="I927" s="63">
        <f t="shared" si="249"/>
        <v>2.4927686666666664E-4</v>
      </c>
      <c r="J927" s="63">
        <f t="shared" si="250"/>
        <v>9.7105763333333326E-4</v>
      </c>
      <c r="K927" s="30">
        <f>IF(OR(LEFT($D927,5)="Solar",$D927="Wind"),INDEX(Land_Use[AVG],MATCH(LEFT($D927,5),Land_Use[Tech],0)),0)*$E927</f>
        <v>0</v>
      </c>
      <c r="L927" s="30">
        <f>IF(OR(LEFT($D927,5)="Solar",$D927="Wind"),INDEX(Land_Use[MIN],MATCH(LEFT($D927,5),Land_Use[Tech],0)),0)*$E927</f>
        <v>0</v>
      </c>
      <c r="M927" s="30">
        <f>IF(OR(LEFT($D927,5)="Solar",$D927="Wind"),INDEX(Land_Use[MAX],MATCH(LEFT($D927,5),Land_Use[Tech],0)),0)*$E927</f>
        <v>0</v>
      </c>
      <c r="N927" s="15">
        <f t="shared" si="251"/>
        <v>0</v>
      </c>
      <c r="O927" s="11">
        <f t="shared" si="252"/>
        <v>0</v>
      </c>
      <c r="P927" s="11">
        <f t="shared" si="253"/>
        <v>0</v>
      </c>
      <c r="Q927" s="11">
        <f t="shared" si="254"/>
        <v>0</v>
      </c>
      <c r="R927" s="11">
        <f t="shared" si="255"/>
        <v>0</v>
      </c>
      <c r="S927" s="30">
        <f t="shared" si="256"/>
        <v>0</v>
      </c>
      <c r="T927" s="30">
        <f t="shared" si="257"/>
        <v>0</v>
      </c>
      <c r="U927" s="30">
        <f t="shared" si="258"/>
        <v>0</v>
      </c>
      <c r="V927" s="30">
        <f t="shared" si="259"/>
        <v>0</v>
      </c>
      <c r="W927" s="30">
        <f t="shared" si="260"/>
        <v>0</v>
      </c>
      <c r="X927" s="30">
        <f t="shared" si="261"/>
        <v>0</v>
      </c>
      <c r="Z927" s="23" t="s">
        <v>76</v>
      </c>
      <c r="AA927" s="40" t="str">
        <f>IF(C927="Electricity",E927*SUMIFS(Electricity!S:S,Electricity!P:P,UserMade_Scenario!B927,Electricity!M:M,UserMade_Scenario!Z927,Electricity!O:O,UserMade_Scenario!D927),"")</f>
        <v/>
      </c>
      <c r="AB927" s="67">
        <v>1.093E-6</v>
      </c>
      <c r="AC927" s="67" t="s">
        <v>90</v>
      </c>
      <c r="AD927" s="39">
        <f>IFERROR(INDEX(Assumptions!B$145:B$146,MATCH($D927,Assumptions!$A$145:$A$146,0)),0)</f>
        <v>-34.209999999999994</v>
      </c>
      <c r="AE927" s="39">
        <f>IFERROR(INDEX(Assumptions!C$145:C$146,MATCH($D927,Assumptions!$A$145:$A$146,0)),0)</f>
        <v>-34.209999999999994</v>
      </c>
      <c r="AF927" s="39">
        <f>IFERROR(INDEX(Assumptions!D$145:D$146,MATCH($D927,Assumptions!$A$145:$A$146,0)),0)</f>
        <v>-133.26499999999999</v>
      </c>
      <c r="AG927" s="68">
        <f>IFERROR(INDEX(WaterUseH2[Average Direct Water Consumption (Gal/ kg h2)],MATCH(LEFT(D927,3),WaterUseH2[Key],0)),0)</f>
        <v>0</v>
      </c>
      <c r="AH927">
        <v>14</v>
      </c>
      <c r="AI927">
        <v>1.4</v>
      </c>
      <c r="AJ927">
        <v>250</v>
      </c>
      <c r="AK927">
        <v>0.31</v>
      </c>
      <c r="AL927" s="63">
        <f>IFERROR(INDEX(Job_Training[[Solar]:[Wind]],MATCH(AL$1,Job_Training[[`Typical Entry Level Education`]:[`Typical Entry Level Education`]],0),MATCH(LEFT($D927,5),Job_Training[[#Headers],[Solar]:[Wind]],0)),0)</f>
        <v>0</v>
      </c>
      <c r="AM927" s="63">
        <f>IFERROR(INDEX(Job_Training[[Solar]:[Wind]],MATCH(AM$1,Job_Training[[`Typical Entry Level Education`]:[`Typical Entry Level Education`]],0),MATCH(LEFT($D927,5),Job_Training[[#Headers],[Solar]:[Wind]],0)),0)</f>
        <v>0</v>
      </c>
      <c r="AN927" s="63">
        <f>IFERROR(INDEX(Job_Training[[Solar]:[Wind]],MATCH(AN$1,Job_Training[[`Typical Entry Level Education`]:[`Typical Entry Level Education`]],0),MATCH(LEFT($D927,5),Job_Training[[#Headers],[Solar]:[Wind]],0)),0)</f>
        <v>0</v>
      </c>
      <c r="AO927" s="63">
        <f>IFERROR(INDEX(Job_Training[[Solar]:[Wind]],MATCH(AO$1,Job_Training[[`Typical Entry Level Education`]:[`Typical Entry Level Education`]],0),MATCH(LEFT($D927,5),Job_Training[[#Headers],[Solar]:[Wind]],0)),0)</f>
        <v>0</v>
      </c>
      <c r="AP927">
        <f t="shared" si="262"/>
        <v>0</v>
      </c>
      <c r="AQ927" s="63">
        <f>IF(AP927&gt;0,IFERROR(INDEX(Assumptions!$C$165:$D$165,MATCH(LEFT($D927,5),Job_Training[[#Headers],[Solar]:[Wind]],0)),0),0)</f>
        <v>0</v>
      </c>
      <c r="AR927">
        <f>IF(AP927&gt;0,IFERROR(INDEX(Assumptions!$C$166:$D$166,MATCH(LEFT($D927,5),Job_Training[[#Headers],[Solar]:[Wind]],0)),0),0)</f>
        <v>0</v>
      </c>
    </row>
    <row r="928" spans="1:44" hidden="1" x14ac:dyDescent="0.35">
      <c r="A928" t="str">
        <f>UserInput!$B$82</f>
        <v>Incremental Buildout</v>
      </c>
      <c r="B928">
        <v>2027</v>
      </c>
      <c r="C928" t="s">
        <v>87</v>
      </c>
      <c r="D928" t="s">
        <v>91</v>
      </c>
      <c r="E928" s="66">
        <f>INDEX(UserInput!$C$82:$M$102,MATCH(UserMade_Scenario!B928,UserInput!$A$82:$A$102,0),MATCH(LEFT(IF(RIGHT(C928,2)="H2",UserMade_Scenario!C928,D928),3),UserInput!$C$25:$M$25,0))</f>
        <v>10</v>
      </c>
      <c r="F928" t="s">
        <v>89</v>
      </c>
      <c r="G928" s="14">
        <f t="shared" si="263"/>
        <v>1.0929999999999999E-5</v>
      </c>
      <c r="H928" s="63">
        <f t="shared" si="248"/>
        <v>3.7391529999999989E-4</v>
      </c>
      <c r="I928" s="63">
        <f t="shared" si="249"/>
        <v>3.7391529999999989E-4</v>
      </c>
      <c r="J928" s="63">
        <f t="shared" si="250"/>
        <v>1.4565864499999997E-3</v>
      </c>
      <c r="K928" s="30">
        <f>IF(OR(LEFT($D928,5)="Solar",$D928="Wind"),INDEX(Land_Use[AVG],MATCH(LEFT($D928,5),Land_Use[Tech],0)),0)*$E928</f>
        <v>0</v>
      </c>
      <c r="L928" s="30">
        <f>IF(OR(LEFT($D928,5)="Solar",$D928="Wind"),INDEX(Land_Use[MIN],MATCH(LEFT($D928,5),Land_Use[Tech],0)),0)*$E928</f>
        <v>0</v>
      </c>
      <c r="M928" s="30">
        <f>IF(OR(LEFT($D928,5)="Solar",$D928="Wind"),INDEX(Land_Use[MAX],MATCH(LEFT($D928,5),Land_Use[Tech],0)),0)*$E928</f>
        <v>0</v>
      </c>
      <c r="N928" s="15">
        <f t="shared" si="251"/>
        <v>0</v>
      </c>
      <c r="O928" s="11">
        <f t="shared" si="252"/>
        <v>0</v>
      </c>
      <c r="P928" s="11">
        <f t="shared" si="253"/>
        <v>0</v>
      </c>
      <c r="Q928" s="11">
        <f t="shared" si="254"/>
        <v>0</v>
      </c>
      <c r="R928" s="11">
        <f t="shared" si="255"/>
        <v>0</v>
      </c>
      <c r="S928" s="30">
        <f t="shared" si="256"/>
        <v>0</v>
      </c>
      <c r="T928" s="30">
        <f t="shared" si="257"/>
        <v>0</v>
      </c>
      <c r="U928" s="30">
        <f t="shared" si="258"/>
        <v>0</v>
      </c>
      <c r="V928" s="30">
        <f t="shared" si="259"/>
        <v>0</v>
      </c>
      <c r="W928" s="30">
        <f t="shared" si="260"/>
        <v>0</v>
      </c>
      <c r="X928" s="30">
        <f t="shared" si="261"/>
        <v>0</v>
      </c>
      <c r="Z928" s="23" t="s">
        <v>76</v>
      </c>
      <c r="AA928" s="40" t="str">
        <f>IF(C928="Electricity",E928*SUMIFS(Electricity!S:S,Electricity!P:P,UserMade_Scenario!B928,Electricity!M:M,UserMade_Scenario!Z928,Electricity!O:O,UserMade_Scenario!D928),"")</f>
        <v/>
      </c>
      <c r="AB928" s="67">
        <v>1.093E-6</v>
      </c>
      <c r="AC928" s="67" t="s">
        <v>90</v>
      </c>
      <c r="AD928" s="39">
        <f>IFERROR(INDEX(Assumptions!B$145:B$146,MATCH($D928,Assumptions!$A$145:$A$146,0)),0)</f>
        <v>-34.209999999999994</v>
      </c>
      <c r="AE928" s="39">
        <f>IFERROR(INDEX(Assumptions!C$145:C$146,MATCH($D928,Assumptions!$A$145:$A$146,0)),0)</f>
        <v>-34.209999999999994</v>
      </c>
      <c r="AF928" s="39">
        <f>IFERROR(INDEX(Assumptions!D$145:D$146,MATCH($D928,Assumptions!$A$145:$A$146,0)),0)</f>
        <v>-133.26499999999999</v>
      </c>
      <c r="AG928" s="68">
        <f>IFERROR(INDEX(WaterUseH2[Average Direct Water Consumption (Gal/ kg h2)],MATCH(LEFT(D928,3),WaterUseH2[Key],0)),0)</f>
        <v>0</v>
      </c>
      <c r="AH928">
        <v>14</v>
      </c>
      <c r="AI928">
        <v>1.4</v>
      </c>
      <c r="AJ928">
        <v>250</v>
      </c>
      <c r="AK928">
        <v>0.31</v>
      </c>
      <c r="AL928" s="63">
        <f>IFERROR(INDEX(Job_Training[[Solar]:[Wind]],MATCH(AL$1,Job_Training[[`Typical Entry Level Education`]:[`Typical Entry Level Education`]],0),MATCH(LEFT($D928,5),Job_Training[[#Headers],[Solar]:[Wind]],0)),0)</f>
        <v>0</v>
      </c>
      <c r="AM928" s="63">
        <f>IFERROR(INDEX(Job_Training[[Solar]:[Wind]],MATCH(AM$1,Job_Training[[`Typical Entry Level Education`]:[`Typical Entry Level Education`]],0),MATCH(LEFT($D928,5),Job_Training[[#Headers],[Solar]:[Wind]],0)),0)</f>
        <v>0</v>
      </c>
      <c r="AN928" s="63">
        <f>IFERROR(INDEX(Job_Training[[Solar]:[Wind]],MATCH(AN$1,Job_Training[[`Typical Entry Level Education`]:[`Typical Entry Level Education`]],0),MATCH(LEFT($D928,5),Job_Training[[#Headers],[Solar]:[Wind]],0)),0)</f>
        <v>0</v>
      </c>
      <c r="AO928" s="63">
        <f>IFERROR(INDEX(Job_Training[[Solar]:[Wind]],MATCH(AO$1,Job_Training[[`Typical Entry Level Education`]:[`Typical Entry Level Education`]],0),MATCH(LEFT($D928,5),Job_Training[[#Headers],[Solar]:[Wind]],0)),0)</f>
        <v>0</v>
      </c>
      <c r="AP928">
        <f t="shared" si="262"/>
        <v>0</v>
      </c>
      <c r="AQ928" s="63">
        <f>IF(AP928&gt;0,IFERROR(INDEX(Assumptions!$C$165:$D$165,MATCH(LEFT($D928,5),Job_Training[[#Headers],[Solar]:[Wind]],0)),0),0)</f>
        <v>0</v>
      </c>
      <c r="AR928">
        <f>IF(AP928&gt;0,IFERROR(INDEX(Assumptions!$C$166:$D$166,MATCH(LEFT($D928,5),Job_Training[[#Headers],[Solar]:[Wind]],0)),0),0)</f>
        <v>0</v>
      </c>
    </row>
    <row r="929" spans="1:44" hidden="1" x14ac:dyDescent="0.35">
      <c r="A929" t="str">
        <f>UserInput!$B$82</f>
        <v>Incremental Buildout</v>
      </c>
      <c r="B929">
        <v>2028</v>
      </c>
      <c r="C929" t="s">
        <v>87</v>
      </c>
      <c r="D929" t="s">
        <v>91</v>
      </c>
      <c r="E929" s="66">
        <f>INDEX(UserInput!$C$82:$M$102,MATCH(UserMade_Scenario!B929,UserInput!$A$82:$A$102,0),MATCH(LEFT(IF(RIGHT(C929,2)="H2",UserMade_Scenario!C929,D929),3),UserInput!$C$25:$M$25,0))</f>
        <v>13.333333333333334</v>
      </c>
      <c r="F929" t="s">
        <v>89</v>
      </c>
      <c r="G929" s="14">
        <f t="shared" si="263"/>
        <v>1.4573333333333333E-5</v>
      </c>
      <c r="H929" s="63">
        <f t="shared" si="248"/>
        <v>4.9855373333333329E-4</v>
      </c>
      <c r="I929" s="63">
        <f t="shared" si="249"/>
        <v>4.9855373333333329E-4</v>
      </c>
      <c r="J929" s="63">
        <f t="shared" si="250"/>
        <v>1.9421152666666665E-3</v>
      </c>
      <c r="K929" s="30">
        <f>IF(OR(LEFT($D929,5)="Solar",$D929="Wind"),INDEX(Land_Use[AVG],MATCH(LEFT($D929,5),Land_Use[Tech],0)),0)*$E929</f>
        <v>0</v>
      </c>
      <c r="L929" s="30">
        <f>IF(OR(LEFT($D929,5)="Solar",$D929="Wind"),INDEX(Land_Use[MIN],MATCH(LEFT($D929,5),Land_Use[Tech],0)),0)*$E929</f>
        <v>0</v>
      </c>
      <c r="M929" s="30">
        <f>IF(OR(LEFT($D929,5)="Solar",$D929="Wind"),INDEX(Land_Use[MAX],MATCH(LEFT($D929,5),Land_Use[Tech],0)),0)*$E929</f>
        <v>0</v>
      </c>
      <c r="N929" s="15">
        <f t="shared" si="251"/>
        <v>0</v>
      </c>
      <c r="O929" s="11">
        <f t="shared" si="252"/>
        <v>0</v>
      </c>
      <c r="P929" s="11">
        <f t="shared" si="253"/>
        <v>0</v>
      </c>
      <c r="Q929" s="11">
        <f t="shared" si="254"/>
        <v>0</v>
      </c>
      <c r="R929" s="11">
        <f t="shared" si="255"/>
        <v>0</v>
      </c>
      <c r="S929" s="30">
        <f t="shared" si="256"/>
        <v>0</v>
      </c>
      <c r="T929" s="30">
        <f t="shared" si="257"/>
        <v>0</v>
      </c>
      <c r="U929" s="30">
        <f t="shared" si="258"/>
        <v>0</v>
      </c>
      <c r="V929" s="30">
        <f t="shared" si="259"/>
        <v>0</v>
      </c>
      <c r="W929" s="30">
        <f t="shared" si="260"/>
        <v>0</v>
      </c>
      <c r="X929" s="30">
        <f t="shared" si="261"/>
        <v>0</v>
      </c>
      <c r="Z929" s="23" t="s">
        <v>76</v>
      </c>
      <c r="AA929" s="40" t="str">
        <f>IF(C929="Electricity",E929*SUMIFS(Electricity!S:S,Electricity!P:P,UserMade_Scenario!B929,Electricity!M:M,UserMade_Scenario!Z929,Electricity!O:O,UserMade_Scenario!D929),"")</f>
        <v/>
      </c>
      <c r="AB929" s="67">
        <v>1.093E-6</v>
      </c>
      <c r="AC929" s="67" t="s">
        <v>90</v>
      </c>
      <c r="AD929" s="39">
        <f>IFERROR(INDEX(Assumptions!B$145:B$146,MATCH($D929,Assumptions!$A$145:$A$146,0)),0)</f>
        <v>-34.209999999999994</v>
      </c>
      <c r="AE929" s="39">
        <f>IFERROR(INDEX(Assumptions!C$145:C$146,MATCH($D929,Assumptions!$A$145:$A$146,0)),0)</f>
        <v>-34.209999999999994</v>
      </c>
      <c r="AF929" s="39">
        <f>IFERROR(INDEX(Assumptions!D$145:D$146,MATCH($D929,Assumptions!$A$145:$A$146,0)),0)</f>
        <v>-133.26499999999999</v>
      </c>
      <c r="AG929" s="68">
        <f>IFERROR(INDEX(WaterUseH2[Average Direct Water Consumption (Gal/ kg h2)],MATCH(LEFT(D929,3),WaterUseH2[Key],0)),0)</f>
        <v>0</v>
      </c>
      <c r="AH929">
        <v>14</v>
      </c>
      <c r="AI929">
        <v>1.4</v>
      </c>
      <c r="AJ929">
        <v>250</v>
      </c>
      <c r="AK929">
        <v>0.31</v>
      </c>
      <c r="AL929" s="63">
        <f>IFERROR(INDEX(Job_Training[[Solar]:[Wind]],MATCH(AL$1,Job_Training[[`Typical Entry Level Education`]:[`Typical Entry Level Education`]],0),MATCH(LEFT($D929,5),Job_Training[[#Headers],[Solar]:[Wind]],0)),0)</f>
        <v>0</v>
      </c>
      <c r="AM929" s="63">
        <f>IFERROR(INDEX(Job_Training[[Solar]:[Wind]],MATCH(AM$1,Job_Training[[`Typical Entry Level Education`]:[`Typical Entry Level Education`]],0),MATCH(LEFT($D929,5),Job_Training[[#Headers],[Solar]:[Wind]],0)),0)</f>
        <v>0</v>
      </c>
      <c r="AN929" s="63">
        <f>IFERROR(INDEX(Job_Training[[Solar]:[Wind]],MATCH(AN$1,Job_Training[[`Typical Entry Level Education`]:[`Typical Entry Level Education`]],0),MATCH(LEFT($D929,5),Job_Training[[#Headers],[Solar]:[Wind]],0)),0)</f>
        <v>0</v>
      </c>
      <c r="AO929" s="63">
        <f>IFERROR(INDEX(Job_Training[[Solar]:[Wind]],MATCH(AO$1,Job_Training[[`Typical Entry Level Education`]:[`Typical Entry Level Education`]],0),MATCH(LEFT($D929,5),Job_Training[[#Headers],[Solar]:[Wind]],0)),0)</f>
        <v>0</v>
      </c>
      <c r="AP929">
        <f t="shared" si="262"/>
        <v>0</v>
      </c>
      <c r="AQ929" s="63">
        <f>IF(AP929&gt;0,IFERROR(INDEX(Assumptions!$C$165:$D$165,MATCH(LEFT($D929,5),Job_Training[[#Headers],[Solar]:[Wind]],0)),0),0)</f>
        <v>0</v>
      </c>
      <c r="AR929">
        <f>IF(AP929&gt;0,IFERROR(INDEX(Assumptions!$C$166:$D$166,MATCH(LEFT($D929,5),Job_Training[[#Headers],[Solar]:[Wind]],0)),0),0)</f>
        <v>0</v>
      </c>
    </row>
    <row r="930" spans="1:44" hidden="1" x14ac:dyDescent="0.35">
      <c r="A930" t="str">
        <f>UserInput!$B$82</f>
        <v>Incremental Buildout</v>
      </c>
      <c r="B930">
        <v>2029</v>
      </c>
      <c r="C930" t="s">
        <v>87</v>
      </c>
      <c r="D930" t="s">
        <v>91</v>
      </c>
      <c r="E930" s="66">
        <f>INDEX(UserInput!$C$82:$M$102,MATCH(UserMade_Scenario!B930,UserInput!$A$82:$A$102,0),MATCH(LEFT(IF(RIGHT(C930,2)="H2",UserMade_Scenario!C930,D930),3),UserInput!$C$25:$M$25,0))</f>
        <v>16.666666666666668</v>
      </c>
      <c r="F930" t="s">
        <v>89</v>
      </c>
      <c r="G930" s="14">
        <f t="shared" si="263"/>
        <v>1.8216666666666668E-5</v>
      </c>
      <c r="H930" s="63">
        <f t="shared" si="248"/>
        <v>6.2319216666666664E-4</v>
      </c>
      <c r="I930" s="63">
        <f t="shared" si="249"/>
        <v>6.2319216666666664E-4</v>
      </c>
      <c r="J930" s="63">
        <f t="shared" si="250"/>
        <v>2.4276440833333334E-3</v>
      </c>
      <c r="K930" s="30">
        <f>IF(OR(LEFT($D930,5)="Solar",$D930="Wind"),INDEX(Land_Use[AVG],MATCH(LEFT($D930,5),Land_Use[Tech],0)),0)*$E930</f>
        <v>0</v>
      </c>
      <c r="L930" s="30">
        <f>IF(OR(LEFT($D930,5)="Solar",$D930="Wind"),INDEX(Land_Use[MIN],MATCH(LEFT($D930,5),Land_Use[Tech],0)),0)*$E930</f>
        <v>0</v>
      </c>
      <c r="M930" s="30">
        <f>IF(OR(LEFT($D930,5)="Solar",$D930="Wind"),INDEX(Land_Use[MAX],MATCH(LEFT($D930,5),Land_Use[Tech],0)),0)*$E930</f>
        <v>0</v>
      </c>
      <c r="N930" s="15">
        <f t="shared" si="251"/>
        <v>0</v>
      </c>
      <c r="O930" s="11">
        <f t="shared" si="252"/>
        <v>0</v>
      </c>
      <c r="P930" s="11">
        <f t="shared" si="253"/>
        <v>0</v>
      </c>
      <c r="Q930" s="11">
        <f t="shared" si="254"/>
        <v>0</v>
      </c>
      <c r="R930" s="11">
        <f t="shared" si="255"/>
        <v>0</v>
      </c>
      <c r="S930" s="30">
        <f t="shared" si="256"/>
        <v>0</v>
      </c>
      <c r="T930" s="30">
        <f t="shared" si="257"/>
        <v>0</v>
      </c>
      <c r="U930" s="30">
        <f t="shared" si="258"/>
        <v>0</v>
      </c>
      <c r="V930" s="30">
        <f t="shared" si="259"/>
        <v>0</v>
      </c>
      <c r="W930" s="30">
        <f t="shared" si="260"/>
        <v>0</v>
      </c>
      <c r="X930" s="30">
        <f t="shared" si="261"/>
        <v>0</v>
      </c>
      <c r="Z930" s="23" t="s">
        <v>76</v>
      </c>
      <c r="AA930" s="40" t="str">
        <f>IF(C930="Electricity",E930*SUMIFS(Electricity!S:S,Electricity!P:P,UserMade_Scenario!B930,Electricity!M:M,UserMade_Scenario!Z930,Electricity!O:O,UserMade_Scenario!D930),"")</f>
        <v/>
      </c>
      <c r="AB930" s="67">
        <v>1.093E-6</v>
      </c>
      <c r="AC930" s="67" t="s">
        <v>90</v>
      </c>
      <c r="AD930" s="39">
        <f>IFERROR(INDEX(Assumptions!B$145:B$146,MATCH($D930,Assumptions!$A$145:$A$146,0)),0)</f>
        <v>-34.209999999999994</v>
      </c>
      <c r="AE930" s="39">
        <f>IFERROR(INDEX(Assumptions!C$145:C$146,MATCH($D930,Assumptions!$A$145:$A$146,0)),0)</f>
        <v>-34.209999999999994</v>
      </c>
      <c r="AF930" s="39">
        <f>IFERROR(INDEX(Assumptions!D$145:D$146,MATCH($D930,Assumptions!$A$145:$A$146,0)),0)</f>
        <v>-133.26499999999999</v>
      </c>
      <c r="AG930" s="68">
        <f>IFERROR(INDEX(WaterUseH2[Average Direct Water Consumption (Gal/ kg h2)],MATCH(LEFT(D930,3),WaterUseH2[Key],0)),0)</f>
        <v>0</v>
      </c>
      <c r="AH930">
        <v>14</v>
      </c>
      <c r="AI930">
        <v>1.4</v>
      </c>
      <c r="AJ930">
        <v>250</v>
      </c>
      <c r="AK930">
        <v>0.31</v>
      </c>
      <c r="AL930" s="63">
        <f>IFERROR(INDEX(Job_Training[[Solar]:[Wind]],MATCH(AL$1,Job_Training[[`Typical Entry Level Education`]:[`Typical Entry Level Education`]],0),MATCH(LEFT($D930,5),Job_Training[[#Headers],[Solar]:[Wind]],0)),0)</f>
        <v>0</v>
      </c>
      <c r="AM930" s="63">
        <f>IFERROR(INDEX(Job_Training[[Solar]:[Wind]],MATCH(AM$1,Job_Training[[`Typical Entry Level Education`]:[`Typical Entry Level Education`]],0),MATCH(LEFT($D930,5),Job_Training[[#Headers],[Solar]:[Wind]],0)),0)</f>
        <v>0</v>
      </c>
      <c r="AN930" s="63">
        <f>IFERROR(INDEX(Job_Training[[Solar]:[Wind]],MATCH(AN$1,Job_Training[[`Typical Entry Level Education`]:[`Typical Entry Level Education`]],0),MATCH(LEFT($D930,5),Job_Training[[#Headers],[Solar]:[Wind]],0)),0)</f>
        <v>0</v>
      </c>
      <c r="AO930" s="63">
        <f>IFERROR(INDEX(Job_Training[[Solar]:[Wind]],MATCH(AO$1,Job_Training[[`Typical Entry Level Education`]:[`Typical Entry Level Education`]],0),MATCH(LEFT($D930,5),Job_Training[[#Headers],[Solar]:[Wind]],0)),0)</f>
        <v>0</v>
      </c>
      <c r="AP930">
        <f t="shared" si="262"/>
        <v>0</v>
      </c>
      <c r="AQ930" s="63">
        <f>IF(AP930&gt;0,IFERROR(INDEX(Assumptions!$C$165:$D$165,MATCH(LEFT($D930,5),Job_Training[[#Headers],[Solar]:[Wind]],0)),0),0)</f>
        <v>0</v>
      </c>
      <c r="AR930">
        <f>IF(AP930&gt;0,IFERROR(INDEX(Assumptions!$C$166:$D$166,MATCH(LEFT($D930,5),Job_Training[[#Headers],[Solar]:[Wind]],0)),0),0)</f>
        <v>0</v>
      </c>
    </row>
    <row r="931" spans="1:44" hidden="1" x14ac:dyDescent="0.35">
      <c r="A931" t="str">
        <f>UserInput!$B$82</f>
        <v>Incremental Buildout</v>
      </c>
      <c r="B931">
        <v>2030</v>
      </c>
      <c r="C931" t="s">
        <v>87</v>
      </c>
      <c r="D931" t="s">
        <v>91</v>
      </c>
      <c r="E931" s="66">
        <f>INDEX(UserInput!$C$82:$M$102,MATCH(UserMade_Scenario!B931,UserInput!$A$82:$A$102,0),MATCH(LEFT(IF(RIGHT(C931,2)="H2",UserMade_Scenario!C931,D931),3),UserInput!$C$25:$M$25,0))</f>
        <v>20</v>
      </c>
      <c r="F931" t="s">
        <v>89</v>
      </c>
      <c r="G931" s="14">
        <f t="shared" si="263"/>
        <v>2.1859999999999997E-5</v>
      </c>
      <c r="H931" s="63">
        <f t="shared" si="248"/>
        <v>7.4783059999999977E-4</v>
      </c>
      <c r="I931" s="63">
        <f t="shared" si="249"/>
        <v>7.4783059999999977E-4</v>
      </c>
      <c r="J931" s="63">
        <f t="shared" si="250"/>
        <v>2.9131728999999993E-3</v>
      </c>
      <c r="K931" s="30">
        <f>IF(OR(LEFT($D931,5)="Solar",$D931="Wind"),INDEX(Land_Use[AVG],MATCH(LEFT($D931,5),Land_Use[Tech],0)),0)*$E931</f>
        <v>0</v>
      </c>
      <c r="L931" s="30">
        <f>IF(OR(LEFT($D931,5)="Solar",$D931="Wind"),INDEX(Land_Use[MIN],MATCH(LEFT($D931,5),Land_Use[Tech],0)),0)*$E931</f>
        <v>0</v>
      </c>
      <c r="M931" s="30">
        <f>IF(OR(LEFT($D931,5)="Solar",$D931="Wind"),INDEX(Land_Use[MAX],MATCH(LEFT($D931,5),Land_Use[Tech],0)),0)*$E931</f>
        <v>0</v>
      </c>
      <c r="N931" s="15">
        <f t="shared" si="251"/>
        <v>0</v>
      </c>
      <c r="O931" s="11">
        <f t="shared" si="252"/>
        <v>0</v>
      </c>
      <c r="P931" s="11">
        <f t="shared" si="253"/>
        <v>0</v>
      </c>
      <c r="Q931" s="11">
        <f t="shared" si="254"/>
        <v>0</v>
      </c>
      <c r="R931" s="11">
        <f t="shared" si="255"/>
        <v>0</v>
      </c>
      <c r="S931" s="30">
        <f t="shared" si="256"/>
        <v>0</v>
      </c>
      <c r="T931" s="30">
        <f t="shared" si="257"/>
        <v>0</v>
      </c>
      <c r="U931" s="30">
        <f t="shared" si="258"/>
        <v>0</v>
      </c>
      <c r="V931" s="30">
        <f t="shared" si="259"/>
        <v>0</v>
      </c>
      <c r="W931" s="30">
        <f t="shared" si="260"/>
        <v>0</v>
      </c>
      <c r="X931" s="30">
        <f t="shared" si="261"/>
        <v>0</v>
      </c>
      <c r="Z931" s="23" t="s">
        <v>76</v>
      </c>
      <c r="AA931" s="40" t="str">
        <f>IF(C931="Electricity",E931*SUMIFS(Electricity!S:S,Electricity!P:P,UserMade_Scenario!B931,Electricity!M:M,UserMade_Scenario!Z931,Electricity!O:O,UserMade_Scenario!D931),"")</f>
        <v/>
      </c>
      <c r="AB931" s="67">
        <v>1.093E-6</v>
      </c>
      <c r="AC931" s="67" t="s">
        <v>90</v>
      </c>
      <c r="AD931" s="39">
        <f>IFERROR(INDEX(Assumptions!B$145:B$146,MATCH($D931,Assumptions!$A$145:$A$146,0)),0)</f>
        <v>-34.209999999999994</v>
      </c>
      <c r="AE931" s="39">
        <f>IFERROR(INDEX(Assumptions!C$145:C$146,MATCH($D931,Assumptions!$A$145:$A$146,0)),0)</f>
        <v>-34.209999999999994</v>
      </c>
      <c r="AF931" s="39">
        <f>IFERROR(INDEX(Assumptions!D$145:D$146,MATCH($D931,Assumptions!$A$145:$A$146,0)),0)</f>
        <v>-133.26499999999999</v>
      </c>
      <c r="AG931" s="68">
        <f>IFERROR(INDEX(WaterUseH2[Average Direct Water Consumption (Gal/ kg h2)],MATCH(LEFT(D931,3),WaterUseH2[Key],0)),0)</f>
        <v>0</v>
      </c>
      <c r="AH931">
        <v>14</v>
      </c>
      <c r="AI931">
        <v>1.4</v>
      </c>
      <c r="AJ931">
        <v>250</v>
      </c>
      <c r="AK931">
        <v>0.31</v>
      </c>
      <c r="AL931" s="63">
        <f>IFERROR(INDEX(Job_Training[[Solar]:[Wind]],MATCH(AL$1,Job_Training[[`Typical Entry Level Education`]:[`Typical Entry Level Education`]],0),MATCH(LEFT($D931,5),Job_Training[[#Headers],[Solar]:[Wind]],0)),0)</f>
        <v>0</v>
      </c>
      <c r="AM931" s="63">
        <f>IFERROR(INDEX(Job_Training[[Solar]:[Wind]],MATCH(AM$1,Job_Training[[`Typical Entry Level Education`]:[`Typical Entry Level Education`]],0),MATCH(LEFT($D931,5),Job_Training[[#Headers],[Solar]:[Wind]],0)),0)</f>
        <v>0</v>
      </c>
      <c r="AN931" s="63">
        <f>IFERROR(INDEX(Job_Training[[Solar]:[Wind]],MATCH(AN$1,Job_Training[[`Typical Entry Level Education`]:[`Typical Entry Level Education`]],0),MATCH(LEFT($D931,5),Job_Training[[#Headers],[Solar]:[Wind]],0)),0)</f>
        <v>0</v>
      </c>
      <c r="AO931" s="63">
        <f>IFERROR(INDEX(Job_Training[[Solar]:[Wind]],MATCH(AO$1,Job_Training[[`Typical Entry Level Education`]:[`Typical Entry Level Education`]],0),MATCH(LEFT($D931,5),Job_Training[[#Headers],[Solar]:[Wind]],0)),0)</f>
        <v>0</v>
      </c>
      <c r="AP931">
        <f t="shared" si="262"/>
        <v>0</v>
      </c>
      <c r="AQ931" s="63">
        <f>IF(AP931&gt;0,IFERROR(INDEX(Assumptions!$C$165:$D$165,MATCH(LEFT($D931,5),Job_Training[[#Headers],[Solar]:[Wind]],0)),0),0)</f>
        <v>0</v>
      </c>
      <c r="AR931">
        <f>IF(AP931&gt;0,IFERROR(INDEX(Assumptions!$C$166:$D$166,MATCH(LEFT($D931,5),Job_Training[[#Headers],[Solar]:[Wind]],0)),0),0)</f>
        <v>0</v>
      </c>
    </row>
    <row r="932" spans="1:44" hidden="1" x14ac:dyDescent="0.35">
      <c r="A932" t="str">
        <f>UserInput!$B$82</f>
        <v>Incremental Buildout</v>
      </c>
      <c r="B932">
        <v>2031</v>
      </c>
      <c r="C932" t="s">
        <v>87</v>
      </c>
      <c r="D932" t="s">
        <v>91</v>
      </c>
      <c r="E932" s="66">
        <f>INDEX(UserInput!$C$82:$M$102,MATCH(UserMade_Scenario!B932,UserInput!$A$82:$A$102,0),MATCH(LEFT(IF(RIGHT(C932,2)="H2",UserMade_Scenario!C932,D932),3),UserInput!$C$25:$M$25,0))</f>
        <v>23.333333333333332</v>
      </c>
      <c r="F932" t="s">
        <v>89</v>
      </c>
      <c r="G932" s="14">
        <f t="shared" si="263"/>
        <v>2.550333333333333E-5</v>
      </c>
      <c r="H932" s="63">
        <f t="shared" si="248"/>
        <v>8.7246903333333312E-4</v>
      </c>
      <c r="I932" s="63">
        <f t="shared" si="249"/>
        <v>8.7246903333333312E-4</v>
      </c>
      <c r="J932" s="63">
        <f t="shared" si="250"/>
        <v>3.3987017166666657E-3</v>
      </c>
      <c r="K932" s="30">
        <f>IF(OR(LEFT($D932,5)="Solar",$D932="Wind"),INDEX(Land_Use[AVG],MATCH(LEFT($D932,5),Land_Use[Tech],0)),0)*$E932</f>
        <v>0</v>
      </c>
      <c r="L932" s="30">
        <f>IF(OR(LEFT($D932,5)="Solar",$D932="Wind"),INDEX(Land_Use[MIN],MATCH(LEFT($D932,5),Land_Use[Tech],0)),0)*$E932</f>
        <v>0</v>
      </c>
      <c r="M932" s="30">
        <f>IF(OR(LEFT($D932,5)="Solar",$D932="Wind"),INDEX(Land_Use[MAX],MATCH(LEFT($D932,5),Land_Use[Tech],0)),0)*$E932</f>
        <v>0</v>
      </c>
      <c r="N932" s="15">
        <f t="shared" si="251"/>
        <v>0</v>
      </c>
      <c r="O932" s="11">
        <f t="shared" si="252"/>
        <v>0</v>
      </c>
      <c r="P932" s="11">
        <f t="shared" si="253"/>
        <v>0</v>
      </c>
      <c r="Q932" s="11">
        <f t="shared" si="254"/>
        <v>0</v>
      </c>
      <c r="R932" s="11">
        <f t="shared" si="255"/>
        <v>0</v>
      </c>
      <c r="S932" s="30">
        <f t="shared" si="256"/>
        <v>0</v>
      </c>
      <c r="T932" s="30">
        <f t="shared" si="257"/>
        <v>0</v>
      </c>
      <c r="U932" s="30">
        <f t="shared" si="258"/>
        <v>0</v>
      </c>
      <c r="V932" s="30">
        <f t="shared" si="259"/>
        <v>0</v>
      </c>
      <c r="W932" s="30">
        <f t="shared" si="260"/>
        <v>0</v>
      </c>
      <c r="X932" s="30">
        <f t="shared" si="261"/>
        <v>0</v>
      </c>
      <c r="Z932" s="23" t="s">
        <v>76</v>
      </c>
      <c r="AA932" s="40" t="str">
        <f>IF(C932="Electricity",E932*SUMIFS(Electricity!S:S,Electricity!P:P,UserMade_Scenario!B932,Electricity!M:M,UserMade_Scenario!Z932,Electricity!O:O,UserMade_Scenario!D932),"")</f>
        <v/>
      </c>
      <c r="AB932" s="67">
        <v>1.093E-6</v>
      </c>
      <c r="AC932" s="67" t="s">
        <v>90</v>
      </c>
      <c r="AD932" s="39">
        <f>IFERROR(INDEX(Assumptions!B$145:B$146,MATCH($D932,Assumptions!$A$145:$A$146,0)),0)</f>
        <v>-34.209999999999994</v>
      </c>
      <c r="AE932" s="39">
        <f>IFERROR(INDEX(Assumptions!C$145:C$146,MATCH($D932,Assumptions!$A$145:$A$146,0)),0)</f>
        <v>-34.209999999999994</v>
      </c>
      <c r="AF932" s="39">
        <f>IFERROR(INDEX(Assumptions!D$145:D$146,MATCH($D932,Assumptions!$A$145:$A$146,0)),0)</f>
        <v>-133.26499999999999</v>
      </c>
      <c r="AG932" s="68">
        <f>IFERROR(INDEX(WaterUseH2[Average Direct Water Consumption (Gal/ kg h2)],MATCH(LEFT(D932,3),WaterUseH2[Key],0)),0)</f>
        <v>0</v>
      </c>
      <c r="AH932">
        <v>14</v>
      </c>
      <c r="AI932">
        <v>1.4</v>
      </c>
      <c r="AJ932">
        <v>250</v>
      </c>
      <c r="AK932">
        <v>0.31</v>
      </c>
      <c r="AL932" s="63">
        <f>IFERROR(INDEX(Job_Training[[Solar]:[Wind]],MATCH(AL$1,Job_Training[[`Typical Entry Level Education`]:[`Typical Entry Level Education`]],0),MATCH(LEFT($D932,5),Job_Training[[#Headers],[Solar]:[Wind]],0)),0)</f>
        <v>0</v>
      </c>
      <c r="AM932" s="63">
        <f>IFERROR(INDEX(Job_Training[[Solar]:[Wind]],MATCH(AM$1,Job_Training[[`Typical Entry Level Education`]:[`Typical Entry Level Education`]],0),MATCH(LEFT($D932,5),Job_Training[[#Headers],[Solar]:[Wind]],0)),0)</f>
        <v>0</v>
      </c>
      <c r="AN932" s="63">
        <f>IFERROR(INDEX(Job_Training[[Solar]:[Wind]],MATCH(AN$1,Job_Training[[`Typical Entry Level Education`]:[`Typical Entry Level Education`]],0),MATCH(LEFT($D932,5),Job_Training[[#Headers],[Solar]:[Wind]],0)),0)</f>
        <v>0</v>
      </c>
      <c r="AO932" s="63">
        <f>IFERROR(INDEX(Job_Training[[Solar]:[Wind]],MATCH(AO$1,Job_Training[[`Typical Entry Level Education`]:[`Typical Entry Level Education`]],0),MATCH(LEFT($D932,5),Job_Training[[#Headers],[Solar]:[Wind]],0)),0)</f>
        <v>0</v>
      </c>
      <c r="AP932">
        <f t="shared" si="262"/>
        <v>0</v>
      </c>
      <c r="AQ932" s="63">
        <f>IF(AP932&gt;0,IFERROR(INDEX(Assumptions!$C$165:$D$165,MATCH(LEFT($D932,5),Job_Training[[#Headers],[Solar]:[Wind]],0)),0),0)</f>
        <v>0</v>
      </c>
      <c r="AR932">
        <f>IF(AP932&gt;0,IFERROR(INDEX(Assumptions!$C$166:$D$166,MATCH(LEFT($D932,5),Job_Training[[#Headers],[Solar]:[Wind]],0)),0),0)</f>
        <v>0</v>
      </c>
    </row>
    <row r="933" spans="1:44" hidden="1" x14ac:dyDescent="0.35">
      <c r="A933" t="str">
        <f>UserInput!$B$82</f>
        <v>Incremental Buildout</v>
      </c>
      <c r="B933">
        <v>2032</v>
      </c>
      <c r="C933" t="s">
        <v>87</v>
      </c>
      <c r="D933" t="s">
        <v>91</v>
      </c>
      <c r="E933" s="66">
        <f>INDEX(UserInput!$C$82:$M$102,MATCH(UserMade_Scenario!B933,UserInput!$A$82:$A$102,0),MATCH(LEFT(IF(RIGHT(C933,2)="H2",UserMade_Scenario!C933,D933),3),UserInput!$C$25:$M$25,0))</f>
        <v>26.666666666666664</v>
      </c>
      <c r="F933" t="s">
        <v>89</v>
      </c>
      <c r="G933" s="14">
        <f t="shared" si="263"/>
        <v>2.9146666666666663E-5</v>
      </c>
      <c r="H933" s="63">
        <f t="shared" si="248"/>
        <v>9.9710746666666636E-4</v>
      </c>
      <c r="I933" s="63">
        <f t="shared" si="249"/>
        <v>9.9710746666666636E-4</v>
      </c>
      <c r="J933" s="63">
        <f t="shared" si="250"/>
        <v>3.8842305333333326E-3</v>
      </c>
      <c r="K933" s="30">
        <f>IF(OR(LEFT($D933,5)="Solar",$D933="Wind"),INDEX(Land_Use[AVG],MATCH(LEFT($D933,5),Land_Use[Tech],0)),0)*$E933</f>
        <v>0</v>
      </c>
      <c r="L933" s="30">
        <f>IF(OR(LEFT($D933,5)="Solar",$D933="Wind"),INDEX(Land_Use[MIN],MATCH(LEFT($D933,5),Land_Use[Tech],0)),0)*$E933</f>
        <v>0</v>
      </c>
      <c r="M933" s="30">
        <f>IF(OR(LEFT($D933,5)="Solar",$D933="Wind"),INDEX(Land_Use[MAX],MATCH(LEFT($D933,5),Land_Use[Tech],0)),0)*$E933</f>
        <v>0</v>
      </c>
      <c r="N933" s="15">
        <f t="shared" si="251"/>
        <v>0</v>
      </c>
      <c r="O933" s="11">
        <f t="shared" si="252"/>
        <v>0</v>
      </c>
      <c r="P933" s="11">
        <f t="shared" si="253"/>
        <v>0</v>
      </c>
      <c r="Q933" s="11">
        <f t="shared" si="254"/>
        <v>0</v>
      </c>
      <c r="R933" s="11">
        <f t="shared" si="255"/>
        <v>0</v>
      </c>
      <c r="S933" s="30">
        <f t="shared" si="256"/>
        <v>0</v>
      </c>
      <c r="T933" s="30">
        <f t="shared" si="257"/>
        <v>0</v>
      </c>
      <c r="U933" s="30">
        <f t="shared" si="258"/>
        <v>0</v>
      </c>
      <c r="V933" s="30">
        <f t="shared" si="259"/>
        <v>0</v>
      </c>
      <c r="W933" s="30">
        <f t="shared" si="260"/>
        <v>0</v>
      </c>
      <c r="X933" s="30">
        <f t="shared" si="261"/>
        <v>0</v>
      </c>
      <c r="Z933" s="23" t="s">
        <v>76</v>
      </c>
      <c r="AA933" s="40" t="str">
        <f>IF(C933="Electricity",E933*SUMIFS(Electricity!S:S,Electricity!P:P,UserMade_Scenario!B933,Electricity!M:M,UserMade_Scenario!Z933,Electricity!O:O,UserMade_Scenario!D933),"")</f>
        <v/>
      </c>
      <c r="AB933" s="67">
        <v>1.093E-6</v>
      </c>
      <c r="AC933" s="67" t="s">
        <v>90</v>
      </c>
      <c r="AD933" s="39">
        <f>IFERROR(INDEX(Assumptions!B$145:B$146,MATCH($D933,Assumptions!$A$145:$A$146,0)),0)</f>
        <v>-34.209999999999994</v>
      </c>
      <c r="AE933" s="39">
        <f>IFERROR(INDEX(Assumptions!C$145:C$146,MATCH($D933,Assumptions!$A$145:$A$146,0)),0)</f>
        <v>-34.209999999999994</v>
      </c>
      <c r="AF933" s="39">
        <f>IFERROR(INDEX(Assumptions!D$145:D$146,MATCH($D933,Assumptions!$A$145:$A$146,0)),0)</f>
        <v>-133.26499999999999</v>
      </c>
      <c r="AG933" s="68">
        <f>IFERROR(INDEX(WaterUseH2[Average Direct Water Consumption (Gal/ kg h2)],MATCH(LEFT(D933,3),WaterUseH2[Key],0)),0)</f>
        <v>0</v>
      </c>
      <c r="AH933">
        <v>14</v>
      </c>
      <c r="AI933">
        <v>1.4</v>
      </c>
      <c r="AJ933">
        <v>250</v>
      </c>
      <c r="AK933">
        <v>0.31</v>
      </c>
      <c r="AL933" s="63">
        <f>IFERROR(INDEX(Job_Training[[Solar]:[Wind]],MATCH(AL$1,Job_Training[[`Typical Entry Level Education`]:[`Typical Entry Level Education`]],0),MATCH(LEFT($D933,5),Job_Training[[#Headers],[Solar]:[Wind]],0)),0)</f>
        <v>0</v>
      </c>
      <c r="AM933" s="63">
        <f>IFERROR(INDEX(Job_Training[[Solar]:[Wind]],MATCH(AM$1,Job_Training[[`Typical Entry Level Education`]:[`Typical Entry Level Education`]],0),MATCH(LEFT($D933,5),Job_Training[[#Headers],[Solar]:[Wind]],0)),0)</f>
        <v>0</v>
      </c>
      <c r="AN933" s="63">
        <f>IFERROR(INDEX(Job_Training[[Solar]:[Wind]],MATCH(AN$1,Job_Training[[`Typical Entry Level Education`]:[`Typical Entry Level Education`]],0),MATCH(LEFT($D933,5),Job_Training[[#Headers],[Solar]:[Wind]],0)),0)</f>
        <v>0</v>
      </c>
      <c r="AO933" s="63">
        <f>IFERROR(INDEX(Job_Training[[Solar]:[Wind]],MATCH(AO$1,Job_Training[[`Typical Entry Level Education`]:[`Typical Entry Level Education`]],0),MATCH(LEFT($D933,5),Job_Training[[#Headers],[Solar]:[Wind]],0)),0)</f>
        <v>0</v>
      </c>
      <c r="AP933">
        <f t="shared" si="262"/>
        <v>0</v>
      </c>
      <c r="AQ933" s="63">
        <f>IF(AP933&gt;0,IFERROR(INDEX(Assumptions!$C$165:$D$165,MATCH(LEFT($D933,5),Job_Training[[#Headers],[Solar]:[Wind]],0)),0),0)</f>
        <v>0</v>
      </c>
      <c r="AR933">
        <f>IF(AP933&gt;0,IFERROR(INDEX(Assumptions!$C$166:$D$166,MATCH(LEFT($D933,5),Job_Training[[#Headers],[Solar]:[Wind]],0)),0),0)</f>
        <v>0</v>
      </c>
    </row>
    <row r="934" spans="1:44" hidden="1" x14ac:dyDescent="0.35">
      <c r="A934" t="str">
        <f>UserInput!$B$82</f>
        <v>Incremental Buildout</v>
      </c>
      <c r="B934">
        <v>2033</v>
      </c>
      <c r="C934" t="s">
        <v>87</v>
      </c>
      <c r="D934" t="s">
        <v>91</v>
      </c>
      <c r="E934" s="66">
        <f>INDEX(UserInput!$C$82:$M$102,MATCH(UserMade_Scenario!B934,UserInput!$A$82:$A$102,0),MATCH(LEFT(IF(RIGHT(C934,2)="H2",UserMade_Scenario!C934,D934),3),UserInput!$C$25:$M$25,0))</f>
        <v>29.999999999999996</v>
      </c>
      <c r="F934" t="s">
        <v>89</v>
      </c>
      <c r="G934" s="14">
        <f t="shared" si="263"/>
        <v>3.2789999999999996E-5</v>
      </c>
      <c r="H934" s="63">
        <f t="shared" si="248"/>
        <v>1.1217458999999996E-3</v>
      </c>
      <c r="I934" s="63">
        <f t="shared" si="249"/>
        <v>1.1217458999999996E-3</v>
      </c>
      <c r="J934" s="63">
        <f t="shared" si="250"/>
        <v>4.3697593499999994E-3</v>
      </c>
      <c r="K934" s="30">
        <f>IF(OR(LEFT($D934,5)="Solar",$D934="Wind"),INDEX(Land_Use[AVG],MATCH(LEFT($D934,5),Land_Use[Tech],0)),0)*$E934</f>
        <v>0</v>
      </c>
      <c r="L934" s="30">
        <f>IF(OR(LEFT($D934,5)="Solar",$D934="Wind"),INDEX(Land_Use[MIN],MATCH(LEFT($D934,5),Land_Use[Tech],0)),0)*$E934</f>
        <v>0</v>
      </c>
      <c r="M934" s="30">
        <f>IF(OR(LEFT($D934,5)="Solar",$D934="Wind"),INDEX(Land_Use[MAX],MATCH(LEFT($D934,5),Land_Use[Tech],0)),0)*$E934</f>
        <v>0</v>
      </c>
      <c r="N934" s="15">
        <f t="shared" si="251"/>
        <v>0</v>
      </c>
      <c r="O934" s="11">
        <f t="shared" si="252"/>
        <v>0</v>
      </c>
      <c r="P934" s="11">
        <f t="shared" si="253"/>
        <v>0</v>
      </c>
      <c r="Q934" s="11">
        <f t="shared" si="254"/>
        <v>0</v>
      </c>
      <c r="R934" s="11">
        <f t="shared" si="255"/>
        <v>0</v>
      </c>
      <c r="S934" s="30">
        <f t="shared" si="256"/>
        <v>0</v>
      </c>
      <c r="T934" s="30">
        <f t="shared" si="257"/>
        <v>0</v>
      </c>
      <c r="U934" s="30">
        <f t="shared" si="258"/>
        <v>0</v>
      </c>
      <c r="V934" s="30">
        <f t="shared" si="259"/>
        <v>0</v>
      </c>
      <c r="W934" s="30">
        <f t="shared" si="260"/>
        <v>0</v>
      </c>
      <c r="X934" s="30">
        <f t="shared" si="261"/>
        <v>0</v>
      </c>
      <c r="Z934" s="23" t="s">
        <v>76</v>
      </c>
      <c r="AA934" s="40" t="str">
        <f>IF(C934="Electricity",E934*SUMIFS(Electricity!S:S,Electricity!P:P,UserMade_Scenario!B934,Electricity!M:M,UserMade_Scenario!Z934,Electricity!O:O,UserMade_Scenario!D934),"")</f>
        <v/>
      </c>
      <c r="AB934" s="67">
        <v>1.093E-6</v>
      </c>
      <c r="AC934" s="67" t="s">
        <v>90</v>
      </c>
      <c r="AD934" s="39">
        <f>IFERROR(INDEX(Assumptions!B$145:B$146,MATCH($D934,Assumptions!$A$145:$A$146,0)),0)</f>
        <v>-34.209999999999994</v>
      </c>
      <c r="AE934" s="39">
        <f>IFERROR(INDEX(Assumptions!C$145:C$146,MATCH($D934,Assumptions!$A$145:$A$146,0)),0)</f>
        <v>-34.209999999999994</v>
      </c>
      <c r="AF934" s="39">
        <f>IFERROR(INDEX(Assumptions!D$145:D$146,MATCH($D934,Assumptions!$A$145:$A$146,0)),0)</f>
        <v>-133.26499999999999</v>
      </c>
      <c r="AG934" s="68">
        <f>IFERROR(INDEX(WaterUseH2[Average Direct Water Consumption (Gal/ kg h2)],MATCH(LEFT(D934,3),WaterUseH2[Key],0)),0)</f>
        <v>0</v>
      </c>
      <c r="AH934">
        <v>14</v>
      </c>
      <c r="AI934">
        <v>1.4</v>
      </c>
      <c r="AJ934">
        <v>250</v>
      </c>
      <c r="AK934">
        <v>0.31</v>
      </c>
      <c r="AL934" s="63">
        <f>IFERROR(INDEX(Job_Training[[Solar]:[Wind]],MATCH(AL$1,Job_Training[[`Typical Entry Level Education`]:[`Typical Entry Level Education`]],0),MATCH(LEFT($D934,5),Job_Training[[#Headers],[Solar]:[Wind]],0)),0)</f>
        <v>0</v>
      </c>
      <c r="AM934" s="63">
        <f>IFERROR(INDEX(Job_Training[[Solar]:[Wind]],MATCH(AM$1,Job_Training[[`Typical Entry Level Education`]:[`Typical Entry Level Education`]],0),MATCH(LEFT($D934,5),Job_Training[[#Headers],[Solar]:[Wind]],0)),0)</f>
        <v>0</v>
      </c>
      <c r="AN934" s="63">
        <f>IFERROR(INDEX(Job_Training[[Solar]:[Wind]],MATCH(AN$1,Job_Training[[`Typical Entry Level Education`]:[`Typical Entry Level Education`]],0),MATCH(LEFT($D934,5),Job_Training[[#Headers],[Solar]:[Wind]],0)),0)</f>
        <v>0</v>
      </c>
      <c r="AO934" s="63">
        <f>IFERROR(INDEX(Job_Training[[Solar]:[Wind]],MATCH(AO$1,Job_Training[[`Typical Entry Level Education`]:[`Typical Entry Level Education`]],0),MATCH(LEFT($D934,5),Job_Training[[#Headers],[Solar]:[Wind]],0)),0)</f>
        <v>0</v>
      </c>
      <c r="AP934">
        <f t="shared" si="262"/>
        <v>0</v>
      </c>
      <c r="AQ934" s="63">
        <f>IF(AP934&gt;0,IFERROR(INDEX(Assumptions!$C$165:$D$165,MATCH(LEFT($D934,5),Job_Training[[#Headers],[Solar]:[Wind]],0)),0),0)</f>
        <v>0</v>
      </c>
      <c r="AR934">
        <f>IF(AP934&gt;0,IFERROR(INDEX(Assumptions!$C$166:$D$166,MATCH(LEFT($D934,5),Job_Training[[#Headers],[Solar]:[Wind]],0)),0),0)</f>
        <v>0</v>
      </c>
    </row>
    <row r="935" spans="1:44" hidden="1" x14ac:dyDescent="0.35">
      <c r="A935" t="str">
        <f>UserInput!$B$82</f>
        <v>Incremental Buildout</v>
      </c>
      <c r="B935">
        <v>2034</v>
      </c>
      <c r="C935" t="s">
        <v>87</v>
      </c>
      <c r="D935" t="s">
        <v>91</v>
      </c>
      <c r="E935" s="66">
        <f>INDEX(UserInput!$C$82:$M$102,MATCH(UserMade_Scenario!B935,UserInput!$A$82:$A$102,0),MATCH(LEFT(IF(RIGHT(C935,2)="H2",UserMade_Scenario!C935,D935),3),UserInput!$C$25:$M$25,0))</f>
        <v>33.333333333333329</v>
      </c>
      <c r="F935" t="s">
        <v>89</v>
      </c>
      <c r="G935" s="14">
        <f t="shared" si="263"/>
        <v>3.6433333333333336E-5</v>
      </c>
      <c r="H935" s="63">
        <f t="shared" si="248"/>
        <v>1.2463843333333333E-3</v>
      </c>
      <c r="I935" s="63">
        <f t="shared" si="249"/>
        <v>1.2463843333333333E-3</v>
      </c>
      <c r="J935" s="63">
        <f t="shared" si="250"/>
        <v>4.8552881666666667E-3</v>
      </c>
      <c r="K935" s="30">
        <f>IF(OR(LEFT($D935,5)="Solar",$D935="Wind"),INDEX(Land_Use[AVG],MATCH(LEFT($D935,5),Land_Use[Tech],0)),0)*$E935</f>
        <v>0</v>
      </c>
      <c r="L935" s="30">
        <f>IF(OR(LEFT($D935,5)="Solar",$D935="Wind"),INDEX(Land_Use[MIN],MATCH(LEFT($D935,5),Land_Use[Tech],0)),0)*$E935</f>
        <v>0</v>
      </c>
      <c r="M935" s="30">
        <f>IF(OR(LEFT($D935,5)="Solar",$D935="Wind"),INDEX(Land_Use[MAX],MATCH(LEFT($D935,5),Land_Use[Tech],0)),0)*$E935</f>
        <v>0</v>
      </c>
      <c r="N935" s="15">
        <f t="shared" si="251"/>
        <v>0</v>
      </c>
      <c r="O935" s="11">
        <f t="shared" si="252"/>
        <v>0</v>
      </c>
      <c r="P935" s="11">
        <f t="shared" si="253"/>
        <v>0</v>
      </c>
      <c r="Q935" s="11">
        <f t="shared" si="254"/>
        <v>0</v>
      </c>
      <c r="R935" s="11">
        <f t="shared" si="255"/>
        <v>0</v>
      </c>
      <c r="S935" s="30">
        <f t="shared" si="256"/>
        <v>0</v>
      </c>
      <c r="T935" s="30">
        <f t="shared" si="257"/>
        <v>0</v>
      </c>
      <c r="U935" s="30">
        <f t="shared" si="258"/>
        <v>0</v>
      </c>
      <c r="V935" s="30">
        <f t="shared" si="259"/>
        <v>0</v>
      </c>
      <c r="W935" s="30">
        <f t="shared" si="260"/>
        <v>0</v>
      </c>
      <c r="X935" s="30">
        <f t="shared" si="261"/>
        <v>0</v>
      </c>
      <c r="Z935" s="23" t="s">
        <v>76</v>
      </c>
      <c r="AA935" s="40" t="str">
        <f>IF(C935="Electricity",E935*SUMIFS(Electricity!S:S,Electricity!P:P,UserMade_Scenario!B935,Electricity!M:M,UserMade_Scenario!Z935,Electricity!O:O,UserMade_Scenario!D935),"")</f>
        <v/>
      </c>
      <c r="AB935" s="67">
        <v>1.0930000000000002E-6</v>
      </c>
      <c r="AC935" s="67" t="s">
        <v>90</v>
      </c>
      <c r="AD935" s="39">
        <f>IFERROR(INDEX(Assumptions!B$145:B$146,MATCH($D935,Assumptions!$A$145:$A$146,0)),0)</f>
        <v>-34.209999999999994</v>
      </c>
      <c r="AE935" s="39">
        <f>IFERROR(INDEX(Assumptions!C$145:C$146,MATCH($D935,Assumptions!$A$145:$A$146,0)),0)</f>
        <v>-34.209999999999994</v>
      </c>
      <c r="AF935" s="39">
        <f>IFERROR(INDEX(Assumptions!D$145:D$146,MATCH($D935,Assumptions!$A$145:$A$146,0)),0)</f>
        <v>-133.26499999999999</v>
      </c>
      <c r="AG935" s="68">
        <f>IFERROR(INDEX(WaterUseH2[Average Direct Water Consumption (Gal/ kg h2)],MATCH(LEFT(D935,3),WaterUseH2[Key],0)),0)</f>
        <v>0</v>
      </c>
      <c r="AH935">
        <v>14</v>
      </c>
      <c r="AI935">
        <v>1.4</v>
      </c>
      <c r="AJ935">
        <v>250</v>
      </c>
      <c r="AK935">
        <v>0.31</v>
      </c>
      <c r="AL935" s="63">
        <f>IFERROR(INDEX(Job_Training[[Solar]:[Wind]],MATCH(AL$1,Job_Training[[`Typical Entry Level Education`]:[`Typical Entry Level Education`]],0),MATCH(LEFT($D935,5),Job_Training[[#Headers],[Solar]:[Wind]],0)),0)</f>
        <v>0</v>
      </c>
      <c r="AM935" s="63">
        <f>IFERROR(INDEX(Job_Training[[Solar]:[Wind]],MATCH(AM$1,Job_Training[[`Typical Entry Level Education`]:[`Typical Entry Level Education`]],0),MATCH(LEFT($D935,5),Job_Training[[#Headers],[Solar]:[Wind]],0)),0)</f>
        <v>0</v>
      </c>
      <c r="AN935" s="63">
        <f>IFERROR(INDEX(Job_Training[[Solar]:[Wind]],MATCH(AN$1,Job_Training[[`Typical Entry Level Education`]:[`Typical Entry Level Education`]],0),MATCH(LEFT($D935,5),Job_Training[[#Headers],[Solar]:[Wind]],0)),0)</f>
        <v>0</v>
      </c>
      <c r="AO935" s="63">
        <f>IFERROR(INDEX(Job_Training[[Solar]:[Wind]],MATCH(AO$1,Job_Training[[`Typical Entry Level Education`]:[`Typical Entry Level Education`]],0),MATCH(LEFT($D935,5),Job_Training[[#Headers],[Solar]:[Wind]],0)),0)</f>
        <v>0</v>
      </c>
      <c r="AP935">
        <f t="shared" si="262"/>
        <v>0</v>
      </c>
      <c r="AQ935" s="63">
        <f>IF(AP935&gt;0,IFERROR(INDEX(Assumptions!$C$165:$D$165,MATCH(LEFT($D935,5),Job_Training[[#Headers],[Solar]:[Wind]],0)),0),0)</f>
        <v>0</v>
      </c>
      <c r="AR935">
        <f>IF(AP935&gt;0,IFERROR(INDEX(Assumptions!$C$166:$D$166,MATCH(LEFT($D935,5),Job_Training[[#Headers],[Solar]:[Wind]],0)),0),0)</f>
        <v>0</v>
      </c>
    </row>
    <row r="936" spans="1:44" hidden="1" x14ac:dyDescent="0.35">
      <c r="A936" t="str">
        <f>UserInput!$B$82</f>
        <v>Incremental Buildout</v>
      </c>
      <c r="B936">
        <v>2035</v>
      </c>
      <c r="C936" t="s">
        <v>87</v>
      </c>
      <c r="D936" t="s">
        <v>91</v>
      </c>
      <c r="E936" s="66">
        <f>INDEX(UserInput!$C$82:$M$102,MATCH(UserMade_Scenario!B936,UserInput!$A$82:$A$102,0),MATCH(LEFT(IF(RIGHT(C936,2)="H2",UserMade_Scenario!C936,D936),3),UserInput!$C$25:$M$25,0))</f>
        <v>36.666666666666664</v>
      </c>
      <c r="F936" t="s">
        <v>89</v>
      </c>
      <c r="G936" s="14">
        <f t="shared" si="263"/>
        <v>4.0076666666666669E-5</v>
      </c>
      <c r="H936" s="63">
        <f t="shared" si="248"/>
        <v>1.3710227666666665E-3</v>
      </c>
      <c r="I936" s="63">
        <f t="shared" si="249"/>
        <v>1.3710227666666665E-3</v>
      </c>
      <c r="J936" s="63">
        <f t="shared" si="250"/>
        <v>5.3408169833333331E-3</v>
      </c>
      <c r="K936" s="30">
        <f>IF(OR(LEFT($D936,5)="Solar",$D936="Wind"),INDEX(Land_Use[AVG],MATCH(LEFT($D936,5),Land_Use[Tech],0)),0)*$E936</f>
        <v>0</v>
      </c>
      <c r="L936" s="30">
        <f>IF(OR(LEFT($D936,5)="Solar",$D936="Wind"),INDEX(Land_Use[MIN],MATCH(LEFT($D936,5),Land_Use[Tech],0)),0)*$E936</f>
        <v>0</v>
      </c>
      <c r="M936" s="30">
        <f>IF(OR(LEFT($D936,5)="Solar",$D936="Wind"),INDEX(Land_Use[MAX],MATCH(LEFT($D936,5),Land_Use[Tech],0)),0)*$E936</f>
        <v>0</v>
      </c>
      <c r="N936" s="15">
        <f t="shared" si="251"/>
        <v>0</v>
      </c>
      <c r="O936" s="11">
        <f t="shared" si="252"/>
        <v>0</v>
      </c>
      <c r="P936" s="11">
        <f t="shared" si="253"/>
        <v>0</v>
      </c>
      <c r="Q936" s="11">
        <f t="shared" si="254"/>
        <v>0</v>
      </c>
      <c r="R936" s="11">
        <f t="shared" si="255"/>
        <v>0</v>
      </c>
      <c r="S936" s="30">
        <f t="shared" si="256"/>
        <v>0</v>
      </c>
      <c r="T936" s="30">
        <f t="shared" si="257"/>
        <v>0</v>
      </c>
      <c r="U936" s="30">
        <f t="shared" si="258"/>
        <v>0</v>
      </c>
      <c r="V936" s="30">
        <f t="shared" si="259"/>
        <v>0</v>
      </c>
      <c r="W936" s="30">
        <f t="shared" si="260"/>
        <v>0</v>
      </c>
      <c r="X936" s="30">
        <f t="shared" si="261"/>
        <v>0</v>
      </c>
      <c r="Z936" s="23" t="s">
        <v>76</v>
      </c>
      <c r="AA936" s="40" t="str">
        <f>IF(C936="Electricity",E936*SUMIFS(Electricity!S:S,Electricity!P:P,UserMade_Scenario!B936,Electricity!M:M,UserMade_Scenario!Z936,Electricity!O:O,UserMade_Scenario!D936),"")</f>
        <v/>
      </c>
      <c r="AB936" s="67">
        <v>1.0930000000000002E-6</v>
      </c>
      <c r="AC936" s="67" t="s">
        <v>90</v>
      </c>
      <c r="AD936" s="39">
        <f>IFERROR(INDEX(Assumptions!B$145:B$146,MATCH($D936,Assumptions!$A$145:$A$146,0)),0)</f>
        <v>-34.209999999999994</v>
      </c>
      <c r="AE936" s="39">
        <f>IFERROR(INDEX(Assumptions!C$145:C$146,MATCH($D936,Assumptions!$A$145:$A$146,0)),0)</f>
        <v>-34.209999999999994</v>
      </c>
      <c r="AF936" s="39">
        <f>IFERROR(INDEX(Assumptions!D$145:D$146,MATCH($D936,Assumptions!$A$145:$A$146,0)),0)</f>
        <v>-133.26499999999999</v>
      </c>
      <c r="AG936" s="68">
        <f>IFERROR(INDEX(WaterUseH2[Average Direct Water Consumption (Gal/ kg h2)],MATCH(LEFT(D936,3),WaterUseH2[Key],0)),0)</f>
        <v>0</v>
      </c>
      <c r="AH936">
        <v>14</v>
      </c>
      <c r="AI936">
        <v>1.4</v>
      </c>
      <c r="AJ936">
        <v>250</v>
      </c>
      <c r="AK936">
        <v>0.31</v>
      </c>
      <c r="AL936" s="63">
        <f>IFERROR(INDEX(Job_Training[[Solar]:[Wind]],MATCH(AL$1,Job_Training[[`Typical Entry Level Education`]:[`Typical Entry Level Education`]],0),MATCH(LEFT($D936,5),Job_Training[[#Headers],[Solar]:[Wind]],0)),0)</f>
        <v>0</v>
      </c>
      <c r="AM936" s="63">
        <f>IFERROR(INDEX(Job_Training[[Solar]:[Wind]],MATCH(AM$1,Job_Training[[`Typical Entry Level Education`]:[`Typical Entry Level Education`]],0),MATCH(LEFT($D936,5),Job_Training[[#Headers],[Solar]:[Wind]],0)),0)</f>
        <v>0</v>
      </c>
      <c r="AN936" s="63">
        <f>IFERROR(INDEX(Job_Training[[Solar]:[Wind]],MATCH(AN$1,Job_Training[[`Typical Entry Level Education`]:[`Typical Entry Level Education`]],0),MATCH(LEFT($D936,5),Job_Training[[#Headers],[Solar]:[Wind]],0)),0)</f>
        <v>0</v>
      </c>
      <c r="AO936" s="63">
        <f>IFERROR(INDEX(Job_Training[[Solar]:[Wind]],MATCH(AO$1,Job_Training[[`Typical Entry Level Education`]:[`Typical Entry Level Education`]],0),MATCH(LEFT($D936,5),Job_Training[[#Headers],[Solar]:[Wind]],0)),0)</f>
        <v>0</v>
      </c>
      <c r="AP936">
        <f t="shared" si="262"/>
        <v>0</v>
      </c>
      <c r="AQ936" s="63">
        <f>IF(AP936&gt;0,IFERROR(INDEX(Assumptions!$C$165:$D$165,MATCH(LEFT($D936,5),Job_Training[[#Headers],[Solar]:[Wind]],0)),0),0)</f>
        <v>0</v>
      </c>
      <c r="AR936">
        <f>IF(AP936&gt;0,IFERROR(INDEX(Assumptions!$C$166:$D$166,MATCH(LEFT($D936,5),Job_Training[[#Headers],[Solar]:[Wind]],0)),0),0)</f>
        <v>0</v>
      </c>
    </row>
    <row r="937" spans="1:44" hidden="1" x14ac:dyDescent="0.35">
      <c r="A937" t="str">
        <f>UserInput!$B$82</f>
        <v>Incremental Buildout</v>
      </c>
      <c r="B937">
        <v>2036</v>
      </c>
      <c r="C937" t="s">
        <v>87</v>
      </c>
      <c r="D937" t="s">
        <v>91</v>
      </c>
      <c r="E937" s="66">
        <f>INDEX(UserInput!$C$82:$M$102,MATCH(UserMade_Scenario!B937,UserInput!$A$82:$A$102,0),MATCH(LEFT(IF(RIGHT(C937,2)="H2",UserMade_Scenario!C937,D937),3),UserInput!$C$25:$M$25,0))</f>
        <v>40</v>
      </c>
      <c r="F937" t="s">
        <v>89</v>
      </c>
      <c r="G937" s="14">
        <f t="shared" si="263"/>
        <v>4.3720000000000008E-5</v>
      </c>
      <c r="H937" s="63">
        <f t="shared" si="248"/>
        <v>1.4956612E-3</v>
      </c>
      <c r="I937" s="63">
        <f t="shared" si="249"/>
        <v>1.4956612E-3</v>
      </c>
      <c r="J937" s="63">
        <f t="shared" si="250"/>
        <v>5.8263458000000004E-3</v>
      </c>
      <c r="K937" s="30">
        <f>IF(OR(LEFT($D937,5)="Solar",$D937="Wind"),INDEX(Land_Use[AVG],MATCH(LEFT($D937,5),Land_Use[Tech],0)),0)*$E937</f>
        <v>0</v>
      </c>
      <c r="L937" s="30">
        <f>IF(OR(LEFT($D937,5)="Solar",$D937="Wind"),INDEX(Land_Use[MIN],MATCH(LEFT($D937,5),Land_Use[Tech],0)),0)*$E937</f>
        <v>0</v>
      </c>
      <c r="M937" s="30">
        <f>IF(OR(LEFT($D937,5)="Solar",$D937="Wind"),INDEX(Land_Use[MAX],MATCH(LEFT($D937,5),Land_Use[Tech],0)),0)*$E937</f>
        <v>0</v>
      </c>
      <c r="N937" s="15">
        <f t="shared" si="251"/>
        <v>0</v>
      </c>
      <c r="O937" s="11">
        <f t="shared" si="252"/>
        <v>0</v>
      </c>
      <c r="P937" s="11">
        <f t="shared" si="253"/>
        <v>0</v>
      </c>
      <c r="Q937" s="11">
        <f t="shared" si="254"/>
        <v>0</v>
      </c>
      <c r="R937" s="11">
        <f t="shared" si="255"/>
        <v>0</v>
      </c>
      <c r="S937" s="30">
        <f t="shared" si="256"/>
        <v>0</v>
      </c>
      <c r="T937" s="30">
        <f t="shared" si="257"/>
        <v>0</v>
      </c>
      <c r="U937" s="30">
        <f t="shared" si="258"/>
        <v>0</v>
      </c>
      <c r="V937" s="30">
        <f t="shared" si="259"/>
        <v>0</v>
      </c>
      <c r="W937" s="30">
        <f t="shared" si="260"/>
        <v>0</v>
      </c>
      <c r="X937" s="30">
        <f t="shared" si="261"/>
        <v>0</v>
      </c>
      <c r="Z937" s="23" t="s">
        <v>76</v>
      </c>
      <c r="AA937" s="40" t="str">
        <f>IF(C937="Electricity",E937*SUMIFS(Electricity!S:S,Electricity!P:P,UserMade_Scenario!B937,Electricity!M:M,UserMade_Scenario!Z937,Electricity!O:O,UserMade_Scenario!D937),"")</f>
        <v/>
      </c>
      <c r="AB937" s="67">
        <v>1.0930000000000002E-6</v>
      </c>
      <c r="AC937" s="67" t="s">
        <v>90</v>
      </c>
      <c r="AD937" s="39">
        <f>IFERROR(INDEX(Assumptions!B$145:B$146,MATCH($D937,Assumptions!$A$145:$A$146,0)),0)</f>
        <v>-34.209999999999994</v>
      </c>
      <c r="AE937" s="39">
        <f>IFERROR(INDEX(Assumptions!C$145:C$146,MATCH($D937,Assumptions!$A$145:$A$146,0)),0)</f>
        <v>-34.209999999999994</v>
      </c>
      <c r="AF937" s="39">
        <f>IFERROR(INDEX(Assumptions!D$145:D$146,MATCH($D937,Assumptions!$A$145:$A$146,0)),0)</f>
        <v>-133.26499999999999</v>
      </c>
      <c r="AG937" s="68">
        <f>IFERROR(INDEX(WaterUseH2[Average Direct Water Consumption (Gal/ kg h2)],MATCH(LEFT(D937,3),WaterUseH2[Key],0)),0)</f>
        <v>0</v>
      </c>
      <c r="AH937">
        <v>14</v>
      </c>
      <c r="AI937">
        <v>1.4</v>
      </c>
      <c r="AJ937">
        <v>250</v>
      </c>
      <c r="AK937">
        <v>0.31</v>
      </c>
      <c r="AL937" s="63">
        <f>IFERROR(INDEX(Job_Training[[Solar]:[Wind]],MATCH(AL$1,Job_Training[[`Typical Entry Level Education`]:[`Typical Entry Level Education`]],0),MATCH(LEFT($D937,5),Job_Training[[#Headers],[Solar]:[Wind]],0)),0)</f>
        <v>0</v>
      </c>
      <c r="AM937" s="63">
        <f>IFERROR(INDEX(Job_Training[[Solar]:[Wind]],MATCH(AM$1,Job_Training[[`Typical Entry Level Education`]:[`Typical Entry Level Education`]],0),MATCH(LEFT($D937,5),Job_Training[[#Headers],[Solar]:[Wind]],0)),0)</f>
        <v>0</v>
      </c>
      <c r="AN937" s="63">
        <f>IFERROR(INDEX(Job_Training[[Solar]:[Wind]],MATCH(AN$1,Job_Training[[`Typical Entry Level Education`]:[`Typical Entry Level Education`]],0),MATCH(LEFT($D937,5),Job_Training[[#Headers],[Solar]:[Wind]],0)),0)</f>
        <v>0</v>
      </c>
      <c r="AO937" s="63">
        <f>IFERROR(INDEX(Job_Training[[Solar]:[Wind]],MATCH(AO$1,Job_Training[[`Typical Entry Level Education`]:[`Typical Entry Level Education`]],0),MATCH(LEFT($D937,5),Job_Training[[#Headers],[Solar]:[Wind]],0)),0)</f>
        <v>0</v>
      </c>
      <c r="AP937">
        <f t="shared" si="262"/>
        <v>0</v>
      </c>
      <c r="AQ937" s="63">
        <f>IF(AP937&gt;0,IFERROR(INDEX(Assumptions!$C$165:$D$165,MATCH(LEFT($D937,5),Job_Training[[#Headers],[Solar]:[Wind]],0)),0),0)</f>
        <v>0</v>
      </c>
      <c r="AR937">
        <f>IF(AP937&gt;0,IFERROR(INDEX(Assumptions!$C$166:$D$166,MATCH(LEFT($D937,5),Job_Training[[#Headers],[Solar]:[Wind]],0)),0),0)</f>
        <v>0</v>
      </c>
    </row>
    <row r="938" spans="1:44" hidden="1" x14ac:dyDescent="0.35">
      <c r="A938" t="str">
        <f>UserInput!$B$82</f>
        <v>Incremental Buildout</v>
      </c>
      <c r="B938">
        <v>2037</v>
      </c>
      <c r="C938" t="s">
        <v>87</v>
      </c>
      <c r="D938" t="s">
        <v>91</v>
      </c>
      <c r="E938" s="66">
        <f>INDEX(UserInput!$C$82:$M$102,MATCH(UserMade_Scenario!B938,UserInput!$A$82:$A$102,0),MATCH(LEFT(IF(RIGHT(C938,2)="H2",UserMade_Scenario!C938,D938),3),UserInput!$C$25:$M$25,0))</f>
        <v>43.333333333333336</v>
      </c>
      <c r="F938" t="s">
        <v>89</v>
      </c>
      <c r="G938" s="14">
        <f t="shared" si="263"/>
        <v>4.7363333333333341E-5</v>
      </c>
      <c r="H938" s="63">
        <f t="shared" si="248"/>
        <v>1.6202996333333332E-3</v>
      </c>
      <c r="I938" s="63">
        <f t="shared" si="249"/>
        <v>1.6202996333333332E-3</v>
      </c>
      <c r="J938" s="63">
        <f t="shared" si="250"/>
        <v>6.3118746166666668E-3</v>
      </c>
      <c r="K938" s="30">
        <f>IF(OR(LEFT($D938,5)="Solar",$D938="Wind"),INDEX(Land_Use[AVG],MATCH(LEFT($D938,5),Land_Use[Tech],0)),0)*$E938</f>
        <v>0</v>
      </c>
      <c r="L938" s="30">
        <f>IF(OR(LEFT($D938,5)="Solar",$D938="Wind"),INDEX(Land_Use[MIN],MATCH(LEFT($D938,5),Land_Use[Tech],0)),0)*$E938</f>
        <v>0</v>
      </c>
      <c r="M938" s="30">
        <f>IF(OR(LEFT($D938,5)="Solar",$D938="Wind"),INDEX(Land_Use[MAX],MATCH(LEFT($D938,5),Land_Use[Tech],0)),0)*$E938</f>
        <v>0</v>
      </c>
      <c r="N938" s="15">
        <f t="shared" si="251"/>
        <v>0</v>
      </c>
      <c r="O938" s="11">
        <f t="shared" si="252"/>
        <v>0</v>
      </c>
      <c r="P938" s="11">
        <f t="shared" si="253"/>
        <v>0</v>
      </c>
      <c r="Q938" s="11">
        <f t="shared" si="254"/>
        <v>0</v>
      </c>
      <c r="R938" s="11">
        <f t="shared" si="255"/>
        <v>0</v>
      </c>
      <c r="S938" s="30">
        <f t="shared" si="256"/>
        <v>0</v>
      </c>
      <c r="T938" s="30">
        <f t="shared" si="257"/>
        <v>0</v>
      </c>
      <c r="U938" s="30">
        <f t="shared" si="258"/>
        <v>0</v>
      </c>
      <c r="V938" s="30">
        <f t="shared" si="259"/>
        <v>0</v>
      </c>
      <c r="W938" s="30">
        <f t="shared" si="260"/>
        <v>0</v>
      </c>
      <c r="X938" s="30">
        <f t="shared" si="261"/>
        <v>0</v>
      </c>
      <c r="Z938" s="23" t="s">
        <v>76</v>
      </c>
      <c r="AA938" s="40" t="str">
        <f>IF(C938="Electricity",E938*SUMIFS(Electricity!S:S,Electricity!P:P,UserMade_Scenario!B938,Electricity!M:M,UserMade_Scenario!Z938,Electricity!O:O,UserMade_Scenario!D938),"")</f>
        <v/>
      </c>
      <c r="AB938" s="67">
        <v>1.0930000000000002E-6</v>
      </c>
      <c r="AC938" s="67" t="s">
        <v>90</v>
      </c>
      <c r="AD938" s="39">
        <f>IFERROR(INDEX(Assumptions!B$145:B$146,MATCH($D938,Assumptions!$A$145:$A$146,0)),0)</f>
        <v>-34.209999999999994</v>
      </c>
      <c r="AE938" s="39">
        <f>IFERROR(INDEX(Assumptions!C$145:C$146,MATCH($D938,Assumptions!$A$145:$A$146,0)),0)</f>
        <v>-34.209999999999994</v>
      </c>
      <c r="AF938" s="39">
        <f>IFERROR(INDEX(Assumptions!D$145:D$146,MATCH($D938,Assumptions!$A$145:$A$146,0)),0)</f>
        <v>-133.26499999999999</v>
      </c>
      <c r="AG938" s="68">
        <f>IFERROR(INDEX(WaterUseH2[Average Direct Water Consumption (Gal/ kg h2)],MATCH(LEFT(D938,3),WaterUseH2[Key],0)),0)</f>
        <v>0</v>
      </c>
      <c r="AH938">
        <v>14</v>
      </c>
      <c r="AI938">
        <v>1.4</v>
      </c>
      <c r="AJ938">
        <v>250</v>
      </c>
      <c r="AK938">
        <v>0.31</v>
      </c>
      <c r="AL938" s="63">
        <f>IFERROR(INDEX(Job_Training[[Solar]:[Wind]],MATCH(AL$1,Job_Training[[`Typical Entry Level Education`]:[`Typical Entry Level Education`]],0),MATCH(LEFT($D938,5),Job_Training[[#Headers],[Solar]:[Wind]],0)),0)</f>
        <v>0</v>
      </c>
      <c r="AM938" s="63">
        <f>IFERROR(INDEX(Job_Training[[Solar]:[Wind]],MATCH(AM$1,Job_Training[[`Typical Entry Level Education`]:[`Typical Entry Level Education`]],0),MATCH(LEFT($D938,5),Job_Training[[#Headers],[Solar]:[Wind]],0)),0)</f>
        <v>0</v>
      </c>
      <c r="AN938" s="63">
        <f>IFERROR(INDEX(Job_Training[[Solar]:[Wind]],MATCH(AN$1,Job_Training[[`Typical Entry Level Education`]:[`Typical Entry Level Education`]],0),MATCH(LEFT($D938,5),Job_Training[[#Headers],[Solar]:[Wind]],0)),0)</f>
        <v>0</v>
      </c>
      <c r="AO938" s="63">
        <f>IFERROR(INDEX(Job_Training[[Solar]:[Wind]],MATCH(AO$1,Job_Training[[`Typical Entry Level Education`]:[`Typical Entry Level Education`]],0),MATCH(LEFT($D938,5),Job_Training[[#Headers],[Solar]:[Wind]],0)),0)</f>
        <v>0</v>
      </c>
      <c r="AP938">
        <f t="shared" si="262"/>
        <v>0</v>
      </c>
      <c r="AQ938" s="63">
        <f>IF(AP938&gt;0,IFERROR(INDEX(Assumptions!$C$165:$D$165,MATCH(LEFT($D938,5),Job_Training[[#Headers],[Solar]:[Wind]],0)),0),0)</f>
        <v>0</v>
      </c>
      <c r="AR938">
        <f>IF(AP938&gt;0,IFERROR(INDEX(Assumptions!$C$166:$D$166,MATCH(LEFT($D938,5),Job_Training[[#Headers],[Solar]:[Wind]],0)),0),0)</f>
        <v>0</v>
      </c>
    </row>
    <row r="939" spans="1:44" hidden="1" x14ac:dyDescent="0.35">
      <c r="A939" t="str">
        <f>UserInput!$B$82</f>
        <v>Incremental Buildout</v>
      </c>
      <c r="B939">
        <v>2038</v>
      </c>
      <c r="C939" t="s">
        <v>87</v>
      </c>
      <c r="D939" t="s">
        <v>91</v>
      </c>
      <c r="E939" s="66">
        <f>INDEX(UserInput!$C$82:$M$102,MATCH(UserMade_Scenario!B939,UserInput!$A$82:$A$102,0),MATCH(LEFT(IF(RIGHT(C939,2)="H2",UserMade_Scenario!C939,D939),3),UserInput!$C$25:$M$25,0))</f>
        <v>46.666666666666671</v>
      </c>
      <c r="F939" t="s">
        <v>89</v>
      </c>
      <c r="G939" s="14">
        <f t="shared" si="263"/>
        <v>5.1006666666666681E-5</v>
      </c>
      <c r="H939" s="63">
        <f t="shared" si="248"/>
        <v>1.7449380666666669E-3</v>
      </c>
      <c r="I939" s="63">
        <f t="shared" si="249"/>
        <v>1.7449380666666669E-3</v>
      </c>
      <c r="J939" s="63">
        <f t="shared" si="250"/>
        <v>6.797403433333335E-3</v>
      </c>
      <c r="K939" s="30">
        <f>IF(OR(LEFT($D939,5)="Solar",$D939="Wind"),INDEX(Land_Use[AVG],MATCH(LEFT($D939,5),Land_Use[Tech],0)),0)*$E939</f>
        <v>0</v>
      </c>
      <c r="L939" s="30">
        <f>IF(OR(LEFT($D939,5)="Solar",$D939="Wind"),INDEX(Land_Use[MIN],MATCH(LEFT($D939,5),Land_Use[Tech],0)),0)*$E939</f>
        <v>0</v>
      </c>
      <c r="M939" s="30">
        <f>IF(OR(LEFT($D939,5)="Solar",$D939="Wind"),INDEX(Land_Use[MAX],MATCH(LEFT($D939,5),Land_Use[Tech],0)),0)*$E939</f>
        <v>0</v>
      </c>
      <c r="N939" s="15">
        <f t="shared" si="251"/>
        <v>0</v>
      </c>
      <c r="O939" s="11">
        <f t="shared" si="252"/>
        <v>0</v>
      </c>
      <c r="P939" s="11">
        <f t="shared" si="253"/>
        <v>0</v>
      </c>
      <c r="Q939" s="11">
        <f t="shared" si="254"/>
        <v>0</v>
      </c>
      <c r="R939" s="11">
        <f t="shared" si="255"/>
        <v>0</v>
      </c>
      <c r="S939" s="30">
        <f t="shared" si="256"/>
        <v>0</v>
      </c>
      <c r="T939" s="30">
        <f t="shared" si="257"/>
        <v>0</v>
      </c>
      <c r="U939" s="30">
        <f t="shared" si="258"/>
        <v>0</v>
      </c>
      <c r="V939" s="30">
        <f t="shared" si="259"/>
        <v>0</v>
      </c>
      <c r="W939" s="30">
        <f t="shared" si="260"/>
        <v>0</v>
      </c>
      <c r="X939" s="30">
        <f t="shared" si="261"/>
        <v>0</v>
      </c>
      <c r="Z939" s="23" t="s">
        <v>76</v>
      </c>
      <c r="AA939" s="40" t="str">
        <f>IF(C939="Electricity",E939*SUMIFS(Electricity!S:S,Electricity!P:P,UserMade_Scenario!B939,Electricity!M:M,UserMade_Scenario!Z939,Electricity!O:O,UserMade_Scenario!D939),"")</f>
        <v/>
      </c>
      <c r="AB939" s="67">
        <v>1.0930000000000002E-6</v>
      </c>
      <c r="AC939" s="67" t="s">
        <v>90</v>
      </c>
      <c r="AD939" s="39">
        <f>IFERROR(INDEX(Assumptions!B$145:B$146,MATCH($D939,Assumptions!$A$145:$A$146,0)),0)</f>
        <v>-34.209999999999994</v>
      </c>
      <c r="AE939" s="39">
        <f>IFERROR(INDEX(Assumptions!C$145:C$146,MATCH($D939,Assumptions!$A$145:$A$146,0)),0)</f>
        <v>-34.209999999999994</v>
      </c>
      <c r="AF939" s="39">
        <f>IFERROR(INDEX(Assumptions!D$145:D$146,MATCH($D939,Assumptions!$A$145:$A$146,0)),0)</f>
        <v>-133.26499999999999</v>
      </c>
      <c r="AG939" s="68">
        <f>IFERROR(INDEX(WaterUseH2[Average Direct Water Consumption (Gal/ kg h2)],MATCH(LEFT(D939,3),WaterUseH2[Key],0)),0)</f>
        <v>0</v>
      </c>
      <c r="AH939">
        <v>14</v>
      </c>
      <c r="AI939">
        <v>1.4</v>
      </c>
      <c r="AJ939">
        <v>250</v>
      </c>
      <c r="AK939">
        <v>0.31</v>
      </c>
      <c r="AL939" s="63">
        <f>IFERROR(INDEX(Job_Training[[Solar]:[Wind]],MATCH(AL$1,Job_Training[[`Typical Entry Level Education`]:[`Typical Entry Level Education`]],0),MATCH(LEFT($D939,5),Job_Training[[#Headers],[Solar]:[Wind]],0)),0)</f>
        <v>0</v>
      </c>
      <c r="AM939" s="63">
        <f>IFERROR(INDEX(Job_Training[[Solar]:[Wind]],MATCH(AM$1,Job_Training[[`Typical Entry Level Education`]:[`Typical Entry Level Education`]],0),MATCH(LEFT($D939,5),Job_Training[[#Headers],[Solar]:[Wind]],0)),0)</f>
        <v>0</v>
      </c>
      <c r="AN939" s="63">
        <f>IFERROR(INDEX(Job_Training[[Solar]:[Wind]],MATCH(AN$1,Job_Training[[`Typical Entry Level Education`]:[`Typical Entry Level Education`]],0),MATCH(LEFT($D939,5),Job_Training[[#Headers],[Solar]:[Wind]],0)),0)</f>
        <v>0</v>
      </c>
      <c r="AO939" s="63">
        <f>IFERROR(INDEX(Job_Training[[Solar]:[Wind]],MATCH(AO$1,Job_Training[[`Typical Entry Level Education`]:[`Typical Entry Level Education`]],0),MATCH(LEFT($D939,5),Job_Training[[#Headers],[Solar]:[Wind]],0)),0)</f>
        <v>0</v>
      </c>
      <c r="AP939">
        <f t="shared" si="262"/>
        <v>0</v>
      </c>
      <c r="AQ939" s="63">
        <f>IF(AP939&gt;0,IFERROR(INDEX(Assumptions!$C$165:$D$165,MATCH(LEFT($D939,5),Job_Training[[#Headers],[Solar]:[Wind]],0)),0),0)</f>
        <v>0</v>
      </c>
      <c r="AR939">
        <f>IF(AP939&gt;0,IFERROR(INDEX(Assumptions!$C$166:$D$166,MATCH(LEFT($D939,5),Job_Training[[#Headers],[Solar]:[Wind]],0)),0),0)</f>
        <v>0</v>
      </c>
    </row>
    <row r="940" spans="1:44" hidden="1" x14ac:dyDescent="0.35">
      <c r="A940" t="str">
        <f>UserInput!$B$82</f>
        <v>Incremental Buildout</v>
      </c>
      <c r="B940">
        <v>2039</v>
      </c>
      <c r="C940" t="s">
        <v>87</v>
      </c>
      <c r="D940" t="s">
        <v>91</v>
      </c>
      <c r="E940" s="66">
        <f>INDEX(UserInput!$C$82:$M$102,MATCH(UserMade_Scenario!B940,UserInput!$A$82:$A$102,0),MATCH(LEFT(IF(RIGHT(C940,2)="H2",UserMade_Scenario!C940,D940),3),UserInput!$C$25:$M$25,0))</f>
        <v>50.000000000000007</v>
      </c>
      <c r="F940" t="s">
        <v>89</v>
      </c>
      <c r="G940" s="14">
        <f t="shared" si="263"/>
        <v>5.4650000000000014E-5</v>
      </c>
      <c r="H940" s="63">
        <f t="shared" si="248"/>
        <v>1.8695765000000001E-3</v>
      </c>
      <c r="I940" s="63">
        <f t="shared" si="249"/>
        <v>1.8695765000000001E-3</v>
      </c>
      <c r="J940" s="63">
        <f t="shared" si="250"/>
        <v>7.2829322500000014E-3</v>
      </c>
      <c r="K940" s="30">
        <f>IF(OR(LEFT($D940,5)="Solar",$D940="Wind"),INDEX(Land_Use[AVG],MATCH(LEFT($D940,5),Land_Use[Tech],0)),0)*$E940</f>
        <v>0</v>
      </c>
      <c r="L940" s="30">
        <f>IF(OR(LEFT($D940,5)="Solar",$D940="Wind"),INDEX(Land_Use[MIN],MATCH(LEFT($D940,5),Land_Use[Tech],0)),0)*$E940</f>
        <v>0</v>
      </c>
      <c r="M940" s="30">
        <f>IF(OR(LEFT($D940,5)="Solar",$D940="Wind"),INDEX(Land_Use[MAX],MATCH(LEFT($D940,5),Land_Use[Tech],0)),0)*$E940</f>
        <v>0</v>
      </c>
      <c r="N940" s="15">
        <f t="shared" si="251"/>
        <v>0</v>
      </c>
      <c r="O940" s="11">
        <f t="shared" si="252"/>
        <v>0</v>
      </c>
      <c r="P940" s="11">
        <f t="shared" si="253"/>
        <v>0</v>
      </c>
      <c r="Q940" s="11">
        <f t="shared" si="254"/>
        <v>0</v>
      </c>
      <c r="R940" s="11">
        <f t="shared" si="255"/>
        <v>0</v>
      </c>
      <c r="S940" s="30">
        <f t="shared" si="256"/>
        <v>0</v>
      </c>
      <c r="T940" s="30">
        <f t="shared" si="257"/>
        <v>0</v>
      </c>
      <c r="U940" s="30">
        <f t="shared" si="258"/>
        <v>0</v>
      </c>
      <c r="V940" s="30">
        <f t="shared" si="259"/>
        <v>0</v>
      </c>
      <c r="W940" s="30">
        <f t="shared" si="260"/>
        <v>0</v>
      </c>
      <c r="X940" s="30">
        <f t="shared" si="261"/>
        <v>0</v>
      </c>
      <c r="Z940" s="23" t="s">
        <v>76</v>
      </c>
      <c r="AA940" s="40" t="str">
        <f>IF(C940="Electricity",E940*SUMIFS(Electricity!S:S,Electricity!P:P,UserMade_Scenario!B940,Electricity!M:M,UserMade_Scenario!Z940,Electricity!O:O,UserMade_Scenario!D940),"")</f>
        <v/>
      </c>
      <c r="AB940" s="67">
        <v>1.0930000000000002E-6</v>
      </c>
      <c r="AC940" s="67" t="s">
        <v>90</v>
      </c>
      <c r="AD940" s="39">
        <f>IFERROR(INDEX(Assumptions!B$145:B$146,MATCH($D940,Assumptions!$A$145:$A$146,0)),0)</f>
        <v>-34.209999999999994</v>
      </c>
      <c r="AE940" s="39">
        <f>IFERROR(INDEX(Assumptions!C$145:C$146,MATCH($D940,Assumptions!$A$145:$A$146,0)),0)</f>
        <v>-34.209999999999994</v>
      </c>
      <c r="AF940" s="39">
        <f>IFERROR(INDEX(Assumptions!D$145:D$146,MATCH($D940,Assumptions!$A$145:$A$146,0)),0)</f>
        <v>-133.26499999999999</v>
      </c>
      <c r="AG940" s="68">
        <f>IFERROR(INDEX(WaterUseH2[Average Direct Water Consumption (Gal/ kg h2)],MATCH(LEFT(D940,3),WaterUseH2[Key],0)),0)</f>
        <v>0</v>
      </c>
      <c r="AH940">
        <v>14</v>
      </c>
      <c r="AI940">
        <v>1.4</v>
      </c>
      <c r="AJ940">
        <v>250</v>
      </c>
      <c r="AK940">
        <v>0.31</v>
      </c>
      <c r="AL940" s="63">
        <f>IFERROR(INDEX(Job_Training[[Solar]:[Wind]],MATCH(AL$1,Job_Training[[`Typical Entry Level Education`]:[`Typical Entry Level Education`]],0),MATCH(LEFT($D940,5),Job_Training[[#Headers],[Solar]:[Wind]],0)),0)</f>
        <v>0</v>
      </c>
      <c r="AM940" s="63">
        <f>IFERROR(INDEX(Job_Training[[Solar]:[Wind]],MATCH(AM$1,Job_Training[[`Typical Entry Level Education`]:[`Typical Entry Level Education`]],0),MATCH(LEFT($D940,5),Job_Training[[#Headers],[Solar]:[Wind]],0)),0)</f>
        <v>0</v>
      </c>
      <c r="AN940" s="63">
        <f>IFERROR(INDEX(Job_Training[[Solar]:[Wind]],MATCH(AN$1,Job_Training[[`Typical Entry Level Education`]:[`Typical Entry Level Education`]],0),MATCH(LEFT($D940,5),Job_Training[[#Headers],[Solar]:[Wind]],0)),0)</f>
        <v>0</v>
      </c>
      <c r="AO940" s="63">
        <f>IFERROR(INDEX(Job_Training[[Solar]:[Wind]],MATCH(AO$1,Job_Training[[`Typical Entry Level Education`]:[`Typical Entry Level Education`]],0),MATCH(LEFT($D940,5),Job_Training[[#Headers],[Solar]:[Wind]],0)),0)</f>
        <v>0</v>
      </c>
      <c r="AP940">
        <f t="shared" si="262"/>
        <v>0</v>
      </c>
      <c r="AQ940" s="63">
        <f>IF(AP940&gt;0,IFERROR(INDEX(Assumptions!$C$165:$D$165,MATCH(LEFT($D940,5),Job_Training[[#Headers],[Solar]:[Wind]],0)),0),0)</f>
        <v>0</v>
      </c>
      <c r="AR940">
        <f>IF(AP940&gt;0,IFERROR(INDEX(Assumptions!$C$166:$D$166,MATCH(LEFT($D940,5),Job_Training[[#Headers],[Solar]:[Wind]],0)),0),0)</f>
        <v>0</v>
      </c>
    </row>
    <row r="941" spans="1:44" hidden="1" x14ac:dyDescent="0.35">
      <c r="A941" t="str">
        <f>UserInput!$B$82</f>
        <v>Incremental Buildout</v>
      </c>
      <c r="B941">
        <v>2040</v>
      </c>
      <c r="C941" t="s">
        <v>87</v>
      </c>
      <c r="D941" t="s">
        <v>91</v>
      </c>
      <c r="E941" s="66">
        <f>INDEX(UserInput!$C$82:$M$102,MATCH(UserMade_Scenario!B941,UserInput!$A$82:$A$102,0),MATCH(LEFT(IF(RIGHT(C941,2)="H2",UserMade_Scenario!C941,D941),3),UserInput!$C$25:$M$25,0))</f>
        <v>53.333333333333343</v>
      </c>
      <c r="F941" t="s">
        <v>89</v>
      </c>
      <c r="G941" s="14">
        <f t="shared" si="263"/>
        <v>5.8293333333333353E-5</v>
      </c>
      <c r="H941" s="63">
        <f t="shared" si="248"/>
        <v>1.9942149333333336E-3</v>
      </c>
      <c r="I941" s="63">
        <f t="shared" si="249"/>
        <v>1.9942149333333336E-3</v>
      </c>
      <c r="J941" s="63">
        <f t="shared" si="250"/>
        <v>7.7684610666666687E-3</v>
      </c>
      <c r="K941" s="30">
        <f>IF(OR(LEFT($D941,5)="Solar",$D941="Wind"),INDEX(Land_Use[AVG],MATCH(LEFT($D941,5),Land_Use[Tech],0)),0)*$E941</f>
        <v>0</v>
      </c>
      <c r="L941" s="30">
        <f>IF(OR(LEFT($D941,5)="Solar",$D941="Wind"),INDEX(Land_Use[MIN],MATCH(LEFT($D941,5),Land_Use[Tech],0)),0)*$E941</f>
        <v>0</v>
      </c>
      <c r="M941" s="30">
        <f>IF(OR(LEFT($D941,5)="Solar",$D941="Wind"),INDEX(Land_Use[MAX],MATCH(LEFT($D941,5),Land_Use[Tech],0)),0)*$E941</f>
        <v>0</v>
      </c>
      <c r="N941" s="15">
        <f t="shared" si="251"/>
        <v>0</v>
      </c>
      <c r="O941" s="11">
        <f t="shared" si="252"/>
        <v>0</v>
      </c>
      <c r="P941" s="11">
        <f t="shared" si="253"/>
        <v>0</v>
      </c>
      <c r="Q941" s="11">
        <f t="shared" si="254"/>
        <v>0</v>
      </c>
      <c r="R941" s="11">
        <f t="shared" si="255"/>
        <v>0</v>
      </c>
      <c r="S941" s="30">
        <f t="shared" si="256"/>
        <v>0</v>
      </c>
      <c r="T941" s="30">
        <f t="shared" si="257"/>
        <v>0</v>
      </c>
      <c r="U941" s="30">
        <f t="shared" si="258"/>
        <v>0</v>
      </c>
      <c r="V941" s="30">
        <f t="shared" si="259"/>
        <v>0</v>
      </c>
      <c r="W941" s="30">
        <f t="shared" si="260"/>
        <v>0</v>
      </c>
      <c r="X941" s="30">
        <f t="shared" si="261"/>
        <v>0</v>
      </c>
      <c r="Z941" s="23" t="s">
        <v>76</v>
      </c>
      <c r="AA941" s="40" t="str">
        <f>IF(C941="Electricity",E941*SUMIFS(Electricity!S:S,Electricity!P:P,UserMade_Scenario!B941,Electricity!M:M,UserMade_Scenario!Z941,Electricity!O:O,UserMade_Scenario!D941),"")</f>
        <v/>
      </c>
      <c r="AB941" s="67">
        <v>1.0930000000000002E-6</v>
      </c>
      <c r="AC941" s="67" t="s">
        <v>90</v>
      </c>
      <c r="AD941" s="39">
        <f>IFERROR(INDEX(Assumptions!B$145:B$146,MATCH($D941,Assumptions!$A$145:$A$146,0)),0)</f>
        <v>-34.209999999999994</v>
      </c>
      <c r="AE941" s="39">
        <f>IFERROR(INDEX(Assumptions!C$145:C$146,MATCH($D941,Assumptions!$A$145:$A$146,0)),0)</f>
        <v>-34.209999999999994</v>
      </c>
      <c r="AF941" s="39">
        <f>IFERROR(INDEX(Assumptions!D$145:D$146,MATCH($D941,Assumptions!$A$145:$A$146,0)),0)</f>
        <v>-133.26499999999999</v>
      </c>
      <c r="AG941" s="68">
        <f>IFERROR(INDEX(WaterUseH2[Average Direct Water Consumption (Gal/ kg h2)],MATCH(LEFT(D941,3),WaterUseH2[Key],0)),0)</f>
        <v>0</v>
      </c>
      <c r="AH941">
        <v>14</v>
      </c>
      <c r="AI941">
        <v>1.4</v>
      </c>
      <c r="AJ941">
        <v>250</v>
      </c>
      <c r="AK941">
        <v>0.31</v>
      </c>
      <c r="AL941" s="63">
        <f>IFERROR(INDEX(Job_Training[[Solar]:[Wind]],MATCH(AL$1,Job_Training[[`Typical Entry Level Education`]:[`Typical Entry Level Education`]],0),MATCH(LEFT($D941,5),Job_Training[[#Headers],[Solar]:[Wind]],0)),0)</f>
        <v>0</v>
      </c>
      <c r="AM941" s="63">
        <f>IFERROR(INDEX(Job_Training[[Solar]:[Wind]],MATCH(AM$1,Job_Training[[`Typical Entry Level Education`]:[`Typical Entry Level Education`]],0),MATCH(LEFT($D941,5),Job_Training[[#Headers],[Solar]:[Wind]],0)),0)</f>
        <v>0</v>
      </c>
      <c r="AN941" s="63">
        <f>IFERROR(INDEX(Job_Training[[Solar]:[Wind]],MATCH(AN$1,Job_Training[[`Typical Entry Level Education`]:[`Typical Entry Level Education`]],0),MATCH(LEFT($D941,5),Job_Training[[#Headers],[Solar]:[Wind]],0)),0)</f>
        <v>0</v>
      </c>
      <c r="AO941" s="63">
        <f>IFERROR(INDEX(Job_Training[[Solar]:[Wind]],MATCH(AO$1,Job_Training[[`Typical Entry Level Education`]:[`Typical Entry Level Education`]],0),MATCH(LEFT($D941,5),Job_Training[[#Headers],[Solar]:[Wind]],0)),0)</f>
        <v>0</v>
      </c>
      <c r="AP941">
        <f t="shared" si="262"/>
        <v>0</v>
      </c>
      <c r="AQ941" s="63">
        <f>IF(AP941&gt;0,IFERROR(INDEX(Assumptions!$C$165:$D$165,MATCH(LEFT($D941,5),Job_Training[[#Headers],[Solar]:[Wind]],0)),0),0)</f>
        <v>0</v>
      </c>
      <c r="AR941">
        <f>IF(AP941&gt;0,IFERROR(INDEX(Assumptions!$C$166:$D$166,MATCH(LEFT($D941,5),Job_Training[[#Headers],[Solar]:[Wind]],0)),0),0)</f>
        <v>0</v>
      </c>
    </row>
    <row r="942" spans="1:44" hidden="1" x14ac:dyDescent="0.35">
      <c r="A942" t="str">
        <f>UserInput!$B$82</f>
        <v>Incremental Buildout</v>
      </c>
      <c r="B942">
        <v>2041</v>
      </c>
      <c r="C942" t="s">
        <v>87</v>
      </c>
      <c r="D942" t="s">
        <v>91</v>
      </c>
      <c r="E942" s="66">
        <f>INDEX(UserInput!$C$82:$M$102,MATCH(UserMade_Scenario!B942,UserInput!$A$82:$A$102,0),MATCH(LEFT(IF(RIGHT(C942,2)="H2",UserMade_Scenario!C942,D942),3),UserInput!$C$25:$M$25,0))</f>
        <v>56.666666666666679</v>
      </c>
      <c r="F942" t="s">
        <v>89</v>
      </c>
      <c r="G942" s="14">
        <f t="shared" si="263"/>
        <v>6.1936666666666693E-5</v>
      </c>
      <c r="H942" s="63">
        <f t="shared" si="248"/>
        <v>2.118853366666667E-3</v>
      </c>
      <c r="I942" s="63">
        <f t="shared" si="249"/>
        <v>2.118853366666667E-3</v>
      </c>
      <c r="J942" s="63">
        <f t="shared" si="250"/>
        <v>8.2539898833333368E-3</v>
      </c>
      <c r="K942" s="30">
        <f>IF(OR(LEFT($D942,5)="Solar",$D942="Wind"),INDEX(Land_Use[AVG],MATCH(LEFT($D942,5),Land_Use[Tech],0)),0)*$E942</f>
        <v>0</v>
      </c>
      <c r="L942" s="30">
        <f>IF(OR(LEFT($D942,5)="Solar",$D942="Wind"),INDEX(Land_Use[MIN],MATCH(LEFT($D942,5),Land_Use[Tech],0)),0)*$E942</f>
        <v>0</v>
      </c>
      <c r="M942" s="30">
        <f>IF(OR(LEFT($D942,5)="Solar",$D942="Wind"),INDEX(Land_Use[MAX],MATCH(LEFT($D942,5),Land_Use[Tech],0)),0)*$E942</f>
        <v>0</v>
      </c>
      <c r="N942" s="15">
        <f t="shared" si="251"/>
        <v>0</v>
      </c>
      <c r="O942" s="11">
        <f t="shared" si="252"/>
        <v>0</v>
      </c>
      <c r="P942" s="11">
        <f t="shared" si="253"/>
        <v>0</v>
      </c>
      <c r="Q942" s="11">
        <f t="shared" si="254"/>
        <v>0</v>
      </c>
      <c r="R942" s="11">
        <f t="shared" si="255"/>
        <v>0</v>
      </c>
      <c r="S942" s="30">
        <f t="shared" si="256"/>
        <v>0</v>
      </c>
      <c r="T942" s="30">
        <f t="shared" si="257"/>
        <v>0</v>
      </c>
      <c r="U942" s="30">
        <f t="shared" si="258"/>
        <v>0</v>
      </c>
      <c r="V942" s="30">
        <f t="shared" si="259"/>
        <v>0</v>
      </c>
      <c r="W942" s="30">
        <f t="shared" si="260"/>
        <v>0</v>
      </c>
      <c r="X942" s="30">
        <f t="shared" si="261"/>
        <v>0</v>
      </c>
      <c r="Z942" s="23" t="s">
        <v>76</v>
      </c>
      <c r="AA942" s="40" t="str">
        <f>IF(C942="Electricity",E942*SUMIFS(Electricity!S:S,Electricity!P:P,UserMade_Scenario!B942,Electricity!M:M,UserMade_Scenario!Z942,Electricity!O:O,UserMade_Scenario!D942),"")</f>
        <v/>
      </c>
      <c r="AB942" s="67">
        <v>1.0930000000000002E-6</v>
      </c>
      <c r="AC942" s="67" t="s">
        <v>90</v>
      </c>
      <c r="AD942" s="39">
        <f>IFERROR(INDEX(Assumptions!B$145:B$146,MATCH($D942,Assumptions!$A$145:$A$146,0)),0)</f>
        <v>-34.209999999999994</v>
      </c>
      <c r="AE942" s="39">
        <f>IFERROR(INDEX(Assumptions!C$145:C$146,MATCH($D942,Assumptions!$A$145:$A$146,0)),0)</f>
        <v>-34.209999999999994</v>
      </c>
      <c r="AF942" s="39">
        <f>IFERROR(INDEX(Assumptions!D$145:D$146,MATCH($D942,Assumptions!$A$145:$A$146,0)),0)</f>
        <v>-133.26499999999999</v>
      </c>
      <c r="AG942" s="68">
        <f>IFERROR(INDEX(WaterUseH2[Average Direct Water Consumption (Gal/ kg h2)],MATCH(LEFT(D942,3),WaterUseH2[Key],0)),0)</f>
        <v>0</v>
      </c>
      <c r="AH942">
        <v>14</v>
      </c>
      <c r="AI942">
        <v>1.4</v>
      </c>
      <c r="AJ942">
        <v>250</v>
      </c>
      <c r="AK942">
        <v>0.31</v>
      </c>
      <c r="AL942" s="63">
        <f>IFERROR(INDEX(Job_Training[[Solar]:[Wind]],MATCH(AL$1,Job_Training[[`Typical Entry Level Education`]:[`Typical Entry Level Education`]],0),MATCH(LEFT($D942,5),Job_Training[[#Headers],[Solar]:[Wind]],0)),0)</f>
        <v>0</v>
      </c>
      <c r="AM942" s="63">
        <f>IFERROR(INDEX(Job_Training[[Solar]:[Wind]],MATCH(AM$1,Job_Training[[`Typical Entry Level Education`]:[`Typical Entry Level Education`]],0),MATCH(LEFT($D942,5),Job_Training[[#Headers],[Solar]:[Wind]],0)),0)</f>
        <v>0</v>
      </c>
      <c r="AN942" s="63">
        <f>IFERROR(INDEX(Job_Training[[Solar]:[Wind]],MATCH(AN$1,Job_Training[[`Typical Entry Level Education`]:[`Typical Entry Level Education`]],0),MATCH(LEFT($D942,5),Job_Training[[#Headers],[Solar]:[Wind]],0)),0)</f>
        <v>0</v>
      </c>
      <c r="AO942" s="63">
        <f>IFERROR(INDEX(Job_Training[[Solar]:[Wind]],MATCH(AO$1,Job_Training[[`Typical Entry Level Education`]:[`Typical Entry Level Education`]],0),MATCH(LEFT($D942,5),Job_Training[[#Headers],[Solar]:[Wind]],0)),0)</f>
        <v>0</v>
      </c>
      <c r="AP942">
        <f t="shared" si="262"/>
        <v>0</v>
      </c>
      <c r="AQ942" s="63">
        <f>IF(AP942&gt;0,IFERROR(INDEX(Assumptions!$C$165:$D$165,MATCH(LEFT($D942,5),Job_Training[[#Headers],[Solar]:[Wind]],0)),0),0)</f>
        <v>0</v>
      </c>
      <c r="AR942">
        <f>IF(AP942&gt;0,IFERROR(INDEX(Assumptions!$C$166:$D$166,MATCH(LEFT($D942,5),Job_Training[[#Headers],[Solar]:[Wind]],0)),0),0)</f>
        <v>0</v>
      </c>
    </row>
    <row r="943" spans="1:44" hidden="1" x14ac:dyDescent="0.35">
      <c r="A943" t="str">
        <f>UserInput!$B$82</f>
        <v>Incremental Buildout</v>
      </c>
      <c r="B943">
        <v>2042</v>
      </c>
      <c r="C943" t="s">
        <v>87</v>
      </c>
      <c r="D943" t="s">
        <v>91</v>
      </c>
      <c r="E943" s="66">
        <f>INDEX(UserInput!$C$82:$M$102,MATCH(UserMade_Scenario!B943,UserInput!$A$82:$A$102,0),MATCH(LEFT(IF(RIGHT(C943,2)="H2",UserMade_Scenario!C943,D943),3),UserInput!$C$25:$M$25,0))</f>
        <v>60.000000000000014</v>
      </c>
      <c r="F943" t="s">
        <v>89</v>
      </c>
      <c r="G943" s="14">
        <f t="shared" si="263"/>
        <v>6.5580000000000019E-5</v>
      </c>
      <c r="H943" s="63">
        <f t="shared" si="248"/>
        <v>2.2434918000000001E-3</v>
      </c>
      <c r="I943" s="63">
        <f t="shared" si="249"/>
        <v>2.2434918000000001E-3</v>
      </c>
      <c r="J943" s="63">
        <f t="shared" si="250"/>
        <v>8.7395187000000023E-3</v>
      </c>
      <c r="K943" s="30">
        <f>IF(OR(LEFT($D943,5)="Solar",$D943="Wind"),INDEX(Land_Use[AVG],MATCH(LEFT($D943,5),Land_Use[Tech],0)),0)*$E943</f>
        <v>0</v>
      </c>
      <c r="L943" s="30">
        <f>IF(OR(LEFT($D943,5)="Solar",$D943="Wind"),INDEX(Land_Use[MIN],MATCH(LEFT($D943,5),Land_Use[Tech],0)),0)*$E943</f>
        <v>0</v>
      </c>
      <c r="M943" s="30">
        <f>IF(OR(LEFT($D943,5)="Solar",$D943="Wind"),INDEX(Land_Use[MAX],MATCH(LEFT($D943,5),Land_Use[Tech],0)),0)*$E943</f>
        <v>0</v>
      </c>
      <c r="N943" s="15">
        <f t="shared" si="251"/>
        <v>0</v>
      </c>
      <c r="O943" s="11">
        <f t="shared" si="252"/>
        <v>0</v>
      </c>
      <c r="P943" s="11">
        <f t="shared" si="253"/>
        <v>0</v>
      </c>
      <c r="Q943" s="11">
        <f t="shared" si="254"/>
        <v>0</v>
      </c>
      <c r="R943" s="11">
        <f t="shared" si="255"/>
        <v>0</v>
      </c>
      <c r="S943" s="30">
        <f t="shared" si="256"/>
        <v>0</v>
      </c>
      <c r="T943" s="30">
        <f t="shared" si="257"/>
        <v>0</v>
      </c>
      <c r="U943" s="30">
        <f t="shared" si="258"/>
        <v>0</v>
      </c>
      <c r="V943" s="30">
        <f t="shared" si="259"/>
        <v>0</v>
      </c>
      <c r="W943" s="30">
        <f t="shared" si="260"/>
        <v>0</v>
      </c>
      <c r="X943" s="30">
        <f t="shared" si="261"/>
        <v>0</v>
      </c>
      <c r="Z943" s="23" t="s">
        <v>76</v>
      </c>
      <c r="AA943" s="40" t="str">
        <f>IF(C943="Electricity",E943*SUMIFS(Electricity!S:S,Electricity!P:P,UserMade_Scenario!B943,Electricity!M:M,UserMade_Scenario!Z943,Electricity!O:O,UserMade_Scenario!D943),"")</f>
        <v/>
      </c>
      <c r="AB943" s="67">
        <v>1.0930000000000002E-6</v>
      </c>
      <c r="AC943" s="67" t="s">
        <v>90</v>
      </c>
      <c r="AD943" s="39">
        <f>IFERROR(INDEX(Assumptions!B$145:B$146,MATCH($D943,Assumptions!$A$145:$A$146,0)),0)</f>
        <v>-34.209999999999994</v>
      </c>
      <c r="AE943" s="39">
        <f>IFERROR(INDEX(Assumptions!C$145:C$146,MATCH($D943,Assumptions!$A$145:$A$146,0)),0)</f>
        <v>-34.209999999999994</v>
      </c>
      <c r="AF943" s="39">
        <f>IFERROR(INDEX(Assumptions!D$145:D$146,MATCH($D943,Assumptions!$A$145:$A$146,0)),0)</f>
        <v>-133.26499999999999</v>
      </c>
      <c r="AG943" s="68">
        <f>IFERROR(INDEX(WaterUseH2[Average Direct Water Consumption (Gal/ kg h2)],MATCH(LEFT(D943,3),WaterUseH2[Key],0)),0)</f>
        <v>0</v>
      </c>
      <c r="AH943">
        <v>14</v>
      </c>
      <c r="AI943">
        <v>1.4</v>
      </c>
      <c r="AJ943">
        <v>250</v>
      </c>
      <c r="AK943">
        <v>0.31</v>
      </c>
      <c r="AL943" s="63">
        <f>IFERROR(INDEX(Job_Training[[Solar]:[Wind]],MATCH(AL$1,Job_Training[[`Typical Entry Level Education`]:[`Typical Entry Level Education`]],0),MATCH(LEFT($D943,5),Job_Training[[#Headers],[Solar]:[Wind]],0)),0)</f>
        <v>0</v>
      </c>
      <c r="AM943" s="63">
        <f>IFERROR(INDEX(Job_Training[[Solar]:[Wind]],MATCH(AM$1,Job_Training[[`Typical Entry Level Education`]:[`Typical Entry Level Education`]],0),MATCH(LEFT($D943,5),Job_Training[[#Headers],[Solar]:[Wind]],0)),0)</f>
        <v>0</v>
      </c>
      <c r="AN943" s="63">
        <f>IFERROR(INDEX(Job_Training[[Solar]:[Wind]],MATCH(AN$1,Job_Training[[`Typical Entry Level Education`]:[`Typical Entry Level Education`]],0),MATCH(LEFT($D943,5),Job_Training[[#Headers],[Solar]:[Wind]],0)),0)</f>
        <v>0</v>
      </c>
      <c r="AO943" s="63">
        <f>IFERROR(INDEX(Job_Training[[Solar]:[Wind]],MATCH(AO$1,Job_Training[[`Typical Entry Level Education`]:[`Typical Entry Level Education`]],0),MATCH(LEFT($D943,5),Job_Training[[#Headers],[Solar]:[Wind]],0)),0)</f>
        <v>0</v>
      </c>
      <c r="AP943">
        <f t="shared" si="262"/>
        <v>0</v>
      </c>
      <c r="AQ943" s="63">
        <f>IF(AP943&gt;0,IFERROR(INDEX(Assumptions!$C$165:$D$165,MATCH(LEFT($D943,5),Job_Training[[#Headers],[Solar]:[Wind]],0)),0),0)</f>
        <v>0</v>
      </c>
      <c r="AR943">
        <f>IF(AP943&gt;0,IFERROR(INDEX(Assumptions!$C$166:$D$166,MATCH(LEFT($D943,5),Job_Training[[#Headers],[Solar]:[Wind]],0)),0),0)</f>
        <v>0</v>
      </c>
    </row>
    <row r="944" spans="1:44" hidden="1" x14ac:dyDescent="0.35">
      <c r="A944" t="str">
        <f>UserInput!$B$82</f>
        <v>Incremental Buildout</v>
      </c>
      <c r="B944">
        <v>2043</v>
      </c>
      <c r="C944" t="s">
        <v>87</v>
      </c>
      <c r="D944" t="s">
        <v>91</v>
      </c>
      <c r="E944" s="66">
        <f>INDEX(UserInput!$C$82:$M$102,MATCH(UserMade_Scenario!B944,UserInput!$A$82:$A$102,0),MATCH(LEFT(IF(RIGHT(C944,2)="H2",UserMade_Scenario!C944,D944),3),UserInput!$C$25:$M$25,0))</f>
        <v>63.33333333333335</v>
      </c>
      <c r="F944" t="s">
        <v>89</v>
      </c>
      <c r="G944" s="14">
        <f t="shared" si="263"/>
        <v>6.9223333333333359E-5</v>
      </c>
      <c r="H944" s="63">
        <f t="shared" si="248"/>
        <v>2.368130233333334E-3</v>
      </c>
      <c r="I944" s="63">
        <f t="shared" si="249"/>
        <v>2.368130233333334E-3</v>
      </c>
      <c r="J944" s="63">
        <f t="shared" si="250"/>
        <v>9.2250475166666696E-3</v>
      </c>
      <c r="K944" s="30">
        <f>IF(OR(LEFT($D944,5)="Solar",$D944="Wind"),INDEX(Land_Use[AVG],MATCH(LEFT($D944,5),Land_Use[Tech],0)),0)*$E944</f>
        <v>0</v>
      </c>
      <c r="L944" s="30">
        <f>IF(OR(LEFT($D944,5)="Solar",$D944="Wind"),INDEX(Land_Use[MIN],MATCH(LEFT($D944,5),Land_Use[Tech],0)),0)*$E944</f>
        <v>0</v>
      </c>
      <c r="M944" s="30">
        <f>IF(OR(LEFT($D944,5)="Solar",$D944="Wind"),INDEX(Land_Use[MAX],MATCH(LEFT($D944,5),Land_Use[Tech],0)),0)*$E944</f>
        <v>0</v>
      </c>
      <c r="N944" s="15">
        <f t="shared" si="251"/>
        <v>0</v>
      </c>
      <c r="O944" s="11">
        <f t="shared" si="252"/>
        <v>0</v>
      </c>
      <c r="P944" s="11">
        <f t="shared" si="253"/>
        <v>0</v>
      </c>
      <c r="Q944" s="11">
        <f t="shared" si="254"/>
        <v>0</v>
      </c>
      <c r="R944" s="11">
        <f t="shared" si="255"/>
        <v>0</v>
      </c>
      <c r="S944" s="30">
        <f t="shared" si="256"/>
        <v>0</v>
      </c>
      <c r="T944" s="30">
        <f t="shared" si="257"/>
        <v>0</v>
      </c>
      <c r="U944" s="30">
        <f t="shared" si="258"/>
        <v>0</v>
      </c>
      <c r="V944" s="30">
        <f t="shared" si="259"/>
        <v>0</v>
      </c>
      <c r="W944" s="30">
        <f t="shared" si="260"/>
        <v>0</v>
      </c>
      <c r="X944" s="30">
        <f t="shared" si="261"/>
        <v>0</v>
      </c>
      <c r="Z944" s="23" t="s">
        <v>76</v>
      </c>
      <c r="AA944" s="40" t="str">
        <f>IF(C944="Electricity",E944*SUMIFS(Electricity!S:S,Electricity!P:P,UserMade_Scenario!B944,Electricity!M:M,UserMade_Scenario!Z944,Electricity!O:O,UserMade_Scenario!D944),"")</f>
        <v/>
      </c>
      <c r="AB944" s="67">
        <v>1.0930000000000002E-6</v>
      </c>
      <c r="AC944" s="67" t="s">
        <v>90</v>
      </c>
      <c r="AD944" s="39">
        <f>IFERROR(INDEX(Assumptions!B$145:B$146,MATCH($D944,Assumptions!$A$145:$A$146,0)),0)</f>
        <v>-34.209999999999994</v>
      </c>
      <c r="AE944" s="39">
        <f>IFERROR(INDEX(Assumptions!C$145:C$146,MATCH($D944,Assumptions!$A$145:$A$146,0)),0)</f>
        <v>-34.209999999999994</v>
      </c>
      <c r="AF944" s="39">
        <f>IFERROR(INDEX(Assumptions!D$145:D$146,MATCH($D944,Assumptions!$A$145:$A$146,0)),0)</f>
        <v>-133.26499999999999</v>
      </c>
      <c r="AG944" s="68">
        <f>IFERROR(INDEX(WaterUseH2[Average Direct Water Consumption (Gal/ kg h2)],MATCH(LEFT(D944,3),WaterUseH2[Key],0)),0)</f>
        <v>0</v>
      </c>
      <c r="AH944">
        <v>14</v>
      </c>
      <c r="AI944">
        <v>1.4</v>
      </c>
      <c r="AJ944">
        <v>250</v>
      </c>
      <c r="AK944">
        <v>0.31</v>
      </c>
      <c r="AL944" s="63">
        <f>IFERROR(INDEX(Job_Training[[Solar]:[Wind]],MATCH(AL$1,Job_Training[[`Typical Entry Level Education`]:[`Typical Entry Level Education`]],0),MATCH(LEFT($D944,5),Job_Training[[#Headers],[Solar]:[Wind]],0)),0)</f>
        <v>0</v>
      </c>
      <c r="AM944" s="63">
        <f>IFERROR(INDEX(Job_Training[[Solar]:[Wind]],MATCH(AM$1,Job_Training[[`Typical Entry Level Education`]:[`Typical Entry Level Education`]],0),MATCH(LEFT($D944,5),Job_Training[[#Headers],[Solar]:[Wind]],0)),0)</f>
        <v>0</v>
      </c>
      <c r="AN944" s="63">
        <f>IFERROR(INDEX(Job_Training[[Solar]:[Wind]],MATCH(AN$1,Job_Training[[`Typical Entry Level Education`]:[`Typical Entry Level Education`]],0),MATCH(LEFT($D944,5),Job_Training[[#Headers],[Solar]:[Wind]],0)),0)</f>
        <v>0</v>
      </c>
      <c r="AO944" s="63">
        <f>IFERROR(INDEX(Job_Training[[Solar]:[Wind]],MATCH(AO$1,Job_Training[[`Typical Entry Level Education`]:[`Typical Entry Level Education`]],0),MATCH(LEFT($D944,5),Job_Training[[#Headers],[Solar]:[Wind]],0)),0)</f>
        <v>0</v>
      </c>
      <c r="AP944">
        <f t="shared" si="262"/>
        <v>0</v>
      </c>
      <c r="AQ944" s="63">
        <f>IF(AP944&gt;0,IFERROR(INDEX(Assumptions!$C$165:$D$165,MATCH(LEFT($D944,5),Job_Training[[#Headers],[Solar]:[Wind]],0)),0),0)</f>
        <v>0</v>
      </c>
      <c r="AR944">
        <f>IF(AP944&gt;0,IFERROR(INDEX(Assumptions!$C$166:$D$166,MATCH(LEFT($D944,5),Job_Training[[#Headers],[Solar]:[Wind]],0)),0),0)</f>
        <v>0</v>
      </c>
    </row>
    <row r="945" spans="1:44" hidden="1" x14ac:dyDescent="0.35">
      <c r="A945" t="str">
        <f>UserInput!$B$82</f>
        <v>Incremental Buildout</v>
      </c>
      <c r="B945">
        <v>2044</v>
      </c>
      <c r="C945" t="s">
        <v>87</v>
      </c>
      <c r="D945" t="s">
        <v>91</v>
      </c>
      <c r="E945" s="66">
        <f>INDEX(UserInput!$C$82:$M$102,MATCH(UserMade_Scenario!B945,UserInput!$A$82:$A$102,0),MATCH(LEFT(IF(RIGHT(C945,2)="H2",UserMade_Scenario!C945,D945),3),UserInput!$C$25:$M$25,0))</f>
        <v>66.666666666666686</v>
      </c>
      <c r="F945" t="s">
        <v>89</v>
      </c>
      <c r="G945" s="14">
        <f t="shared" si="263"/>
        <v>7.2866666666666699E-5</v>
      </c>
      <c r="H945" s="63">
        <f t="shared" si="248"/>
        <v>2.4927686666666674E-3</v>
      </c>
      <c r="I945" s="63">
        <f t="shared" si="249"/>
        <v>2.4927686666666674E-3</v>
      </c>
      <c r="J945" s="63">
        <f t="shared" si="250"/>
        <v>9.7105763333333369E-3</v>
      </c>
      <c r="K945" s="30">
        <f>IF(OR(LEFT($D945,5)="Solar",$D945="Wind"),INDEX(Land_Use[AVG],MATCH(LEFT($D945,5),Land_Use[Tech],0)),0)*$E945</f>
        <v>0</v>
      </c>
      <c r="L945" s="30">
        <f>IF(OR(LEFT($D945,5)="Solar",$D945="Wind"),INDEX(Land_Use[MIN],MATCH(LEFT($D945,5),Land_Use[Tech],0)),0)*$E945</f>
        <v>0</v>
      </c>
      <c r="M945" s="30">
        <f>IF(OR(LEFT($D945,5)="Solar",$D945="Wind"),INDEX(Land_Use[MAX],MATCH(LEFT($D945,5),Land_Use[Tech],0)),0)*$E945</f>
        <v>0</v>
      </c>
      <c r="N945" s="15">
        <f t="shared" si="251"/>
        <v>0</v>
      </c>
      <c r="O945" s="11">
        <f t="shared" si="252"/>
        <v>0</v>
      </c>
      <c r="P945" s="11">
        <f t="shared" si="253"/>
        <v>0</v>
      </c>
      <c r="Q945" s="11">
        <f t="shared" si="254"/>
        <v>0</v>
      </c>
      <c r="R945" s="11">
        <f t="shared" si="255"/>
        <v>0</v>
      </c>
      <c r="S945" s="30">
        <f t="shared" si="256"/>
        <v>0</v>
      </c>
      <c r="T945" s="30">
        <f t="shared" si="257"/>
        <v>0</v>
      </c>
      <c r="U945" s="30">
        <f t="shared" si="258"/>
        <v>0</v>
      </c>
      <c r="V945" s="30">
        <f t="shared" si="259"/>
        <v>0</v>
      </c>
      <c r="W945" s="30">
        <f t="shared" si="260"/>
        <v>0</v>
      </c>
      <c r="X945" s="30">
        <f t="shared" si="261"/>
        <v>0</v>
      </c>
      <c r="Z945" s="23" t="s">
        <v>76</v>
      </c>
      <c r="AA945" s="40" t="str">
        <f>IF(C945="Electricity",E945*SUMIFS(Electricity!S:S,Electricity!P:P,UserMade_Scenario!B945,Electricity!M:M,UserMade_Scenario!Z945,Electricity!O:O,UserMade_Scenario!D945),"")</f>
        <v/>
      </c>
      <c r="AB945" s="67">
        <v>1.0930000000000002E-6</v>
      </c>
      <c r="AC945" s="67" t="s">
        <v>90</v>
      </c>
      <c r="AD945" s="39">
        <f>IFERROR(INDEX(Assumptions!B$145:B$146,MATCH($D945,Assumptions!$A$145:$A$146,0)),0)</f>
        <v>-34.209999999999994</v>
      </c>
      <c r="AE945" s="39">
        <f>IFERROR(INDEX(Assumptions!C$145:C$146,MATCH($D945,Assumptions!$A$145:$A$146,0)),0)</f>
        <v>-34.209999999999994</v>
      </c>
      <c r="AF945" s="39">
        <f>IFERROR(INDEX(Assumptions!D$145:D$146,MATCH($D945,Assumptions!$A$145:$A$146,0)),0)</f>
        <v>-133.26499999999999</v>
      </c>
      <c r="AG945" s="68">
        <f>IFERROR(INDEX(WaterUseH2[Average Direct Water Consumption (Gal/ kg h2)],MATCH(LEFT(D945,3),WaterUseH2[Key],0)),0)</f>
        <v>0</v>
      </c>
      <c r="AH945">
        <v>14</v>
      </c>
      <c r="AI945">
        <v>1.4</v>
      </c>
      <c r="AJ945">
        <v>250</v>
      </c>
      <c r="AK945">
        <v>0.31</v>
      </c>
      <c r="AL945" s="63">
        <f>IFERROR(INDEX(Job_Training[[Solar]:[Wind]],MATCH(AL$1,Job_Training[[`Typical Entry Level Education`]:[`Typical Entry Level Education`]],0),MATCH(LEFT($D945,5),Job_Training[[#Headers],[Solar]:[Wind]],0)),0)</f>
        <v>0</v>
      </c>
      <c r="AM945" s="63">
        <f>IFERROR(INDEX(Job_Training[[Solar]:[Wind]],MATCH(AM$1,Job_Training[[`Typical Entry Level Education`]:[`Typical Entry Level Education`]],0),MATCH(LEFT($D945,5),Job_Training[[#Headers],[Solar]:[Wind]],0)),0)</f>
        <v>0</v>
      </c>
      <c r="AN945" s="63">
        <f>IFERROR(INDEX(Job_Training[[Solar]:[Wind]],MATCH(AN$1,Job_Training[[`Typical Entry Level Education`]:[`Typical Entry Level Education`]],0),MATCH(LEFT($D945,5),Job_Training[[#Headers],[Solar]:[Wind]],0)),0)</f>
        <v>0</v>
      </c>
      <c r="AO945" s="63">
        <f>IFERROR(INDEX(Job_Training[[Solar]:[Wind]],MATCH(AO$1,Job_Training[[`Typical Entry Level Education`]:[`Typical Entry Level Education`]],0),MATCH(LEFT($D945,5),Job_Training[[#Headers],[Solar]:[Wind]],0)),0)</f>
        <v>0</v>
      </c>
      <c r="AP945">
        <f t="shared" si="262"/>
        <v>0</v>
      </c>
      <c r="AQ945" s="63">
        <f>IF(AP945&gt;0,IFERROR(INDEX(Assumptions!$C$165:$D$165,MATCH(LEFT($D945,5),Job_Training[[#Headers],[Solar]:[Wind]],0)),0),0)</f>
        <v>0</v>
      </c>
      <c r="AR945">
        <f>IF(AP945&gt;0,IFERROR(INDEX(Assumptions!$C$166:$D$166,MATCH(LEFT($D945,5),Job_Training[[#Headers],[Solar]:[Wind]],0)),0),0)</f>
        <v>0</v>
      </c>
    </row>
    <row r="946" spans="1:44" hidden="1" x14ac:dyDescent="0.35">
      <c r="A946" t="str">
        <f>UserInput!$B$82</f>
        <v>Incremental Buildout</v>
      </c>
      <c r="B946">
        <v>2045</v>
      </c>
      <c r="C946" t="s">
        <v>87</v>
      </c>
      <c r="D946" t="s">
        <v>91</v>
      </c>
      <c r="E946" s="66">
        <f>INDEX(UserInput!$C$82:$M$102,MATCH(UserMade_Scenario!B946,UserInput!$A$82:$A$102,0),MATCH(LEFT(IF(RIGHT(C946,2)="H2",UserMade_Scenario!C946,D946),3),UserInput!$C$25:$M$25,0))</f>
        <v>70</v>
      </c>
      <c r="F946" t="s">
        <v>89</v>
      </c>
      <c r="G946" s="14">
        <f t="shared" si="263"/>
        <v>7.6510000000000011E-5</v>
      </c>
      <c r="H946" s="63">
        <f t="shared" si="248"/>
        <v>2.6174071E-3</v>
      </c>
      <c r="I946" s="63">
        <f t="shared" si="249"/>
        <v>2.6174071E-3</v>
      </c>
      <c r="J946" s="63">
        <f t="shared" si="250"/>
        <v>1.0196105150000001E-2</v>
      </c>
      <c r="K946" s="30">
        <f>IF(OR(LEFT($D946,5)="Solar",$D946="Wind"),INDEX(Land_Use[AVG],MATCH(LEFT($D946,5),Land_Use[Tech],0)),0)*$E946</f>
        <v>0</v>
      </c>
      <c r="L946" s="30">
        <f>IF(OR(LEFT($D946,5)="Solar",$D946="Wind"),INDEX(Land_Use[MIN],MATCH(LEFT($D946,5),Land_Use[Tech],0)),0)*$E946</f>
        <v>0</v>
      </c>
      <c r="M946" s="30">
        <f>IF(OR(LEFT($D946,5)="Solar",$D946="Wind"),INDEX(Land_Use[MAX],MATCH(LEFT($D946,5),Land_Use[Tech],0)),0)*$E946</f>
        <v>0</v>
      </c>
      <c r="N946" s="15">
        <f t="shared" si="251"/>
        <v>0</v>
      </c>
      <c r="O946" s="11">
        <f t="shared" si="252"/>
        <v>0</v>
      </c>
      <c r="P946" s="11">
        <f t="shared" si="253"/>
        <v>0</v>
      </c>
      <c r="Q946" s="11">
        <f t="shared" si="254"/>
        <v>0</v>
      </c>
      <c r="R946" s="11">
        <f t="shared" si="255"/>
        <v>0</v>
      </c>
      <c r="S946" s="30">
        <f t="shared" si="256"/>
        <v>0</v>
      </c>
      <c r="T946" s="30">
        <f t="shared" si="257"/>
        <v>0</v>
      </c>
      <c r="U946" s="30">
        <f t="shared" si="258"/>
        <v>0</v>
      </c>
      <c r="V946" s="30">
        <f t="shared" si="259"/>
        <v>0</v>
      </c>
      <c r="W946" s="30">
        <f t="shared" si="260"/>
        <v>0</v>
      </c>
      <c r="X946" s="30">
        <f t="shared" si="261"/>
        <v>0</v>
      </c>
      <c r="Z946" s="23" t="s">
        <v>76</v>
      </c>
      <c r="AA946" s="40" t="str">
        <f>IF(C946="Electricity",E946*SUMIFS(Electricity!S:S,Electricity!P:P,UserMade_Scenario!B946,Electricity!M:M,UserMade_Scenario!Z946,Electricity!O:O,UserMade_Scenario!D946),"")</f>
        <v/>
      </c>
      <c r="AB946" s="67">
        <v>1.0930000000000002E-6</v>
      </c>
      <c r="AC946" s="67" t="s">
        <v>90</v>
      </c>
      <c r="AD946" s="39">
        <f>IFERROR(INDEX(Assumptions!B$145:B$146,MATCH($D946,Assumptions!$A$145:$A$146,0)),0)</f>
        <v>-34.209999999999994</v>
      </c>
      <c r="AE946" s="39">
        <f>IFERROR(INDEX(Assumptions!C$145:C$146,MATCH($D946,Assumptions!$A$145:$A$146,0)),0)</f>
        <v>-34.209999999999994</v>
      </c>
      <c r="AF946" s="39">
        <f>IFERROR(INDEX(Assumptions!D$145:D$146,MATCH($D946,Assumptions!$A$145:$A$146,0)),0)</f>
        <v>-133.26499999999999</v>
      </c>
      <c r="AG946" s="68">
        <f>IFERROR(INDEX(WaterUseH2[Average Direct Water Consumption (Gal/ kg h2)],MATCH(LEFT(D946,3),WaterUseH2[Key],0)),0)</f>
        <v>0</v>
      </c>
      <c r="AH946">
        <v>14</v>
      </c>
      <c r="AI946">
        <v>1.4</v>
      </c>
      <c r="AJ946">
        <v>250</v>
      </c>
      <c r="AK946">
        <v>0.31</v>
      </c>
      <c r="AL946" s="63">
        <f>IFERROR(INDEX(Job_Training[[Solar]:[Wind]],MATCH(AL$1,Job_Training[[`Typical Entry Level Education`]:[`Typical Entry Level Education`]],0),MATCH(LEFT($D946,5),Job_Training[[#Headers],[Solar]:[Wind]],0)),0)</f>
        <v>0</v>
      </c>
      <c r="AM946" s="63">
        <f>IFERROR(INDEX(Job_Training[[Solar]:[Wind]],MATCH(AM$1,Job_Training[[`Typical Entry Level Education`]:[`Typical Entry Level Education`]],0),MATCH(LEFT($D946,5),Job_Training[[#Headers],[Solar]:[Wind]],0)),0)</f>
        <v>0</v>
      </c>
      <c r="AN946" s="63">
        <f>IFERROR(INDEX(Job_Training[[Solar]:[Wind]],MATCH(AN$1,Job_Training[[`Typical Entry Level Education`]:[`Typical Entry Level Education`]],0),MATCH(LEFT($D946,5),Job_Training[[#Headers],[Solar]:[Wind]],0)),0)</f>
        <v>0</v>
      </c>
      <c r="AO946" s="63">
        <f>IFERROR(INDEX(Job_Training[[Solar]:[Wind]],MATCH(AO$1,Job_Training[[`Typical Entry Level Education`]:[`Typical Entry Level Education`]],0),MATCH(LEFT($D946,5),Job_Training[[#Headers],[Solar]:[Wind]],0)),0)</f>
        <v>0</v>
      </c>
      <c r="AP946">
        <f t="shared" si="262"/>
        <v>0</v>
      </c>
      <c r="AQ946" s="63">
        <f>IF(AP946&gt;0,IFERROR(INDEX(Assumptions!$C$165:$D$165,MATCH(LEFT($D946,5),Job_Training[[#Headers],[Solar]:[Wind]],0)),0),0)</f>
        <v>0</v>
      </c>
      <c r="AR946">
        <f>IF(AP946&gt;0,IFERROR(INDEX(Assumptions!$C$166:$D$166,MATCH(LEFT($D946,5),Job_Training[[#Headers],[Solar]:[Wind]],0)),0),0)</f>
        <v>0</v>
      </c>
    </row>
    <row r="947" spans="1:44" hidden="1" x14ac:dyDescent="0.35">
      <c r="A947" t="str">
        <f>UserInput!$B$82</f>
        <v>Incremental Buildout</v>
      </c>
      <c r="B947">
        <v>2025</v>
      </c>
      <c r="C947" t="s">
        <v>92</v>
      </c>
      <c r="D947" t="s">
        <v>93</v>
      </c>
      <c r="E947" s="66">
        <f>INDEX(UserInput!$C$82:$M$102,MATCH(UserMade_Scenario!B947,UserInput!$A$82:$A$102,0),MATCH(LEFT(IF(RIGHT(C947,2)="H2",UserMade_Scenario!C947,D947),3),UserInput!$C$25:$M$25,0))</f>
        <v>2.3809523809523808E-2</v>
      </c>
      <c r="F947" t="s">
        <v>94</v>
      </c>
      <c r="G947" s="14">
        <f t="shared" si="263"/>
        <v>3.3912509464285718E-6</v>
      </c>
      <c r="H947" s="63">
        <f t="shared" si="248"/>
        <v>5.6430415748571434E-5</v>
      </c>
      <c r="I947" s="63">
        <f t="shared" si="249"/>
        <v>5.6430415748571434E-5</v>
      </c>
      <c r="J947" s="63">
        <f t="shared" si="250"/>
        <v>1.327335620432143E-4</v>
      </c>
      <c r="K947" s="30">
        <f>IF(OR(LEFT($D947,5)="Solar",$D947="Wind"),INDEX(Land_Use[AVG],MATCH(LEFT($D947,5),Land_Use[Tech],0)),0)*$E947</f>
        <v>0</v>
      </c>
      <c r="L947" s="30">
        <f>IF(OR(LEFT($D947,5)="Solar",$D947="Wind"),INDEX(Land_Use[MIN],MATCH(LEFT($D947,5),Land_Use[Tech],0)),0)*$E947</f>
        <v>0</v>
      </c>
      <c r="M947" s="30">
        <f>IF(OR(LEFT($D947,5)="Solar",$D947="Wind"),INDEX(Land_Use[MAX],MATCH(LEFT($D947,5),Land_Use[Tech],0)),0)*$E947</f>
        <v>0</v>
      </c>
      <c r="N947" s="15">
        <f t="shared" si="251"/>
        <v>0</v>
      </c>
      <c r="O947" s="11">
        <f t="shared" si="252"/>
        <v>0</v>
      </c>
      <c r="P947" s="11">
        <f t="shared" si="253"/>
        <v>0</v>
      </c>
      <c r="Q947" s="11">
        <f t="shared" si="254"/>
        <v>0</v>
      </c>
      <c r="R947" s="11">
        <f t="shared" si="255"/>
        <v>0</v>
      </c>
      <c r="S947" s="30">
        <f t="shared" si="256"/>
        <v>0</v>
      </c>
      <c r="T947" s="30">
        <f t="shared" si="257"/>
        <v>0</v>
      </c>
      <c r="U947" s="30">
        <f t="shared" si="258"/>
        <v>0</v>
      </c>
      <c r="V947" s="30">
        <f t="shared" si="259"/>
        <v>0</v>
      </c>
      <c r="W947" s="30">
        <f t="shared" si="260"/>
        <v>0</v>
      </c>
      <c r="X947" s="30">
        <f t="shared" si="261"/>
        <v>0</v>
      </c>
      <c r="Z947" s="23" t="s">
        <v>76</v>
      </c>
      <c r="AA947" s="40" t="str">
        <f>IF(C947="Electricity",E947*SUMIFS(Electricity!S:S,Electricity!P:P,UserMade_Scenario!B947,Electricity!M:M,UserMade_Scenario!Z947,Electricity!O:O,UserMade_Scenario!D947),"")</f>
        <v/>
      </c>
      <c r="AB947" s="67">
        <v>1.4243253975000002E-4</v>
      </c>
      <c r="AC947" s="67" t="s">
        <v>95</v>
      </c>
      <c r="AD947" s="39">
        <f>INDEX(Assumptions!E$120:E$141,MATCH(UserMade_Scenario!$B947,Assumptions!$A$120:$A$141,0))</f>
        <v>-16.64</v>
      </c>
      <c r="AE947" s="39">
        <f>INDEX(Assumptions!F$120:F$141,MATCH(UserMade_Scenario!$B947,Assumptions!$A$120:$A$141,0))</f>
        <v>-16.64</v>
      </c>
      <c r="AF947" s="39">
        <f>INDEX(Assumptions!G$120:G$141,MATCH(UserMade_Scenario!$B947,Assumptions!$A$120:$A$141,0))</f>
        <v>-39.14</v>
      </c>
      <c r="AG947" s="68">
        <f>IFERROR(INDEX(WaterUseH2[Average Direct Water Consumption (Gal/ kg h2)],MATCH(LEFT(D947,3),WaterUseH2[Key],0)),0)</f>
        <v>0</v>
      </c>
      <c r="AH947">
        <v>14</v>
      </c>
      <c r="AI947">
        <v>1.4</v>
      </c>
      <c r="AJ947">
        <v>250</v>
      </c>
      <c r="AK947">
        <v>0.31</v>
      </c>
      <c r="AL947" s="63">
        <f>IFERROR(INDEX(Job_Training[[Solar]:[Wind]],MATCH(AL$1,Job_Training[[`Typical Entry Level Education`]:[`Typical Entry Level Education`]],0),MATCH(LEFT($D947,5),Job_Training[[#Headers],[Solar]:[Wind]],0)),0)</f>
        <v>0</v>
      </c>
      <c r="AM947" s="63">
        <f>IFERROR(INDEX(Job_Training[[Solar]:[Wind]],MATCH(AM$1,Job_Training[[`Typical Entry Level Education`]:[`Typical Entry Level Education`]],0),MATCH(LEFT($D947,5),Job_Training[[#Headers],[Solar]:[Wind]],0)),0)</f>
        <v>0</v>
      </c>
      <c r="AN947" s="63">
        <f>IFERROR(INDEX(Job_Training[[Solar]:[Wind]],MATCH(AN$1,Job_Training[[`Typical Entry Level Education`]:[`Typical Entry Level Education`]],0),MATCH(LEFT($D947,5),Job_Training[[#Headers],[Solar]:[Wind]],0)),0)</f>
        <v>0</v>
      </c>
      <c r="AO947" s="63">
        <f>IFERROR(INDEX(Job_Training[[Solar]:[Wind]],MATCH(AO$1,Job_Training[[`Typical Entry Level Education`]:[`Typical Entry Level Education`]],0),MATCH(LEFT($D947,5),Job_Training[[#Headers],[Solar]:[Wind]],0)),0)</f>
        <v>0</v>
      </c>
      <c r="AP947">
        <f t="shared" si="262"/>
        <v>0</v>
      </c>
      <c r="AQ947" s="63">
        <f>IF(AP947&gt;0,IFERROR(INDEX(Assumptions!$C$165:$D$165,MATCH(LEFT($D947,5),Job_Training[[#Headers],[Solar]:[Wind]],0)),0),0)</f>
        <v>0</v>
      </c>
      <c r="AR947">
        <f>IF(AP947&gt;0,IFERROR(INDEX(Assumptions!$C$166:$D$166,MATCH(LEFT($D947,5),Job_Training[[#Headers],[Solar]:[Wind]],0)),0),0)</f>
        <v>0</v>
      </c>
    </row>
    <row r="948" spans="1:44" hidden="1" x14ac:dyDescent="0.35">
      <c r="A948" t="str">
        <f>UserInput!$B$82</f>
        <v>Incremental Buildout</v>
      </c>
      <c r="B948">
        <v>2026</v>
      </c>
      <c r="C948" t="s">
        <v>92</v>
      </c>
      <c r="D948" t="s">
        <v>93</v>
      </c>
      <c r="E948" s="66">
        <f>INDEX(UserInput!$C$82:$M$102,MATCH(UserMade_Scenario!B948,UserInput!$A$82:$A$102,0),MATCH(LEFT(IF(RIGHT(C948,2)="H2",UserMade_Scenario!C948,D948),3),UserInput!$C$25:$M$25,0))</f>
        <v>4.7619047619047616E-2</v>
      </c>
      <c r="F948" t="s">
        <v>94</v>
      </c>
      <c r="G948" s="14">
        <f t="shared" si="263"/>
        <v>6.7825018928571435E-6</v>
      </c>
      <c r="H948" s="63">
        <f t="shared" si="248"/>
        <v>1.0431487911214284E-4</v>
      </c>
      <c r="I948" s="63">
        <f t="shared" si="249"/>
        <v>1.0431487911214284E-4</v>
      </c>
      <c r="J948" s="63">
        <f t="shared" si="250"/>
        <v>2.5692117170142859E-4</v>
      </c>
      <c r="K948" s="30">
        <f>IF(OR(LEFT($D948,5)="Solar",$D948="Wind"),INDEX(Land_Use[AVG],MATCH(LEFT($D948,5),Land_Use[Tech],0)),0)*$E948</f>
        <v>0</v>
      </c>
      <c r="L948" s="30">
        <f>IF(OR(LEFT($D948,5)="Solar",$D948="Wind"),INDEX(Land_Use[MIN],MATCH(LEFT($D948,5),Land_Use[Tech],0)),0)*$E948</f>
        <v>0</v>
      </c>
      <c r="M948" s="30">
        <f>IF(OR(LEFT($D948,5)="Solar",$D948="Wind"),INDEX(Land_Use[MAX],MATCH(LEFT($D948,5),Land_Use[Tech],0)),0)*$E948</f>
        <v>0</v>
      </c>
      <c r="N948" s="15">
        <f t="shared" si="251"/>
        <v>0</v>
      </c>
      <c r="O948" s="11">
        <f t="shared" si="252"/>
        <v>0</v>
      </c>
      <c r="P948" s="11">
        <f t="shared" si="253"/>
        <v>0</v>
      </c>
      <c r="Q948" s="11">
        <f t="shared" si="254"/>
        <v>0</v>
      </c>
      <c r="R948" s="11">
        <f t="shared" si="255"/>
        <v>0</v>
      </c>
      <c r="S948" s="30">
        <f t="shared" si="256"/>
        <v>0</v>
      </c>
      <c r="T948" s="30">
        <f t="shared" si="257"/>
        <v>0</v>
      </c>
      <c r="U948" s="30">
        <f t="shared" si="258"/>
        <v>0</v>
      </c>
      <c r="V948" s="30">
        <f t="shared" si="259"/>
        <v>0</v>
      </c>
      <c r="W948" s="30">
        <f t="shared" si="260"/>
        <v>0</v>
      </c>
      <c r="X948" s="30">
        <f t="shared" si="261"/>
        <v>0</v>
      </c>
      <c r="Z948" s="23" t="s">
        <v>76</v>
      </c>
      <c r="AA948" s="40" t="str">
        <f>IF(C948="Electricity",E948*SUMIFS(Electricity!S:S,Electricity!P:P,UserMade_Scenario!B948,Electricity!M:M,UserMade_Scenario!Z948,Electricity!O:O,UserMade_Scenario!D948),"")</f>
        <v/>
      </c>
      <c r="AB948" s="67">
        <v>1.4243253975000002E-4</v>
      </c>
      <c r="AC948" s="67" t="s">
        <v>95</v>
      </c>
      <c r="AD948" s="39">
        <f>INDEX(Assumptions!E$120:E$141,MATCH(UserMade_Scenario!$B948,Assumptions!$A$120:$A$141,0))</f>
        <v>-15.379999999999995</v>
      </c>
      <c r="AE948" s="39">
        <f>INDEX(Assumptions!F$120:F$141,MATCH(UserMade_Scenario!$B948,Assumptions!$A$120:$A$141,0))</f>
        <v>-15.379999999999995</v>
      </c>
      <c r="AF948" s="39">
        <f>INDEX(Assumptions!G$120:G$141,MATCH(UserMade_Scenario!$B948,Assumptions!$A$120:$A$141,0))</f>
        <v>-37.879999999999995</v>
      </c>
      <c r="AG948" s="68">
        <f>IFERROR(INDEX(WaterUseH2[Average Direct Water Consumption (Gal/ kg h2)],MATCH(LEFT(D948,3),WaterUseH2[Key],0)),0)</f>
        <v>0</v>
      </c>
      <c r="AH948">
        <v>14</v>
      </c>
      <c r="AI948">
        <v>1.4</v>
      </c>
      <c r="AJ948">
        <v>250</v>
      </c>
      <c r="AK948">
        <v>0.31</v>
      </c>
      <c r="AL948" s="63">
        <f>IFERROR(INDEX(Job_Training[[Solar]:[Wind]],MATCH(AL$1,Job_Training[[`Typical Entry Level Education`]:[`Typical Entry Level Education`]],0),MATCH(LEFT($D948,5),Job_Training[[#Headers],[Solar]:[Wind]],0)),0)</f>
        <v>0</v>
      </c>
      <c r="AM948" s="63">
        <f>IFERROR(INDEX(Job_Training[[Solar]:[Wind]],MATCH(AM$1,Job_Training[[`Typical Entry Level Education`]:[`Typical Entry Level Education`]],0),MATCH(LEFT($D948,5),Job_Training[[#Headers],[Solar]:[Wind]],0)),0)</f>
        <v>0</v>
      </c>
      <c r="AN948" s="63">
        <f>IFERROR(INDEX(Job_Training[[Solar]:[Wind]],MATCH(AN$1,Job_Training[[`Typical Entry Level Education`]:[`Typical Entry Level Education`]],0),MATCH(LEFT($D948,5),Job_Training[[#Headers],[Solar]:[Wind]],0)),0)</f>
        <v>0</v>
      </c>
      <c r="AO948" s="63">
        <f>IFERROR(INDEX(Job_Training[[Solar]:[Wind]],MATCH(AO$1,Job_Training[[`Typical Entry Level Education`]:[`Typical Entry Level Education`]],0),MATCH(LEFT($D948,5),Job_Training[[#Headers],[Solar]:[Wind]],0)),0)</f>
        <v>0</v>
      </c>
      <c r="AP948">
        <f t="shared" si="262"/>
        <v>0</v>
      </c>
      <c r="AQ948" s="63">
        <f>IF(AP948&gt;0,IFERROR(INDEX(Assumptions!$C$165:$D$165,MATCH(LEFT($D948,5),Job_Training[[#Headers],[Solar]:[Wind]],0)),0),0)</f>
        <v>0</v>
      </c>
      <c r="AR948">
        <f>IF(AP948&gt;0,IFERROR(INDEX(Assumptions!$C$166:$D$166,MATCH(LEFT($D948,5),Job_Training[[#Headers],[Solar]:[Wind]],0)),0),0)</f>
        <v>0</v>
      </c>
    </row>
    <row r="949" spans="1:44" hidden="1" x14ac:dyDescent="0.35">
      <c r="A949" t="str">
        <f>UserInput!$B$82</f>
        <v>Incremental Buildout</v>
      </c>
      <c r="B949">
        <v>2027</v>
      </c>
      <c r="C949" t="s">
        <v>92</v>
      </c>
      <c r="D949" t="s">
        <v>93</v>
      </c>
      <c r="E949" s="66">
        <f>INDEX(UserInput!$C$82:$M$102,MATCH(UserMade_Scenario!B949,UserInput!$A$82:$A$102,0),MATCH(LEFT(IF(RIGHT(C949,2)="H2",UserMade_Scenario!C949,D949),3),UserInput!$C$25:$M$25,0))</f>
        <v>7.1428571428571425E-2</v>
      </c>
      <c r="F949" t="s">
        <v>94</v>
      </c>
      <c r="G949" s="14">
        <f t="shared" si="263"/>
        <v>1.0173752839285716E-5</v>
      </c>
      <c r="H949" s="63">
        <f t="shared" si="248"/>
        <v>1.4375512761910712E-4</v>
      </c>
      <c r="I949" s="63">
        <f t="shared" si="249"/>
        <v>1.4375512761910712E-4</v>
      </c>
      <c r="J949" s="63">
        <f t="shared" si="250"/>
        <v>3.7266456650303571E-4</v>
      </c>
      <c r="K949" s="30">
        <f>IF(OR(LEFT($D949,5)="Solar",$D949="Wind"),INDEX(Land_Use[AVG],MATCH(LEFT($D949,5),Land_Use[Tech],0)),0)*$E949</f>
        <v>0</v>
      </c>
      <c r="L949" s="30">
        <f>IF(OR(LEFT($D949,5)="Solar",$D949="Wind"),INDEX(Land_Use[MIN],MATCH(LEFT($D949,5),Land_Use[Tech],0)),0)*$E949</f>
        <v>0</v>
      </c>
      <c r="M949" s="30">
        <f>IF(OR(LEFT($D949,5)="Solar",$D949="Wind"),INDEX(Land_Use[MAX],MATCH(LEFT($D949,5),Land_Use[Tech],0)),0)*$E949</f>
        <v>0</v>
      </c>
      <c r="N949" s="15">
        <f t="shared" si="251"/>
        <v>0</v>
      </c>
      <c r="O949" s="11">
        <f t="shared" si="252"/>
        <v>0</v>
      </c>
      <c r="P949" s="11">
        <f t="shared" si="253"/>
        <v>0</v>
      </c>
      <c r="Q949" s="11">
        <f t="shared" si="254"/>
        <v>0</v>
      </c>
      <c r="R949" s="11">
        <f t="shared" si="255"/>
        <v>0</v>
      </c>
      <c r="S949" s="30">
        <f t="shared" si="256"/>
        <v>0</v>
      </c>
      <c r="T949" s="30">
        <f t="shared" si="257"/>
        <v>0</v>
      </c>
      <c r="U949" s="30">
        <f t="shared" si="258"/>
        <v>0</v>
      </c>
      <c r="V949" s="30">
        <f t="shared" si="259"/>
        <v>0</v>
      </c>
      <c r="W949" s="30">
        <f t="shared" si="260"/>
        <v>0</v>
      </c>
      <c r="X949" s="30">
        <f t="shared" si="261"/>
        <v>0</v>
      </c>
      <c r="Z949" s="23" t="s">
        <v>76</v>
      </c>
      <c r="AA949" s="40" t="str">
        <f>IF(C949="Electricity",E949*SUMIFS(Electricity!S:S,Electricity!P:P,UserMade_Scenario!B949,Electricity!M:M,UserMade_Scenario!Z949,Electricity!O:O,UserMade_Scenario!D949),"")</f>
        <v/>
      </c>
      <c r="AB949" s="67">
        <v>1.4243253975000002E-4</v>
      </c>
      <c r="AC949" s="67" t="s">
        <v>95</v>
      </c>
      <c r="AD949" s="39">
        <f>INDEX(Assumptions!E$120:E$141,MATCH(UserMade_Scenario!$B949,Assumptions!$A$120:$A$141,0))</f>
        <v>-14.129999999999995</v>
      </c>
      <c r="AE949" s="39">
        <f>INDEX(Assumptions!F$120:F$141,MATCH(UserMade_Scenario!$B949,Assumptions!$A$120:$A$141,0))</f>
        <v>-14.129999999999995</v>
      </c>
      <c r="AF949" s="39">
        <f>INDEX(Assumptions!G$120:G$141,MATCH(UserMade_Scenario!$B949,Assumptions!$A$120:$A$141,0))</f>
        <v>-36.629999999999995</v>
      </c>
      <c r="AG949" s="68">
        <f>IFERROR(INDEX(WaterUseH2[Average Direct Water Consumption (Gal/ kg h2)],MATCH(LEFT(D949,3),WaterUseH2[Key],0)),0)</f>
        <v>0</v>
      </c>
      <c r="AH949">
        <v>14</v>
      </c>
      <c r="AI949">
        <v>1.4</v>
      </c>
      <c r="AJ949">
        <v>250</v>
      </c>
      <c r="AK949">
        <v>0.31</v>
      </c>
      <c r="AL949" s="63">
        <f>IFERROR(INDEX(Job_Training[[Solar]:[Wind]],MATCH(AL$1,Job_Training[[`Typical Entry Level Education`]:[`Typical Entry Level Education`]],0),MATCH(LEFT($D949,5),Job_Training[[#Headers],[Solar]:[Wind]],0)),0)</f>
        <v>0</v>
      </c>
      <c r="AM949" s="63">
        <f>IFERROR(INDEX(Job_Training[[Solar]:[Wind]],MATCH(AM$1,Job_Training[[`Typical Entry Level Education`]:[`Typical Entry Level Education`]],0),MATCH(LEFT($D949,5),Job_Training[[#Headers],[Solar]:[Wind]],0)),0)</f>
        <v>0</v>
      </c>
      <c r="AN949" s="63">
        <f>IFERROR(INDEX(Job_Training[[Solar]:[Wind]],MATCH(AN$1,Job_Training[[`Typical Entry Level Education`]:[`Typical Entry Level Education`]],0),MATCH(LEFT($D949,5),Job_Training[[#Headers],[Solar]:[Wind]],0)),0)</f>
        <v>0</v>
      </c>
      <c r="AO949" s="63">
        <f>IFERROR(INDEX(Job_Training[[Solar]:[Wind]],MATCH(AO$1,Job_Training[[`Typical Entry Level Education`]:[`Typical Entry Level Education`]],0),MATCH(LEFT($D949,5),Job_Training[[#Headers],[Solar]:[Wind]],0)),0)</f>
        <v>0</v>
      </c>
      <c r="AP949">
        <f t="shared" si="262"/>
        <v>0</v>
      </c>
      <c r="AQ949" s="63">
        <f>IF(AP949&gt;0,IFERROR(INDEX(Assumptions!$C$165:$D$165,MATCH(LEFT($D949,5),Job_Training[[#Headers],[Solar]:[Wind]],0)),0),0)</f>
        <v>0</v>
      </c>
      <c r="AR949">
        <f>IF(AP949&gt;0,IFERROR(INDEX(Assumptions!$C$166:$D$166,MATCH(LEFT($D949,5),Job_Training[[#Headers],[Solar]:[Wind]],0)),0),0)</f>
        <v>0</v>
      </c>
    </row>
    <row r="950" spans="1:44" hidden="1" x14ac:dyDescent="0.35">
      <c r="A950" t="str">
        <f>UserInput!$B$82</f>
        <v>Incremental Buildout</v>
      </c>
      <c r="B950">
        <v>2028</v>
      </c>
      <c r="C950" t="s">
        <v>92</v>
      </c>
      <c r="D950" t="s">
        <v>93</v>
      </c>
      <c r="E950" s="66">
        <f>INDEX(UserInput!$C$82:$M$102,MATCH(UserMade_Scenario!B950,UserInput!$A$82:$A$102,0),MATCH(LEFT(IF(RIGHT(C950,2)="H2",UserMade_Scenario!C950,D950),3),UserInput!$C$25:$M$25,0))</f>
        <v>9.5238095238095233E-2</v>
      </c>
      <c r="F950" t="s">
        <v>94</v>
      </c>
      <c r="G950" s="14">
        <f t="shared" si="263"/>
        <v>1.3565003785714287E-5</v>
      </c>
      <c r="H950" s="63">
        <f t="shared" si="248"/>
        <v>1.7458159872214292E-4</v>
      </c>
      <c r="I950" s="63">
        <f t="shared" si="249"/>
        <v>1.7458159872214292E-4</v>
      </c>
      <c r="J950" s="63">
        <f t="shared" si="250"/>
        <v>4.7979418390071439E-4</v>
      </c>
      <c r="K950" s="30">
        <f>IF(OR(LEFT($D950,5)="Solar",$D950="Wind"),INDEX(Land_Use[AVG],MATCH(LEFT($D950,5),Land_Use[Tech],0)),0)*$E950</f>
        <v>0</v>
      </c>
      <c r="L950" s="30">
        <f>IF(OR(LEFT($D950,5)="Solar",$D950="Wind"),INDEX(Land_Use[MIN],MATCH(LEFT($D950,5),Land_Use[Tech],0)),0)*$E950</f>
        <v>0</v>
      </c>
      <c r="M950" s="30">
        <f>IF(OR(LEFT($D950,5)="Solar",$D950="Wind"),INDEX(Land_Use[MAX],MATCH(LEFT($D950,5),Land_Use[Tech],0)),0)*$E950</f>
        <v>0</v>
      </c>
      <c r="N950" s="15">
        <f t="shared" si="251"/>
        <v>0</v>
      </c>
      <c r="O950" s="11">
        <f t="shared" si="252"/>
        <v>0</v>
      </c>
      <c r="P950" s="11">
        <f t="shared" si="253"/>
        <v>0</v>
      </c>
      <c r="Q950" s="11">
        <f t="shared" si="254"/>
        <v>0</v>
      </c>
      <c r="R950" s="11">
        <f t="shared" si="255"/>
        <v>0</v>
      </c>
      <c r="S950" s="30">
        <f t="shared" si="256"/>
        <v>0</v>
      </c>
      <c r="T950" s="30">
        <f t="shared" si="257"/>
        <v>0</v>
      </c>
      <c r="U950" s="30">
        <f t="shared" si="258"/>
        <v>0</v>
      </c>
      <c r="V950" s="30">
        <f t="shared" si="259"/>
        <v>0</v>
      </c>
      <c r="W950" s="30">
        <f t="shared" si="260"/>
        <v>0</v>
      </c>
      <c r="X950" s="30">
        <f t="shared" si="261"/>
        <v>0</v>
      </c>
      <c r="Z950" s="23" t="s">
        <v>76</v>
      </c>
      <c r="AA950" s="40" t="str">
        <f>IF(C950="Electricity",E950*SUMIFS(Electricity!S:S,Electricity!P:P,UserMade_Scenario!B950,Electricity!M:M,UserMade_Scenario!Z950,Electricity!O:O,UserMade_Scenario!D950),"")</f>
        <v/>
      </c>
      <c r="AB950" s="67">
        <v>1.4243253975000002E-4</v>
      </c>
      <c r="AC950" s="67" t="s">
        <v>95</v>
      </c>
      <c r="AD950" s="39">
        <f>INDEX(Assumptions!E$120:E$141,MATCH(UserMade_Scenario!$B950,Assumptions!$A$120:$A$141,0))</f>
        <v>-12.870000000000005</v>
      </c>
      <c r="AE950" s="39">
        <f>INDEX(Assumptions!F$120:F$141,MATCH(UserMade_Scenario!$B950,Assumptions!$A$120:$A$141,0))</f>
        <v>-12.870000000000005</v>
      </c>
      <c r="AF950" s="39">
        <f>INDEX(Assumptions!G$120:G$141,MATCH(UserMade_Scenario!$B950,Assumptions!$A$120:$A$141,0))</f>
        <v>-35.370000000000005</v>
      </c>
      <c r="AG950" s="68">
        <f>IFERROR(INDEX(WaterUseH2[Average Direct Water Consumption (Gal/ kg h2)],MATCH(LEFT(D950,3),WaterUseH2[Key],0)),0)</f>
        <v>0</v>
      </c>
      <c r="AH950">
        <v>14</v>
      </c>
      <c r="AI950">
        <v>1.4</v>
      </c>
      <c r="AJ950">
        <v>250</v>
      </c>
      <c r="AK950">
        <v>0.31</v>
      </c>
      <c r="AL950" s="63">
        <f>IFERROR(INDEX(Job_Training[[Solar]:[Wind]],MATCH(AL$1,Job_Training[[`Typical Entry Level Education`]:[`Typical Entry Level Education`]],0),MATCH(LEFT($D950,5),Job_Training[[#Headers],[Solar]:[Wind]],0)),0)</f>
        <v>0</v>
      </c>
      <c r="AM950" s="63">
        <f>IFERROR(INDEX(Job_Training[[Solar]:[Wind]],MATCH(AM$1,Job_Training[[`Typical Entry Level Education`]:[`Typical Entry Level Education`]],0),MATCH(LEFT($D950,5),Job_Training[[#Headers],[Solar]:[Wind]],0)),0)</f>
        <v>0</v>
      </c>
      <c r="AN950" s="63">
        <f>IFERROR(INDEX(Job_Training[[Solar]:[Wind]],MATCH(AN$1,Job_Training[[`Typical Entry Level Education`]:[`Typical Entry Level Education`]],0),MATCH(LEFT($D950,5),Job_Training[[#Headers],[Solar]:[Wind]],0)),0)</f>
        <v>0</v>
      </c>
      <c r="AO950" s="63">
        <f>IFERROR(INDEX(Job_Training[[Solar]:[Wind]],MATCH(AO$1,Job_Training[[`Typical Entry Level Education`]:[`Typical Entry Level Education`]],0),MATCH(LEFT($D950,5),Job_Training[[#Headers],[Solar]:[Wind]],0)),0)</f>
        <v>0</v>
      </c>
      <c r="AP950">
        <f t="shared" si="262"/>
        <v>0</v>
      </c>
      <c r="AQ950" s="63">
        <f>IF(AP950&gt;0,IFERROR(INDEX(Assumptions!$C$165:$D$165,MATCH(LEFT($D950,5),Job_Training[[#Headers],[Solar]:[Wind]],0)),0),0)</f>
        <v>0</v>
      </c>
      <c r="AR950">
        <f>IF(AP950&gt;0,IFERROR(INDEX(Assumptions!$C$166:$D$166,MATCH(LEFT($D950,5),Job_Training[[#Headers],[Solar]:[Wind]],0)),0),0)</f>
        <v>0</v>
      </c>
    </row>
    <row r="951" spans="1:44" hidden="1" x14ac:dyDescent="0.35">
      <c r="A951" t="str">
        <f>UserInput!$B$82</f>
        <v>Incremental Buildout</v>
      </c>
      <c r="B951">
        <v>2029</v>
      </c>
      <c r="C951" t="s">
        <v>92</v>
      </c>
      <c r="D951" t="s">
        <v>93</v>
      </c>
      <c r="E951" s="66">
        <f>INDEX(UserInput!$C$82:$M$102,MATCH(UserMade_Scenario!B951,UserInput!$A$82:$A$102,0),MATCH(LEFT(IF(RIGHT(C951,2)="H2",UserMade_Scenario!C951,D951),3),UserInput!$C$25:$M$25,0))</f>
        <v>0.11904761904761904</v>
      </c>
      <c r="F951" t="s">
        <v>94</v>
      </c>
      <c r="G951" s="14">
        <f t="shared" si="263"/>
        <v>1.6956254732142858E-5</v>
      </c>
      <c r="H951" s="63">
        <f t="shared" ref="H951:H988" si="264">IF($C951="Electricity",$AA951/1000000,$G951)*AD951*-1</f>
        <v>1.9703167998750008E-4</v>
      </c>
      <c r="I951" s="63">
        <f t="shared" ref="I951:I988" si="265">IF($C951="Electricity",$AA951/1000000,$G951)*AE951*-1</f>
        <v>1.9703167998750008E-4</v>
      </c>
      <c r="J951" s="63">
        <f t="shared" ref="J951:J988" si="266">IF($C951="Electricity",$AA951/1000000,$G951)*AF951*-1</f>
        <v>5.7854741146071435E-4</v>
      </c>
      <c r="K951" s="30">
        <f>IF(OR(LEFT($D951,5)="Solar",$D951="Wind"),INDEX(Land_Use[AVG],MATCH(LEFT($D951,5),Land_Use[Tech],0)),0)*$E951</f>
        <v>0</v>
      </c>
      <c r="L951" s="30">
        <f>IF(OR(LEFT($D951,5)="Solar",$D951="Wind"),INDEX(Land_Use[MIN],MATCH(LEFT($D951,5),Land_Use[Tech],0)),0)*$E951</f>
        <v>0</v>
      </c>
      <c r="M951" s="30">
        <f>IF(OR(LEFT($D951,5)="Solar",$D951="Wind"),INDEX(Land_Use[MAX],MATCH(LEFT($D951,5),Land_Use[Tech],0)),0)*$E951</f>
        <v>0</v>
      </c>
      <c r="N951" s="15">
        <f t="shared" si="251"/>
        <v>0</v>
      </c>
      <c r="O951" s="11">
        <f t="shared" si="252"/>
        <v>0</v>
      </c>
      <c r="P951" s="11">
        <f t="shared" si="253"/>
        <v>0</v>
      </c>
      <c r="Q951" s="11">
        <f t="shared" si="254"/>
        <v>0</v>
      </c>
      <c r="R951" s="11">
        <f t="shared" si="255"/>
        <v>0</v>
      </c>
      <c r="S951" s="30">
        <f t="shared" si="256"/>
        <v>0</v>
      </c>
      <c r="T951" s="30">
        <f t="shared" si="257"/>
        <v>0</v>
      </c>
      <c r="U951" s="30">
        <f t="shared" si="258"/>
        <v>0</v>
      </c>
      <c r="V951" s="30">
        <f t="shared" si="259"/>
        <v>0</v>
      </c>
      <c r="W951" s="30">
        <f t="shared" si="260"/>
        <v>0</v>
      </c>
      <c r="X951" s="30">
        <f t="shared" si="261"/>
        <v>0</v>
      </c>
      <c r="Y951" s="31"/>
      <c r="Z951" s="23" t="s">
        <v>76</v>
      </c>
      <c r="AA951" s="40" t="str">
        <f>IF(C951="Electricity",E951*SUMIFS(Electricity!S:S,Electricity!P:P,UserMade_Scenario!B951,Electricity!M:M,UserMade_Scenario!Z951,Electricity!O:O,UserMade_Scenario!D951),"")</f>
        <v/>
      </c>
      <c r="AB951" s="67">
        <v>1.4243253975000002E-4</v>
      </c>
      <c r="AC951" s="67" t="s">
        <v>95</v>
      </c>
      <c r="AD951" s="39">
        <f>INDEX(Assumptions!E$120:E$141,MATCH(UserMade_Scenario!$B951,Assumptions!$A$120:$A$141,0))</f>
        <v>-11.620000000000005</v>
      </c>
      <c r="AE951" s="39">
        <f>INDEX(Assumptions!F$120:F$141,MATCH(UserMade_Scenario!$B951,Assumptions!$A$120:$A$141,0))</f>
        <v>-11.620000000000005</v>
      </c>
      <c r="AF951" s="39">
        <f>INDEX(Assumptions!G$120:G$141,MATCH(UserMade_Scenario!$B951,Assumptions!$A$120:$A$141,0))</f>
        <v>-34.120000000000005</v>
      </c>
      <c r="AG951" s="68">
        <f>IFERROR(INDEX(WaterUseH2[Average Direct Water Consumption (Gal/ kg h2)],MATCH(LEFT(D951,3),WaterUseH2[Key],0)),0)</f>
        <v>0</v>
      </c>
      <c r="AH951">
        <v>14</v>
      </c>
      <c r="AI951">
        <v>1.4</v>
      </c>
      <c r="AJ951">
        <v>250</v>
      </c>
      <c r="AK951">
        <v>0.31</v>
      </c>
      <c r="AL951" s="63">
        <f>IFERROR(INDEX(Job_Training[[Solar]:[Wind]],MATCH(AL$1,Job_Training[[`Typical Entry Level Education`]:[`Typical Entry Level Education`]],0),MATCH(LEFT($D951,5),Job_Training[[#Headers],[Solar]:[Wind]],0)),0)</f>
        <v>0</v>
      </c>
      <c r="AM951" s="63">
        <f>IFERROR(INDEX(Job_Training[[Solar]:[Wind]],MATCH(AM$1,Job_Training[[`Typical Entry Level Education`]:[`Typical Entry Level Education`]],0),MATCH(LEFT($D951,5),Job_Training[[#Headers],[Solar]:[Wind]],0)),0)</f>
        <v>0</v>
      </c>
      <c r="AN951" s="63">
        <f>IFERROR(INDEX(Job_Training[[Solar]:[Wind]],MATCH(AN$1,Job_Training[[`Typical Entry Level Education`]:[`Typical Entry Level Education`]],0),MATCH(LEFT($D951,5),Job_Training[[#Headers],[Solar]:[Wind]],0)),0)</f>
        <v>0</v>
      </c>
      <c r="AO951" s="63">
        <f>IFERROR(INDEX(Job_Training[[Solar]:[Wind]],MATCH(AO$1,Job_Training[[`Typical Entry Level Education`]:[`Typical Entry Level Education`]],0),MATCH(LEFT($D951,5),Job_Training[[#Headers],[Solar]:[Wind]],0)),0)</f>
        <v>0</v>
      </c>
      <c r="AP951">
        <f t="shared" si="262"/>
        <v>0</v>
      </c>
      <c r="AQ951" s="63">
        <f>IF(AP951&gt;0,IFERROR(INDEX(Assumptions!$C$165:$D$165,MATCH(LEFT($D951,5),Job_Training[[#Headers],[Solar]:[Wind]],0)),0),0)</f>
        <v>0</v>
      </c>
      <c r="AR951">
        <f>IF(AP951&gt;0,IFERROR(INDEX(Assumptions!$C$166:$D$166,MATCH(LEFT($D951,5),Job_Training[[#Headers],[Solar]:[Wind]],0)),0),0)</f>
        <v>0</v>
      </c>
    </row>
    <row r="952" spans="1:44" hidden="1" x14ac:dyDescent="0.35">
      <c r="A952" t="str">
        <f>UserInput!$B$82</f>
        <v>Incremental Buildout</v>
      </c>
      <c r="B952">
        <v>2030</v>
      </c>
      <c r="C952" t="s">
        <v>92</v>
      </c>
      <c r="D952" t="s">
        <v>93</v>
      </c>
      <c r="E952" s="66">
        <f>INDEX(UserInput!$C$82:$M$102,MATCH(UserMade_Scenario!B952,UserInput!$A$82:$A$102,0),MATCH(LEFT(IF(RIGHT(C952,2)="H2",UserMade_Scenario!C952,D952),3),UserInput!$C$25:$M$25,0))</f>
        <v>0.14285714285714285</v>
      </c>
      <c r="F952" t="s">
        <v>94</v>
      </c>
      <c r="G952" s="14">
        <f t="shared" si="263"/>
        <v>2.0347505678571431E-5</v>
      </c>
      <c r="H952" s="63">
        <f t="shared" si="264"/>
        <v>2.1080015883000002E-4</v>
      </c>
      <c r="I952" s="63">
        <f t="shared" si="265"/>
        <v>2.1080015883000002E-4</v>
      </c>
      <c r="J952" s="63">
        <f t="shared" si="266"/>
        <v>6.6861903659785719E-4</v>
      </c>
      <c r="K952" s="30">
        <f>IF(OR(LEFT($D952,5)="Solar",$D952="Wind"),INDEX(Land_Use[AVG],MATCH(LEFT($D952,5),Land_Use[Tech],0)),0)*$E952</f>
        <v>0</v>
      </c>
      <c r="L952" s="30">
        <f>IF(OR(LEFT($D952,5)="Solar",$D952="Wind"),INDEX(Land_Use[MIN],MATCH(LEFT($D952,5),Land_Use[Tech],0)),0)*$E952</f>
        <v>0</v>
      </c>
      <c r="M952" s="30">
        <f>IF(OR(LEFT($D952,5)="Solar",$D952="Wind"),INDEX(Land_Use[MAX],MATCH(LEFT($D952,5),Land_Use[Tech],0)),0)*$E952</f>
        <v>0</v>
      </c>
      <c r="N952" s="15">
        <f t="shared" si="251"/>
        <v>0</v>
      </c>
      <c r="O952" s="11">
        <f t="shared" si="252"/>
        <v>0</v>
      </c>
      <c r="P952" s="11">
        <f t="shared" si="253"/>
        <v>0</v>
      </c>
      <c r="Q952" s="11">
        <f t="shared" si="254"/>
        <v>0</v>
      </c>
      <c r="R952" s="11">
        <f t="shared" si="255"/>
        <v>0</v>
      </c>
      <c r="S952" s="30">
        <f t="shared" si="256"/>
        <v>0</v>
      </c>
      <c r="T952" s="30">
        <f t="shared" si="257"/>
        <v>0</v>
      </c>
      <c r="U952" s="30">
        <f t="shared" si="258"/>
        <v>0</v>
      </c>
      <c r="V952" s="30">
        <f t="shared" si="259"/>
        <v>0</v>
      </c>
      <c r="W952" s="30">
        <f t="shared" si="260"/>
        <v>0</v>
      </c>
      <c r="X952" s="30">
        <f t="shared" si="261"/>
        <v>0</v>
      </c>
      <c r="Z952" s="23" t="s">
        <v>76</v>
      </c>
      <c r="AA952" s="40" t="str">
        <f>IF(C952="Electricity",E952*SUMIFS(Electricity!S:S,Electricity!P:P,UserMade_Scenario!B952,Electricity!M:M,UserMade_Scenario!Z952,Electricity!O:O,UserMade_Scenario!D952),"")</f>
        <v/>
      </c>
      <c r="AB952" s="67">
        <v>1.4243253975000002E-4</v>
      </c>
      <c r="AC952" s="67" t="s">
        <v>95</v>
      </c>
      <c r="AD952" s="39">
        <f>INDEX(Assumptions!E$120:E$141,MATCH(UserMade_Scenario!$B952,Assumptions!$A$120:$A$141,0))</f>
        <v>-10.36</v>
      </c>
      <c r="AE952" s="39">
        <f>INDEX(Assumptions!F$120:F$141,MATCH(UserMade_Scenario!$B952,Assumptions!$A$120:$A$141,0))</f>
        <v>-10.36</v>
      </c>
      <c r="AF952" s="39">
        <f>INDEX(Assumptions!G$120:G$141,MATCH(UserMade_Scenario!$B952,Assumptions!$A$120:$A$141,0))</f>
        <v>-32.86</v>
      </c>
      <c r="AG952" s="68">
        <f>IFERROR(INDEX(WaterUseH2[Average Direct Water Consumption (Gal/ kg h2)],MATCH(LEFT(D952,3),WaterUseH2[Key],0)),0)</f>
        <v>0</v>
      </c>
      <c r="AH952">
        <v>14</v>
      </c>
      <c r="AI952">
        <v>1.4</v>
      </c>
      <c r="AJ952">
        <v>250</v>
      </c>
      <c r="AK952">
        <v>0.31</v>
      </c>
      <c r="AL952" s="63">
        <f>IFERROR(INDEX(Job_Training[[Solar]:[Wind]],MATCH(AL$1,Job_Training[[`Typical Entry Level Education`]:[`Typical Entry Level Education`]],0),MATCH(LEFT($D952,5),Job_Training[[#Headers],[Solar]:[Wind]],0)),0)</f>
        <v>0</v>
      </c>
      <c r="AM952" s="63">
        <f>IFERROR(INDEX(Job_Training[[Solar]:[Wind]],MATCH(AM$1,Job_Training[[`Typical Entry Level Education`]:[`Typical Entry Level Education`]],0),MATCH(LEFT($D952,5),Job_Training[[#Headers],[Solar]:[Wind]],0)),0)</f>
        <v>0</v>
      </c>
      <c r="AN952" s="63">
        <f>IFERROR(INDEX(Job_Training[[Solar]:[Wind]],MATCH(AN$1,Job_Training[[`Typical Entry Level Education`]:[`Typical Entry Level Education`]],0),MATCH(LEFT($D952,5),Job_Training[[#Headers],[Solar]:[Wind]],0)),0)</f>
        <v>0</v>
      </c>
      <c r="AO952" s="63">
        <f>IFERROR(INDEX(Job_Training[[Solar]:[Wind]],MATCH(AO$1,Job_Training[[`Typical Entry Level Education`]:[`Typical Entry Level Education`]],0),MATCH(LEFT($D952,5),Job_Training[[#Headers],[Solar]:[Wind]],0)),0)</f>
        <v>0</v>
      </c>
      <c r="AP952">
        <f t="shared" si="262"/>
        <v>0</v>
      </c>
      <c r="AQ952" s="63">
        <f>IF(AP952&gt;0,IFERROR(INDEX(Assumptions!$C$165:$D$165,MATCH(LEFT($D952,5),Job_Training[[#Headers],[Solar]:[Wind]],0)),0),0)</f>
        <v>0</v>
      </c>
      <c r="AR952">
        <f>IF(AP952&gt;0,IFERROR(INDEX(Assumptions!$C$166:$D$166,MATCH(LEFT($D952,5),Job_Training[[#Headers],[Solar]:[Wind]],0)),0),0)</f>
        <v>0</v>
      </c>
    </row>
    <row r="953" spans="1:44" hidden="1" x14ac:dyDescent="0.35">
      <c r="A953" t="str">
        <f>UserInput!$B$82</f>
        <v>Incremental Buildout</v>
      </c>
      <c r="B953">
        <v>2031</v>
      </c>
      <c r="C953" t="s">
        <v>92</v>
      </c>
      <c r="D953" t="s">
        <v>93</v>
      </c>
      <c r="E953" s="66">
        <f>INDEX(UserInput!$C$82:$M$102,MATCH(UserMade_Scenario!B953,UserInput!$A$82:$A$102,0),MATCH(LEFT(IF(RIGHT(C953,2)="H2",UserMade_Scenario!C953,D953),3),UserInput!$C$25:$M$25,0))</f>
        <v>0.16666666666666666</v>
      </c>
      <c r="F953" t="s">
        <v>94</v>
      </c>
      <c r="G953" s="14">
        <f t="shared" si="263"/>
        <v>2.3738756625000001E-5</v>
      </c>
      <c r="H953" s="63">
        <f t="shared" si="264"/>
        <v>2.4593351863500001E-4</v>
      </c>
      <c r="I953" s="63">
        <f t="shared" si="265"/>
        <v>2.4593351863500001E-4</v>
      </c>
      <c r="J953" s="63">
        <f t="shared" si="266"/>
        <v>7.8005554269749999E-4</v>
      </c>
      <c r="K953" s="30">
        <f>IF(OR(LEFT($D953,5)="Solar",$D953="Wind"),INDEX(Land_Use[AVG],MATCH(LEFT($D953,5),Land_Use[Tech],0)),0)*$E953</f>
        <v>0</v>
      </c>
      <c r="L953" s="30">
        <f>IF(OR(LEFT($D953,5)="Solar",$D953="Wind"),INDEX(Land_Use[MIN],MATCH(LEFT($D953,5),Land_Use[Tech],0)),0)*$E953</f>
        <v>0</v>
      </c>
      <c r="M953" s="30">
        <f>IF(OR(LEFT($D953,5)="Solar",$D953="Wind"),INDEX(Land_Use[MAX],MATCH(LEFT($D953,5),Land_Use[Tech],0)),0)*$E953</f>
        <v>0</v>
      </c>
      <c r="N953" s="15">
        <f t="shared" si="251"/>
        <v>0</v>
      </c>
      <c r="O953" s="11">
        <f t="shared" si="252"/>
        <v>0</v>
      </c>
      <c r="P953" s="11">
        <f t="shared" si="253"/>
        <v>0</v>
      </c>
      <c r="Q953" s="11">
        <f t="shared" si="254"/>
        <v>0</v>
      </c>
      <c r="R953" s="11">
        <f t="shared" si="255"/>
        <v>0</v>
      </c>
      <c r="S953" s="30">
        <f t="shared" si="256"/>
        <v>0</v>
      </c>
      <c r="T953" s="30">
        <f t="shared" si="257"/>
        <v>0</v>
      </c>
      <c r="U953" s="30">
        <f t="shared" si="258"/>
        <v>0</v>
      </c>
      <c r="V953" s="30">
        <f t="shared" si="259"/>
        <v>0</v>
      </c>
      <c r="W953" s="30">
        <f t="shared" si="260"/>
        <v>0</v>
      </c>
      <c r="X953" s="30">
        <f t="shared" si="261"/>
        <v>0</v>
      </c>
      <c r="Z953" s="23" t="s">
        <v>76</v>
      </c>
      <c r="AA953" s="40" t="str">
        <f>IF(C953="Electricity",E953*SUMIFS(Electricity!S:S,Electricity!P:P,UserMade_Scenario!B953,Electricity!M:M,UserMade_Scenario!Z953,Electricity!O:O,UserMade_Scenario!D953),"")</f>
        <v/>
      </c>
      <c r="AB953" s="67">
        <v>1.4243253975000002E-4</v>
      </c>
      <c r="AC953" s="67" t="s">
        <v>95</v>
      </c>
      <c r="AD953" s="39">
        <f>INDEX(Assumptions!E$120:E$141,MATCH(UserMade_Scenario!$B953,Assumptions!$A$120:$A$141,0))</f>
        <v>-10.36</v>
      </c>
      <c r="AE953" s="39">
        <f>INDEX(Assumptions!F$120:F$141,MATCH(UserMade_Scenario!$B953,Assumptions!$A$120:$A$141,0))</f>
        <v>-10.36</v>
      </c>
      <c r="AF953" s="39">
        <f>INDEX(Assumptions!G$120:G$141,MATCH(UserMade_Scenario!$B953,Assumptions!$A$120:$A$141,0))</f>
        <v>-32.86</v>
      </c>
      <c r="AG953" s="68">
        <f>IFERROR(INDEX(WaterUseH2[Average Direct Water Consumption (Gal/ kg h2)],MATCH(LEFT(D953,3),WaterUseH2[Key],0)),0)</f>
        <v>0</v>
      </c>
      <c r="AH953">
        <v>14</v>
      </c>
      <c r="AI953">
        <v>1.4</v>
      </c>
      <c r="AJ953">
        <v>250</v>
      </c>
      <c r="AK953">
        <v>0.31</v>
      </c>
      <c r="AL953" s="63">
        <f>IFERROR(INDEX(Job_Training[[Solar]:[Wind]],MATCH(AL$1,Job_Training[[`Typical Entry Level Education`]:[`Typical Entry Level Education`]],0),MATCH(LEFT($D953,5),Job_Training[[#Headers],[Solar]:[Wind]],0)),0)</f>
        <v>0</v>
      </c>
      <c r="AM953" s="63">
        <f>IFERROR(INDEX(Job_Training[[Solar]:[Wind]],MATCH(AM$1,Job_Training[[`Typical Entry Level Education`]:[`Typical Entry Level Education`]],0),MATCH(LEFT($D953,5),Job_Training[[#Headers],[Solar]:[Wind]],0)),0)</f>
        <v>0</v>
      </c>
      <c r="AN953" s="63">
        <f>IFERROR(INDEX(Job_Training[[Solar]:[Wind]],MATCH(AN$1,Job_Training[[`Typical Entry Level Education`]:[`Typical Entry Level Education`]],0),MATCH(LEFT($D953,5),Job_Training[[#Headers],[Solar]:[Wind]],0)),0)</f>
        <v>0</v>
      </c>
      <c r="AO953" s="63">
        <f>IFERROR(INDEX(Job_Training[[Solar]:[Wind]],MATCH(AO$1,Job_Training[[`Typical Entry Level Education`]:[`Typical Entry Level Education`]],0),MATCH(LEFT($D953,5),Job_Training[[#Headers],[Solar]:[Wind]],0)),0)</f>
        <v>0</v>
      </c>
      <c r="AP953">
        <f t="shared" si="262"/>
        <v>0</v>
      </c>
      <c r="AQ953" s="63">
        <f>IF(AP953&gt;0,IFERROR(INDEX(Assumptions!$C$165:$D$165,MATCH(LEFT($D953,5),Job_Training[[#Headers],[Solar]:[Wind]],0)),0),0)</f>
        <v>0</v>
      </c>
      <c r="AR953">
        <f>IF(AP953&gt;0,IFERROR(INDEX(Assumptions!$C$166:$D$166,MATCH(LEFT($D953,5),Job_Training[[#Headers],[Solar]:[Wind]],0)),0),0)</f>
        <v>0</v>
      </c>
    </row>
    <row r="954" spans="1:44" hidden="1" x14ac:dyDescent="0.35">
      <c r="A954" t="str">
        <f>UserInput!$B$82</f>
        <v>Incremental Buildout</v>
      </c>
      <c r="B954">
        <v>2032</v>
      </c>
      <c r="C954" t="s">
        <v>92</v>
      </c>
      <c r="D954" t="s">
        <v>93</v>
      </c>
      <c r="E954" s="66">
        <f>INDEX(UserInput!$C$82:$M$102,MATCH(UserMade_Scenario!B954,UserInput!$A$82:$A$102,0),MATCH(LEFT(IF(RIGHT(C954,2)="H2",UserMade_Scenario!C954,D954),3),UserInput!$C$25:$M$25,0))</f>
        <v>0.19047619047619047</v>
      </c>
      <c r="F954" t="s">
        <v>94</v>
      </c>
      <c r="G954" s="14">
        <f t="shared" si="263"/>
        <v>2.7130007571428574E-5</v>
      </c>
      <c r="H954" s="63">
        <f t="shared" si="264"/>
        <v>2.8106687844E-4</v>
      </c>
      <c r="I954" s="63">
        <f t="shared" si="265"/>
        <v>2.8106687844E-4</v>
      </c>
      <c r="J954" s="63">
        <f t="shared" si="266"/>
        <v>8.9149204879714289E-4</v>
      </c>
      <c r="K954" s="30">
        <f>IF(OR(LEFT($D954,5)="Solar",$D954="Wind"),INDEX(Land_Use[AVG],MATCH(LEFT($D954,5),Land_Use[Tech],0)),0)*$E954</f>
        <v>0</v>
      </c>
      <c r="L954" s="30">
        <f>IF(OR(LEFT($D954,5)="Solar",$D954="Wind"),INDEX(Land_Use[MIN],MATCH(LEFT($D954,5),Land_Use[Tech],0)),0)*$E954</f>
        <v>0</v>
      </c>
      <c r="M954" s="30">
        <f>IF(OR(LEFT($D954,5)="Solar",$D954="Wind"),INDEX(Land_Use[MAX],MATCH(LEFT($D954,5),Land_Use[Tech],0)),0)*$E954</f>
        <v>0</v>
      </c>
      <c r="N954" s="15">
        <f t="shared" si="251"/>
        <v>0</v>
      </c>
      <c r="O954" s="11">
        <f t="shared" si="252"/>
        <v>0</v>
      </c>
      <c r="P954" s="11">
        <f t="shared" si="253"/>
        <v>0</v>
      </c>
      <c r="Q954" s="11">
        <f t="shared" si="254"/>
        <v>0</v>
      </c>
      <c r="R954" s="11">
        <f t="shared" si="255"/>
        <v>0</v>
      </c>
      <c r="S954" s="30">
        <f t="shared" si="256"/>
        <v>0</v>
      </c>
      <c r="T954" s="30">
        <f t="shared" si="257"/>
        <v>0</v>
      </c>
      <c r="U954" s="30">
        <f t="shared" si="258"/>
        <v>0</v>
      </c>
      <c r="V954" s="30">
        <f t="shared" si="259"/>
        <v>0</v>
      </c>
      <c r="W954" s="30">
        <f t="shared" si="260"/>
        <v>0</v>
      </c>
      <c r="X954" s="30">
        <f t="shared" si="261"/>
        <v>0</v>
      </c>
      <c r="Z954" s="23" t="s">
        <v>76</v>
      </c>
      <c r="AA954" s="40" t="str">
        <f>IF(C954="Electricity",E954*SUMIFS(Electricity!S:S,Electricity!P:P,UserMade_Scenario!B954,Electricity!M:M,UserMade_Scenario!Z954,Electricity!O:O,UserMade_Scenario!D954),"")</f>
        <v/>
      </c>
      <c r="AB954" s="67">
        <v>1.4243253975000002E-4</v>
      </c>
      <c r="AC954" s="67" t="s">
        <v>95</v>
      </c>
      <c r="AD954" s="39">
        <f>INDEX(Assumptions!E$120:E$141,MATCH(UserMade_Scenario!$B954,Assumptions!$A$120:$A$141,0))</f>
        <v>-10.36</v>
      </c>
      <c r="AE954" s="39">
        <f>INDEX(Assumptions!F$120:F$141,MATCH(UserMade_Scenario!$B954,Assumptions!$A$120:$A$141,0))</f>
        <v>-10.36</v>
      </c>
      <c r="AF954" s="39">
        <f>INDEX(Assumptions!G$120:G$141,MATCH(UserMade_Scenario!$B954,Assumptions!$A$120:$A$141,0))</f>
        <v>-32.86</v>
      </c>
      <c r="AG954" s="68">
        <f>IFERROR(INDEX(WaterUseH2[Average Direct Water Consumption (Gal/ kg h2)],MATCH(LEFT(D954,3),WaterUseH2[Key],0)),0)</f>
        <v>0</v>
      </c>
      <c r="AH954">
        <v>14</v>
      </c>
      <c r="AI954">
        <v>1.4</v>
      </c>
      <c r="AJ954">
        <v>250</v>
      </c>
      <c r="AK954">
        <v>0.31</v>
      </c>
      <c r="AL954" s="63">
        <f>IFERROR(INDEX(Job_Training[[Solar]:[Wind]],MATCH(AL$1,Job_Training[[`Typical Entry Level Education`]:[`Typical Entry Level Education`]],0),MATCH(LEFT($D954,5),Job_Training[[#Headers],[Solar]:[Wind]],0)),0)</f>
        <v>0</v>
      </c>
      <c r="AM954" s="63">
        <f>IFERROR(INDEX(Job_Training[[Solar]:[Wind]],MATCH(AM$1,Job_Training[[`Typical Entry Level Education`]:[`Typical Entry Level Education`]],0),MATCH(LEFT($D954,5),Job_Training[[#Headers],[Solar]:[Wind]],0)),0)</f>
        <v>0</v>
      </c>
      <c r="AN954" s="63">
        <f>IFERROR(INDEX(Job_Training[[Solar]:[Wind]],MATCH(AN$1,Job_Training[[`Typical Entry Level Education`]:[`Typical Entry Level Education`]],0),MATCH(LEFT($D954,5),Job_Training[[#Headers],[Solar]:[Wind]],0)),0)</f>
        <v>0</v>
      </c>
      <c r="AO954" s="63">
        <f>IFERROR(INDEX(Job_Training[[Solar]:[Wind]],MATCH(AO$1,Job_Training[[`Typical Entry Level Education`]:[`Typical Entry Level Education`]],0),MATCH(LEFT($D954,5),Job_Training[[#Headers],[Solar]:[Wind]],0)),0)</f>
        <v>0</v>
      </c>
      <c r="AP954">
        <f t="shared" si="262"/>
        <v>0</v>
      </c>
      <c r="AQ954" s="63">
        <f>IF(AP954&gt;0,IFERROR(INDEX(Assumptions!$C$165:$D$165,MATCH(LEFT($D954,5),Job_Training[[#Headers],[Solar]:[Wind]],0)),0),0)</f>
        <v>0</v>
      </c>
      <c r="AR954">
        <f>IF(AP954&gt;0,IFERROR(INDEX(Assumptions!$C$166:$D$166,MATCH(LEFT($D954,5),Job_Training[[#Headers],[Solar]:[Wind]],0)),0),0)</f>
        <v>0</v>
      </c>
    </row>
    <row r="955" spans="1:44" hidden="1" x14ac:dyDescent="0.35">
      <c r="A955" t="str">
        <f>UserInput!$B$82</f>
        <v>Incremental Buildout</v>
      </c>
      <c r="B955">
        <v>2033</v>
      </c>
      <c r="C955" t="s">
        <v>92</v>
      </c>
      <c r="D955" t="s">
        <v>93</v>
      </c>
      <c r="E955" s="66">
        <f>INDEX(UserInput!$C$82:$M$102,MATCH(UserMade_Scenario!B955,UserInput!$A$82:$A$102,0),MATCH(LEFT(IF(RIGHT(C955,2)="H2",UserMade_Scenario!C955,D955),3),UserInput!$C$25:$M$25,0))</f>
        <v>0.21428571428571427</v>
      </c>
      <c r="F955" t="s">
        <v>94</v>
      </c>
      <c r="G955" s="14">
        <f t="shared" si="263"/>
        <v>3.0521258517857147E-5</v>
      </c>
      <c r="H955" s="63">
        <f t="shared" si="264"/>
        <v>3.1620023824500005E-4</v>
      </c>
      <c r="I955" s="63">
        <f t="shared" si="265"/>
        <v>3.1620023824500005E-4</v>
      </c>
      <c r="J955" s="63">
        <f t="shared" si="266"/>
        <v>1.0029285548967858E-3</v>
      </c>
      <c r="K955" s="30">
        <f>IF(OR(LEFT($D955,5)="Solar",$D955="Wind"),INDEX(Land_Use[AVG],MATCH(LEFT($D955,5),Land_Use[Tech],0)),0)*$E955</f>
        <v>0</v>
      </c>
      <c r="L955" s="30">
        <f>IF(OR(LEFT($D955,5)="Solar",$D955="Wind"),INDEX(Land_Use[MIN],MATCH(LEFT($D955,5),Land_Use[Tech],0)),0)*$E955</f>
        <v>0</v>
      </c>
      <c r="M955" s="30">
        <f>IF(OR(LEFT($D955,5)="Solar",$D955="Wind"),INDEX(Land_Use[MAX],MATCH(LEFT($D955,5),Land_Use[Tech],0)),0)*$E955</f>
        <v>0</v>
      </c>
      <c r="N955" s="15">
        <f t="shared" si="251"/>
        <v>0</v>
      </c>
      <c r="O955" s="11">
        <f t="shared" si="252"/>
        <v>0</v>
      </c>
      <c r="P955" s="11">
        <f t="shared" si="253"/>
        <v>0</v>
      </c>
      <c r="Q955" s="11">
        <f t="shared" si="254"/>
        <v>0</v>
      </c>
      <c r="R955" s="11">
        <f t="shared" si="255"/>
        <v>0</v>
      </c>
      <c r="S955" s="30">
        <f t="shared" si="256"/>
        <v>0</v>
      </c>
      <c r="T955" s="30">
        <f t="shared" si="257"/>
        <v>0</v>
      </c>
      <c r="U955" s="30">
        <f t="shared" si="258"/>
        <v>0</v>
      </c>
      <c r="V955" s="30">
        <f t="shared" si="259"/>
        <v>0</v>
      </c>
      <c r="W955" s="30">
        <f t="shared" si="260"/>
        <v>0</v>
      </c>
      <c r="X955" s="30">
        <f t="shared" si="261"/>
        <v>0</v>
      </c>
      <c r="Z955" s="23" t="s">
        <v>76</v>
      </c>
      <c r="AA955" s="40" t="str">
        <f>IF(C955="Electricity",E955*SUMIFS(Electricity!S:S,Electricity!P:P,UserMade_Scenario!B955,Electricity!M:M,UserMade_Scenario!Z955,Electricity!O:O,UserMade_Scenario!D955),"")</f>
        <v/>
      </c>
      <c r="AB955" s="67">
        <v>1.4243253975000002E-4</v>
      </c>
      <c r="AC955" s="67" t="s">
        <v>95</v>
      </c>
      <c r="AD955" s="39">
        <f>INDEX(Assumptions!E$120:E$141,MATCH(UserMade_Scenario!$B955,Assumptions!$A$120:$A$141,0))</f>
        <v>-10.36</v>
      </c>
      <c r="AE955" s="39">
        <f>INDEX(Assumptions!F$120:F$141,MATCH(UserMade_Scenario!$B955,Assumptions!$A$120:$A$141,0))</f>
        <v>-10.36</v>
      </c>
      <c r="AF955" s="39">
        <f>INDEX(Assumptions!G$120:G$141,MATCH(UserMade_Scenario!$B955,Assumptions!$A$120:$A$141,0))</f>
        <v>-32.86</v>
      </c>
      <c r="AG955" s="68">
        <f>IFERROR(INDEX(WaterUseH2[Average Direct Water Consumption (Gal/ kg h2)],MATCH(LEFT(D955,3),WaterUseH2[Key],0)),0)</f>
        <v>0</v>
      </c>
      <c r="AH955">
        <v>14</v>
      </c>
      <c r="AI955">
        <v>1.4</v>
      </c>
      <c r="AJ955">
        <v>250</v>
      </c>
      <c r="AK955">
        <v>0.31</v>
      </c>
      <c r="AL955" s="63">
        <f>IFERROR(INDEX(Job_Training[[Solar]:[Wind]],MATCH(AL$1,Job_Training[[`Typical Entry Level Education`]:[`Typical Entry Level Education`]],0),MATCH(LEFT($D955,5),Job_Training[[#Headers],[Solar]:[Wind]],0)),0)</f>
        <v>0</v>
      </c>
      <c r="AM955" s="63">
        <f>IFERROR(INDEX(Job_Training[[Solar]:[Wind]],MATCH(AM$1,Job_Training[[`Typical Entry Level Education`]:[`Typical Entry Level Education`]],0),MATCH(LEFT($D955,5),Job_Training[[#Headers],[Solar]:[Wind]],0)),0)</f>
        <v>0</v>
      </c>
      <c r="AN955" s="63">
        <f>IFERROR(INDEX(Job_Training[[Solar]:[Wind]],MATCH(AN$1,Job_Training[[`Typical Entry Level Education`]:[`Typical Entry Level Education`]],0),MATCH(LEFT($D955,5),Job_Training[[#Headers],[Solar]:[Wind]],0)),0)</f>
        <v>0</v>
      </c>
      <c r="AO955" s="63">
        <f>IFERROR(INDEX(Job_Training[[Solar]:[Wind]],MATCH(AO$1,Job_Training[[`Typical Entry Level Education`]:[`Typical Entry Level Education`]],0),MATCH(LEFT($D955,5),Job_Training[[#Headers],[Solar]:[Wind]],0)),0)</f>
        <v>0</v>
      </c>
      <c r="AP955">
        <f t="shared" si="262"/>
        <v>0</v>
      </c>
      <c r="AQ955" s="63">
        <f>IF(AP955&gt;0,IFERROR(INDEX(Assumptions!$C$165:$D$165,MATCH(LEFT($D955,5),Job_Training[[#Headers],[Solar]:[Wind]],0)),0),0)</f>
        <v>0</v>
      </c>
      <c r="AR955">
        <f>IF(AP955&gt;0,IFERROR(INDEX(Assumptions!$C$166:$D$166,MATCH(LEFT($D955,5),Job_Training[[#Headers],[Solar]:[Wind]],0)),0),0)</f>
        <v>0</v>
      </c>
    </row>
    <row r="956" spans="1:44" hidden="1" x14ac:dyDescent="0.35">
      <c r="A956" t="str">
        <f>UserInput!$B$82</f>
        <v>Incremental Buildout</v>
      </c>
      <c r="B956">
        <v>2034</v>
      </c>
      <c r="C956" t="s">
        <v>92</v>
      </c>
      <c r="D956" t="s">
        <v>93</v>
      </c>
      <c r="E956" s="66">
        <f>INDEX(UserInput!$C$82:$M$102,MATCH(UserMade_Scenario!B956,UserInput!$A$82:$A$102,0),MATCH(LEFT(IF(RIGHT(C956,2)="H2",UserMade_Scenario!C956,D956),3),UserInput!$C$25:$M$25,0))</f>
        <v>0.23809523809523808</v>
      </c>
      <c r="F956" t="s">
        <v>94</v>
      </c>
      <c r="G956" s="14">
        <f t="shared" si="263"/>
        <v>3.3912509464285717E-5</v>
      </c>
      <c r="H956" s="63">
        <f t="shared" si="264"/>
        <v>3.5133359804999999E-4</v>
      </c>
      <c r="I956" s="63">
        <f t="shared" si="265"/>
        <v>3.5133359804999999E-4</v>
      </c>
      <c r="J956" s="63">
        <f t="shared" si="266"/>
        <v>1.1143650609964286E-3</v>
      </c>
      <c r="K956" s="30">
        <f>IF(OR(LEFT($D956,5)="Solar",$D956="Wind"),INDEX(Land_Use[AVG],MATCH(LEFT($D956,5),Land_Use[Tech],0)),0)*$E956</f>
        <v>0</v>
      </c>
      <c r="L956" s="30">
        <f>IF(OR(LEFT($D956,5)="Solar",$D956="Wind"),INDEX(Land_Use[MIN],MATCH(LEFT($D956,5),Land_Use[Tech],0)),0)*$E956</f>
        <v>0</v>
      </c>
      <c r="M956" s="30">
        <f>IF(OR(LEFT($D956,5)="Solar",$D956="Wind"),INDEX(Land_Use[MAX],MATCH(LEFT($D956,5),Land_Use[Tech],0)),0)*$E956</f>
        <v>0</v>
      </c>
      <c r="N956" s="15">
        <f t="shared" si="251"/>
        <v>0</v>
      </c>
      <c r="O956" s="11">
        <f t="shared" si="252"/>
        <v>0</v>
      </c>
      <c r="P956" s="11">
        <f t="shared" si="253"/>
        <v>0</v>
      </c>
      <c r="Q956" s="11">
        <f t="shared" si="254"/>
        <v>0</v>
      </c>
      <c r="R956" s="11">
        <f t="shared" si="255"/>
        <v>0</v>
      </c>
      <c r="S956" s="30">
        <f t="shared" si="256"/>
        <v>0</v>
      </c>
      <c r="T956" s="30">
        <f t="shared" si="257"/>
        <v>0</v>
      </c>
      <c r="U956" s="30">
        <f t="shared" si="258"/>
        <v>0</v>
      </c>
      <c r="V956" s="30">
        <f t="shared" si="259"/>
        <v>0</v>
      </c>
      <c r="W956" s="30">
        <f t="shared" si="260"/>
        <v>0</v>
      </c>
      <c r="X956" s="30">
        <f t="shared" si="261"/>
        <v>0</v>
      </c>
      <c r="Z956" s="23" t="s">
        <v>76</v>
      </c>
      <c r="AA956" s="40" t="str">
        <f>IF(C956="Electricity",E956*SUMIFS(Electricity!S:S,Electricity!P:P,UserMade_Scenario!B956,Electricity!M:M,UserMade_Scenario!Z956,Electricity!O:O,UserMade_Scenario!D956),"")</f>
        <v/>
      </c>
      <c r="AB956" s="67">
        <v>1.4243253975000002E-4</v>
      </c>
      <c r="AC956" s="67" t="s">
        <v>95</v>
      </c>
      <c r="AD956" s="39">
        <f>INDEX(Assumptions!E$120:E$141,MATCH(UserMade_Scenario!$B956,Assumptions!$A$120:$A$141,0))</f>
        <v>-10.36</v>
      </c>
      <c r="AE956" s="39">
        <f>INDEX(Assumptions!F$120:F$141,MATCH(UserMade_Scenario!$B956,Assumptions!$A$120:$A$141,0))</f>
        <v>-10.36</v>
      </c>
      <c r="AF956" s="39">
        <f>INDEX(Assumptions!G$120:G$141,MATCH(UserMade_Scenario!$B956,Assumptions!$A$120:$A$141,0))</f>
        <v>-32.86</v>
      </c>
      <c r="AG956" s="68">
        <f>IFERROR(INDEX(WaterUseH2[Average Direct Water Consumption (Gal/ kg h2)],MATCH(LEFT(D956,3),WaterUseH2[Key],0)),0)</f>
        <v>0</v>
      </c>
      <c r="AH956">
        <v>14</v>
      </c>
      <c r="AI956">
        <v>1.4</v>
      </c>
      <c r="AJ956">
        <v>250</v>
      </c>
      <c r="AK956">
        <v>0.31</v>
      </c>
      <c r="AL956" s="63">
        <f>IFERROR(INDEX(Job_Training[[Solar]:[Wind]],MATCH(AL$1,Job_Training[[`Typical Entry Level Education`]:[`Typical Entry Level Education`]],0),MATCH(LEFT($D956,5),Job_Training[[#Headers],[Solar]:[Wind]],0)),0)</f>
        <v>0</v>
      </c>
      <c r="AM956" s="63">
        <f>IFERROR(INDEX(Job_Training[[Solar]:[Wind]],MATCH(AM$1,Job_Training[[`Typical Entry Level Education`]:[`Typical Entry Level Education`]],0),MATCH(LEFT($D956,5),Job_Training[[#Headers],[Solar]:[Wind]],0)),0)</f>
        <v>0</v>
      </c>
      <c r="AN956" s="63">
        <f>IFERROR(INDEX(Job_Training[[Solar]:[Wind]],MATCH(AN$1,Job_Training[[`Typical Entry Level Education`]:[`Typical Entry Level Education`]],0),MATCH(LEFT($D956,5),Job_Training[[#Headers],[Solar]:[Wind]],0)),0)</f>
        <v>0</v>
      </c>
      <c r="AO956" s="63">
        <f>IFERROR(INDEX(Job_Training[[Solar]:[Wind]],MATCH(AO$1,Job_Training[[`Typical Entry Level Education`]:[`Typical Entry Level Education`]],0),MATCH(LEFT($D956,5),Job_Training[[#Headers],[Solar]:[Wind]],0)),0)</f>
        <v>0</v>
      </c>
      <c r="AP956">
        <f t="shared" si="262"/>
        <v>0</v>
      </c>
      <c r="AQ956" s="63">
        <f>IF(AP956&gt;0,IFERROR(INDEX(Assumptions!$C$165:$D$165,MATCH(LEFT($D956,5),Job_Training[[#Headers],[Solar]:[Wind]],0)),0),0)</f>
        <v>0</v>
      </c>
      <c r="AR956">
        <f>IF(AP956&gt;0,IFERROR(INDEX(Assumptions!$C$166:$D$166,MATCH(LEFT($D956,5),Job_Training[[#Headers],[Solar]:[Wind]],0)),0),0)</f>
        <v>0</v>
      </c>
    </row>
    <row r="957" spans="1:44" hidden="1" x14ac:dyDescent="0.35">
      <c r="A957" t="str">
        <f>UserInput!$B$82</f>
        <v>Incremental Buildout</v>
      </c>
      <c r="B957">
        <v>2035</v>
      </c>
      <c r="C957" t="s">
        <v>92</v>
      </c>
      <c r="D957" t="s">
        <v>93</v>
      </c>
      <c r="E957" s="66">
        <f>INDEX(UserInput!$C$82:$M$102,MATCH(UserMade_Scenario!B957,UserInput!$A$82:$A$102,0),MATCH(LEFT(IF(RIGHT(C957,2)="H2",UserMade_Scenario!C957,D957),3),UserInput!$C$25:$M$25,0))</f>
        <v>0.26190476190476186</v>
      </c>
      <c r="F957" t="s">
        <v>94</v>
      </c>
      <c r="G957" s="14">
        <f t="shared" si="263"/>
        <v>3.7303760410714286E-5</v>
      </c>
      <c r="H957" s="63">
        <f t="shared" si="264"/>
        <v>3.8646695785499998E-4</v>
      </c>
      <c r="I957" s="63">
        <f t="shared" si="265"/>
        <v>3.8646695785499998E-4</v>
      </c>
      <c r="J957" s="63">
        <f t="shared" si="266"/>
        <v>1.2258015670960714E-3</v>
      </c>
      <c r="K957" s="30">
        <f>IF(OR(LEFT($D957,5)="Solar",$D957="Wind"),INDEX(Land_Use[AVG],MATCH(LEFT($D957,5),Land_Use[Tech],0)),0)*$E957</f>
        <v>0</v>
      </c>
      <c r="L957" s="30">
        <f>IF(OR(LEFT($D957,5)="Solar",$D957="Wind"),INDEX(Land_Use[MIN],MATCH(LEFT($D957,5),Land_Use[Tech],0)),0)*$E957</f>
        <v>0</v>
      </c>
      <c r="M957" s="30">
        <f>IF(OR(LEFT($D957,5)="Solar",$D957="Wind"),INDEX(Land_Use[MAX],MATCH(LEFT($D957,5),Land_Use[Tech],0)),0)*$E957</f>
        <v>0</v>
      </c>
      <c r="N957" s="15">
        <f t="shared" si="251"/>
        <v>0</v>
      </c>
      <c r="O957" s="11">
        <f t="shared" si="252"/>
        <v>0</v>
      </c>
      <c r="P957" s="11">
        <f t="shared" si="253"/>
        <v>0</v>
      </c>
      <c r="Q957" s="11">
        <f t="shared" si="254"/>
        <v>0</v>
      </c>
      <c r="R957" s="11">
        <f t="shared" si="255"/>
        <v>0</v>
      </c>
      <c r="S957" s="30">
        <f t="shared" si="256"/>
        <v>0</v>
      </c>
      <c r="T957" s="30">
        <f t="shared" si="257"/>
        <v>0</v>
      </c>
      <c r="U957" s="30">
        <f t="shared" si="258"/>
        <v>0</v>
      </c>
      <c r="V957" s="30">
        <f t="shared" si="259"/>
        <v>0</v>
      </c>
      <c r="W957" s="30">
        <f t="shared" si="260"/>
        <v>0</v>
      </c>
      <c r="X957" s="30">
        <f t="shared" si="261"/>
        <v>0</v>
      </c>
      <c r="Z957" s="23" t="s">
        <v>76</v>
      </c>
      <c r="AA957" s="40" t="str">
        <f>IF(C957="Electricity",E957*SUMIFS(Electricity!S:S,Electricity!P:P,UserMade_Scenario!B957,Electricity!M:M,UserMade_Scenario!Z957,Electricity!O:O,UserMade_Scenario!D957),"")</f>
        <v/>
      </c>
      <c r="AB957" s="67">
        <v>1.4243253975000002E-4</v>
      </c>
      <c r="AC957" s="67" t="s">
        <v>95</v>
      </c>
      <c r="AD957" s="39">
        <f>INDEX(Assumptions!E$120:E$141,MATCH(UserMade_Scenario!$B957,Assumptions!$A$120:$A$141,0))</f>
        <v>-10.36</v>
      </c>
      <c r="AE957" s="39">
        <f>INDEX(Assumptions!F$120:F$141,MATCH(UserMade_Scenario!$B957,Assumptions!$A$120:$A$141,0))</f>
        <v>-10.36</v>
      </c>
      <c r="AF957" s="39">
        <f>INDEX(Assumptions!G$120:G$141,MATCH(UserMade_Scenario!$B957,Assumptions!$A$120:$A$141,0))</f>
        <v>-32.86</v>
      </c>
      <c r="AG957" s="68">
        <f>IFERROR(INDEX(WaterUseH2[Average Direct Water Consumption (Gal/ kg h2)],MATCH(LEFT(D957,3),WaterUseH2[Key],0)),0)</f>
        <v>0</v>
      </c>
      <c r="AH957">
        <v>14</v>
      </c>
      <c r="AI957">
        <v>1.4</v>
      </c>
      <c r="AJ957">
        <v>250</v>
      </c>
      <c r="AK957">
        <v>0.31</v>
      </c>
      <c r="AL957" s="63">
        <f>IFERROR(INDEX(Job_Training[[Solar]:[Wind]],MATCH(AL$1,Job_Training[[`Typical Entry Level Education`]:[`Typical Entry Level Education`]],0),MATCH(LEFT($D957,5),Job_Training[[#Headers],[Solar]:[Wind]],0)),0)</f>
        <v>0</v>
      </c>
      <c r="AM957" s="63">
        <f>IFERROR(INDEX(Job_Training[[Solar]:[Wind]],MATCH(AM$1,Job_Training[[`Typical Entry Level Education`]:[`Typical Entry Level Education`]],0),MATCH(LEFT($D957,5),Job_Training[[#Headers],[Solar]:[Wind]],0)),0)</f>
        <v>0</v>
      </c>
      <c r="AN957" s="63">
        <f>IFERROR(INDEX(Job_Training[[Solar]:[Wind]],MATCH(AN$1,Job_Training[[`Typical Entry Level Education`]:[`Typical Entry Level Education`]],0),MATCH(LEFT($D957,5),Job_Training[[#Headers],[Solar]:[Wind]],0)),0)</f>
        <v>0</v>
      </c>
      <c r="AO957" s="63">
        <f>IFERROR(INDEX(Job_Training[[Solar]:[Wind]],MATCH(AO$1,Job_Training[[`Typical Entry Level Education`]:[`Typical Entry Level Education`]],0),MATCH(LEFT($D957,5),Job_Training[[#Headers],[Solar]:[Wind]],0)),0)</f>
        <v>0</v>
      </c>
      <c r="AP957">
        <f t="shared" si="262"/>
        <v>0</v>
      </c>
      <c r="AQ957" s="63">
        <f>IF(AP957&gt;0,IFERROR(INDEX(Assumptions!$C$165:$D$165,MATCH(LEFT($D957,5),Job_Training[[#Headers],[Solar]:[Wind]],0)),0),0)</f>
        <v>0</v>
      </c>
      <c r="AR957">
        <f>IF(AP957&gt;0,IFERROR(INDEX(Assumptions!$C$166:$D$166,MATCH(LEFT($D957,5),Job_Training[[#Headers],[Solar]:[Wind]],0)),0),0)</f>
        <v>0</v>
      </c>
    </row>
    <row r="958" spans="1:44" hidden="1" x14ac:dyDescent="0.35">
      <c r="A958" t="str">
        <f>UserInput!$B$82</f>
        <v>Incremental Buildout</v>
      </c>
      <c r="B958">
        <v>2036</v>
      </c>
      <c r="C958" t="s">
        <v>92</v>
      </c>
      <c r="D958" t="s">
        <v>93</v>
      </c>
      <c r="E958" s="66">
        <f>INDEX(UserInput!$C$82:$M$102,MATCH(UserMade_Scenario!B958,UserInput!$A$82:$A$102,0),MATCH(LEFT(IF(RIGHT(C958,2)="H2",UserMade_Scenario!C958,D958),3),UserInput!$C$25:$M$25,0))</f>
        <v>0.2857142857142857</v>
      </c>
      <c r="F958" t="s">
        <v>94</v>
      </c>
      <c r="G958" s="14">
        <f t="shared" si="263"/>
        <v>4.0695011357142863E-5</v>
      </c>
      <c r="H958" s="63">
        <f t="shared" si="264"/>
        <v>4.2160031766000003E-4</v>
      </c>
      <c r="I958" s="63">
        <f t="shared" si="265"/>
        <v>4.2160031766000003E-4</v>
      </c>
      <c r="J958" s="63">
        <f t="shared" si="266"/>
        <v>1.3372380731957144E-3</v>
      </c>
      <c r="K958" s="30">
        <f>IF(OR(LEFT($D958,5)="Solar",$D958="Wind"),INDEX(Land_Use[AVG],MATCH(LEFT($D958,5),Land_Use[Tech],0)),0)*$E958</f>
        <v>0</v>
      </c>
      <c r="L958" s="30">
        <f>IF(OR(LEFT($D958,5)="Solar",$D958="Wind"),INDEX(Land_Use[MIN],MATCH(LEFT($D958,5),Land_Use[Tech],0)),0)*$E958</f>
        <v>0</v>
      </c>
      <c r="M958" s="30">
        <f>IF(OR(LEFT($D958,5)="Solar",$D958="Wind"),INDEX(Land_Use[MAX],MATCH(LEFT($D958,5),Land_Use[Tech],0)),0)*$E958</f>
        <v>0</v>
      </c>
      <c r="N958" s="15">
        <f t="shared" si="251"/>
        <v>0</v>
      </c>
      <c r="O958" s="11">
        <f t="shared" si="252"/>
        <v>0</v>
      </c>
      <c r="P958" s="11">
        <f t="shared" si="253"/>
        <v>0</v>
      </c>
      <c r="Q958" s="11">
        <f t="shared" si="254"/>
        <v>0</v>
      </c>
      <c r="R958" s="11">
        <f t="shared" si="255"/>
        <v>0</v>
      </c>
      <c r="S958" s="30">
        <f t="shared" si="256"/>
        <v>0</v>
      </c>
      <c r="T958" s="30">
        <f t="shared" si="257"/>
        <v>0</v>
      </c>
      <c r="U958" s="30">
        <f t="shared" si="258"/>
        <v>0</v>
      </c>
      <c r="V958" s="30">
        <f t="shared" si="259"/>
        <v>0</v>
      </c>
      <c r="W958" s="30">
        <f t="shared" si="260"/>
        <v>0</v>
      </c>
      <c r="X958" s="30">
        <f t="shared" si="261"/>
        <v>0</v>
      </c>
      <c r="Z958" s="23" t="s">
        <v>76</v>
      </c>
      <c r="AA958" s="40" t="str">
        <f>IF(C958="Electricity",E958*SUMIFS(Electricity!S:S,Electricity!P:P,UserMade_Scenario!B958,Electricity!M:M,UserMade_Scenario!Z958,Electricity!O:O,UserMade_Scenario!D958),"")</f>
        <v/>
      </c>
      <c r="AB958" s="67">
        <v>1.4243253975000002E-4</v>
      </c>
      <c r="AC958" s="67" t="s">
        <v>95</v>
      </c>
      <c r="AD958" s="39">
        <f>INDEX(Assumptions!E$120:E$141,MATCH(UserMade_Scenario!$B958,Assumptions!$A$120:$A$141,0))</f>
        <v>-10.36</v>
      </c>
      <c r="AE958" s="39">
        <f>INDEX(Assumptions!F$120:F$141,MATCH(UserMade_Scenario!$B958,Assumptions!$A$120:$A$141,0))</f>
        <v>-10.36</v>
      </c>
      <c r="AF958" s="39">
        <f>INDEX(Assumptions!G$120:G$141,MATCH(UserMade_Scenario!$B958,Assumptions!$A$120:$A$141,0))</f>
        <v>-32.86</v>
      </c>
      <c r="AG958" s="68">
        <f>IFERROR(INDEX(WaterUseH2[Average Direct Water Consumption (Gal/ kg h2)],MATCH(LEFT(D958,3),WaterUseH2[Key],0)),0)</f>
        <v>0</v>
      </c>
      <c r="AH958">
        <v>14</v>
      </c>
      <c r="AI958">
        <v>1.4</v>
      </c>
      <c r="AJ958">
        <v>250</v>
      </c>
      <c r="AK958">
        <v>0.31</v>
      </c>
      <c r="AL958" s="63">
        <f>IFERROR(INDEX(Job_Training[[Solar]:[Wind]],MATCH(AL$1,Job_Training[[`Typical Entry Level Education`]:[`Typical Entry Level Education`]],0),MATCH(LEFT($D958,5),Job_Training[[#Headers],[Solar]:[Wind]],0)),0)</f>
        <v>0</v>
      </c>
      <c r="AM958" s="63">
        <f>IFERROR(INDEX(Job_Training[[Solar]:[Wind]],MATCH(AM$1,Job_Training[[`Typical Entry Level Education`]:[`Typical Entry Level Education`]],0),MATCH(LEFT($D958,5),Job_Training[[#Headers],[Solar]:[Wind]],0)),0)</f>
        <v>0</v>
      </c>
      <c r="AN958" s="63">
        <f>IFERROR(INDEX(Job_Training[[Solar]:[Wind]],MATCH(AN$1,Job_Training[[`Typical Entry Level Education`]:[`Typical Entry Level Education`]],0),MATCH(LEFT($D958,5),Job_Training[[#Headers],[Solar]:[Wind]],0)),0)</f>
        <v>0</v>
      </c>
      <c r="AO958" s="63">
        <f>IFERROR(INDEX(Job_Training[[Solar]:[Wind]],MATCH(AO$1,Job_Training[[`Typical Entry Level Education`]:[`Typical Entry Level Education`]],0),MATCH(LEFT($D958,5),Job_Training[[#Headers],[Solar]:[Wind]],0)),0)</f>
        <v>0</v>
      </c>
      <c r="AP958">
        <f t="shared" si="262"/>
        <v>0</v>
      </c>
      <c r="AQ958" s="63">
        <f>IF(AP958&gt;0,IFERROR(INDEX(Assumptions!$C$165:$D$165,MATCH(LEFT($D958,5),Job_Training[[#Headers],[Solar]:[Wind]],0)),0),0)</f>
        <v>0</v>
      </c>
      <c r="AR958">
        <f>IF(AP958&gt;0,IFERROR(INDEX(Assumptions!$C$166:$D$166,MATCH(LEFT($D958,5),Job_Training[[#Headers],[Solar]:[Wind]],0)),0),0)</f>
        <v>0</v>
      </c>
    </row>
    <row r="959" spans="1:44" hidden="1" x14ac:dyDescent="0.35">
      <c r="A959" t="str">
        <f>UserInput!$B$82</f>
        <v>Incremental Buildout</v>
      </c>
      <c r="B959">
        <v>2037</v>
      </c>
      <c r="C959" t="s">
        <v>92</v>
      </c>
      <c r="D959" t="s">
        <v>93</v>
      </c>
      <c r="E959" s="66">
        <f>INDEX(UserInput!$C$82:$M$102,MATCH(UserMade_Scenario!B959,UserInput!$A$82:$A$102,0),MATCH(LEFT(IF(RIGHT(C959,2)="H2",UserMade_Scenario!C959,D959),3),UserInput!$C$25:$M$25,0))</f>
        <v>0.30952380952380953</v>
      </c>
      <c r="F959" t="s">
        <v>94</v>
      </c>
      <c r="G959" s="14">
        <f t="shared" si="263"/>
        <v>4.4086262303571439E-5</v>
      </c>
      <c r="H959" s="63">
        <f t="shared" si="264"/>
        <v>4.5673367746500008E-4</v>
      </c>
      <c r="I959" s="63">
        <f t="shared" si="265"/>
        <v>4.5673367746500008E-4</v>
      </c>
      <c r="J959" s="63">
        <f t="shared" si="266"/>
        <v>1.4486745792953574E-3</v>
      </c>
      <c r="K959" s="30">
        <f>IF(OR(LEFT($D959,5)="Solar",$D959="Wind"),INDEX(Land_Use[AVG],MATCH(LEFT($D959,5),Land_Use[Tech],0)),0)*$E959</f>
        <v>0</v>
      </c>
      <c r="L959" s="30">
        <f>IF(OR(LEFT($D959,5)="Solar",$D959="Wind"),INDEX(Land_Use[MIN],MATCH(LEFT($D959,5),Land_Use[Tech],0)),0)*$E959</f>
        <v>0</v>
      </c>
      <c r="M959" s="30">
        <f>IF(OR(LEFT($D959,5)="Solar",$D959="Wind"),INDEX(Land_Use[MAX],MATCH(LEFT($D959,5),Land_Use[Tech],0)),0)*$E959</f>
        <v>0</v>
      </c>
      <c r="N959" s="15">
        <f t="shared" ref="N959:N1009" si="267">E959*AG959*1000/1000000</f>
        <v>0</v>
      </c>
      <c r="O959" s="11">
        <f t="shared" ref="O959:O1009" si="268">$K959*AH$2</f>
        <v>0</v>
      </c>
      <c r="P959" s="11">
        <f t="shared" ref="P959:P1009" si="269">$K959*AI$2</f>
        <v>0</v>
      </c>
      <c r="Q959" s="11">
        <f t="shared" ref="Q959:Q1009" si="270">$K959*AJ$2</f>
        <v>0</v>
      </c>
      <c r="R959" s="11">
        <f t="shared" ref="R959:R1009" si="271">$K959*AK$2</f>
        <v>0</v>
      </c>
      <c r="S959" s="30">
        <f t="shared" si="256"/>
        <v>0</v>
      </c>
      <c r="T959" s="30">
        <f t="shared" si="257"/>
        <v>0</v>
      </c>
      <c r="U959" s="30">
        <f t="shared" si="258"/>
        <v>0</v>
      </c>
      <c r="V959" s="30">
        <f t="shared" si="259"/>
        <v>0</v>
      </c>
      <c r="W959" s="30">
        <f t="shared" si="260"/>
        <v>0</v>
      </c>
      <c r="X959" s="30">
        <f t="shared" si="261"/>
        <v>0</v>
      </c>
      <c r="Z959" s="23" t="s">
        <v>76</v>
      </c>
      <c r="AA959" s="40" t="str">
        <f>IF(C959="Electricity",E959*SUMIFS(Electricity!S:S,Electricity!P:P,UserMade_Scenario!B959,Electricity!M:M,UserMade_Scenario!Z959,Electricity!O:O,UserMade_Scenario!D959),"")</f>
        <v/>
      </c>
      <c r="AB959" s="67">
        <v>1.4243253975000002E-4</v>
      </c>
      <c r="AC959" s="67" t="s">
        <v>95</v>
      </c>
      <c r="AD959" s="39">
        <f>INDEX(Assumptions!E$120:E$141,MATCH(UserMade_Scenario!$B959,Assumptions!$A$120:$A$141,0))</f>
        <v>-10.36</v>
      </c>
      <c r="AE959" s="39">
        <f>INDEX(Assumptions!F$120:F$141,MATCH(UserMade_Scenario!$B959,Assumptions!$A$120:$A$141,0))</f>
        <v>-10.36</v>
      </c>
      <c r="AF959" s="39">
        <f>INDEX(Assumptions!G$120:G$141,MATCH(UserMade_Scenario!$B959,Assumptions!$A$120:$A$141,0))</f>
        <v>-32.86</v>
      </c>
      <c r="AG959" s="68">
        <f>IFERROR(INDEX(WaterUseH2[Average Direct Water Consumption (Gal/ kg h2)],MATCH(LEFT(D959,3),WaterUseH2[Key],0)),0)</f>
        <v>0</v>
      </c>
      <c r="AH959">
        <v>14</v>
      </c>
      <c r="AI959">
        <v>1.4</v>
      </c>
      <c r="AJ959">
        <v>250</v>
      </c>
      <c r="AK959">
        <v>0.31</v>
      </c>
      <c r="AL959" s="63">
        <f>IFERROR(INDEX(Job_Training[[Solar]:[Wind]],MATCH(AL$1,Job_Training[[`Typical Entry Level Education`]:[`Typical Entry Level Education`]],0),MATCH(LEFT($D959,5),Job_Training[[#Headers],[Solar]:[Wind]],0)),0)</f>
        <v>0</v>
      </c>
      <c r="AM959" s="63">
        <f>IFERROR(INDEX(Job_Training[[Solar]:[Wind]],MATCH(AM$1,Job_Training[[`Typical Entry Level Education`]:[`Typical Entry Level Education`]],0),MATCH(LEFT($D959,5),Job_Training[[#Headers],[Solar]:[Wind]],0)),0)</f>
        <v>0</v>
      </c>
      <c r="AN959" s="63">
        <f>IFERROR(INDEX(Job_Training[[Solar]:[Wind]],MATCH(AN$1,Job_Training[[`Typical Entry Level Education`]:[`Typical Entry Level Education`]],0),MATCH(LEFT($D959,5),Job_Training[[#Headers],[Solar]:[Wind]],0)),0)</f>
        <v>0</v>
      </c>
      <c r="AO959" s="63">
        <f>IFERROR(INDEX(Job_Training[[Solar]:[Wind]],MATCH(AO$1,Job_Training[[`Typical Entry Level Education`]:[`Typical Entry Level Education`]],0),MATCH(LEFT($D959,5),Job_Training[[#Headers],[Solar]:[Wind]],0)),0)</f>
        <v>0</v>
      </c>
      <c r="AP959">
        <f t="shared" si="262"/>
        <v>0</v>
      </c>
      <c r="AQ959" s="63">
        <f>IF(AP959&gt;0,IFERROR(INDEX(Assumptions!$C$165:$D$165,MATCH(LEFT($D959,5),Job_Training[[#Headers],[Solar]:[Wind]],0)),0),0)</f>
        <v>0</v>
      </c>
      <c r="AR959">
        <f>IF(AP959&gt;0,IFERROR(INDEX(Assumptions!$C$166:$D$166,MATCH(LEFT($D959,5),Job_Training[[#Headers],[Solar]:[Wind]],0)),0),0)</f>
        <v>0</v>
      </c>
    </row>
    <row r="960" spans="1:44" hidden="1" x14ac:dyDescent="0.35">
      <c r="A960" t="str">
        <f>UserInput!$B$82</f>
        <v>Incremental Buildout</v>
      </c>
      <c r="B960">
        <v>2038</v>
      </c>
      <c r="C960" t="s">
        <v>92</v>
      </c>
      <c r="D960" t="s">
        <v>93</v>
      </c>
      <c r="E960" s="66">
        <f>INDEX(UserInput!$C$82:$M$102,MATCH(UserMade_Scenario!B960,UserInput!$A$82:$A$102,0),MATCH(LEFT(IF(RIGHT(C960,2)="H2",UserMade_Scenario!C960,D960),3),UserInput!$C$25:$M$25,0))</f>
        <v>0.33333333333333337</v>
      </c>
      <c r="F960" t="s">
        <v>94</v>
      </c>
      <c r="G960" s="14">
        <f t="shared" si="263"/>
        <v>4.7477513250000009E-5</v>
      </c>
      <c r="H960" s="63">
        <f t="shared" si="264"/>
        <v>4.9186703727000002E-4</v>
      </c>
      <c r="I960" s="63">
        <f t="shared" si="265"/>
        <v>4.9186703727000002E-4</v>
      </c>
      <c r="J960" s="63">
        <f t="shared" si="266"/>
        <v>1.5601110853950002E-3</v>
      </c>
      <c r="K960" s="30">
        <f>IF(OR(LEFT($D960,5)="Solar",$D960="Wind"),INDEX(Land_Use[AVG],MATCH(LEFT($D960,5),Land_Use[Tech],0)),0)*$E960</f>
        <v>0</v>
      </c>
      <c r="L960" s="30">
        <f>IF(OR(LEFT($D960,5)="Solar",$D960="Wind"),INDEX(Land_Use[MIN],MATCH(LEFT($D960,5),Land_Use[Tech],0)),0)*$E960</f>
        <v>0</v>
      </c>
      <c r="M960" s="30">
        <f>IF(OR(LEFT($D960,5)="Solar",$D960="Wind"),INDEX(Land_Use[MAX],MATCH(LEFT($D960,5),Land_Use[Tech],0)),0)*$E960</f>
        <v>0</v>
      </c>
      <c r="N960" s="15">
        <f t="shared" si="267"/>
        <v>0</v>
      </c>
      <c r="O960" s="11">
        <f t="shared" si="268"/>
        <v>0</v>
      </c>
      <c r="P960" s="11">
        <f t="shared" si="269"/>
        <v>0</v>
      </c>
      <c r="Q960" s="11">
        <f t="shared" si="270"/>
        <v>0</v>
      </c>
      <c r="R960" s="11">
        <f t="shared" si="271"/>
        <v>0</v>
      </c>
      <c r="S960" s="30">
        <f t="shared" si="256"/>
        <v>0</v>
      </c>
      <c r="T960" s="30">
        <f t="shared" si="257"/>
        <v>0</v>
      </c>
      <c r="U960" s="30">
        <f t="shared" si="258"/>
        <v>0</v>
      </c>
      <c r="V960" s="30">
        <f t="shared" si="259"/>
        <v>0</v>
      </c>
      <c r="W960" s="30">
        <f t="shared" si="260"/>
        <v>0</v>
      </c>
      <c r="X960" s="30">
        <f t="shared" si="261"/>
        <v>0</v>
      </c>
      <c r="Z960" s="23" t="s">
        <v>76</v>
      </c>
      <c r="AA960" s="40" t="str">
        <f>IF(C960="Electricity",E960*SUMIFS(Electricity!S:S,Electricity!P:P,UserMade_Scenario!B960,Electricity!M:M,UserMade_Scenario!Z960,Electricity!O:O,UserMade_Scenario!D960),"")</f>
        <v/>
      </c>
      <c r="AB960" s="67">
        <v>1.4243253975000002E-4</v>
      </c>
      <c r="AC960" s="67" t="s">
        <v>95</v>
      </c>
      <c r="AD960" s="39">
        <f>INDEX(Assumptions!E$120:E$141,MATCH(UserMade_Scenario!$B960,Assumptions!$A$120:$A$141,0))</f>
        <v>-10.36</v>
      </c>
      <c r="AE960" s="39">
        <f>INDEX(Assumptions!F$120:F$141,MATCH(UserMade_Scenario!$B960,Assumptions!$A$120:$A$141,0))</f>
        <v>-10.36</v>
      </c>
      <c r="AF960" s="39">
        <f>INDEX(Assumptions!G$120:G$141,MATCH(UserMade_Scenario!$B960,Assumptions!$A$120:$A$141,0))</f>
        <v>-32.86</v>
      </c>
      <c r="AG960" s="68">
        <f>IFERROR(INDEX(WaterUseH2[Average Direct Water Consumption (Gal/ kg h2)],MATCH(LEFT(D960,3),WaterUseH2[Key],0)),0)</f>
        <v>0</v>
      </c>
      <c r="AH960">
        <v>14</v>
      </c>
      <c r="AI960">
        <v>1.4</v>
      </c>
      <c r="AJ960">
        <v>250</v>
      </c>
      <c r="AK960">
        <v>0.31</v>
      </c>
      <c r="AL960" s="63">
        <f>IFERROR(INDEX(Job_Training[[Solar]:[Wind]],MATCH(AL$1,Job_Training[[`Typical Entry Level Education`]:[`Typical Entry Level Education`]],0),MATCH(LEFT($D960,5),Job_Training[[#Headers],[Solar]:[Wind]],0)),0)</f>
        <v>0</v>
      </c>
      <c r="AM960" s="63">
        <f>IFERROR(INDEX(Job_Training[[Solar]:[Wind]],MATCH(AM$1,Job_Training[[`Typical Entry Level Education`]:[`Typical Entry Level Education`]],0),MATCH(LEFT($D960,5),Job_Training[[#Headers],[Solar]:[Wind]],0)),0)</f>
        <v>0</v>
      </c>
      <c r="AN960" s="63">
        <f>IFERROR(INDEX(Job_Training[[Solar]:[Wind]],MATCH(AN$1,Job_Training[[`Typical Entry Level Education`]:[`Typical Entry Level Education`]],0),MATCH(LEFT($D960,5),Job_Training[[#Headers],[Solar]:[Wind]],0)),0)</f>
        <v>0</v>
      </c>
      <c r="AO960" s="63">
        <f>IFERROR(INDEX(Job_Training[[Solar]:[Wind]],MATCH(AO$1,Job_Training[[`Typical Entry Level Education`]:[`Typical Entry Level Education`]],0),MATCH(LEFT($D960,5),Job_Training[[#Headers],[Solar]:[Wind]],0)),0)</f>
        <v>0</v>
      </c>
      <c r="AP960">
        <f t="shared" si="262"/>
        <v>0</v>
      </c>
      <c r="AQ960" s="63">
        <f>IF(AP960&gt;0,IFERROR(INDEX(Assumptions!$C$165:$D$165,MATCH(LEFT($D960,5),Job_Training[[#Headers],[Solar]:[Wind]],0)),0),0)</f>
        <v>0</v>
      </c>
      <c r="AR960">
        <f>IF(AP960&gt;0,IFERROR(INDEX(Assumptions!$C$166:$D$166,MATCH(LEFT($D960,5),Job_Training[[#Headers],[Solar]:[Wind]],0)),0),0)</f>
        <v>0</v>
      </c>
    </row>
    <row r="961" spans="1:44" hidden="1" x14ac:dyDescent="0.35">
      <c r="A961" t="str">
        <f>UserInput!$B$82</f>
        <v>Incremental Buildout</v>
      </c>
      <c r="B961">
        <v>2039</v>
      </c>
      <c r="C961" t="s">
        <v>92</v>
      </c>
      <c r="D961" t="s">
        <v>93</v>
      </c>
      <c r="E961" s="66">
        <f>INDEX(UserInput!$C$82:$M$102,MATCH(UserMade_Scenario!B961,UserInput!$A$82:$A$102,0),MATCH(LEFT(IF(RIGHT(C961,2)="H2",UserMade_Scenario!C961,D961),3),UserInput!$C$25:$M$25,0))</f>
        <v>0.35714285714285721</v>
      </c>
      <c r="F961" t="s">
        <v>94</v>
      </c>
      <c r="G961" s="14">
        <f t="shared" si="263"/>
        <v>5.0868764196428585E-5</v>
      </c>
      <c r="H961" s="63">
        <f t="shared" si="264"/>
        <v>5.2700039707500007E-4</v>
      </c>
      <c r="I961" s="63">
        <f t="shared" si="265"/>
        <v>5.2700039707500007E-4</v>
      </c>
      <c r="J961" s="63">
        <f t="shared" si="266"/>
        <v>1.6715475914946432E-3</v>
      </c>
      <c r="K961" s="30">
        <f>IF(OR(LEFT($D961,5)="Solar",$D961="Wind"),INDEX(Land_Use[AVG],MATCH(LEFT($D961,5),Land_Use[Tech],0)),0)*$E961</f>
        <v>0</v>
      </c>
      <c r="L961" s="30">
        <f>IF(OR(LEFT($D961,5)="Solar",$D961="Wind"),INDEX(Land_Use[MIN],MATCH(LEFT($D961,5),Land_Use[Tech],0)),0)*$E961</f>
        <v>0</v>
      </c>
      <c r="M961" s="30">
        <f>IF(OR(LEFT($D961,5)="Solar",$D961="Wind"),INDEX(Land_Use[MAX],MATCH(LEFT($D961,5),Land_Use[Tech],0)),0)*$E961</f>
        <v>0</v>
      </c>
      <c r="N961" s="15">
        <f t="shared" si="267"/>
        <v>0</v>
      </c>
      <c r="O961" s="11">
        <f t="shared" si="268"/>
        <v>0</v>
      </c>
      <c r="P961" s="11">
        <f t="shared" si="269"/>
        <v>0</v>
      </c>
      <c r="Q961" s="11">
        <f t="shared" si="270"/>
        <v>0</v>
      </c>
      <c r="R961" s="11">
        <f t="shared" si="271"/>
        <v>0</v>
      </c>
      <c r="S961" s="30">
        <f t="shared" si="256"/>
        <v>0</v>
      </c>
      <c r="T961" s="30">
        <f t="shared" si="257"/>
        <v>0</v>
      </c>
      <c r="U961" s="30">
        <f t="shared" si="258"/>
        <v>0</v>
      </c>
      <c r="V961" s="30">
        <f t="shared" si="259"/>
        <v>0</v>
      </c>
      <c r="W961" s="30">
        <f t="shared" si="260"/>
        <v>0</v>
      </c>
      <c r="X961" s="30">
        <f t="shared" si="261"/>
        <v>0</v>
      </c>
      <c r="Z961" s="23" t="s">
        <v>76</v>
      </c>
      <c r="AA961" s="40" t="str">
        <f>IF(C961="Electricity",E961*SUMIFS(Electricity!S:S,Electricity!P:P,UserMade_Scenario!B961,Electricity!M:M,UserMade_Scenario!Z961,Electricity!O:O,UserMade_Scenario!D961),"")</f>
        <v/>
      </c>
      <c r="AB961" s="67">
        <v>1.4243253975000002E-4</v>
      </c>
      <c r="AC961" s="67" t="s">
        <v>95</v>
      </c>
      <c r="AD961" s="39">
        <f>INDEX(Assumptions!E$120:E$141,MATCH(UserMade_Scenario!$B961,Assumptions!$A$120:$A$141,0))</f>
        <v>-10.36</v>
      </c>
      <c r="AE961" s="39">
        <f>INDEX(Assumptions!F$120:F$141,MATCH(UserMade_Scenario!$B961,Assumptions!$A$120:$A$141,0))</f>
        <v>-10.36</v>
      </c>
      <c r="AF961" s="39">
        <f>INDEX(Assumptions!G$120:G$141,MATCH(UserMade_Scenario!$B961,Assumptions!$A$120:$A$141,0))</f>
        <v>-32.86</v>
      </c>
      <c r="AG961" s="68">
        <f>IFERROR(INDEX(WaterUseH2[Average Direct Water Consumption (Gal/ kg h2)],MATCH(LEFT(D961,3),WaterUseH2[Key],0)),0)</f>
        <v>0</v>
      </c>
      <c r="AH961">
        <v>14</v>
      </c>
      <c r="AI961">
        <v>1.4</v>
      </c>
      <c r="AJ961">
        <v>250</v>
      </c>
      <c r="AK961">
        <v>0.31</v>
      </c>
      <c r="AL961" s="63">
        <f>IFERROR(INDEX(Job_Training[[Solar]:[Wind]],MATCH(AL$1,Job_Training[[`Typical Entry Level Education`]:[`Typical Entry Level Education`]],0),MATCH(LEFT($D961,5),Job_Training[[#Headers],[Solar]:[Wind]],0)),0)</f>
        <v>0</v>
      </c>
      <c r="AM961" s="63">
        <f>IFERROR(INDEX(Job_Training[[Solar]:[Wind]],MATCH(AM$1,Job_Training[[`Typical Entry Level Education`]:[`Typical Entry Level Education`]],0),MATCH(LEFT($D961,5),Job_Training[[#Headers],[Solar]:[Wind]],0)),0)</f>
        <v>0</v>
      </c>
      <c r="AN961" s="63">
        <f>IFERROR(INDEX(Job_Training[[Solar]:[Wind]],MATCH(AN$1,Job_Training[[`Typical Entry Level Education`]:[`Typical Entry Level Education`]],0),MATCH(LEFT($D961,5),Job_Training[[#Headers],[Solar]:[Wind]],0)),0)</f>
        <v>0</v>
      </c>
      <c r="AO961" s="63">
        <f>IFERROR(INDEX(Job_Training[[Solar]:[Wind]],MATCH(AO$1,Job_Training[[`Typical Entry Level Education`]:[`Typical Entry Level Education`]],0),MATCH(LEFT($D961,5),Job_Training[[#Headers],[Solar]:[Wind]],0)),0)</f>
        <v>0</v>
      </c>
      <c r="AP961">
        <f t="shared" si="262"/>
        <v>0</v>
      </c>
      <c r="AQ961" s="63">
        <f>IF(AP961&gt;0,IFERROR(INDEX(Assumptions!$C$165:$D$165,MATCH(LEFT($D961,5),Job_Training[[#Headers],[Solar]:[Wind]],0)),0),0)</f>
        <v>0</v>
      </c>
      <c r="AR961">
        <f>IF(AP961&gt;0,IFERROR(INDEX(Assumptions!$C$166:$D$166,MATCH(LEFT($D961,5),Job_Training[[#Headers],[Solar]:[Wind]],0)),0),0)</f>
        <v>0</v>
      </c>
    </row>
    <row r="962" spans="1:44" hidden="1" x14ac:dyDescent="0.35">
      <c r="A962" t="str">
        <f>UserInput!$B$82</f>
        <v>Incremental Buildout</v>
      </c>
      <c r="B962">
        <v>2040</v>
      </c>
      <c r="C962" t="s">
        <v>92</v>
      </c>
      <c r="D962" t="s">
        <v>93</v>
      </c>
      <c r="E962" s="66">
        <f>INDEX(UserInput!$C$82:$M$102,MATCH(UserMade_Scenario!B962,UserInput!$A$82:$A$102,0),MATCH(LEFT(IF(RIGHT(C962,2)="H2",UserMade_Scenario!C962,D962),3),UserInput!$C$25:$M$25,0))</f>
        <v>0.38095238095238104</v>
      </c>
      <c r="F962" t="s">
        <v>94</v>
      </c>
      <c r="G962" s="14">
        <f t="shared" si="263"/>
        <v>5.4260015142857162E-5</v>
      </c>
      <c r="H962" s="63">
        <f t="shared" si="264"/>
        <v>5.6213375688000011E-4</v>
      </c>
      <c r="I962" s="63">
        <f t="shared" si="265"/>
        <v>5.6213375688000011E-4</v>
      </c>
      <c r="J962" s="63">
        <f t="shared" si="266"/>
        <v>1.7829840975942862E-3</v>
      </c>
      <c r="K962" s="30">
        <f>IF(OR(LEFT($D962,5)="Solar",$D962="Wind"),INDEX(Land_Use[AVG],MATCH(LEFT($D962,5),Land_Use[Tech],0)),0)*$E962</f>
        <v>0</v>
      </c>
      <c r="L962" s="30">
        <f>IF(OR(LEFT($D962,5)="Solar",$D962="Wind"),INDEX(Land_Use[MIN],MATCH(LEFT($D962,5),Land_Use[Tech],0)),0)*$E962</f>
        <v>0</v>
      </c>
      <c r="M962" s="30">
        <f>IF(OR(LEFT($D962,5)="Solar",$D962="Wind"),INDEX(Land_Use[MAX],MATCH(LEFT($D962,5),Land_Use[Tech],0)),0)*$E962</f>
        <v>0</v>
      </c>
      <c r="N962" s="15">
        <f t="shared" si="267"/>
        <v>0</v>
      </c>
      <c r="O962" s="11">
        <f t="shared" si="268"/>
        <v>0</v>
      </c>
      <c r="P962" s="11">
        <f t="shared" si="269"/>
        <v>0</v>
      </c>
      <c r="Q962" s="11">
        <f t="shared" si="270"/>
        <v>0</v>
      </c>
      <c r="R962" s="11">
        <f t="shared" si="271"/>
        <v>0</v>
      </c>
      <c r="S962" s="30">
        <f t="shared" si="256"/>
        <v>0</v>
      </c>
      <c r="T962" s="30">
        <f t="shared" si="257"/>
        <v>0</v>
      </c>
      <c r="U962" s="30">
        <f t="shared" si="258"/>
        <v>0</v>
      </c>
      <c r="V962" s="30">
        <f t="shared" si="259"/>
        <v>0</v>
      </c>
      <c r="W962" s="30">
        <f t="shared" si="260"/>
        <v>0</v>
      </c>
      <c r="X962" s="30">
        <f t="shared" si="261"/>
        <v>0</v>
      </c>
      <c r="Z962" s="23" t="s">
        <v>76</v>
      </c>
      <c r="AA962" s="40" t="str">
        <f>IF(C962="Electricity",E962*SUMIFS(Electricity!S:S,Electricity!P:P,UserMade_Scenario!B962,Electricity!M:M,UserMade_Scenario!Z962,Electricity!O:O,UserMade_Scenario!D962),"")</f>
        <v/>
      </c>
      <c r="AB962" s="67">
        <v>1.4243253975000002E-4</v>
      </c>
      <c r="AC962" s="67" t="s">
        <v>95</v>
      </c>
      <c r="AD962" s="39">
        <f>INDEX(Assumptions!E$120:E$141,MATCH(UserMade_Scenario!$B962,Assumptions!$A$120:$A$141,0))</f>
        <v>-10.36</v>
      </c>
      <c r="AE962" s="39">
        <f>INDEX(Assumptions!F$120:F$141,MATCH(UserMade_Scenario!$B962,Assumptions!$A$120:$A$141,0))</f>
        <v>-10.36</v>
      </c>
      <c r="AF962" s="39">
        <f>INDEX(Assumptions!G$120:G$141,MATCH(UserMade_Scenario!$B962,Assumptions!$A$120:$A$141,0))</f>
        <v>-32.86</v>
      </c>
      <c r="AG962" s="68">
        <f>IFERROR(INDEX(WaterUseH2[Average Direct Water Consumption (Gal/ kg h2)],MATCH(LEFT(D962,3),WaterUseH2[Key],0)),0)</f>
        <v>0</v>
      </c>
      <c r="AH962">
        <v>14</v>
      </c>
      <c r="AI962">
        <v>1.4</v>
      </c>
      <c r="AJ962">
        <v>250</v>
      </c>
      <c r="AK962">
        <v>0.31</v>
      </c>
      <c r="AL962" s="63">
        <f>IFERROR(INDEX(Job_Training[[Solar]:[Wind]],MATCH(AL$1,Job_Training[[`Typical Entry Level Education`]:[`Typical Entry Level Education`]],0),MATCH(LEFT($D962,5),Job_Training[[#Headers],[Solar]:[Wind]],0)),0)</f>
        <v>0</v>
      </c>
      <c r="AM962" s="63">
        <f>IFERROR(INDEX(Job_Training[[Solar]:[Wind]],MATCH(AM$1,Job_Training[[`Typical Entry Level Education`]:[`Typical Entry Level Education`]],0),MATCH(LEFT($D962,5),Job_Training[[#Headers],[Solar]:[Wind]],0)),0)</f>
        <v>0</v>
      </c>
      <c r="AN962" s="63">
        <f>IFERROR(INDEX(Job_Training[[Solar]:[Wind]],MATCH(AN$1,Job_Training[[`Typical Entry Level Education`]:[`Typical Entry Level Education`]],0),MATCH(LEFT($D962,5),Job_Training[[#Headers],[Solar]:[Wind]],0)),0)</f>
        <v>0</v>
      </c>
      <c r="AO962" s="63">
        <f>IFERROR(INDEX(Job_Training[[Solar]:[Wind]],MATCH(AO$1,Job_Training[[`Typical Entry Level Education`]:[`Typical Entry Level Education`]],0),MATCH(LEFT($D962,5),Job_Training[[#Headers],[Solar]:[Wind]],0)),0)</f>
        <v>0</v>
      </c>
      <c r="AP962">
        <f t="shared" si="262"/>
        <v>0</v>
      </c>
      <c r="AQ962" s="63">
        <f>IF(AP962&gt;0,IFERROR(INDEX(Assumptions!$C$165:$D$165,MATCH(LEFT($D962,5),Job_Training[[#Headers],[Solar]:[Wind]],0)),0),0)</f>
        <v>0</v>
      </c>
      <c r="AR962">
        <f>IF(AP962&gt;0,IFERROR(INDEX(Assumptions!$C$166:$D$166,MATCH(LEFT($D962,5),Job_Training[[#Headers],[Solar]:[Wind]],0)),0),0)</f>
        <v>0</v>
      </c>
    </row>
    <row r="963" spans="1:44" hidden="1" x14ac:dyDescent="0.35">
      <c r="A963" t="str">
        <f>UserInput!$B$82</f>
        <v>Incremental Buildout</v>
      </c>
      <c r="B963">
        <v>2041</v>
      </c>
      <c r="C963" t="s">
        <v>92</v>
      </c>
      <c r="D963" t="s">
        <v>93</v>
      </c>
      <c r="E963" s="66">
        <f>INDEX(UserInput!$C$82:$M$102,MATCH(UserMade_Scenario!B963,UserInput!$A$82:$A$102,0),MATCH(LEFT(IF(RIGHT(C963,2)="H2",UserMade_Scenario!C963,D963),3),UserInput!$C$25:$M$25,0))</f>
        <v>0.40476190476190488</v>
      </c>
      <c r="F963" t="s">
        <v>94</v>
      </c>
      <c r="G963" s="14">
        <f t="shared" si="263"/>
        <v>5.7651266089285738E-5</v>
      </c>
      <c r="H963" s="63">
        <f t="shared" si="264"/>
        <v>5.9726711668500016E-4</v>
      </c>
      <c r="I963" s="63">
        <f t="shared" si="265"/>
        <v>5.9726711668500016E-4</v>
      </c>
      <c r="J963" s="63">
        <f t="shared" si="266"/>
        <v>1.8944206036939292E-3</v>
      </c>
      <c r="K963" s="30">
        <f>IF(OR(LEFT($D963,5)="Solar",$D963="Wind"),INDEX(Land_Use[AVG],MATCH(LEFT($D963,5),Land_Use[Tech],0)),0)*$E963</f>
        <v>0</v>
      </c>
      <c r="L963" s="30">
        <f>IF(OR(LEFT($D963,5)="Solar",$D963="Wind"),INDEX(Land_Use[MIN],MATCH(LEFT($D963,5),Land_Use[Tech],0)),0)*$E963</f>
        <v>0</v>
      </c>
      <c r="M963" s="30">
        <f>IF(OR(LEFT($D963,5)="Solar",$D963="Wind"),INDEX(Land_Use[MAX],MATCH(LEFT($D963,5),Land_Use[Tech],0)),0)*$E963</f>
        <v>0</v>
      </c>
      <c r="N963" s="15">
        <f t="shared" si="267"/>
        <v>0</v>
      </c>
      <c r="O963" s="11">
        <f t="shared" si="268"/>
        <v>0</v>
      </c>
      <c r="P963" s="11">
        <f t="shared" si="269"/>
        <v>0</v>
      </c>
      <c r="Q963" s="11">
        <f t="shared" si="270"/>
        <v>0</v>
      </c>
      <c r="R963" s="11">
        <f t="shared" si="271"/>
        <v>0</v>
      </c>
      <c r="S963" s="30">
        <f t="shared" ref="S963:S1009" si="272">MAX($AP963*AL963,0)</f>
        <v>0</v>
      </c>
      <c r="T963" s="30">
        <f t="shared" ref="T963:T1009" si="273">MAX($AP963*AM963,0)</f>
        <v>0</v>
      </c>
      <c r="U963" s="30">
        <f t="shared" ref="U963:U1009" si="274">MAX($AP963*AN963,0)</f>
        <v>0</v>
      </c>
      <c r="V963" s="30">
        <f t="shared" ref="V963:V1009" si="275">MAX($AP963*AO963,0)</f>
        <v>0</v>
      </c>
      <c r="W963" s="30">
        <f t="shared" ref="W963:W1009" si="276">$AP963*AQ963</f>
        <v>0</v>
      </c>
      <c r="X963" s="30">
        <f t="shared" ref="X963:X1009" si="277">$AP963*AR963</f>
        <v>0</v>
      </c>
      <c r="Z963" s="23" t="s">
        <v>76</v>
      </c>
      <c r="AA963" s="40" t="str">
        <f>IF(C963="Electricity",E963*SUMIFS(Electricity!S:S,Electricity!P:P,UserMade_Scenario!B963,Electricity!M:M,UserMade_Scenario!Z963,Electricity!O:O,UserMade_Scenario!D963),"")</f>
        <v/>
      </c>
      <c r="AB963" s="67">
        <v>1.4243253975000002E-4</v>
      </c>
      <c r="AC963" s="67" t="s">
        <v>95</v>
      </c>
      <c r="AD963" s="39">
        <f>INDEX(Assumptions!E$120:E$141,MATCH(UserMade_Scenario!$B963,Assumptions!$A$120:$A$141,0))</f>
        <v>-10.36</v>
      </c>
      <c r="AE963" s="39">
        <f>INDEX(Assumptions!F$120:F$141,MATCH(UserMade_Scenario!$B963,Assumptions!$A$120:$A$141,0))</f>
        <v>-10.36</v>
      </c>
      <c r="AF963" s="39">
        <f>INDEX(Assumptions!G$120:G$141,MATCH(UserMade_Scenario!$B963,Assumptions!$A$120:$A$141,0))</f>
        <v>-32.86</v>
      </c>
      <c r="AG963" s="68">
        <f>IFERROR(INDEX(WaterUseH2[Average Direct Water Consumption (Gal/ kg h2)],MATCH(LEFT(D963,3),WaterUseH2[Key],0)),0)</f>
        <v>0</v>
      </c>
      <c r="AH963">
        <v>14</v>
      </c>
      <c r="AI963">
        <v>1.4</v>
      </c>
      <c r="AJ963">
        <v>250</v>
      </c>
      <c r="AK963">
        <v>0.31</v>
      </c>
      <c r="AL963" s="63">
        <f>IFERROR(INDEX(Job_Training[[Solar]:[Wind]],MATCH(AL$1,Job_Training[[`Typical Entry Level Education`]:[`Typical Entry Level Education`]],0),MATCH(LEFT($D963,5),Job_Training[[#Headers],[Solar]:[Wind]],0)),0)</f>
        <v>0</v>
      </c>
      <c r="AM963" s="63">
        <f>IFERROR(INDEX(Job_Training[[Solar]:[Wind]],MATCH(AM$1,Job_Training[[`Typical Entry Level Education`]:[`Typical Entry Level Education`]],0),MATCH(LEFT($D963,5),Job_Training[[#Headers],[Solar]:[Wind]],0)),0)</f>
        <v>0</v>
      </c>
      <c r="AN963" s="63">
        <f>IFERROR(INDEX(Job_Training[[Solar]:[Wind]],MATCH(AN$1,Job_Training[[`Typical Entry Level Education`]:[`Typical Entry Level Education`]],0),MATCH(LEFT($D963,5),Job_Training[[#Headers],[Solar]:[Wind]],0)),0)</f>
        <v>0</v>
      </c>
      <c r="AO963" s="63">
        <f>IFERROR(INDEX(Job_Training[[Solar]:[Wind]],MATCH(AO$1,Job_Training[[`Typical Entry Level Education`]:[`Typical Entry Level Education`]],0),MATCH(LEFT($D963,5),Job_Training[[#Headers],[Solar]:[Wind]],0)),0)</f>
        <v>0</v>
      </c>
      <c r="AP963">
        <f t="shared" ref="AP963:AP1009" si="278">IF(OR($C963="Electricity",$D963="Solar (Off-Grid)"),IF($B963=2025,$E963,$E963-$E962),0)</f>
        <v>0</v>
      </c>
      <c r="AQ963" s="63">
        <f>IF(AP963&gt;0,IFERROR(INDEX(Assumptions!$C$165:$D$165,MATCH(LEFT($D963,5),Job_Training[[#Headers],[Solar]:[Wind]],0)),0),0)</f>
        <v>0</v>
      </c>
      <c r="AR963">
        <f>IF(AP963&gt;0,IFERROR(INDEX(Assumptions!$C$166:$D$166,MATCH(LEFT($D963,5),Job_Training[[#Headers],[Solar]:[Wind]],0)),0),0)</f>
        <v>0</v>
      </c>
    </row>
    <row r="964" spans="1:44" hidden="1" x14ac:dyDescent="0.35">
      <c r="A964" t="str">
        <f>UserInput!$B$82</f>
        <v>Incremental Buildout</v>
      </c>
      <c r="B964">
        <v>2042</v>
      </c>
      <c r="C964" t="s">
        <v>92</v>
      </c>
      <c r="D964" t="s">
        <v>93</v>
      </c>
      <c r="E964" s="66">
        <f>INDEX(UserInput!$C$82:$M$102,MATCH(UserMade_Scenario!B964,UserInput!$A$82:$A$102,0),MATCH(LEFT(IF(RIGHT(C964,2)="H2",UserMade_Scenario!C964,D964),3),UserInput!$C$25:$M$25,0))</f>
        <v>0.42857142857142871</v>
      </c>
      <c r="F964" t="s">
        <v>94</v>
      </c>
      <c r="G964" s="14">
        <f t="shared" si="263"/>
        <v>6.1042517035714321E-5</v>
      </c>
      <c r="H964" s="63">
        <f t="shared" si="264"/>
        <v>6.3240047649000032E-4</v>
      </c>
      <c r="I964" s="63">
        <f t="shared" si="265"/>
        <v>6.3240047649000032E-4</v>
      </c>
      <c r="J964" s="63">
        <f t="shared" si="266"/>
        <v>2.0058571097935725E-3</v>
      </c>
      <c r="K964" s="30">
        <f>IF(OR(LEFT($D964,5)="Solar",$D964="Wind"),INDEX(Land_Use[AVG],MATCH(LEFT($D964,5),Land_Use[Tech],0)),0)*$E964</f>
        <v>0</v>
      </c>
      <c r="L964" s="30">
        <f>IF(OR(LEFT($D964,5)="Solar",$D964="Wind"),INDEX(Land_Use[MIN],MATCH(LEFT($D964,5),Land_Use[Tech],0)),0)*$E964</f>
        <v>0</v>
      </c>
      <c r="M964" s="30">
        <f>IF(OR(LEFT($D964,5)="Solar",$D964="Wind"),INDEX(Land_Use[MAX],MATCH(LEFT($D964,5),Land_Use[Tech],0)),0)*$E964</f>
        <v>0</v>
      </c>
      <c r="N964" s="15">
        <f t="shared" si="267"/>
        <v>0</v>
      </c>
      <c r="O964" s="11">
        <f t="shared" si="268"/>
        <v>0</v>
      </c>
      <c r="P964" s="11">
        <f t="shared" si="269"/>
        <v>0</v>
      </c>
      <c r="Q964" s="11">
        <f t="shared" si="270"/>
        <v>0</v>
      </c>
      <c r="R964" s="11">
        <f t="shared" si="271"/>
        <v>0</v>
      </c>
      <c r="S964" s="30">
        <f t="shared" si="272"/>
        <v>0</v>
      </c>
      <c r="T964" s="30">
        <f t="shared" si="273"/>
        <v>0</v>
      </c>
      <c r="U964" s="30">
        <f t="shared" si="274"/>
        <v>0</v>
      </c>
      <c r="V964" s="30">
        <f t="shared" si="275"/>
        <v>0</v>
      </c>
      <c r="W964" s="30">
        <f t="shared" si="276"/>
        <v>0</v>
      </c>
      <c r="X964" s="30">
        <f t="shared" si="277"/>
        <v>0</v>
      </c>
      <c r="Z964" s="23" t="s">
        <v>76</v>
      </c>
      <c r="AA964" s="40" t="str">
        <f>IF(C964="Electricity",E964*SUMIFS(Electricity!S:S,Electricity!P:P,UserMade_Scenario!B964,Electricity!M:M,UserMade_Scenario!Z964,Electricity!O:O,UserMade_Scenario!D964),"")</f>
        <v/>
      </c>
      <c r="AB964" s="67">
        <v>1.4243253975000002E-4</v>
      </c>
      <c r="AC964" s="67" t="s">
        <v>95</v>
      </c>
      <c r="AD964" s="39">
        <f>INDEX(Assumptions!E$120:E$141,MATCH(UserMade_Scenario!$B964,Assumptions!$A$120:$A$141,0))</f>
        <v>-10.36</v>
      </c>
      <c r="AE964" s="39">
        <f>INDEX(Assumptions!F$120:F$141,MATCH(UserMade_Scenario!$B964,Assumptions!$A$120:$A$141,0))</f>
        <v>-10.36</v>
      </c>
      <c r="AF964" s="39">
        <f>INDEX(Assumptions!G$120:G$141,MATCH(UserMade_Scenario!$B964,Assumptions!$A$120:$A$141,0))</f>
        <v>-32.86</v>
      </c>
      <c r="AG964" s="68">
        <f>IFERROR(INDEX(WaterUseH2[Average Direct Water Consumption (Gal/ kg h2)],MATCH(LEFT(D964,3),WaterUseH2[Key],0)),0)</f>
        <v>0</v>
      </c>
      <c r="AH964">
        <v>14</v>
      </c>
      <c r="AI964">
        <v>1.4</v>
      </c>
      <c r="AJ964">
        <v>250</v>
      </c>
      <c r="AK964">
        <v>0.31</v>
      </c>
      <c r="AL964" s="63">
        <f>IFERROR(INDEX(Job_Training[[Solar]:[Wind]],MATCH(AL$1,Job_Training[[`Typical Entry Level Education`]:[`Typical Entry Level Education`]],0),MATCH(LEFT($D964,5),Job_Training[[#Headers],[Solar]:[Wind]],0)),0)</f>
        <v>0</v>
      </c>
      <c r="AM964" s="63">
        <f>IFERROR(INDEX(Job_Training[[Solar]:[Wind]],MATCH(AM$1,Job_Training[[`Typical Entry Level Education`]:[`Typical Entry Level Education`]],0),MATCH(LEFT($D964,5),Job_Training[[#Headers],[Solar]:[Wind]],0)),0)</f>
        <v>0</v>
      </c>
      <c r="AN964" s="63">
        <f>IFERROR(INDEX(Job_Training[[Solar]:[Wind]],MATCH(AN$1,Job_Training[[`Typical Entry Level Education`]:[`Typical Entry Level Education`]],0),MATCH(LEFT($D964,5),Job_Training[[#Headers],[Solar]:[Wind]],0)),0)</f>
        <v>0</v>
      </c>
      <c r="AO964" s="63">
        <f>IFERROR(INDEX(Job_Training[[Solar]:[Wind]],MATCH(AO$1,Job_Training[[`Typical Entry Level Education`]:[`Typical Entry Level Education`]],0),MATCH(LEFT($D964,5),Job_Training[[#Headers],[Solar]:[Wind]],0)),0)</f>
        <v>0</v>
      </c>
      <c r="AP964">
        <f t="shared" si="278"/>
        <v>0</v>
      </c>
      <c r="AQ964" s="63">
        <f>IF(AP964&gt;0,IFERROR(INDEX(Assumptions!$C$165:$D$165,MATCH(LEFT($D964,5),Job_Training[[#Headers],[Solar]:[Wind]],0)),0),0)</f>
        <v>0</v>
      </c>
      <c r="AR964">
        <f>IF(AP964&gt;0,IFERROR(INDEX(Assumptions!$C$166:$D$166,MATCH(LEFT($D964,5),Job_Training[[#Headers],[Solar]:[Wind]],0)),0),0)</f>
        <v>0</v>
      </c>
    </row>
    <row r="965" spans="1:44" hidden="1" x14ac:dyDescent="0.35">
      <c r="A965" t="str">
        <f>UserInput!$B$82</f>
        <v>Incremental Buildout</v>
      </c>
      <c r="B965">
        <v>2043</v>
      </c>
      <c r="C965" t="s">
        <v>92</v>
      </c>
      <c r="D965" t="s">
        <v>93</v>
      </c>
      <c r="E965" s="66">
        <f>INDEX(UserInput!$C$82:$M$102,MATCH(UserMade_Scenario!B965,UserInput!$A$82:$A$102,0),MATCH(LEFT(IF(RIGHT(C965,2)="H2",UserMade_Scenario!C965,D965),3),UserInput!$C$25:$M$25,0))</f>
        <v>0.45238095238095255</v>
      </c>
      <c r="F965" t="s">
        <v>94</v>
      </c>
      <c r="G965" s="14">
        <f t="shared" si="263"/>
        <v>6.4433767982142884E-5</v>
      </c>
      <c r="H965" s="63">
        <f t="shared" si="264"/>
        <v>6.6753383629500026E-4</v>
      </c>
      <c r="I965" s="63">
        <f t="shared" si="265"/>
        <v>6.6753383629500026E-4</v>
      </c>
      <c r="J965" s="63">
        <f t="shared" si="266"/>
        <v>2.117293615893215E-3</v>
      </c>
      <c r="K965" s="30">
        <f>IF(OR(LEFT($D965,5)="Solar",$D965="Wind"),INDEX(Land_Use[AVG],MATCH(LEFT($D965,5),Land_Use[Tech],0)),0)*$E965</f>
        <v>0</v>
      </c>
      <c r="L965" s="30">
        <f>IF(OR(LEFT($D965,5)="Solar",$D965="Wind"),INDEX(Land_Use[MIN],MATCH(LEFT($D965,5),Land_Use[Tech],0)),0)*$E965</f>
        <v>0</v>
      </c>
      <c r="M965" s="30">
        <f>IF(OR(LEFT($D965,5)="Solar",$D965="Wind"),INDEX(Land_Use[MAX],MATCH(LEFT($D965,5),Land_Use[Tech],0)),0)*$E965</f>
        <v>0</v>
      </c>
      <c r="N965" s="15">
        <f t="shared" si="267"/>
        <v>0</v>
      </c>
      <c r="O965" s="11">
        <f t="shared" si="268"/>
        <v>0</v>
      </c>
      <c r="P965" s="11">
        <f t="shared" si="269"/>
        <v>0</v>
      </c>
      <c r="Q965" s="11">
        <f t="shared" si="270"/>
        <v>0</v>
      </c>
      <c r="R965" s="11">
        <f t="shared" si="271"/>
        <v>0</v>
      </c>
      <c r="S965" s="30">
        <f t="shared" si="272"/>
        <v>0</v>
      </c>
      <c r="T965" s="30">
        <f t="shared" si="273"/>
        <v>0</v>
      </c>
      <c r="U965" s="30">
        <f t="shared" si="274"/>
        <v>0</v>
      </c>
      <c r="V965" s="30">
        <f t="shared" si="275"/>
        <v>0</v>
      </c>
      <c r="W965" s="30">
        <f t="shared" si="276"/>
        <v>0</v>
      </c>
      <c r="X965" s="30">
        <f t="shared" si="277"/>
        <v>0</v>
      </c>
      <c r="Z965" s="23" t="s">
        <v>76</v>
      </c>
      <c r="AA965" s="40" t="str">
        <f>IF(C965="Electricity",E965*SUMIFS(Electricity!S:S,Electricity!P:P,UserMade_Scenario!B965,Electricity!M:M,UserMade_Scenario!Z965,Electricity!O:O,UserMade_Scenario!D965),"")</f>
        <v/>
      </c>
      <c r="AB965" s="67">
        <v>1.4243253975000002E-4</v>
      </c>
      <c r="AC965" s="67" t="s">
        <v>95</v>
      </c>
      <c r="AD965" s="39">
        <f>INDEX(Assumptions!E$120:E$141,MATCH(UserMade_Scenario!$B965,Assumptions!$A$120:$A$141,0))</f>
        <v>-10.36</v>
      </c>
      <c r="AE965" s="39">
        <f>INDEX(Assumptions!F$120:F$141,MATCH(UserMade_Scenario!$B965,Assumptions!$A$120:$A$141,0))</f>
        <v>-10.36</v>
      </c>
      <c r="AF965" s="39">
        <f>INDEX(Assumptions!G$120:G$141,MATCH(UserMade_Scenario!$B965,Assumptions!$A$120:$A$141,0))</f>
        <v>-32.86</v>
      </c>
      <c r="AG965" s="68">
        <f>IFERROR(INDEX(WaterUseH2[Average Direct Water Consumption (Gal/ kg h2)],MATCH(LEFT(D965,3),WaterUseH2[Key],0)),0)</f>
        <v>0</v>
      </c>
      <c r="AH965">
        <v>14</v>
      </c>
      <c r="AI965">
        <v>1.4</v>
      </c>
      <c r="AJ965">
        <v>250</v>
      </c>
      <c r="AK965">
        <v>0.31</v>
      </c>
      <c r="AL965" s="63">
        <f>IFERROR(INDEX(Job_Training[[Solar]:[Wind]],MATCH(AL$1,Job_Training[[`Typical Entry Level Education`]:[`Typical Entry Level Education`]],0),MATCH(LEFT($D965,5),Job_Training[[#Headers],[Solar]:[Wind]],0)),0)</f>
        <v>0</v>
      </c>
      <c r="AM965" s="63">
        <f>IFERROR(INDEX(Job_Training[[Solar]:[Wind]],MATCH(AM$1,Job_Training[[`Typical Entry Level Education`]:[`Typical Entry Level Education`]],0),MATCH(LEFT($D965,5),Job_Training[[#Headers],[Solar]:[Wind]],0)),0)</f>
        <v>0</v>
      </c>
      <c r="AN965" s="63">
        <f>IFERROR(INDEX(Job_Training[[Solar]:[Wind]],MATCH(AN$1,Job_Training[[`Typical Entry Level Education`]:[`Typical Entry Level Education`]],0),MATCH(LEFT($D965,5),Job_Training[[#Headers],[Solar]:[Wind]],0)),0)</f>
        <v>0</v>
      </c>
      <c r="AO965" s="63">
        <f>IFERROR(INDEX(Job_Training[[Solar]:[Wind]],MATCH(AO$1,Job_Training[[`Typical Entry Level Education`]:[`Typical Entry Level Education`]],0),MATCH(LEFT($D965,5),Job_Training[[#Headers],[Solar]:[Wind]],0)),0)</f>
        <v>0</v>
      </c>
      <c r="AP965">
        <f t="shared" si="278"/>
        <v>0</v>
      </c>
      <c r="AQ965" s="63">
        <f>IF(AP965&gt;0,IFERROR(INDEX(Assumptions!$C$165:$D$165,MATCH(LEFT($D965,5),Job_Training[[#Headers],[Solar]:[Wind]],0)),0),0)</f>
        <v>0</v>
      </c>
      <c r="AR965">
        <f>IF(AP965&gt;0,IFERROR(INDEX(Assumptions!$C$166:$D$166,MATCH(LEFT($D965,5),Job_Training[[#Headers],[Solar]:[Wind]],0)),0),0)</f>
        <v>0</v>
      </c>
    </row>
    <row r="966" spans="1:44" hidden="1" x14ac:dyDescent="0.35">
      <c r="A966" t="str">
        <f>UserInput!$B$82</f>
        <v>Incremental Buildout</v>
      </c>
      <c r="B966">
        <v>2044</v>
      </c>
      <c r="C966" t="s">
        <v>92</v>
      </c>
      <c r="D966" t="s">
        <v>93</v>
      </c>
      <c r="E966" s="66">
        <f>INDEX(UserInput!$C$82:$M$102,MATCH(UserMade_Scenario!B966,UserInput!$A$82:$A$102,0),MATCH(LEFT(IF(RIGHT(C966,2)="H2",UserMade_Scenario!C966,D966),3),UserInput!$C$25:$M$25,0))</f>
        <v>0.47619047619047639</v>
      </c>
      <c r="F966" t="s">
        <v>94</v>
      </c>
      <c r="G966" s="14">
        <f t="shared" si="263"/>
        <v>6.782501892857146E-5</v>
      </c>
      <c r="H966" s="63">
        <f t="shared" si="264"/>
        <v>7.0266719610000031E-4</v>
      </c>
      <c r="I966" s="63">
        <f t="shared" si="265"/>
        <v>7.0266719610000031E-4</v>
      </c>
      <c r="J966" s="63">
        <f t="shared" si="266"/>
        <v>2.228730121992858E-3</v>
      </c>
      <c r="K966" s="30">
        <f>IF(OR(LEFT($D966,5)="Solar",$D966="Wind"),INDEX(Land_Use[AVG],MATCH(LEFT($D966,5),Land_Use[Tech],0)),0)*$E966</f>
        <v>0</v>
      </c>
      <c r="L966" s="30">
        <f>IF(OR(LEFT($D966,5)="Solar",$D966="Wind"),INDEX(Land_Use[MIN],MATCH(LEFT($D966,5),Land_Use[Tech],0)),0)*$E966</f>
        <v>0</v>
      </c>
      <c r="M966" s="30">
        <f>IF(OR(LEFT($D966,5)="Solar",$D966="Wind"),INDEX(Land_Use[MAX],MATCH(LEFT($D966,5),Land_Use[Tech],0)),0)*$E966</f>
        <v>0</v>
      </c>
      <c r="N966" s="15">
        <f t="shared" si="267"/>
        <v>0</v>
      </c>
      <c r="O966" s="11">
        <f t="shared" si="268"/>
        <v>0</v>
      </c>
      <c r="P966" s="11">
        <f t="shared" si="269"/>
        <v>0</v>
      </c>
      <c r="Q966" s="11">
        <f t="shared" si="270"/>
        <v>0</v>
      </c>
      <c r="R966" s="11">
        <f t="shared" si="271"/>
        <v>0</v>
      </c>
      <c r="S966" s="30">
        <f t="shared" si="272"/>
        <v>0</v>
      </c>
      <c r="T966" s="30">
        <f t="shared" si="273"/>
        <v>0</v>
      </c>
      <c r="U966" s="30">
        <f t="shared" si="274"/>
        <v>0</v>
      </c>
      <c r="V966" s="30">
        <f t="shared" si="275"/>
        <v>0</v>
      </c>
      <c r="W966" s="30">
        <f t="shared" si="276"/>
        <v>0</v>
      </c>
      <c r="X966" s="30">
        <f t="shared" si="277"/>
        <v>0</v>
      </c>
      <c r="Z966" s="23" t="s">
        <v>76</v>
      </c>
      <c r="AA966" s="40" t="str">
        <f>IF(C966="Electricity",E966*SUMIFS(Electricity!S:S,Electricity!P:P,UserMade_Scenario!B966,Electricity!M:M,UserMade_Scenario!Z966,Electricity!O:O,UserMade_Scenario!D966),"")</f>
        <v/>
      </c>
      <c r="AB966" s="67">
        <v>1.4243253975000002E-4</v>
      </c>
      <c r="AC966" s="67" t="s">
        <v>95</v>
      </c>
      <c r="AD966" s="39">
        <f>INDEX(Assumptions!E$120:E$141,MATCH(UserMade_Scenario!$B966,Assumptions!$A$120:$A$141,0))</f>
        <v>-10.36</v>
      </c>
      <c r="AE966" s="39">
        <f>INDEX(Assumptions!F$120:F$141,MATCH(UserMade_Scenario!$B966,Assumptions!$A$120:$A$141,0))</f>
        <v>-10.36</v>
      </c>
      <c r="AF966" s="39">
        <f>INDEX(Assumptions!G$120:G$141,MATCH(UserMade_Scenario!$B966,Assumptions!$A$120:$A$141,0))</f>
        <v>-32.86</v>
      </c>
      <c r="AG966" s="68">
        <f>IFERROR(INDEX(WaterUseH2[Average Direct Water Consumption (Gal/ kg h2)],MATCH(LEFT(D966,3),WaterUseH2[Key],0)),0)</f>
        <v>0</v>
      </c>
      <c r="AH966">
        <v>14</v>
      </c>
      <c r="AI966">
        <v>1.4</v>
      </c>
      <c r="AJ966">
        <v>250</v>
      </c>
      <c r="AK966">
        <v>0.31</v>
      </c>
      <c r="AL966" s="63">
        <f>IFERROR(INDEX(Job_Training[[Solar]:[Wind]],MATCH(AL$1,Job_Training[[`Typical Entry Level Education`]:[`Typical Entry Level Education`]],0),MATCH(LEFT($D966,5),Job_Training[[#Headers],[Solar]:[Wind]],0)),0)</f>
        <v>0</v>
      </c>
      <c r="AM966" s="63">
        <f>IFERROR(INDEX(Job_Training[[Solar]:[Wind]],MATCH(AM$1,Job_Training[[`Typical Entry Level Education`]:[`Typical Entry Level Education`]],0),MATCH(LEFT($D966,5),Job_Training[[#Headers],[Solar]:[Wind]],0)),0)</f>
        <v>0</v>
      </c>
      <c r="AN966" s="63">
        <f>IFERROR(INDEX(Job_Training[[Solar]:[Wind]],MATCH(AN$1,Job_Training[[`Typical Entry Level Education`]:[`Typical Entry Level Education`]],0),MATCH(LEFT($D966,5),Job_Training[[#Headers],[Solar]:[Wind]],0)),0)</f>
        <v>0</v>
      </c>
      <c r="AO966" s="63">
        <f>IFERROR(INDEX(Job_Training[[Solar]:[Wind]],MATCH(AO$1,Job_Training[[`Typical Entry Level Education`]:[`Typical Entry Level Education`]],0),MATCH(LEFT($D966,5),Job_Training[[#Headers],[Solar]:[Wind]],0)),0)</f>
        <v>0</v>
      </c>
      <c r="AP966">
        <f t="shared" si="278"/>
        <v>0</v>
      </c>
      <c r="AQ966" s="63">
        <f>IF(AP966&gt;0,IFERROR(INDEX(Assumptions!$C$165:$D$165,MATCH(LEFT($D966,5),Job_Training[[#Headers],[Solar]:[Wind]],0)),0),0)</f>
        <v>0</v>
      </c>
      <c r="AR966">
        <f>IF(AP966&gt;0,IFERROR(INDEX(Assumptions!$C$166:$D$166,MATCH(LEFT($D966,5),Job_Training[[#Headers],[Solar]:[Wind]],0)),0),0)</f>
        <v>0</v>
      </c>
    </row>
    <row r="967" spans="1:44" hidden="1" x14ac:dyDescent="0.35">
      <c r="A967" t="str">
        <f>UserInput!$B$82</f>
        <v>Incremental Buildout</v>
      </c>
      <c r="B967">
        <v>2045</v>
      </c>
      <c r="C967" t="s">
        <v>92</v>
      </c>
      <c r="D967" t="s">
        <v>93</v>
      </c>
      <c r="E967" s="66">
        <f>INDEX(UserInput!$C$82:$M$102,MATCH(UserMade_Scenario!B967,UserInput!$A$82:$A$102,0),MATCH(LEFT(IF(RIGHT(C967,2)="H2",UserMade_Scenario!C967,D967),3),UserInput!$C$25:$M$25,0))</f>
        <v>0.5</v>
      </c>
      <c r="F967" t="s">
        <v>94</v>
      </c>
      <c r="G967" s="14">
        <f t="shared" si="263"/>
        <v>7.121626987500001E-5</v>
      </c>
      <c r="H967" s="63">
        <f t="shared" si="264"/>
        <v>7.3780055590500003E-4</v>
      </c>
      <c r="I967" s="63">
        <f t="shared" si="265"/>
        <v>7.3780055590500003E-4</v>
      </c>
      <c r="J967" s="63">
        <f t="shared" si="266"/>
        <v>2.3401666280925002E-3</v>
      </c>
      <c r="K967" s="30">
        <f>IF(OR(LEFT($D967,5)="Solar",$D967="Wind"),INDEX(Land_Use[AVG],MATCH(LEFT($D967,5),Land_Use[Tech],0)),0)*$E967</f>
        <v>0</v>
      </c>
      <c r="L967" s="30">
        <f>IF(OR(LEFT($D967,5)="Solar",$D967="Wind"),INDEX(Land_Use[MIN],MATCH(LEFT($D967,5),Land_Use[Tech],0)),0)*$E967</f>
        <v>0</v>
      </c>
      <c r="M967" s="30">
        <f>IF(OR(LEFT($D967,5)="Solar",$D967="Wind"),INDEX(Land_Use[MAX],MATCH(LEFT($D967,5),Land_Use[Tech],0)),0)*$E967</f>
        <v>0</v>
      </c>
      <c r="N967" s="15">
        <f t="shared" si="267"/>
        <v>0</v>
      </c>
      <c r="O967" s="11">
        <f t="shared" si="268"/>
        <v>0</v>
      </c>
      <c r="P967" s="11">
        <f t="shared" si="269"/>
        <v>0</v>
      </c>
      <c r="Q967" s="11">
        <f t="shared" si="270"/>
        <v>0</v>
      </c>
      <c r="R967" s="11">
        <f t="shared" si="271"/>
        <v>0</v>
      </c>
      <c r="S967" s="30">
        <f t="shared" si="272"/>
        <v>0</v>
      </c>
      <c r="T967" s="30">
        <f t="shared" si="273"/>
        <v>0</v>
      </c>
      <c r="U967" s="30">
        <f t="shared" si="274"/>
        <v>0</v>
      </c>
      <c r="V967" s="30">
        <f t="shared" si="275"/>
        <v>0</v>
      </c>
      <c r="W967" s="30">
        <f t="shared" si="276"/>
        <v>0</v>
      </c>
      <c r="X967" s="30">
        <f t="shared" si="277"/>
        <v>0</v>
      </c>
      <c r="Z967" s="23" t="s">
        <v>76</v>
      </c>
      <c r="AA967" s="40" t="str">
        <f>IF(C967="Electricity",E967*SUMIFS(Electricity!S:S,Electricity!P:P,UserMade_Scenario!B967,Electricity!M:M,UserMade_Scenario!Z967,Electricity!O:O,UserMade_Scenario!D967),"")</f>
        <v/>
      </c>
      <c r="AB967" s="67">
        <v>1.4243253975000002E-4</v>
      </c>
      <c r="AC967" s="67" t="s">
        <v>95</v>
      </c>
      <c r="AD967" s="39">
        <f>INDEX(Assumptions!E$120:E$141,MATCH(UserMade_Scenario!$B967,Assumptions!$A$120:$A$141,0))</f>
        <v>-10.36</v>
      </c>
      <c r="AE967" s="39">
        <f>INDEX(Assumptions!F$120:F$141,MATCH(UserMade_Scenario!$B967,Assumptions!$A$120:$A$141,0))</f>
        <v>-10.36</v>
      </c>
      <c r="AF967" s="39">
        <f>INDEX(Assumptions!G$120:G$141,MATCH(UserMade_Scenario!$B967,Assumptions!$A$120:$A$141,0))</f>
        <v>-32.86</v>
      </c>
      <c r="AG967" s="68">
        <f>IFERROR(INDEX(WaterUseH2[Average Direct Water Consumption (Gal/ kg h2)],MATCH(LEFT(D967,3),WaterUseH2[Key],0)),0)</f>
        <v>0</v>
      </c>
      <c r="AH967">
        <v>14</v>
      </c>
      <c r="AI967">
        <v>1.4</v>
      </c>
      <c r="AJ967">
        <v>250</v>
      </c>
      <c r="AK967">
        <v>0.31</v>
      </c>
      <c r="AL967" s="63">
        <f>IFERROR(INDEX(Job_Training[[Solar]:[Wind]],MATCH(AL$1,Job_Training[[`Typical Entry Level Education`]:[`Typical Entry Level Education`]],0),MATCH(LEFT($D967,5),Job_Training[[#Headers],[Solar]:[Wind]],0)),0)</f>
        <v>0</v>
      </c>
      <c r="AM967" s="63">
        <f>IFERROR(INDEX(Job_Training[[Solar]:[Wind]],MATCH(AM$1,Job_Training[[`Typical Entry Level Education`]:[`Typical Entry Level Education`]],0),MATCH(LEFT($D967,5),Job_Training[[#Headers],[Solar]:[Wind]],0)),0)</f>
        <v>0</v>
      </c>
      <c r="AN967" s="63">
        <f>IFERROR(INDEX(Job_Training[[Solar]:[Wind]],MATCH(AN$1,Job_Training[[`Typical Entry Level Education`]:[`Typical Entry Level Education`]],0),MATCH(LEFT($D967,5),Job_Training[[#Headers],[Solar]:[Wind]],0)),0)</f>
        <v>0</v>
      </c>
      <c r="AO967" s="63">
        <f>IFERROR(INDEX(Job_Training[[Solar]:[Wind]],MATCH(AO$1,Job_Training[[`Typical Entry Level Education`]:[`Typical Entry Level Education`]],0),MATCH(LEFT($D967,5),Job_Training[[#Headers],[Solar]:[Wind]],0)),0)</f>
        <v>0</v>
      </c>
      <c r="AP967">
        <f t="shared" si="278"/>
        <v>0</v>
      </c>
      <c r="AQ967" s="63">
        <f>IF(AP967&gt;0,IFERROR(INDEX(Assumptions!$C$165:$D$165,MATCH(LEFT($D967,5),Job_Training[[#Headers],[Solar]:[Wind]],0)),0),0)</f>
        <v>0</v>
      </c>
      <c r="AR967">
        <f>IF(AP967&gt;0,IFERROR(INDEX(Assumptions!$C$166:$D$166,MATCH(LEFT($D967,5),Job_Training[[#Headers],[Solar]:[Wind]],0)),0),0)</f>
        <v>0</v>
      </c>
    </row>
    <row r="968" spans="1:44" hidden="1" x14ac:dyDescent="0.35">
      <c r="A968" t="str">
        <f>UserInput!$B$82</f>
        <v>Incremental Buildout</v>
      </c>
      <c r="B968">
        <v>2025</v>
      </c>
      <c r="C968" t="s">
        <v>92</v>
      </c>
      <c r="D968" t="s">
        <v>96</v>
      </c>
      <c r="E968" s="66">
        <f>INDEX(UserInput!$C$82:$M$102,MATCH(UserMade_Scenario!B968,UserInput!$A$82:$A$102,0),MATCH(LEFT(IF(RIGHT(C968,2)="H2",UserMade_Scenario!C968,D968),3),UserInput!$C$25:$M$25,0))</f>
        <v>0.35714285714285715</v>
      </c>
      <c r="F968" t="s">
        <v>94</v>
      </c>
      <c r="G968" s="14">
        <f t="shared" si="263"/>
        <v>5.0868764196428578E-5</v>
      </c>
      <c r="H968" s="63">
        <f t="shared" si="264"/>
        <v>8.4645623622857152E-4</v>
      </c>
      <c r="I968" s="63">
        <f t="shared" si="265"/>
        <v>8.4645623622857152E-4</v>
      </c>
      <c r="J968" s="63">
        <f t="shared" si="266"/>
        <v>1.9910034306482144E-3</v>
      </c>
      <c r="K968" s="30">
        <f>IF(OR(LEFT($D968,5)="Solar",$D968="Wind"),INDEX(Land_Use[AVG],MATCH(LEFT($D968,5),Land_Use[Tech],0)),0)*$E968</f>
        <v>0</v>
      </c>
      <c r="L968" s="30">
        <f>IF(OR(LEFT($D968,5)="Solar",$D968="Wind"),INDEX(Land_Use[MIN],MATCH(LEFT($D968,5),Land_Use[Tech],0)),0)*$E968</f>
        <v>0</v>
      </c>
      <c r="M968" s="30">
        <f>IF(OR(LEFT($D968,5)="Solar",$D968="Wind"),INDEX(Land_Use[MAX],MATCH(LEFT($D968,5),Land_Use[Tech],0)),0)*$E968</f>
        <v>0</v>
      </c>
      <c r="N968" s="15">
        <f t="shared" si="267"/>
        <v>0</v>
      </c>
      <c r="O968" s="11">
        <f t="shared" si="268"/>
        <v>0</v>
      </c>
      <c r="P968" s="11">
        <f t="shared" si="269"/>
        <v>0</v>
      </c>
      <c r="Q968" s="11">
        <f t="shared" si="270"/>
        <v>0</v>
      </c>
      <c r="R968" s="11">
        <f t="shared" si="271"/>
        <v>0</v>
      </c>
      <c r="S968" s="30">
        <f t="shared" si="272"/>
        <v>0</v>
      </c>
      <c r="T968" s="30">
        <f t="shared" si="273"/>
        <v>0</v>
      </c>
      <c r="U968" s="30">
        <f t="shared" si="274"/>
        <v>0</v>
      </c>
      <c r="V968" s="30">
        <f t="shared" si="275"/>
        <v>0</v>
      </c>
      <c r="W968" s="30">
        <f t="shared" si="276"/>
        <v>0</v>
      </c>
      <c r="X968" s="30">
        <f t="shared" si="277"/>
        <v>0</v>
      </c>
      <c r="Z968" s="23" t="s">
        <v>76</v>
      </c>
      <c r="AA968" s="40" t="str">
        <f>IF(C968="Electricity",E968*SUMIFS(Electricity!S:S,Electricity!P:P,UserMade_Scenario!B968,Electricity!M:M,UserMade_Scenario!Z968,Electricity!O:O,UserMade_Scenario!D968),"")</f>
        <v/>
      </c>
      <c r="AB968" s="67">
        <v>1.4243253975000002E-4</v>
      </c>
      <c r="AC968" s="67" t="s">
        <v>95</v>
      </c>
      <c r="AD968" s="39">
        <f>INDEX(Assumptions!E$120:E$141,MATCH(UserMade_Scenario!$B968,Assumptions!$A$120:$A$141,0))</f>
        <v>-16.64</v>
      </c>
      <c r="AE968" s="39">
        <f>INDEX(Assumptions!F$120:F$141,MATCH(UserMade_Scenario!$B968,Assumptions!$A$120:$A$141,0))</f>
        <v>-16.64</v>
      </c>
      <c r="AF968" s="39">
        <f>INDEX(Assumptions!G$120:G$141,MATCH(UserMade_Scenario!$B968,Assumptions!$A$120:$A$141,0))</f>
        <v>-39.14</v>
      </c>
      <c r="AG968" s="68">
        <f>IFERROR(INDEX(WaterUseH2[Average Direct Water Consumption (Gal/ kg h2)],MATCH(LEFT(D968,3),WaterUseH2[Key],0)),0)</f>
        <v>0</v>
      </c>
      <c r="AH968">
        <v>14</v>
      </c>
      <c r="AI968">
        <v>1.4</v>
      </c>
      <c r="AJ968">
        <v>250</v>
      </c>
      <c r="AK968">
        <v>0.31</v>
      </c>
      <c r="AL968" s="63">
        <f>IFERROR(INDEX(Job_Training[[Solar]:[Wind]],MATCH(AL$1,Job_Training[[`Typical Entry Level Education`]:[`Typical Entry Level Education`]],0),MATCH(LEFT($D968,5),Job_Training[[#Headers],[Solar]:[Wind]],0)),0)</f>
        <v>0</v>
      </c>
      <c r="AM968" s="63">
        <f>IFERROR(INDEX(Job_Training[[Solar]:[Wind]],MATCH(AM$1,Job_Training[[`Typical Entry Level Education`]:[`Typical Entry Level Education`]],0),MATCH(LEFT($D968,5),Job_Training[[#Headers],[Solar]:[Wind]],0)),0)</f>
        <v>0</v>
      </c>
      <c r="AN968" s="63">
        <f>IFERROR(INDEX(Job_Training[[Solar]:[Wind]],MATCH(AN$1,Job_Training[[`Typical Entry Level Education`]:[`Typical Entry Level Education`]],0),MATCH(LEFT($D968,5),Job_Training[[#Headers],[Solar]:[Wind]],0)),0)</f>
        <v>0</v>
      </c>
      <c r="AO968" s="63">
        <f>IFERROR(INDEX(Job_Training[[Solar]:[Wind]],MATCH(AO$1,Job_Training[[`Typical Entry Level Education`]:[`Typical Entry Level Education`]],0),MATCH(LEFT($D968,5),Job_Training[[#Headers],[Solar]:[Wind]],0)),0)</f>
        <v>0</v>
      </c>
      <c r="AP968">
        <f t="shared" si="278"/>
        <v>0</v>
      </c>
      <c r="AQ968" s="63">
        <f>IF(AP968&gt;0,IFERROR(INDEX(Assumptions!$C$165:$D$165,MATCH(LEFT($D968,5),Job_Training[[#Headers],[Solar]:[Wind]],0)),0),0)</f>
        <v>0</v>
      </c>
      <c r="AR968">
        <f>IF(AP968&gt;0,IFERROR(INDEX(Assumptions!$C$166:$D$166,MATCH(LEFT($D968,5),Job_Training[[#Headers],[Solar]:[Wind]],0)),0),0)</f>
        <v>0</v>
      </c>
    </row>
    <row r="969" spans="1:44" hidden="1" x14ac:dyDescent="0.35">
      <c r="A969" t="str">
        <f>UserInput!$B$82</f>
        <v>Incremental Buildout</v>
      </c>
      <c r="B969">
        <v>2026</v>
      </c>
      <c r="C969" t="s">
        <v>92</v>
      </c>
      <c r="D969" t="s">
        <v>96</v>
      </c>
      <c r="E969" s="66">
        <f>INDEX(UserInput!$C$82:$M$102,MATCH(UserMade_Scenario!B969,UserInput!$A$82:$A$102,0),MATCH(LEFT(IF(RIGHT(C969,2)="H2",UserMade_Scenario!C969,D969),3),UserInput!$C$25:$M$25,0))</f>
        <v>0.7142857142857143</v>
      </c>
      <c r="F969" t="s">
        <v>94</v>
      </c>
      <c r="G969" s="14">
        <f t="shared" ref="G969:G988" si="279">E969*AB969</f>
        <v>1.0173752839285716E-4</v>
      </c>
      <c r="H969" s="63">
        <f t="shared" si="264"/>
        <v>3.7276630403142862E-3</v>
      </c>
      <c r="I969" s="63">
        <f t="shared" si="265"/>
        <v>3.7276630403142862E-3</v>
      </c>
      <c r="J969" s="63">
        <f t="shared" si="266"/>
        <v>5.47754852867143E-3</v>
      </c>
      <c r="K969" s="30">
        <f>IF(OR(LEFT($D969,5)="Solar",$D969="Wind"),INDEX(Land_Use[AVG],MATCH(LEFT($D969,5),Land_Use[Tech],0)),0)*$E969</f>
        <v>0</v>
      </c>
      <c r="L969" s="30">
        <f>IF(OR(LEFT($D969,5)="Solar",$D969="Wind"),INDEX(Land_Use[MIN],MATCH(LEFT($D969,5),Land_Use[Tech],0)),0)*$E969</f>
        <v>0</v>
      </c>
      <c r="M969" s="30">
        <f>IF(OR(LEFT($D969,5)="Solar",$D969="Wind"),INDEX(Land_Use[MAX],MATCH(LEFT($D969,5),Land_Use[Tech],0)),0)*$E969</f>
        <v>0</v>
      </c>
      <c r="N969" s="15">
        <f t="shared" si="267"/>
        <v>0</v>
      </c>
      <c r="O969" s="11">
        <f t="shared" si="268"/>
        <v>0</v>
      </c>
      <c r="P969" s="11">
        <f t="shared" si="269"/>
        <v>0</v>
      </c>
      <c r="Q969" s="11">
        <f t="shared" si="270"/>
        <v>0</v>
      </c>
      <c r="R969" s="11">
        <f t="shared" si="271"/>
        <v>0</v>
      </c>
      <c r="S969" s="30">
        <f t="shared" si="272"/>
        <v>0</v>
      </c>
      <c r="T969" s="30">
        <f t="shared" si="273"/>
        <v>0</v>
      </c>
      <c r="U969" s="30">
        <f t="shared" si="274"/>
        <v>0</v>
      </c>
      <c r="V969" s="30">
        <f t="shared" si="275"/>
        <v>0</v>
      </c>
      <c r="W969" s="30">
        <f t="shared" si="276"/>
        <v>0</v>
      </c>
      <c r="X969" s="30">
        <f t="shared" si="277"/>
        <v>0</v>
      </c>
      <c r="Z969" s="23" t="s">
        <v>76</v>
      </c>
      <c r="AA969" s="40" t="str">
        <f>IF(C969="Electricity",E969*SUMIFS(Electricity!S:S,Electricity!P:P,UserMade_Scenario!B969,Electricity!M:M,UserMade_Scenario!Z969,Electricity!O:O,UserMade_Scenario!D969),"")</f>
        <v/>
      </c>
      <c r="AB969" s="67">
        <v>1.4243253975000002E-4</v>
      </c>
      <c r="AC969" s="67" t="s">
        <v>95</v>
      </c>
      <c r="AD969" s="39">
        <f>INDEX(Assumptions!B$120:B$141,MATCH(UserMade_Scenario!$B968,Assumptions!$A$120:$A$141,0))</f>
        <v>-36.64</v>
      </c>
      <c r="AE969" s="39">
        <f>INDEX(Assumptions!C$120:C$141,MATCH(UserMade_Scenario!$B968,Assumptions!$A$120:$A$141,0))</f>
        <v>-36.64</v>
      </c>
      <c r="AF969" s="39">
        <f>INDEX(Assumptions!D$120:D$141,MATCH(UserMade_Scenario!$B968,Assumptions!$A$120:$A$141,0))</f>
        <v>-53.84</v>
      </c>
      <c r="AG969" s="68">
        <f>IFERROR(INDEX(WaterUseH2[Average Direct Water Consumption (Gal/ kg h2)],MATCH(LEFT(D969,3),WaterUseH2[Key],0)),0)</f>
        <v>0</v>
      </c>
      <c r="AH969">
        <v>14</v>
      </c>
      <c r="AI969">
        <v>1.4</v>
      </c>
      <c r="AJ969">
        <v>250</v>
      </c>
      <c r="AK969">
        <v>0.31</v>
      </c>
      <c r="AL969" s="63">
        <f>IFERROR(INDEX(Job_Training[[Solar]:[Wind]],MATCH(AL$1,Job_Training[[`Typical Entry Level Education`]:[`Typical Entry Level Education`]],0),MATCH(LEFT($D969,5),Job_Training[[#Headers],[Solar]:[Wind]],0)),0)</f>
        <v>0</v>
      </c>
      <c r="AM969" s="63">
        <f>IFERROR(INDEX(Job_Training[[Solar]:[Wind]],MATCH(AM$1,Job_Training[[`Typical Entry Level Education`]:[`Typical Entry Level Education`]],0),MATCH(LEFT($D969,5),Job_Training[[#Headers],[Solar]:[Wind]],0)),0)</f>
        <v>0</v>
      </c>
      <c r="AN969" s="63">
        <f>IFERROR(INDEX(Job_Training[[Solar]:[Wind]],MATCH(AN$1,Job_Training[[`Typical Entry Level Education`]:[`Typical Entry Level Education`]],0),MATCH(LEFT($D969,5),Job_Training[[#Headers],[Solar]:[Wind]],0)),0)</f>
        <v>0</v>
      </c>
      <c r="AO969" s="63">
        <f>IFERROR(INDEX(Job_Training[[Solar]:[Wind]],MATCH(AO$1,Job_Training[[`Typical Entry Level Education`]:[`Typical Entry Level Education`]],0),MATCH(LEFT($D969,5),Job_Training[[#Headers],[Solar]:[Wind]],0)),0)</f>
        <v>0</v>
      </c>
      <c r="AP969">
        <f t="shared" si="278"/>
        <v>0</v>
      </c>
      <c r="AQ969" s="63">
        <f>IF(AP969&gt;0,IFERROR(INDEX(Assumptions!$C$165:$D$165,MATCH(LEFT($D969,5),Job_Training[[#Headers],[Solar]:[Wind]],0)),0),0)</f>
        <v>0</v>
      </c>
      <c r="AR969">
        <f>IF(AP969&gt;0,IFERROR(INDEX(Assumptions!$C$166:$D$166,MATCH(LEFT($D969,5),Job_Training[[#Headers],[Solar]:[Wind]],0)),0),0)</f>
        <v>0</v>
      </c>
    </row>
    <row r="970" spans="1:44" hidden="1" x14ac:dyDescent="0.35">
      <c r="A970" t="str">
        <f>UserInput!$B$82</f>
        <v>Incremental Buildout</v>
      </c>
      <c r="B970">
        <v>2027</v>
      </c>
      <c r="C970" t="s">
        <v>92</v>
      </c>
      <c r="D970" t="s">
        <v>96</v>
      </c>
      <c r="E970" s="66">
        <f>INDEX(UserInput!$C$82:$M$102,MATCH(UserMade_Scenario!B970,UserInput!$A$82:$A$102,0),MATCH(LEFT(IF(RIGHT(C970,2)="H2",UserMade_Scenario!C970,D970),3),UserInput!$C$25:$M$25,0))</f>
        <v>1.0714285714285714</v>
      </c>
      <c r="F970" t="s">
        <v>94</v>
      </c>
      <c r="G970" s="14">
        <f t="shared" si="279"/>
        <v>1.5260629258928574E-4</v>
      </c>
      <c r="H970" s="63">
        <f t="shared" si="264"/>
        <v>5.3992106318089287E-3</v>
      </c>
      <c r="I970" s="63">
        <f t="shared" si="265"/>
        <v>5.3992106318089287E-3</v>
      </c>
      <c r="J970" s="63">
        <f t="shared" si="266"/>
        <v>8.0240388643446434E-3</v>
      </c>
      <c r="K970" s="30">
        <f>IF(OR(LEFT($D970,5)="Solar",$D970="Wind"),INDEX(Land_Use[AVG],MATCH(LEFT($D970,5),Land_Use[Tech],0)),0)*$E970</f>
        <v>0</v>
      </c>
      <c r="L970" s="30">
        <f>IF(OR(LEFT($D970,5)="Solar",$D970="Wind"),INDEX(Land_Use[MIN],MATCH(LEFT($D970,5),Land_Use[Tech],0)),0)*$E970</f>
        <v>0</v>
      </c>
      <c r="M970" s="30">
        <f>IF(OR(LEFT($D970,5)="Solar",$D970="Wind"),INDEX(Land_Use[MAX],MATCH(LEFT($D970,5),Land_Use[Tech],0)),0)*$E970</f>
        <v>0</v>
      </c>
      <c r="N970" s="15">
        <f t="shared" si="267"/>
        <v>0</v>
      </c>
      <c r="O970" s="11">
        <f t="shared" si="268"/>
        <v>0</v>
      </c>
      <c r="P970" s="11">
        <f t="shared" si="269"/>
        <v>0</v>
      </c>
      <c r="Q970" s="11">
        <f t="shared" si="270"/>
        <v>0</v>
      </c>
      <c r="R970" s="11">
        <f t="shared" si="271"/>
        <v>0</v>
      </c>
      <c r="S970" s="30">
        <f t="shared" si="272"/>
        <v>0</v>
      </c>
      <c r="T970" s="30">
        <f t="shared" si="273"/>
        <v>0</v>
      </c>
      <c r="U970" s="30">
        <f t="shared" si="274"/>
        <v>0</v>
      </c>
      <c r="V970" s="30">
        <f t="shared" si="275"/>
        <v>0</v>
      </c>
      <c r="W970" s="30">
        <f t="shared" si="276"/>
        <v>0</v>
      </c>
      <c r="X970" s="30">
        <f t="shared" si="277"/>
        <v>0</v>
      </c>
      <c r="Z970" s="23" t="s">
        <v>76</v>
      </c>
      <c r="AA970" s="40" t="str">
        <f>IF(C970="Electricity",E970*SUMIFS(Electricity!S:S,Electricity!P:P,UserMade_Scenario!B970,Electricity!M:M,UserMade_Scenario!Z970,Electricity!O:O,UserMade_Scenario!D970),"")</f>
        <v/>
      </c>
      <c r="AB970" s="67">
        <v>1.4243253975000002E-4</v>
      </c>
      <c r="AC970" s="67" t="s">
        <v>95</v>
      </c>
      <c r="AD970" s="39">
        <f>INDEX(Assumptions!B$120:B$141,MATCH(UserMade_Scenario!$B969,Assumptions!$A$120:$A$141,0))</f>
        <v>-35.379999999999995</v>
      </c>
      <c r="AE970" s="39">
        <f>INDEX(Assumptions!C$120:C$141,MATCH(UserMade_Scenario!$B969,Assumptions!$A$120:$A$141,0))</f>
        <v>-35.379999999999995</v>
      </c>
      <c r="AF970" s="39">
        <f>INDEX(Assumptions!D$120:D$141,MATCH(UserMade_Scenario!$B969,Assumptions!$A$120:$A$141,0))</f>
        <v>-52.58</v>
      </c>
      <c r="AG970" s="68">
        <f>IFERROR(INDEX(WaterUseH2[Average Direct Water Consumption (Gal/ kg h2)],MATCH(LEFT(D970,3),WaterUseH2[Key],0)),0)</f>
        <v>0</v>
      </c>
      <c r="AH970">
        <v>14</v>
      </c>
      <c r="AI970">
        <v>1.4</v>
      </c>
      <c r="AJ970">
        <v>250</v>
      </c>
      <c r="AK970">
        <v>0.31</v>
      </c>
      <c r="AL970" s="63">
        <f>IFERROR(INDEX(Job_Training[[Solar]:[Wind]],MATCH(AL$1,Job_Training[[`Typical Entry Level Education`]:[`Typical Entry Level Education`]],0),MATCH(LEFT($D970,5),Job_Training[[#Headers],[Solar]:[Wind]],0)),0)</f>
        <v>0</v>
      </c>
      <c r="AM970" s="63">
        <f>IFERROR(INDEX(Job_Training[[Solar]:[Wind]],MATCH(AM$1,Job_Training[[`Typical Entry Level Education`]:[`Typical Entry Level Education`]],0),MATCH(LEFT($D970,5),Job_Training[[#Headers],[Solar]:[Wind]],0)),0)</f>
        <v>0</v>
      </c>
      <c r="AN970" s="63">
        <f>IFERROR(INDEX(Job_Training[[Solar]:[Wind]],MATCH(AN$1,Job_Training[[`Typical Entry Level Education`]:[`Typical Entry Level Education`]],0),MATCH(LEFT($D970,5),Job_Training[[#Headers],[Solar]:[Wind]],0)),0)</f>
        <v>0</v>
      </c>
      <c r="AO970" s="63">
        <f>IFERROR(INDEX(Job_Training[[Solar]:[Wind]],MATCH(AO$1,Job_Training[[`Typical Entry Level Education`]:[`Typical Entry Level Education`]],0),MATCH(LEFT($D970,5),Job_Training[[#Headers],[Solar]:[Wind]],0)),0)</f>
        <v>0</v>
      </c>
      <c r="AP970">
        <f t="shared" si="278"/>
        <v>0</v>
      </c>
      <c r="AQ970" s="63">
        <f>IF(AP970&gt;0,IFERROR(INDEX(Assumptions!$C$165:$D$165,MATCH(LEFT($D970,5),Job_Training[[#Headers],[Solar]:[Wind]],0)),0),0)</f>
        <v>0</v>
      </c>
      <c r="AR970">
        <f>IF(AP970&gt;0,IFERROR(INDEX(Assumptions!$C$166:$D$166,MATCH(LEFT($D970,5),Job_Training[[#Headers],[Solar]:[Wind]],0)),0),0)</f>
        <v>0</v>
      </c>
    </row>
    <row r="971" spans="1:44" hidden="1" x14ac:dyDescent="0.35">
      <c r="A971" t="str">
        <f>UserInput!$B$82</f>
        <v>Incremental Buildout</v>
      </c>
      <c r="B971">
        <v>2028</v>
      </c>
      <c r="C971" t="s">
        <v>92</v>
      </c>
      <c r="D971" t="s">
        <v>96</v>
      </c>
      <c r="E971" s="66">
        <f>INDEX(UserInput!$C$82:$M$102,MATCH(UserMade_Scenario!B971,UserInput!$A$82:$A$102,0),MATCH(LEFT(IF(RIGHT(C971,2)="H2",UserMade_Scenario!C971,D971),3),UserInput!$C$25:$M$25,0))</f>
        <v>1.4285714285714286</v>
      </c>
      <c r="F971" t="s">
        <v>94</v>
      </c>
      <c r="G971" s="14">
        <f t="shared" si="279"/>
        <v>2.0347505678571431E-4</v>
      </c>
      <c r="H971" s="63">
        <f t="shared" si="264"/>
        <v>6.9446036880964285E-3</v>
      </c>
      <c r="I971" s="63">
        <f t="shared" si="265"/>
        <v>6.9446036880964285E-3</v>
      </c>
      <c r="J971" s="63">
        <f t="shared" si="266"/>
        <v>1.0444374664810716E-2</v>
      </c>
      <c r="K971" s="30">
        <f>IF(OR(LEFT($D971,5)="Solar",$D971="Wind"),INDEX(Land_Use[AVG],MATCH(LEFT($D971,5),Land_Use[Tech],0)),0)*$E971</f>
        <v>0</v>
      </c>
      <c r="L971" s="30">
        <f>IF(OR(LEFT($D971,5)="Solar",$D971="Wind"),INDEX(Land_Use[MIN],MATCH(LEFT($D971,5),Land_Use[Tech],0)),0)*$E971</f>
        <v>0</v>
      </c>
      <c r="M971" s="30">
        <f>IF(OR(LEFT($D971,5)="Solar",$D971="Wind"),INDEX(Land_Use[MAX],MATCH(LEFT($D971,5),Land_Use[Tech],0)),0)*$E971</f>
        <v>0</v>
      </c>
      <c r="N971" s="15">
        <f t="shared" si="267"/>
        <v>0</v>
      </c>
      <c r="O971" s="11">
        <f t="shared" si="268"/>
        <v>0</v>
      </c>
      <c r="P971" s="11">
        <f t="shared" si="269"/>
        <v>0</v>
      </c>
      <c r="Q971" s="11">
        <f t="shared" si="270"/>
        <v>0</v>
      </c>
      <c r="R971" s="11">
        <f t="shared" si="271"/>
        <v>0</v>
      </c>
      <c r="S971" s="30">
        <f t="shared" si="272"/>
        <v>0</v>
      </c>
      <c r="T971" s="30">
        <f t="shared" si="273"/>
        <v>0</v>
      </c>
      <c r="U971" s="30">
        <f t="shared" si="274"/>
        <v>0</v>
      </c>
      <c r="V971" s="30">
        <f t="shared" si="275"/>
        <v>0</v>
      </c>
      <c r="W971" s="30">
        <f t="shared" si="276"/>
        <v>0</v>
      </c>
      <c r="X971" s="30">
        <f t="shared" si="277"/>
        <v>0</v>
      </c>
      <c r="Z971" s="23" t="s">
        <v>76</v>
      </c>
      <c r="AA971" s="40" t="str">
        <f>IF(C971="Electricity",E971*SUMIFS(Electricity!S:S,Electricity!P:P,UserMade_Scenario!B971,Electricity!M:M,UserMade_Scenario!Z971,Electricity!O:O,UserMade_Scenario!D971),"")</f>
        <v/>
      </c>
      <c r="AB971" s="67">
        <v>1.4243253975000002E-4</v>
      </c>
      <c r="AC971" s="67" t="s">
        <v>95</v>
      </c>
      <c r="AD971" s="39">
        <f>INDEX(Assumptions!B$120:B$141,MATCH(UserMade_Scenario!$B970,Assumptions!$A$120:$A$141,0))</f>
        <v>-34.129999999999995</v>
      </c>
      <c r="AE971" s="39">
        <f>INDEX(Assumptions!C$120:C$141,MATCH(UserMade_Scenario!$B970,Assumptions!$A$120:$A$141,0))</f>
        <v>-34.129999999999995</v>
      </c>
      <c r="AF971" s="39">
        <f>INDEX(Assumptions!D$120:D$141,MATCH(UserMade_Scenario!$B970,Assumptions!$A$120:$A$141,0))</f>
        <v>-51.33</v>
      </c>
      <c r="AG971" s="68">
        <f>IFERROR(INDEX(WaterUseH2[Average Direct Water Consumption (Gal/ kg h2)],MATCH(LEFT(D971,3),WaterUseH2[Key],0)),0)</f>
        <v>0</v>
      </c>
      <c r="AH971">
        <v>14</v>
      </c>
      <c r="AI971">
        <v>1.4</v>
      </c>
      <c r="AJ971">
        <v>250</v>
      </c>
      <c r="AK971">
        <v>0.31</v>
      </c>
      <c r="AL971" s="63">
        <f>IFERROR(INDEX(Job_Training[[Solar]:[Wind]],MATCH(AL$1,Job_Training[[`Typical Entry Level Education`]:[`Typical Entry Level Education`]],0),MATCH(LEFT($D971,5),Job_Training[[#Headers],[Solar]:[Wind]],0)),0)</f>
        <v>0</v>
      </c>
      <c r="AM971" s="63">
        <f>IFERROR(INDEX(Job_Training[[Solar]:[Wind]],MATCH(AM$1,Job_Training[[`Typical Entry Level Education`]:[`Typical Entry Level Education`]],0),MATCH(LEFT($D971,5),Job_Training[[#Headers],[Solar]:[Wind]],0)),0)</f>
        <v>0</v>
      </c>
      <c r="AN971" s="63">
        <f>IFERROR(INDEX(Job_Training[[Solar]:[Wind]],MATCH(AN$1,Job_Training[[`Typical Entry Level Education`]:[`Typical Entry Level Education`]],0),MATCH(LEFT($D971,5),Job_Training[[#Headers],[Solar]:[Wind]],0)),0)</f>
        <v>0</v>
      </c>
      <c r="AO971" s="63">
        <f>IFERROR(INDEX(Job_Training[[Solar]:[Wind]],MATCH(AO$1,Job_Training[[`Typical Entry Level Education`]:[`Typical Entry Level Education`]],0),MATCH(LEFT($D971,5),Job_Training[[#Headers],[Solar]:[Wind]],0)),0)</f>
        <v>0</v>
      </c>
      <c r="AP971">
        <f t="shared" si="278"/>
        <v>0</v>
      </c>
      <c r="AQ971" s="63">
        <f>IF(AP971&gt;0,IFERROR(INDEX(Assumptions!$C$165:$D$165,MATCH(LEFT($D971,5),Job_Training[[#Headers],[Solar]:[Wind]],0)),0),0)</f>
        <v>0</v>
      </c>
      <c r="AR971">
        <f>IF(AP971&gt;0,IFERROR(INDEX(Assumptions!$C$166:$D$166,MATCH(LEFT($D971,5),Job_Training[[#Headers],[Solar]:[Wind]],0)),0),0)</f>
        <v>0</v>
      </c>
    </row>
    <row r="972" spans="1:44" hidden="1" x14ac:dyDescent="0.35">
      <c r="A972" t="str">
        <f>UserInput!$B$82</f>
        <v>Incremental Buildout</v>
      </c>
      <c r="B972">
        <v>2029</v>
      </c>
      <c r="C972" t="s">
        <v>92</v>
      </c>
      <c r="D972" t="s">
        <v>96</v>
      </c>
      <c r="E972" s="66">
        <f>INDEX(UserInput!$C$82:$M$102,MATCH(UserMade_Scenario!B972,UserInput!$A$82:$A$102,0),MATCH(LEFT(IF(RIGHT(C972,2)="H2",UserMade_Scenario!C972,D972),3),UserInput!$C$25:$M$25,0))</f>
        <v>1.7857142857142858</v>
      </c>
      <c r="F972" t="s">
        <v>94</v>
      </c>
      <c r="G972" s="14">
        <f t="shared" si="279"/>
        <v>2.5434382098214292E-4</v>
      </c>
      <c r="H972" s="63">
        <f t="shared" si="264"/>
        <v>8.3602813956830391E-3</v>
      </c>
      <c r="I972" s="63">
        <f t="shared" si="265"/>
        <v>8.3602813956830391E-3</v>
      </c>
      <c r="J972" s="63">
        <f t="shared" si="266"/>
        <v>1.2734995116575897E-2</v>
      </c>
      <c r="K972" s="30">
        <f>IF(OR(LEFT($D972,5)="Solar",$D972="Wind"),INDEX(Land_Use[AVG],MATCH(LEFT($D972,5),Land_Use[Tech],0)),0)*$E972</f>
        <v>0</v>
      </c>
      <c r="L972" s="30">
        <f>IF(OR(LEFT($D972,5)="Solar",$D972="Wind"),INDEX(Land_Use[MIN],MATCH(LEFT($D972,5),Land_Use[Tech],0)),0)*$E972</f>
        <v>0</v>
      </c>
      <c r="M972" s="30">
        <f>IF(OR(LEFT($D972,5)="Solar",$D972="Wind"),INDEX(Land_Use[MAX],MATCH(LEFT($D972,5),Land_Use[Tech],0)),0)*$E972</f>
        <v>0</v>
      </c>
      <c r="N972" s="15">
        <f t="shared" si="267"/>
        <v>0</v>
      </c>
      <c r="O972" s="11">
        <f t="shared" si="268"/>
        <v>0</v>
      </c>
      <c r="P972" s="11">
        <f t="shared" si="269"/>
        <v>0</v>
      </c>
      <c r="Q972" s="11">
        <f t="shared" si="270"/>
        <v>0</v>
      </c>
      <c r="R972" s="11">
        <f t="shared" si="271"/>
        <v>0</v>
      </c>
      <c r="S972" s="30">
        <f t="shared" si="272"/>
        <v>0</v>
      </c>
      <c r="T972" s="30">
        <f t="shared" si="273"/>
        <v>0</v>
      </c>
      <c r="U972" s="30">
        <f t="shared" si="274"/>
        <v>0</v>
      </c>
      <c r="V972" s="30">
        <f t="shared" si="275"/>
        <v>0</v>
      </c>
      <c r="W972" s="30">
        <f t="shared" si="276"/>
        <v>0</v>
      </c>
      <c r="X972" s="30">
        <f t="shared" si="277"/>
        <v>0</v>
      </c>
      <c r="Z972" s="23" t="s">
        <v>76</v>
      </c>
      <c r="AA972" s="40" t="str">
        <f>IF(C972="Electricity",E972*SUMIFS(Electricity!S:S,Electricity!P:P,UserMade_Scenario!B972,Electricity!M:M,UserMade_Scenario!Z972,Electricity!O:O,UserMade_Scenario!D972),"")</f>
        <v/>
      </c>
      <c r="AB972" s="67">
        <v>1.4243253975000002E-4</v>
      </c>
      <c r="AC972" s="67" t="s">
        <v>95</v>
      </c>
      <c r="AD972" s="39">
        <f>INDEX(Assumptions!B$120:B$141,MATCH(UserMade_Scenario!$B971,Assumptions!$A$120:$A$141,0))</f>
        <v>-32.870000000000005</v>
      </c>
      <c r="AE972" s="39">
        <f>INDEX(Assumptions!C$120:C$141,MATCH(UserMade_Scenario!$B971,Assumptions!$A$120:$A$141,0))</f>
        <v>-32.870000000000005</v>
      </c>
      <c r="AF972" s="39">
        <f>INDEX(Assumptions!D$120:D$141,MATCH(UserMade_Scenario!$B971,Assumptions!$A$120:$A$141,0))</f>
        <v>-50.070000000000007</v>
      </c>
      <c r="AG972" s="68">
        <f>IFERROR(INDEX(WaterUseH2[Average Direct Water Consumption (Gal/ kg h2)],MATCH(LEFT(D972,3),WaterUseH2[Key],0)),0)</f>
        <v>0</v>
      </c>
      <c r="AH972">
        <v>14</v>
      </c>
      <c r="AI972">
        <v>1.4</v>
      </c>
      <c r="AJ972">
        <v>250</v>
      </c>
      <c r="AK972">
        <v>0.31</v>
      </c>
      <c r="AL972" s="63">
        <f>IFERROR(INDEX(Job_Training[[Solar]:[Wind]],MATCH(AL$1,Job_Training[[`Typical Entry Level Education`]:[`Typical Entry Level Education`]],0),MATCH(LEFT($D972,5),Job_Training[[#Headers],[Solar]:[Wind]],0)),0)</f>
        <v>0</v>
      </c>
      <c r="AM972" s="63">
        <f>IFERROR(INDEX(Job_Training[[Solar]:[Wind]],MATCH(AM$1,Job_Training[[`Typical Entry Level Education`]:[`Typical Entry Level Education`]],0),MATCH(LEFT($D972,5),Job_Training[[#Headers],[Solar]:[Wind]],0)),0)</f>
        <v>0</v>
      </c>
      <c r="AN972" s="63">
        <f>IFERROR(INDEX(Job_Training[[Solar]:[Wind]],MATCH(AN$1,Job_Training[[`Typical Entry Level Education`]:[`Typical Entry Level Education`]],0),MATCH(LEFT($D972,5),Job_Training[[#Headers],[Solar]:[Wind]],0)),0)</f>
        <v>0</v>
      </c>
      <c r="AO972" s="63">
        <f>IFERROR(INDEX(Job_Training[[Solar]:[Wind]],MATCH(AO$1,Job_Training[[`Typical Entry Level Education`]:[`Typical Entry Level Education`]],0),MATCH(LEFT($D972,5),Job_Training[[#Headers],[Solar]:[Wind]],0)),0)</f>
        <v>0</v>
      </c>
      <c r="AP972">
        <f t="shared" si="278"/>
        <v>0</v>
      </c>
      <c r="AQ972" s="63">
        <f>IF(AP972&gt;0,IFERROR(INDEX(Assumptions!$C$165:$D$165,MATCH(LEFT($D972,5),Job_Training[[#Headers],[Solar]:[Wind]],0)),0),0)</f>
        <v>0</v>
      </c>
      <c r="AR972">
        <f>IF(AP972&gt;0,IFERROR(INDEX(Assumptions!$C$166:$D$166,MATCH(LEFT($D972,5),Job_Training[[#Headers],[Solar]:[Wind]],0)),0),0)</f>
        <v>0</v>
      </c>
    </row>
    <row r="973" spans="1:44" hidden="1" x14ac:dyDescent="0.35">
      <c r="A973" t="str">
        <f>UserInput!$B$82</f>
        <v>Incremental Buildout</v>
      </c>
      <c r="B973">
        <v>2030</v>
      </c>
      <c r="C973" t="s">
        <v>92</v>
      </c>
      <c r="D973" t="s">
        <v>96</v>
      </c>
      <c r="E973" s="66">
        <f>INDEX(UserInput!$C$82:$M$102,MATCH(UserMade_Scenario!B973,UserInput!$A$82:$A$102,0),MATCH(LEFT(IF(RIGHT(C973,2)="H2",UserMade_Scenario!C973,D973),3),UserInput!$C$25:$M$25,0))</f>
        <v>2.1428571428571428</v>
      </c>
      <c r="F973" t="s">
        <v>94</v>
      </c>
      <c r="G973" s="14">
        <f t="shared" si="279"/>
        <v>3.0521258517857147E-4</v>
      </c>
      <c r="H973" s="63">
        <f t="shared" si="264"/>
        <v>9.6508219433464309E-3</v>
      </c>
      <c r="I973" s="63">
        <f t="shared" si="265"/>
        <v>9.6508219433464309E-3</v>
      </c>
      <c r="J973" s="63">
        <f t="shared" si="266"/>
        <v>1.4900478408417862E-2</v>
      </c>
      <c r="K973" s="30">
        <f>IF(OR(LEFT($D973,5)="Solar",$D973="Wind"),INDEX(Land_Use[AVG],MATCH(LEFT($D973,5),Land_Use[Tech],0)),0)*$E973</f>
        <v>0</v>
      </c>
      <c r="L973" s="30">
        <f>IF(OR(LEFT($D973,5)="Solar",$D973="Wind"),INDEX(Land_Use[MIN],MATCH(LEFT($D973,5),Land_Use[Tech],0)),0)*$E973</f>
        <v>0</v>
      </c>
      <c r="M973" s="30">
        <f>IF(OR(LEFT($D973,5)="Solar",$D973="Wind"),INDEX(Land_Use[MAX],MATCH(LEFT($D973,5),Land_Use[Tech],0)),0)*$E973</f>
        <v>0</v>
      </c>
      <c r="N973" s="15">
        <f t="shared" si="267"/>
        <v>0</v>
      </c>
      <c r="O973" s="11">
        <f t="shared" si="268"/>
        <v>0</v>
      </c>
      <c r="P973" s="11">
        <f t="shared" si="269"/>
        <v>0</v>
      </c>
      <c r="Q973" s="11">
        <f t="shared" si="270"/>
        <v>0</v>
      </c>
      <c r="R973" s="11">
        <f t="shared" si="271"/>
        <v>0</v>
      </c>
      <c r="S973" s="30">
        <f t="shared" si="272"/>
        <v>0</v>
      </c>
      <c r="T973" s="30">
        <f t="shared" si="273"/>
        <v>0</v>
      </c>
      <c r="U973" s="30">
        <f t="shared" si="274"/>
        <v>0</v>
      </c>
      <c r="V973" s="30">
        <f t="shared" si="275"/>
        <v>0</v>
      </c>
      <c r="W973" s="30">
        <f t="shared" si="276"/>
        <v>0</v>
      </c>
      <c r="X973" s="30">
        <f t="shared" si="277"/>
        <v>0</v>
      </c>
      <c r="Z973" s="23" t="s">
        <v>76</v>
      </c>
      <c r="AA973" s="40" t="str">
        <f>IF(C973="Electricity",E973*SUMIFS(Electricity!S:S,Electricity!P:P,UserMade_Scenario!B973,Electricity!M:M,UserMade_Scenario!Z973,Electricity!O:O,UserMade_Scenario!D973),"")</f>
        <v/>
      </c>
      <c r="AB973" s="67">
        <v>1.4243253975000002E-4</v>
      </c>
      <c r="AC973" s="67" t="s">
        <v>95</v>
      </c>
      <c r="AD973" s="39">
        <f>INDEX(Assumptions!B$120:B$141,MATCH(UserMade_Scenario!$B972,Assumptions!$A$120:$A$141,0))</f>
        <v>-31.620000000000005</v>
      </c>
      <c r="AE973" s="39">
        <f>INDEX(Assumptions!C$120:C$141,MATCH(UserMade_Scenario!$B972,Assumptions!$A$120:$A$141,0))</f>
        <v>-31.620000000000005</v>
      </c>
      <c r="AF973" s="39">
        <f>INDEX(Assumptions!D$120:D$141,MATCH(UserMade_Scenario!$B972,Assumptions!$A$120:$A$141,0))</f>
        <v>-48.820000000000007</v>
      </c>
      <c r="AG973" s="68">
        <f>IFERROR(INDEX(WaterUseH2[Average Direct Water Consumption (Gal/ kg h2)],MATCH(LEFT(D973,3),WaterUseH2[Key],0)),0)</f>
        <v>0</v>
      </c>
      <c r="AH973">
        <v>14</v>
      </c>
      <c r="AI973">
        <v>1.4</v>
      </c>
      <c r="AJ973">
        <v>250</v>
      </c>
      <c r="AK973">
        <v>0.31</v>
      </c>
      <c r="AL973" s="63">
        <f>IFERROR(INDEX(Job_Training[[Solar]:[Wind]],MATCH(AL$1,Job_Training[[`Typical Entry Level Education`]:[`Typical Entry Level Education`]],0),MATCH(LEFT($D973,5),Job_Training[[#Headers],[Solar]:[Wind]],0)),0)</f>
        <v>0</v>
      </c>
      <c r="AM973" s="63">
        <f>IFERROR(INDEX(Job_Training[[Solar]:[Wind]],MATCH(AM$1,Job_Training[[`Typical Entry Level Education`]:[`Typical Entry Level Education`]],0),MATCH(LEFT($D973,5),Job_Training[[#Headers],[Solar]:[Wind]],0)),0)</f>
        <v>0</v>
      </c>
      <c r="AN973" s="63">
        <f>IFERROR(INDEX(Job_Training[[Solar]:[Wind]],MATCH(AN$1,Job_Training[[`Typical Entry Level Education`]:[`Typical Entry Level Education`]],0),MATCH(LEFT($D973,5),Job_Training[[#Headers],[Solar]:[Wind]],0)),0)</f>
        <v>0</v>
      </c>
      <c r="AO973" s="63">
        <f>IFERROR(INDEX(Job_Training[[Solar]:[Wind]],MATCH(AO$1,Job_Training[[`Typical Entry Level Education`]:[`Typical Entry Level Education`]],0),MATCH(LEFT($D973,5),Job_Training[[#Headers],[Solar]:[Wind]],0)),0)</f>
        <v>0</v>
      </c>
      <c r="AP973">
        <f t="shared" si="278"/>
        <v>0</v>
      </c>
      <c r="AQ973" s="63">
        <f>IF(AP973&gt;0,IFERROR(INDEX(Assumptions!$C$165:$D$165,MATCH(LEFT($D973,5),Job_Training[[#Headers],[Solar]:[Wind]],0)),0),0)</f>
        <v>0</v>
      </c>
      <c r="AR973">
        <f>IF(AP973&gt;0,IFERROR(INDEX(Assumptions!$C$166:$D$166,MATCH(LEFT($D973,5),Job_Training[[#Headers],[Solar]:[Wind]],0)),0),0)</f>
        <v>0</v>
      </c>
    </row>
    <row r="974" spans="1:44" hidden="1" x14ac:dyDescent="0.35">
      <c r="A974" t="str">
        <f>UserInput!$B$82</f>
        <v>Incremental Buildout</v>
      </c>
      <c r="B974">
        <v>2031</v>
      </c>
      <c r="C974" t="s">
        <v>92</v>
      </c>
      <c r="D974" t="s">
        <v>96</v>
      </c>
      <c r="E974" s="66">
        <f>INDEX(UserInput!$C$82:$M$102,MATCH(UserMade_Scenario!B974,UserInput!$A$82:$A$102,0),MATCH(LEFT(IF(RIGHT(C974,2)="H2",UserMade_Scenario!C974,D974),3),UserInput!$C$25:$M$25,0))</f>
        <v>2.5</v>
      </c>
      <c r="F974" t="s">
        <v>94</v>
      </c>
      <c r="G974" s="14">
        <f t="shared" si="279"/>
        <v>3.5608134937500002E-4</v>
      </c>
      <c r="H974" s="63">
        <f t="shared" si="264"/>
        <v>1.0810629767025001E-2</v>
      </c>
      <c r="I974" s="63">
        <f t="shared" si="265"/>
        <v>1.0810629767025001E-2</v>
      </c>
      <c r="J974" s="63">
        <f t="shared" si="266"/>
        <v>1.6935228976275002E-2</v>
      </c>
      <c r="K974" s="30">
        <f>IF(OR(LEFT($D974,5)="Solar",$D974="Wind"),INDEX(Land_Use[AVG],MATCH(LEFT($D974,5),Land_Use[Tech],0)),0)*$E974</f>
        <v>0</v>
      </c>
      <c r="L974" s="30">
        <f>IF(OR(LEFT($D974,5)="Solar",$D974="Wind"),INDEX(Land_Use[MIN],MATCH(LEFT($D974,5),Land_Use[Tech],0)),0)*$E974</f>
        <v>0</v>
      </c>
      <c r="M974" s="30">
        <f>IF(OR(LEFT($D974,5)="Solar",$D974="Wind"),INDEX(Land_Use[MAX],MATCH(LEFT($D974,5),Land_Use[Tech],0)),0)*$E974</f>
        <v>0</v>
      </c>
      <c r="N974" s="15">
        <f t="shared" si="267"/>
        <v>0</v>
      </c>
      <c r="O974" s="11">
        <f t="shared" si="268"/>
        <v>0</v>
      </c>
      <c r="P974" s="11">
        <f t="shared" si="269"/>
        <v>0</v>
      </c>
      <c r="Q974" s="11">
        <f t="shared" si="270"/>
        <v>0</v>
      </c>
      <c r="R974" s="11">
        <f t="shared" si="271"/>
        <v>0</v>
      </c>
      <c r="S974" s="30">
        <f t="shared" si="272"/>
        <v>0</v>
      </c>
      <c r="T974" s="30">
        <f t="shared" si="273"/>
        <v>0</v>
      </c>
      <c r="U974" s="30">
        <f t="shared" si="274"/>
        <v>0</v>
      </c>
      <c r="V974" s="30">
        <f t="shared" si="275"/>
        <v>0</v>
      </c>
      <c r="W974" s="30">
        <f t="shared" si="276"/>
        <v>0</v>
      </c>
      <c r="X974" s="30">
        <f t="shared" si="277"/>
        <v>0</v>
      </c>
      <c r="Z974" s="23" t="s">
        <v>76</v>
      </c>
      <c r="AA974" s="40" t="str">
        <f>IF(C974="Electricity",E974*SUMIFS(Electricity!S:S,Electricity!P:P,UserMade_Scenario!B974,Electricity!M:M,UserMade_Scenario!Z974,Electricity!O:O,UserMade_Scenario!D974),"")</f>
        <v/>
      </c>
      <c r="AB974" s="67">
        <v>1.4243253975000002E-4</v>
      </c>
      <c r="AC974" s="67" t="s">
        <v>95</v>
      </c>
      <c r="AD974" s="39">
        <f>INDEX(Assumptions!B$120:B$141,MATCH(UserMade_Scenario!$B973,Assumptions!$A$120:$A$141,0))</f>
        <v>-30.36</v>
      </c>
      <c r="AE974" s="39">
        <f>INDEX(Assumptions!C$120:C$141,MATCH(UserMade_Scenario!$B973,Assumptions!$A$120:$A$141,0))</f>
        <v>-30.36</v>
      </c>
      <c r="AF974" s="39">
        <f>INDEX(Assumptions!D$120:D$141,MATCH(UserMade_Scenario!$B973,Assumptions!$A$120:$A$141,0))</f>
        <v>-47.56</v>
      </c>
      <c r="AG974" s="68">
        <f>IFERROR(INDEX(WaterUseH2[Average Direct Water Consumption (Gal/ kg h2)],MATCH(LEFT(D974,3),WaterUseH2[Key],0)),0)</f>
        <v>0</v>
      </c>
      <c r="AH974">
        <v>14</v>
      </c>
      <c r="AI974">
        <v>1.4</v>
      </c>
      <c r="AJ974">
        <v>250</v>
      </c>
      <c r="AK974">
        <v>0.31</v>
      </c>
      <c r="AL974" s="63">
        <f>IFERROR(INDEX(Job_Training[[Solar]:[Wind]],MATCH(AL$1,Job_Training[[`Typical Entry Level Education`]:[`Typical Entry Level Education`]],0),MATCH(LEFT($D974,5),Job_Training[[#Headers],[Solar]:[Wind]],0)),0)</f>
        <v>0</v>
      </c>
      <c r="AM974" s="63">
        <f>IFERROR(INDEX(Job_Training[[Solar]:[Wind]],MATCH(AM$1,Job_Training[[`Typical Entry Level Education`]:[`Typical Entry Level Education`]],0),MATCH(LEFT($D974,5),Job_Training[[#Headers],[Solar]:[Wind]],0)),0)</f>
        <v>0</v>
      </c>
      <c r="AN974" s="63">
        <f>IFERROR(INDEX(Job_Training[[Solar]:[Wind]],MATCH(AN$1,Job_Training[[`Typical Entry Level Education`]:[`Typical Entry Level Education`]],0),MATCH(LEFT($D974,5),Job_Training[[#Headers],[Solar]:[Wind]],0)),0)</f>
        <v>0</v>
      </c>
      <c r="AO974" s="63">
        <f>IFERROR(INDEX(Job_Training[[Solar]:[Wind]],MATCH(AO$1,Job_Training[[`Typical Entry Level Education`]:[`Typical Entry Level Education`]],0),MATCH(LEFT($D974,5),Job_Training[[#Headers],[Solar]:[Wind]],0)),0)</f>
        <v>0</v>
      </c>
      <c r="AP974">
        <f t="shared" si="278"/>
        <v>0</v>
      </c>
      <c r="AQ974" s="63">
        <f>IF(AP974&gt;0,IFERROR(INDEX(Assumptions!$C$165:$D$165,MATCH(LEFT($D974,5),Job_Training[[#Headers],[Solar]:[Wind]],0)),0),0)</f>
        <v>0</v>
      </c>
      <c r="AR974">
        <f>IF(AP974&gt;0,IFERROR(INDEX(Assumptions!$C$166:$D$166,MATCH(LEFT($D974,5),Job_Training[[#Headers],[Solar]:[Wind]],0)),0),0)</f>
        <v>0</v>
      </c>
    </row>
    <row r="975" spans="1:44" hidden="1" x14ac:dyDescent="0.35">
      <c r="A975" t="str">
        <f>UserInput!$B$82</f>
        <v>Incremental Buildout</v>
      </c>
      <c r="B975">
        <v>2032</v>
      </c>
      <c r="C975" t="s">
        <v>92</v>
      </c>
      <c r="D975" t="s">
        <v>96</v>
      </c>
      <c r="E975" s="66">
        <f>INDEX(UserInput!$C$82:$M$102,MATCH(UserMade_Scenario!B975,UserInput!$A$82:$A$102,0),MATCH(LEFT(IF(RIGHT(C975,2)="H2",UserMade_Scenario!C975,D975),3),UserInput!$C$25:$M$25,0))</f>
        <v>2.8571428571428572</v>
      </c>
      <c r="F975" t="s">
        <v>94</v>
      </c>
      <c r="G975" s="14">
        <f t="shared" si="279"/>
        <v>4.0695011357142863E-4</v>
      </c>
      <c r="H975" s="63">
        <f t="shared" si="264"/>
        <v>1.2355005448028573E-2</v>
      </c>
      <c r="I975" s="63">
        <f t="shared" si="265"/>
        <v>1.2355005448028573E-2</v>
      </c>
      <c r="J975" s="63">
        <f t="shared" si="266"/>
        <v>1.9354547401457145E-2</v>
      </c>
      <c r="K975" s="30">
        <f>IF(OR(LEFT($D975,5)="Solar",$D975="Wind"),INDEX(Land_Use[AVG],MATCH(LEFT($D975,5),Land_Use[Tech],0)),0)*$E975</f>
        <v>0</v>
      </c>
      <c r="L975" s="30">
        <f>IF(OR(LEFT($D975,5)="Solar",$D975="Wind"),INDEX(Land_Use[MIN],MATCH(LEFT($D975,5),Land_Use[Tech],0)),0)*$E975</f>
        <v>0</v>
      </c>
      <c r="M975" s="30">
        <f>IF(OR(LEFT($D975,5)="Solar",$D975="Wind"),INDEX(Land_Use[MAX],MATCH(LEFT($D975,5),Land_Use[Tech],0)),0)*$E975</f>
        <v>0</v>
      </c>
      <c r="N975" s="15">
        <f t="shared" si="267"/>
        <v>0</v>
      </c>
      <c r="O975" s="11">
        <f t="shared" si="268"/>
        <v>0</v>
      </c>
      <c r="P975" s="11">
        <f t="shared" si="269"/>
        <v>0</v>
      </c>
      <c r="Q975" s="11">
        <f t="shared" si="270"/>
        <v>0</v>
      </c>
      <c r="R975" s="11">
        <f t="shared" si="271"/>
        <v>0</v>
      </c>
      <c r="S975" s="30">
        <f t="shared" si="272"/>
        <v>0</v>
      </c>
      <c r="T975" s="30">
        <f t="shared" si="273"/>
        <v>0</v>
      </c>
      <c r="U975" s="30">
        <f t="shared" si="274"/>
        <v>0</v>
      </c>
      <c r="V975" s="30">
        <f t="shared" si="275"/>
        <v>0</v>
      </c>
      <c r="W975" s="30">
        <f t="shared" si="276"/>
        <v>0</v>
      </c>
      <c r="X975" s="30">
        <f t="shared" si="277"/>
        <v>0</v>
      </c>
      <c r="Z975" s="23" t="s">
        <v>76</v>
      </c>
      <c r="AA975" s="40" t="str">
        <f>IF(C975="Electricity",E975*SUMIFS(Electricity!S:S,Electricity!P:P,UserMade_Scenario!B975,Electricity!M:M,UserMade_Scenario!Z975,Electricity!O:O,UserMade_Scenario!D975),"")</f>
        <v/>
      </c>
      <c r="AB975" s="67">
        <v>1.4243253975000002E-4</v>
      </c>
      <c r="AC975" s="67" t="s">
        <v>95</v>
      </c>
      <c r="AD975" s="39">
        <f>INDEX(Assumptions!B$120:B$141,MATCH(UserMade_Scenario!$B974,Assumptions!$A$120:$A$141,0))</f>
        <v>-30.36</v>
      </c>
      <c r="AE975" s="39">
        <f>INDEX(Assumptions!C$120:C$141,MATCH(UserMade_Scenario!$B974,Assumptions!$A$120:$A$141,0))</f>
        <v>-30.36</v>
      </c>
      <c r="AF975" s="39">
        <f>INDEX(Assumptions!D$120:D$141,MATCH(UserMade_Scenario!$B974,Assumptions!$A$120:$A$141,0))</f>
        <v>-47.56</v>
      </c>
      <c r="AG975" s="68">
        <f>IFERROR(INDEX(WaterUseH2[Average Direct Water Consumption (Gal/ kg h2)],MATCH(LEFT(D975,3),WaterUseH2[Key],0)),0)</f>
        <v>0</v>
      </c>
      <c r="AH975">
        <v>14</v>
      </c>
      <c r="AI975">
        <v>1.4</v>
      </c>
      <c r="AJ975">
        <v>250</v>
      </c>
      <c r="AK975">
        <v>0.31</v>
      </c>
      <c r="AL975" s="63">
        <f>IFERROR(INDEX(Job_Training[[Solar]:[Wind]],MATCH(AL$1,Job_Training[[`Typical Entry Level Education`]:[`Typical Entry Level Education`]],0),MATCH(LEFT($D975,5),Job_Training[[#Headers],[Solar]:[Wind]],0)),0)</f>
        <v>0</v>
      </c>
      <c r="AM975" s="63">
        <f>IFERROR(INDEX(Job_Training[[Solar]:[Wind]],MATCH(AM$1,Job_Training[[`Typical Entry Level Education`]:[`Typical Entry Level Education`]],0),MATCH(LEFT($D975,5),Job_Training[[#Headers],[Solar]:[Wind]],0)),0)</f>
        <v>0</v>
      </c>
      <c r="AN975" s="63">
        <f>IFERROR(INDEX(Job_Training[[Solar]:[Wind]],MATCH(AN$1,Job_Training[[`Typical Entry Level Education`]:[`Typical Entry Level Education`]],0),MATCH(LEFT($D975,5),Job_Training[[#Headers],[Solar]:[Wind]],0)),0)</f>
        <v>0</v>
      </c>
      <c r="AO975" s="63">
        <f>IFERROR(INDEX(Job_Training[[Solar]:[Wind]],MATCH(AO$1,Job_Training[[`Typical Entry Level Education`]:[`Typical Entry Level Education`]],0),MATCH(LEFT($D975,5),Job_Training[[#Headers],[Solar]:[Wind]],0)),0)</f>
        <v>0</v>
      </c>
      <c r="AP975">
        <f t="shared" si="278"/>
        <v>0</v>
      </c>
      <c r="AQ975" s="63">
        <f>IF(AP975&gt;0,IFERROR(INDEX(Assumptions!$C$165:$D$165,MATCH(LEFT($D975,5),Job_Training[[#Headers],[Solar]:[Wind]],0)),0),0)</f>
        <v>0</v>
      </c>
      <c r="AR975">
        <f>IF(AP975&gt;0,IFERROR(INDEX(Assumptions!$C$166:$D$166,MATCH(LEFT($D975,5),Job_Training[[#Headers],[Solar]:[Wind]],0)),0),0)</f>
        <v>0</v>
      </c>
    </row>
    <row r="976" spans="1:44" hidden="1" x14ac:dyDescent="0.35">
      <c r="A976" t="str">
        <f>UserInput!$B$82</f>
        <v>Incremental Buildout</v>
      </c>
      <c r="B976">
        <v>2033</v>
      </c>
      <c r="C976" t="s">
        <v>92</v>
      </c>
      <c r="D976" t="s">
        <v>96</v>
      </c>
      <c r="E976" s="66">
        <f>INDEX(UserInput!$C$82:$M$102,MATCH(UserMade_Scenario!B976,UserInput!$A$82:$A$102,0),MATCH(LEFT(IF(RIGHT(C976,2)="H2",UserMade_Scenario!C976,D976),3),UserInput!$C$25:$M$25,0))</f>
        <v>3.2142857142857144</v>
      </c>
      <c r="F976" t="s">
        <v>94</v>
      </c>
      <c r="G976" s="14">
        <f t="shared" si="279"/>
        <v>4.5781887776785723E-4</v>
      </c>
      <c r="H976" s="63">
        <f t="shared" si="264"/>
        <v>1.3899381129032145E-2</v>
      </c>
      <c r="I976" s="63">
        <f t="shared" si="265"/>
        <v>1.3899381129032145E-2</v>
      </c>
      <c r="J976" s="63">
        <f t="shared" si="266"/>
        <v>2.1773865826639292E-2</v>
      </c>
      <c r="K976" s="30">
        <f>IF(OR(LEFT($D976,5)="Solar",$D976="Wind"),INDEX(Land_Use[AVG],MATCH(LEFT($D976,5),Land_Use[Tech],0)),0)*$E976</f>
        <v>0</v>
      </c>
      <c r="L976" s="30">
        <f>IF(OR(LEFT($D976,5)="Solar",$D976="Wind"),INDEX(Land_Use[MIN],MATCH(LEFT($D976,5),Land_Use[Tech],0)),0)*$E976</f>
        <v>0</v>
      </c>
      <c r="M976" s="30">
        <f>IF(OR(LEFT($D976,5)="Solar",$D976="Wind"),INDEX(Land_Use[MAX],MATCH(LEFT($D976,5),Land_Use[Tech],0)),0)*$E976</f>
        <v>0</v>
      </c>
      <c r="N976" s="15">
        <f t="shared" si="267"/>
        <v>0</v>
      </c>
      <c r="O976" s="11">
        <f t="shared" si="268"/>
        <v>0</v>
      </c>
      <c r="P976" s="11">
        <f t="shared" si="269"/>
        <v>0</v>
      </c>
      <c r="Q976" s="11">
        <f t="shared" si="270"/>
        <v>0</v>
      </c>
      <c r="R976" s="11">
        <f t="shared" si="271"/>
        <v>0</v>
      </c>
      <c r="S976" s="30">
        <f t="shared" si="272"/>
        <v>0</v>
      </c>
      <c r="T976" s="30">
        <f t="shared" si="273"/>
        <v>0</v>
      </c>
      <c r="U976" s="30">
        <f t="shared" si="274"/>
        <v>0</v>
      </c>
      <c r="V976" s="30">
        <f t="shared" si="275"/>
        <v>0</v>
      </c>
      <c r="W976" s="30">
        <f t="shared" si="276"/>
        <v>0</v>
      </c>
      <c r="X976" s="30">
        <f t="shared" si="277"/>
        <v>0</v>
      </c>
      <c r="Z976" s="23" t="s">
        <v>76</v>
      </c>
      <c r="AA976" s="40" t="str">
        <f>IF(C976="Electricity",E976*SUMIFS(Electricity!S:S,Electricity!P:P,UserMade_Scenario!B976,Electricity!M:M,UserMade_Scenario!Z976,Electricity!O:O,UserMade_Scenario!D976),"")</f>
        <v/>
      </c>
      <c r="AB976" s="67">
        <v>1.4243253975000002E-4</v>
      </c>
      <c r="AC976" s="67" t="s">
        <v>95</v>
      </c>
      <c r="AD976" s="39">
        <f>INDEX(Assumptions!B$120:B$141,MATCH(UserMade_Scenario!$B975,Assumptions!$A$120:$A$141,0))</f>
        <v>-30.36</v>
      </c>
      <c r="AE976" s="39">
        <f>INDEX(Assumptions!C$120:C$141,MATCH(UserMade_Scenario!$B975,Assumptions!$A$120:$A$141,0))</f>
        <v>-30.36</v>
      </c>
      <c r="AF976" s="39">
        <f>INDEX(Assumptions!D$120:D$141,MATCH(UserMade_Scenario!$B975,Assumptions!$A$120:$A$141,0))</f>
        <v>-47.56</v>
      </c>
      <c r="AG976" s="68">
        <f>IFERROR(INDEX(WaterUseH2[Average Direct Water Consumption (Gal/ kg h2)],MATCH(LEFT(D976,3),WaterUseH2[Key],0)),0)</f>
        <v>0</v>
      </c>
      <c r="AH976">
        <v>14</v>
      </c>
      <c r="AI976">
        <v>1.4</v>
      </c>
      <c r="AJ976">
        <v>250</v>
      </c>
      <c r="AK976">
        <v>0.31</v>
      </c>
      <c r="AL976" s="63">
        <f>IFERROR(INDEX(Job_Training[[Solar]:[Wind]],MATCH(AL$1,Job_Training[[`Typical Entry Level Education`]:[`Typical Entry Level Education`]],0),MATCH(LEFT($D976,5),Job_Training[[#Headers],[Solar]:[Wind]],0)),0)</f>
        <v>0</v>
      </c>
      <c r="AM976" s="63">
        <f>IFERROR(INDEX(Job_Training[[Solar]:[Wind]],MATCH(AM$1,Job_Training[[`Typical Entry Level Education`]:[`Typical Entry Level Education`]],0),MATCH(LEFT($D976,5),Job_Training[[#Headers],[Solar]:[Wind]],0)),0)</f>
        <v>0</v>
      </c>
      <c r="AN976" s="63">
        <f>IFERROR(INDEX(Job_Training[[Solar]:[Wind]],MATCH(AN$1,Job_Training[[`Typical Entry Level Education`]:[`Typical Entry Level Education`]],0),MATCH(LEFT($D976,5),Job_Training[[#Headers],[Solar]:[Wind]],0)),0)</f>
        <v>0</v>
      </c>
      <c r="AO976" s="63">
        <f>IFERROR(INDEX(Job_Training[[Solar]:[Wind]],MATCH(AO$1,Job_Training[[`Typical Entry Level Education`]:[`Typical Entry Level Education`]],0),MATCH(LEFT($D976,5),Job_Training[[#Headers],[Solar]:[Wind]],0)),0)</f>
        <v>0</v>
      </c>
      <c r="AP976">
        <f t="shared" si="278"/>
        <v>0</v>
      </c>
      <c r="AQ976" s="63">
        <f>IF(AP976&gt;0,IFERROR(INDEX(Assumptions!$C$165:$D$165,MATCH(LEFT($D976,5),Job_Training[[#Headers],[Solar]:[Wind]],0)),0),0)</f>
        <v>0</v>
      </c>
      <c r="AR976">
        <f>IF(AP976&gt;0,IFERROR(INDEX(Assumptions!$C$166:$D$166,MATCH(LEFT($D976,5),Job_Training[[#Headers],[Solar]:[Wind]],0)),0),0)</f>
        <v>0</v>
      </c>
    </row>
    <row r="977" spans="1:44" hidden="1" x14ac:dyDescent="0.35">
      <c r="A977" t="str">
        <f>UserInput!$B$82</f>
        <v>Incremental Buildout</v>
      </c>
      <c r="B977">
        <v>2034</v>
      </c>
      <c r="C977" t="s">
        <v>92</v>
      </c>
      <c r="D977" t="s">
        <v>96</v>
      </c>
      <c r="E977" s="66">
        <f>INDEX(UserInput!$C$82:$M$102,MATCH(UserMade_Scenario!B977,UserInput!$A$82:$A$102,0),MATCH(LEFT(IF(RIGHT(C977,2)="H2",UserMade_Scenario!C977,D977),3),UserInput!$C$25:$M$25,0))</f>
        <v>3.5714285714285716</v>
      </c>
      <c r="F977" t="s">
        <v>94</v>
      </c>
      <c r="G977" s="14">
        <f t="shared" si="279"/>
        <v>5.0868764196428584E-4</v>
      </c>
      <c r="H977" s="63">
        <f t="shared" si="264"/>
        <v>1.5443756810035719E-2</v>
      </c>
      <c r="I977" s="63">
        <f t="shared" si="265"/>
        <v>1.5443756810035719E-2</v>
      </c>
      <c r="J977" s="63">
        <f t="shared" si="266"/>
        <v>2.4193184251821435E-2</v>
      </c>
      <c r="K977" s="30">
        <f>IF(OR(LEFT($D977,5)="Solar",$D977="Wind"),INDEX(Land_Use[AVG],MATCH(LEFT($D977,5),Land_Use[Tech],0)),0)*$E977</f>
        <v>0</v>
      </c>
      <c r="L977" s="30">
        <f>IF(OR(LEFT($D977,5)="Solar",$D977="Wind"),INDEX(Land_Use[MIN],MATCH(LEFT($D977,5),Land_Use[Tech],0)),0)*$E977</f>
        <v>0</v>
      </c>
      <c r="M977" s="30">
        <f>IF(OR(LEFT($D977,5)="Solar",$D977="Wind"),INDEX(Land_Use[MAX],MATCH(LEFT($D977,5),Land_Use[Tech],0)),0)*$E977</f>
        <v>0</v>
      </c>
      <c r="N977" s="15">
        <f t="shared" si="267"/>
        <v>0</v>
      </c>
      <c r="O977" s="11">
        <f t="shared" si="268"/>
        <v>0</v>
      </c>
      <c r="P977" s="11">
        <f t="shared" si="269"/>
        <v>0</v>
      </c>
      <c r="Q977" s="11">
        <f t="shared" si="270"/>
        <v>0</v>
      </c>
      <c r="R977" s="11">
        <f t="shared" si="271"/>
        <v>0</v>
      </c>
      <c r="S977" s="30">
        <f t="shared" si="272"/>
        <v>0</v>
      </c>
      <c r="T977" s="30">
        <f t="shared" si="273"/>
        <v>0</v>
      </c>
      <c r="U977" s="30">
        <f t="shared" si="274"/>
        <v>0</v>
      </c>
      <c r="V977" s="30">
        <f t="shared" si="275"/>
        <v>0</v>
      </c>
      <c r="W977" s="30">
        <f t="shared" si="276"/>
        <v>0</v>
      </c>
      <c r="X977" s="30">
        <f t="shared" si="277"/>
        <v>0</v>
      </c>
      <c r="Z977" s="23" t="s">
        <v>76</v>
      </c>
      <c r="AA977" s="40" t="str">
        <f>IF(C977="Electricity",E977*SUMIFS(Electricity!S:S,Electricity!P:P,UserMade_Scenario!B977,Electricity!M:M,UserMade_Scenario!Z977,Electricity!O:O,UserMade_Scenario!D977),"")</f>
        <v/>
      </c>
      <c r="AB977" s="67">
        <v>1.4243253975000002E-4</v>
      </c>
      <c r="AC977" s="67" t="s">
        <v>95</v>
      </c>
      <c r="AD977" s="39">
        <f>INDEX(Assumptions!B$120:B$141,MATCH(UserMade_Scenario!$B976,Assumptions!$A$120:$A$141,0))</f>
        <v>-30.36</v>
      </c>
      <c r="AE977" s="39">
        <f>INDEX(Assumptions!C$120:C$141,MATCH(UserMade_Scenario!$B976,Assumptions!$A$120:$A$141,0))</f>
        <v>-30.36</v>
      </c>
      <c r="AF977" s="39">
        <f>INDEX(Assumptions!D$120:D$141,MATCH(UserMade_Scenario!$B976,Assumptions!$A$120:$A$141,0))</f>
        <v>-47.56</v>
      </c>
      <c r="AG977" s="68">
        <f>IFERROR(INDEX(WaterUseH2[Average Direct Water Consumption (Gal/ kg h2)],MATCH(LEFT(D977,3),WaterUseH2[Key],0)),0)</f>
        <v>0</v>
      </c>
      <c r="AH977">
        <v>14</v>
      </c>
      <c r="AI977">
        <v>1.4</v>
      </c>
      <c r="AJ977">
        <v>250</v>
      </c>
      <c r="AK977">
        <v>0.31</v>
      </c>
      <c r="AL977" s="63">
        <f>IFERROR(INDEX(Job_Training[[Solar]:[Wind]],MATCH(AL$1,Job_Training[[`Typical Entry Level Education`]:[`Typical Entry Level Education`]],0),MATCH(LEFT($D977,5),Job_Training[[#Headers],[Solar]:[Wind]],0)),0)</f>
        <v>0</v>
      </c>
      <c r="AM977" s="63">
        <f>IFERROR(INDEX(Job_Training[[Solar]:[Wind]],MATCH(AM$1,Job_Training[[`Typical Entry Level Education`]:[`Typical Entry Level Education`]],0),MATCH(LEFT($D977,5),Job_Training[[#Headers],[Solar]:[Wind]],0)),0)</f>
        <v>0</v>
      </c>
      <c r="AN977" s="63">
        <f>IFERROR(INDEX(Job_Training[[Solar]:[Wind]],MATCH(AN$1,Job_Training[[`Typical Entry Level Education`]:[`Typical Entry Level Education`]],0),MATCH(LEFT($D977,5),Job_Training[[#Headers],[Solar]:[Wind]],0)),0)</f>
        <v>0</v>
      </c>
      <c r="AO977" s="63">
        <f>IFERROR(INDEX(Job_Training[[Solar]:[Wind]],MATCH(AO$1,Job_Training[[`Typical Entry Level Education`]:[`Typical Entry Level Education`]],0),MATCH(LEFT($D977,5),Job_Training[[#Headers],[Solar]:[Wind]],0)),0)</f>
        <v>0</v>
      </c>
      <c r="AP977">
        <f t="shared" si="278"/>
        <v>0</v>
      </c>
      <c r="AQ977" s="63">
        <f>IF(AP977&gt;0,IFERROR(INDEX(Assumptions!$C$165:$D$165,MATCH(LEFT($D977,5),Job_Training[[#Headers],[Solar]:[Wind]],0)),0),0)</f>
        <v>0</v>
      </c>
      <c r="AR977">
        <f>IF(AP977&gt;0,IFERROR(INDEX(Assumptions!$C$166:$D$166,MATCH(LEFT($D977,5),Job_Training[[#Headers],[Solar]:[Wind]],0)),0),0)</f>
        <v>0</v>
      </c>
    </row>
    <row r="978" spans="1:44" hidden="1" x14ac:dyDescent="0.35">
      <c r="A978" t="str">
        <f>UserInput!$B$82</f>
        <v>Incremental Buildout</v>
      </c>
      <c r="B978">
        <v>2035</v>
      </c>
      <c r="C978" t="s">
        <v>92</v>
      </c>
      <c r="D978" t="s">
        <v>96</v>
      </c>
      <c r="E978" s="66">
        <f>INDEX(UserInput!$C$82:$M$102,MATCH(UserMade_Scenario!B978,UserInput!$A$82:$A$102,0),MATCH(LEFT(IF(RIGHT(C978,2)="H2",UserMade_Scenario!C978,D978),3),UserInput!$C$25:$M$25,0))</f>
        <v>3.9285714285714288</v>
      </c>
      <c r="F978" t="s">
        <v>94</v>
      </c>
      <c r="G978" s="14">
        <f t="shared" si="279"/>
        <v>5.5955640616071444E-4</v>
      </c>
      <c r="H978" s="63">
        <f t="shared" si="264"/>
        <v>1.6988132491039289E-2</v>
      </c>
      <c r="I978" s="63">
        <f t="shared" si="265"/>
        <v>1.6988132491039289E-2</v>
      </c>
      <c r="J978" s="63">
        <f t="shared" si="266"/>
        <v>2.6612502677003581E-2</v>
      </c>
      <c r="K978" s="30">
        <f>IF(OR(LEFT($D978,5)="Solar",$D978="Wind"),INDEX(Land_Use[AVG],MATCH(LEFT($D978,5),Land_Use[Tech],0)),0)*$E978</f>
        <v>0</v>
      </c>
      <c r="L978" s="30">
        <f>IF(OR(LEFT($D978,5)="Solar",$D978="Wind"),INDEX(Land_Use[MIN],MATCH(LEFT($D978,5),Land_Use[Tech],0)),0)*$E978</f>
        <v>0</v>
      </c>
      <c r="M978" s="30">
        <f>IF(OR(LEFT($D978,5)="Solar",$D978="Wind"),INDEX(Land_Use[MAX],MATCH(LEFT($D978,5),Land_Use[Tech],0)),0)*$E978</f>
        <v>0</v>
      </c>
      <c r="N978" s="15">
        <f t="shared" si="267"/>
        <v>0</v>
      </c>
      <c r="O978" s="11">
        <f t="shared" si="268"/>
        <v>0</v>
      </c>
      <c r="P978" s="11">
        <f t="shared" si="269"/>
        <v>0</v>
      </c>
      <c r="Q978" s="11">
        <f t="shared" si="270"/>
        <v>0</v>
      </c>
      <c r="R978" s="11">
        <f t="shared" si="271"/>
        <v>0</v>
      </c>
      <c r="S978" s="30">
        <f t="shared" si="272"/>
        <v>0</v>
      </c>
      <c r="T978" s="30">
        <f t="shared" si="273"/>
        <v>0</v>
      </c>
      <c r="U978" s="30">
        <f t="shared" si="274"/>
        <v>0</v>
      </c>
      <c r="V978" s="30">
        <f t="shared" si="275"/>
        <v>0</v>
      </c>
      <c r="W978" s="30">
        <f t="shared" si="276"/>
        <v>0</v>
      </c>
      <c r="X978" s="30">
        <f t="shared" si="277"/>
        <v>0</v>
      </c>
      <c r="Z978" s="23" t="s">
        <v>76</v>
      </c>
      <c r="AA978" s="40" t="str">
        <f>IF(C978="Electricity",E978*SUMIFS(Electricity!S:S,Electricity!P:P,UserMade_Scenario!B978,Electricity!M:M,UserMade_Scenario!Z978,Electricity!O:O,UserMade_Scenario!D978),"")</f>
        <v/>
      </c>
      <c r="AB978" s="67">
        <v>1.4243253975000002E-4</v>
      </c>
      <c r="AC978" s="67" t="s">
        <v>95</v>
      </c>
      <c r="AD978" s="39">
        <f>INDEX(Assumptions!B$120:B$141,MATCH(UserMade_Scenario!$B977,Assumptions!$A$120:$A$141,0))</f>
        <v>-30.36</v>
      </c>
      <c r="AE978" s="39">
        <f>INDEX(Assumptions!C$120:C$141,MATCH(UserMade_Scenario!$B977,Assumptions!$A$120:$A$141,0))</f>
        <v>-30.36</v>
      </c>
      <c r="AF978" s="39">
        <f>INDEX(Assumptions!D$120:D$141,MATCH(UserMade_Scenario!$B977,Assumptions!$A$120:$A$141,0))</f>
        <v>-47.56</v>
      </c>
      <c r="AG978" s="68">
        <f>IFERROR(INDEX(WaterUseH2[Average Direct Water Consumption (Gal/ kg h2)],MATCH(LEFT(D978,3),WaterUseH2[Key],0)),0)</f>
        <v>0</v>
      </c>
      <c r="AH978">
        <v>14</v>
      </c>
      <c r="AI978">
        <v>1.4</v>
      </c>
      <c r="AJ978">
        <v>250</v>
      </c>
      <c r="AK978">
        <v>0.31</v>
      </c>
      <c r="AL978" s="63">
        <f>IFERROR(INDEX(Job_Training[[Solar]:[Wind]],MATCH(AL$1,Job_Training[[`Typical Entry Level Education`]:[`Typical Entry Level Education`]],0),MATCH(LEFT($D978,5),Job_Training[[#Headers],[Solar]:[Wind]],0)),0)</f>
        <v>0</v>
      </c>
      <c r="AM978" s="63">
        <f>IFERROR(INDEX(Job_Training[[Solar]:[Wind]],MATCH(AM$1,Job_Training[[`Typical Entry Level Education`]:[`Typical Entry Level Education`]],0),MATCH(LEFT($D978,5),Job_Training[[#Headers],[Solar]:[Wind]],0)),0)</f>
        <v>0</v>
      </c>
      <c r="AN978" s="63">
        <f>IFERROR(INDEX(Job_Training[[Solar]:[Wind]],MATCH(AN$1,Job_Training[[`Typical Entry Level Education`]:[`Typical Entry Level Education`]],0),MATCH(LEFT($D978,5),Job_Training[[#Headers],[Solar]:[Wind]],0)),0)</f>
        <v>0</v>
      </c>
      <c r="AO978" s="63">
        <f>IFERROR(INDEX(Job_Training[[Solar]:[Wind]],MATCH(AO$1,Job_Training[[`Typical Entry Level Education`]:[`Typical Entry Level Education`]],0),MATCH(LEFT($D978,5),Job_Training[[#Headers],[Solar]:[Wind]],0)),0)</f>
        <v>0</v>
      </c>
      <c r="AP978">
        <f t="shared" si="278"/>
        <v>0</v>
      </c>
      <c r="AQ978" s="63">
        <f>IF(AP978&gt;0,IFERROR(INDEX(Assumptions!$C$165:$D$165,MATCH(LEFT($D978,5),Job_Training[[#Headers],[Solar]:[Wind]],0)),0),0)</f>
        <v>0</v>
      </c>
      <c r="AR978">
        <f>IF(AP978&gt;0,IFERROR(INDEX(Assumptions!$C$166:$D$166,MATCH(LEFT($D978,5),Job_Training[[#Headers],[Solar]:[Wind]],0)),0),0)</f>
        <v>0</v>
      </c>
    </row>
    <row r="979" spans="1:44" hidden="1" x14ac:dyDescent="0.35">
      <c r="A979" t="str">
        <f>UserInput!$B$82</f>
        <v>Incremental Buildout</v>
      </c>
      <c r="B979">
        <v>2036</v>
      </c>
      <c r="C979" t="s">
        <v>92</v>
      </c>
      <c r="D979" t="s">
        <v>96</v>
      </c>
      <c r="E979" s="66">
        <f>INDEX(UserInput!$C$82:$M$102,MATCH(UserMade_Scenario!B979,UserInput!$A$82:$A$102,0),MATCH(LEFT(IF(RIGHT(C979,2)="H2",UserMade_Scenario!C979,D979),3),UserInput!$C$25:$M$25,0))</f>
        <v>4.2857142857142856</v>
      </c>
      <c r="F979" t="s">
        <v>94</v>
      </c>
      <c r="G979" s="14">
        <f t="shared" si="279"/>
        <v>6.1042517035714294E-4</v>
      </c>
      <c r="H979" s="63">
        <f t="shared" si="264"/>
        <v>1.8532508172042859E-2</v>
      </c>
      <c r="I979" s="63">
        <f t="shared" si="265"/>
        <v>1.8532508172042859E-2</v>
      </c>
      <c r="J979" s="63">
        <f t="shared" si="266"/>
        <v>2.9031821102185721E-2</v>
      </c>
      <c r="K979" s="30">
        <f>IF(OR(LEFT($D979,5)="Solar",$D979="Wind"),INDEX(Land_Use[AVG],MATCH(LEFT($D979,5),Land_Use[Tech],0)),0)*$E979</f>
        <v>0</v>
      </c>
      <c r="L979" s="30">
        <f>IF(OR(LEFT($D979,5)="Solar",$D979="Wind"),INDEX(Land_Use[MIN],MATCH(LEFT($D979,5),Land_Use[Tech],0)),0)*$E979</f>
        <v>0</v>
      </c>
      <c r="M979" s="30">
        <f>IF(OR(LEFT($D979,5)="Solar",$D979="Wind"),INDEX(Land_Use[MAX],MATCH(LEFT($D979,5),Land_Use[Tech],0)),0)*$E979</f>
        <v>0</v>
      </c>
      <c r="N979" s="15">
        <f t="shared" si="267"/>
        <v>0</v>
      </c>
      <c r="O979" s="11">
        <f t="shared" si="268"/>
        <v>0</v>
      </c>
      <c r="P979" s="11">
        <f t="shared" si="269"/>
        <v>0</v>
      </c>
      <c r="Q979" s="11">
        <f t="shared" si="270"/>
        <v>0</v>
      </c>
      <c r="R979" s="11">
        <f t="shared" si="271"/>
        <v>0</v>
      </c>
      <c r="S979" s="30">
        <f t="shared" si="272"/>
        <v>0</v>
      </c>
      <c r="T979" s="30">
        <f t="shared" si="273"/>
        <v>0</v>
      </c>
      <c r="U979" s="30">
        <f t="shared" si="274"/>
        <v>0</v>
      </c>
      <c r="V979" s="30">
        <f t="shared" si="275"/>
        <v>0</v>
      </c>
      <c r="W979" s="30">
        <f t="shared" si="276"/>
        <v>0</v>
      </c>
      <c r="X979" s="30">
        <f t="shared" si="277"/>
        <v>0</v>
      </c>
      <c r="Z979" s="23" t="s">
        <v>76</v>
      </c>
      <c r="AA979" s="40" t="str">
        <f>IF(C979="Electricity",E979*SUMIFS(Electricity!S:S,Electricity!P:P,UserMade_Scenario!B979,Electricity!M:M,UserMade_Scenario!Z979,Electricity!O:O,UserMade_Scenario!D979),"")</f>
        <v/>
      </c>
      <c r="AB979" s="67">
        <v>1.4243253975000002E-4</v>
      </c>
      <c r="AC979" s="67" t="s">
        <v>95</v>
      </c>
      <c r="AD979" s="39">
        <f>INDEX(Assumptions!B$120:B$141,MATCH(UserMade_Scenario!$B978,Assumptions!$A$120:$A$141,0))</f>
        <v>-30.36</v>
      </c>
      <c r="AE979" s="39">
        <f>INDEX(Assumptions!C$120:C$141,MATCH(UserMade_Scenario!$B978,Assumptions!$A$120:$A$141,0))</f>
        <v>-30.36</v>
      </c>
      <c r="AF979" s="39">
        <f>INDEX(Assumptions!D$120:D$141,MATCH(UserMade_Scenario!$B978,Assumptions!$A$120:$A$141,0))</f>
        <v>-47.56</v>
      </c>
      <c r="AG979" s="68">
        <f>IFERROR(INDEX(WaterUseH2[Average Direct Water Consumption (Gal/ kg h2)],MATCH(LEFT(D979,3),WaterUseH2[Key],0)),0)</f>
        <v>0</v>
      </c>
      <c r="AH979">
        <v>14</v>
      </c>
      <c r="AI979">
        <v>1.4</v>
      </c>
      <c r="AJ979">
        <v>250</v>
      </c>
      <c r="AK979">
        <v>0.31</v>
      </c>
      <c r="AL979" s="63">
        <f>IFERROR(INDEX(Job_Training[[Solar]:[Wind]],MATCH(AL$1,Job_Training[[`Typical Entry Level Education`]:[`Typical Entry Level Education`]],0),MATCH(LEFT($D979,5),Job_Training[[#Headers],[Solar]:[Wind]],0)),0)</f>
        <v>0</v>
      </c>
      <c r="AM979" s="63">
        <f>IFERROR(INDEX(Job_Training[[Solar]:[Wind]],MATCH(AM$1,Job_Training[[`Typical Entry Level Education`]:[`Typical Entry Level Education`]],0),MATCH(LEFT($D979,5),Job_Training[[#Headers],[Solar]:[Wind]],0)),0)</f>
        <v>0</v>
      </c>
      <c r="AN979" s="63">
        <f>IFERROR(INDEX(Job_Training[[Solar]:[Wind]],MATCH(AN$1,Job_Training[[`Typical Entry Level Education`]:[`Typical Entry Level Education`]],0),MATCH(LEFT($D979,5),Job_Training[[#Headers],[Solar]:[Wind]],0)),0)</f>
        <v>0</v>
      </c>
      <c r="AO979" s="63">
        <f>IFERROR(INDEX(Job_Training[[Solar]:[Wind]],MATCH(AO$1,Job_Training[[`Typical Entry Level Education`]:[`Typical Entry Level Education`]],0),MATCH(LEFT($D979,5),Job_Training[[#Headers],[Solar]:[Wind]],0)),0)</f>
        <v>0</v>
      </c>
      <c r="AP979">
        <f t="shared" si="278"/>
        <v>0</v>
      </c>
      <c r="AQ979" s="63">
        <f>IF(AP979&gt;0,IFERROR(INDEX(Assumptions!$C$165:$D$165,MATCH(LEFT($D979,5),Job_Training[[#Headers],[Solar]:[Wind]],0)),0),0)</f>
        <v>0</v>
      </c>
      <c r="AR979">
        <f>IF(AP979&gt;0,IFERROR(INDEX(Assumptions!$C$166:$D$166,MATCH(LEFT($D979,5),Job_Training[[#Headers],[Solar]:[Wind]],0)),0),0)</f>
        <v>0</v>
      </c>
    </row>
    <row r="980" spans="1:44" hidden="1" x14ac:dyDescent="0.35">
      <c r="A980" t="str">
        <f>UserInput!$B$82</f>
        <v>Incremental Buildout</v>
      </c>
      <c r="B980">
        <v>2037</v>
      </c>
      <c r="C980" t="s">
        <v>92</v>
      </c>
      <c r="D980" t="s">
        <v>96</v>
      </c>
      <c r="E980" s="66">
        <f>INDEX(UserInput!$C$82:$M$102,MATCH(UserMade_Scenario!B980,UserInput!$A$82:$A$102,0),MATCH(LEFT(IF(RIGHT(C980,2)="H2",UserMade_Scenario!C980,D980),3),UserInput!$C$25:$M$25,0))</f>
        <v>4.6428571428571423</v>
      </c>
      <c r="F980" t="s">
        <v>94</v>
      </c>
      <c r="G980" s="14">
        <f t="shared" si="279"/>
        <v>6.6129393455357144E-4</v>
      </c>
      <c r="H980" s="63">
        <f t="shared" si="264"/>
        <v>2.0076883853046429E-2</v>
      </c>
      <c r="I980" s="63">
        <f t="shared" si="265"/>
        <v>2.0076883853046429E-2</v>
      </c>
      <c r="J980" s="63">
        <f t="shared" si="266"/>
        <v>3.1451139527367861E-2</v>
      </c>
      <c r="K980" s="30">
        <f>IF(OR(LEFT($D980,5)="Solar",$D980="Wind"),INDEX(Land_Use[AVG],MATCH(LEFT($D980,5),Land_Use[Tech],0)),0)*$E980</f>
        <v>0</v>
      </c>
      <c r="L980" s="30">
        <f>IF(OR(LEFT($D980,5)="Solar",$D980="Wind"),INDEX(Land_Use[MIN],MATCH(LEFT($D980,5),Land_Use[Tech],0)),0)*$E980</f>
        <v>0</v>
      </c>
      <c r="M980" s="30">
        <f>IF(OR(LEFT($D980,5)="Solar",$D980="Wind"),INDEX(Land_Use[MAX],MATCH(LEFT($D980,5),Land_Use[Tech],0)),0)*$E980</f>
        <v>0</v>
      </c>
      <c r="N980" s="15">
        <f t="shared" si="267"/>
        <v>0</v>
      </c>
      <c r="O980" s="11">
        <f t="shared" si="268"/>
        <v>0</v>
      </c>
      <c r="P980" s="11">
        <f t="shared" si="269"/>
        <v>0</v>
      </c>
      <c r="Q980" s="11">
        <f t="shared" si="270"/>
        <v>0</v>
      </c>
      <c r="R980" s="11">
        <f t="shared" si="271"/>
        <v>0</v>
      </c>
      <c r="S980" s="30">
        <f t="shared" si="272"/>
        <v>0</v>
      </c>
      <c r="T980" s="30">
        <f t="shared" si="273"/>
        <v>0</v>
      </c>
      <c r="U980" s="30">
        <f t="shared" si="274"/>
        <v>0</v>
      </c>
      <c r="V980" s="30">
        <f t="shared" si="275"/>
        <v>0</v>
      </c>
      <c r="W980" s="30">
        <f t="shared" si="276"/>
        <v>0</v>
      </c>
      <c r="X980" s="30">
        <f t="shared" si="277"/>
        <v>0</v>
      </c>
      <c r="Z980" s="23" t="s">
        <v>76</v>
      </c>
      <c r="AA980" s="40" t="str">
        <f>IF(C980="Electricity",E980*SUMIFS(Electricity!S:S,Electricity!P:P,UserMade_Scenario!B980,Electricity!M:M,UserMade_Scenario!Z980,Electricity!O:O,UserMade_Scenario!D980),"")</f>
        <v/>
      </c>
      <c r="AB980" s="67">
        <v>1.4243253975000002E-4</v>
      </c>
      <c r="AC980" s="67" t="s">
        <v>95</v>
      </c>
      <c r="AD980" s="39">
        <f>INDEX(Assumptions!B$120:B$141,MATCH(UserMade_Scenario!$B979,Assumptions!$A$120:$A$141,0))</f>
        <v>-30.36</v>
      </c>
      <c r="AE980" s="39">
        <f>INDEX(Assumptions!C$120:C$141,MATCH(UserMade_Scenario!$B979,Assumptions!$A$120:$A$141,0))</f>
        <v>-30.36</v>
      </c>
      <c r="AF980" s="39">
        <f>INDEX(Assumptions!D$120:D$141,MATCH(UserMade_Scenario!$B979,Assumptions!$A$120:$A$141,0))</f>
        <v>-47.56</v>
      </c>
      <c r="AG980" s="68">
        <f>IFERROR(INDEX(WaterUseH2[Average Direct Water Consumption (Gal/ kg h2)],MATCH(LEFT(D980,3),WaterUseH2[Key],0)),0)</f>
        <v>0</v>
      </c>
      <c r="AH980">
        <v>14</v>
      </c>
      <c r="AI980">
        <v>1.4</v>
      </c>
      <c r="AJ980">
        <v>250</v>
      </c>
      <c r="AK980">
        <v>0.31</v>
      </c>
      <c r="AL980" s="63">
        <f>IFERROR(INDEX(Job_Training[[Solar]:[Wind]],MATCH(AL$1,Job_Training[[`Typical Entry Level Education`]:[`Typical Entry Level Education`]],0),MATCH(LEFT($D980,5),Job_Training[[#Headers],[Solar]:[Wind]],0)),0)</f>
        <v>0</v>
      </c>
      <c r="AM980" s="63">
        <f>IFERROR(INDEX(Job_Training[[Solar]:[Wind]],MATCH(AM$1,Job_Training[[`Typical Entry Level Education`]:[`Typical Entry Level Education`]],0),MATCH(LEFT($D980,5),Job_Training[[#Headers],[Solar]:[Wind]],0)),0)</f>
        <v>0</v>
      </c>
      <c r="AN980" s="63">
        <f>IFERROR(INDEX(Job_Training[[Solar]:[Wind]],MATCH(AN$1,Job_Training[[`Typical Entry Level Education`]:[`Typical Entry Level Education`]],0),MATCH(LEFT($D980,5),Job_Training[[#Headers],[Solar]:[Wind]],0)),0)</f>
        <v>0</v>
      </c>
      <c r="AO980" s="63">
        <f>IFERROR(INDEX(Job_Training[[Solar]:[Wind]],MATCH(AO$1,Job_Training[[`Typical Entry Level Education`]:[`Typical Entry Level Education`]],0),MATCH(LEFT($D980,5),Job_Training[[#Headers],[Solar]:[Wind]],0)),0)</f>
        <v>0</v>
      </c>
      <c r="AP980">
        <f t="shared" si="278"/>
        <v>0</v>
      </c>
      <c r="AQ980" s="63">
        <f>IF(AP980&gt;0,IFERROR(INDEX(Assumptions!$C$165:$D$165,MATCH(LEFT($D980,5),Job_Training[[#Headers],[Solar]:[Wind]],0)),0),0)</f>
        <v>0</v>
      </c>
      <c r="AR980">
        <f>IF(AP980&gt;0,IFERROR(INDEX(Assumptions!$C$166:$D$166,MATCH(LEFT($D980,5),Job_Training[[#Headers],[Solar]:[Wind]],0)),0),0)</f>
        <v>0</v>
      </c>
    </row>
    <row r="981" spans="1:44" hidden="1" x14ac:dyDescent="0.35">
      <c r="A981" t="str">
        <f>UserInput!$B$82</f>
        <v>Incremental Buildout</v>
      </c>
      <c r="B981">
        <v>2038</v>
      </c>
      <c r="C981" t="s">
        <v>92</v>
      </c>
      <c r="D981" t="s">
        <v>96</v>
      </c>
      <c r="E981" s="66">
        <f>INDEX(UserInput!$C$82:$M$102,MATCH(UserMade_Scenario!B981,UserInput!$A$82:$A$102,0),MATCH(LEFT(IF(RIGHT(C981,2)="H2",UserMade_Scenario!C981,D981),3),UserInput!$C$25:$M$25,0))</f>
        <v>4.9999999999999991</v>
      </c>
      <c r="F981" t="s">
        <v>94</v>
      </c>
      <c r="G981" s="14">
        <f t="shared" si="279"/>
        <v>7.1216269874999993E-4</v>
      </c>
      <c r="H981" s="63">
        <f t="shared" si="264"/>
        <v>2.1621259534049999E-2</v>
      </c>
      <c r="I981" s="63">
        <f t="shared" si="265"/>
        <v>2.1621259534049999E-2</v>
      </c>
      <c r="J981" s="63">
        <f t="shared" si="266"/>
        <v>3.3870457952549997E-2</v>
      </c>
      <c r="K981" s="30">
        <f>IF(OR(LEFT($D981,5)="Solar",$D981="Wind"),INDEX(Land_Use[AVG],MATCH(LEFT($D981,5),Land_Use[Tech],0)),0)*$E981</f>
        <v>0</v>
      </c>
      <c r="L981" s="30">
        <f>IF(OR(LEFT($D981,5)="Solar",$D981="Wind"),INDEX(Land_Use[MIN],MATCH(LEFT($D981,5),Land_Use[Tech],0)),0)*$E981</f>
        <v>0</v>
      </c>
      <c r="M981" s="30">
        <f>IF(OR(LEFT($D981,5)="Solar",$D981="Wind"),INDEX(Land_Use[MAX],MATCH(LEFT($D981,5),Land_Use[Tech],0)),0)*$E981</f>
        <v>0</v>
      </c>
      <c r="N981" s="15">
        <f t="shared" si="267"/>
        <v>0</v>
      </c>
      <c r="O981" s="11">
        <f t="shared" si="268"/>
        <v>0</v>
      </c>
      <c r="P981" s="11">
        <f t="shared" si="269"/>
        <v>0</v>
      </c>
      <c r="Q981" s="11">
        <f t="shared" si="270"/>
        <v>0</v>
      </c>
      <c r="R981" s="11">
        <f t="shared" si="271"/>
        <v>0</v>
      </c>
      <c r="S981" s="30">
        <f t="shared" si="272"/>
        <v>0</v>
      </c>
      <c r="T981" s="30">
        <f t="shared" si="273"/>
        <v>0</v>
      </c>
      <c r="U981" s="30">
        <f t="shared" si="274"/>
        <v>0</v>
      </c>
      <c r="V981" s="30">
        <f t="shared" si="275"/>
        <v>0</v>
      </c>
      <c r="W981" s="30">
        <f t="shared" si="276"/>
        <v>0</v>
      </c>
      <c r="X981" s="30">
        <f t="shared" si="277"/>
        <v>0</v>
      </c>
      <c r="Z981" s="23" t="s">
        <v>76</v>
      </c>
      <c r="AA981" s="40" t="str">
        <f>IF(C981="Electricity",E981*SUMIFS(Electricity!S:S,Electricity!P:P,UserMade_Scenario!B981,Electricity!M:M,UserMade_Scenario!Z981,Electricity!O:O,UserMade_Scenario!D981),"")</f>
        <v/>
      </c>
      <c r="AB981" s="67">
        <v>1.4243253975000002E-4</v>
      </c>
      <c r="AC981" s="67" t="s">
        <v>95</v>
      </c>
      <c r="AD981" s="39">
        <f>INDEX(Assumptions!B$120:B$141,MATCH(UserMade_Scenario!$B980,Assumptions!$A$120:$A$141,0))</f>
        <v>-30.36</v>
      </c>
      <c r="AE981" s="39">
        <f>INDEX(Assumptions!C$120:C$141,MATCH(UserMade_Scenario!$B980,Assumptions!$A$120:$A$141,0))</f>
        <v>-30.36</v>
      </c>
      <c r="AF981" s="39">
        <f>INDEX(Assumptions!D$120:D$141,MATCH(UserMade_Scenario!$B980,Assumptions!$A$120:$A$141,0))</f>
        <v>-47.56</v>
      </c>
      <c r="AG981" s="68">
        <f>IFERROR(INDEX(WaterUseH2[Average Direct Water Consumption (Gal/ kg h2)],MATCH(LEFT(D981,3),WaterUseH2[Key],0)),0)</f>
        <v>0</v>
      </c>
      <c r="AH981">
        <v>14</v>
      </c>
      <c r="AI981">
        <v>1.4</v>
      </c>
      <c r="AJ981">
        <v>250</v>
      </c>
      <c r="AK981">
        <v>0.31</v>
      </c>
      <c r="AL981" s="63">
        <f>IFERROR(INDEX(Job_Training[[Solar]:[Wind]],MATCH(AL$1,Job_Training[[`Typical Entry Level Education`]:[`Typical Entry Level Education`]],0),MATCH(LEFT($D981,5),Job_Training[[#Headers],[Solar]:[Wind]],0)),0)</f>
        <v>0</v>
      </c>
      <c r="AM981" s="63">
        <f>IFERROR(INDEX(Job_Training[[Solar]:[Wind]],MATCH(AM$1,Job_Training[[`Typical Entry Level Education`]:[`Typical Entry Level Education`]],0),MATCH(LEFT($D981,5),Job_Training[[#Headers],[Solar]:[Wind]],0)),0)</f>
        <v>0</v>
      </c>
      <c r="AN981" s="63">
        <f>IFERROR(INDEX(Job_Training[[Solar]:[Wind]],MATCH(AN$1,Job_Training[[`Typical Entry Level Education`]:[`Typical Entry Level Education`]],0),MATCH(LEFT($D981,5),Job_Training[[#Headers],[Solar]:[Wind]],0)),0)</f>
        <v>0</v>
      </c>
      <c r="AO981" s="63">
        <f>IFERROR(INDEX(Job_Training[[Solar]:[Wind]],MATCH(AO$1,Job_Training[[`Typical Entry Level Education`]:[`Typical Entry Level Education`]],0),MATCH(LEFT($D981,5),Job_Training[[#Headers],[Solar]:[Wind]],0)),0)</f>
        <v>0</v>
      </c>
      <c r="AP981">
        <f t="shared" si="278"/>
        <v>0</v>
      </c>
      <c r="AQ981" s="63">
        <f>IF(AP981&gt;0,IFERROR(INDEX(Assumptions!$C$165:$D$165,MATCH(LEFT($D981,5),Job_Training[[#Headers],[Solar]:[Wind]],0)),0),0)</f>
        <v>0</v>
      </c>
      <c r="AR981">
        <f>IF(AP981&gt;0,IFERROR(INDEX(Assumptions!$C$166:$D$166,MATCH(LEFT($D981,5),Job_Training[[#Headers],[Solar]:[Wind]],0)),0),0)</f>
        <v>0</v>
      </c>
    </row>
    <row r="982" spans="1:44" hidden="1" x14ac:dyDescent="0.35">
      <c r="A982" t="str">
        <f>UserInput!$B$82</f>
        <v>Incremental Buildout</v>
      </c>
      <c r="B982">
        <v>2039</v>
      </c>
      <c r="C982" t="s">
        <v>92</v>
      </c>
      <c r="D982" t="s">
        <v>96</v>
      </c>
      <c r="E982" s="66">
        <f>INDEX(UserInput!$C$82:$M$102,MATCH(UserMade_Scenario!B982,UserInput!$A$82:$A$102,0),MATCH(LEFT(IF(RIGHT(C982,2)="H2",UserMade_Scenario!C982,D982),3),UserInput!$C$25:$M$25,0))</f>
        <v>5.3571428571428559</v>
      </c>
      <c r="F982" t="s">
        <v>94</v>
      </c>
      <c r="G982" s="14">
        <f t="shared" si="279"/>
        <v>7.6303146294642854E-4</v>
      </c>
      <c r="H982" s="63">
        <f t="shared" si="264"/>
        <v>2.3165635215053569E-2</v>
      </c>
      <c r="I982" s="63">
        <f t="shared" si="265"/>
        <v>2.3165635215053569E-2</v>
      </c>
      <c r="J982" s="63">
        <f t="shared" si="266"/>
        <v>3.628977637773214E-2</v>
      </c>
      <c r="K982" s="30">
        <f>IF(OR(LEFT($D982,5)="Solar",$D982="Wind"),INDEX(Land_Use[AVG],MATCH(LEFT($D982,5),Land_Use[Tech],0)),0)*$E982</f>
        <v>0</v>
      </c>
      <c r="L982" s="30">
        <f>IF(OR(LEFT($D982,5)="Solar",$D982="Wind"),INDEX(Land_Use[MIN],MATCH(LEFT($D982,5),Land_Use[Tech],0)),0)*$E982</f>
        <v>0</v>
      </c>
      <c r="M982" s="30">
        <f>IF(OR(LEFT($D982,5)="Solar",$D982="Wind"),INDEX(Land_Use[MAX],MATCH(LEFT($D982,5),Land_Use[Tech],0)),0)*$E982</f>
        <v>0</v>
      </c>
      <c r="N982" s="15">
        <f t="shared" si="267"/>
        <v>0</v>
      </c>
      <c r="O982" s="11">
        <f t="shared" si="268"/>
        <v>0</v>
      </c>
      <c r="P982" s="11">
        <f t="shared" si="269"/>
        <v>0</v>
      </c>
      <c r="Q982" s="11">
        <f t="shared" si="270"/>
        <v>0</v>
      </c>
      <c r="R982" s="11">
        <f t="shared" si="271"/>
        <v>0</v>
      </c>
      <c r="S982" s="30">
        <f t="shared" si="272"/>
        <v>0</v>
      </c>
      <c r="T982" s="30">
        <f t="shared" si="273"/>
        <v>0</v>
      </c>
      <c r="U982" s="30">
        <f t="shared" si="274"/>
        <v>0</v>
      </c>
      <c r="V982" s="30">
        <f t="shared" si="275"/>
        <v>0</v>
      </c>
      <c r="W982" s="30">
        <f t="shared" si="276"/>
        <v>0</v>
      </c>
      <c r="X982" s="30">
        <f t="shared" si="277"/>
        <v>0</v>
      </c>
      <c r="Z982" s="23" t="s">
        <v>76</v>
      </c>
      <c r="AA982" s="40" t="str">
        <f>IF(C982="Electricity",E982*SUMIFS(Electricity!S:S,Electricity!P:P,UserMade_Scenario!B982,Electricity!M:M,UserMade_Scenario!Z982,Electricity!O:O,UserMade_Scenario!D982),"")</f>
        <v/>
      </c>
      <c r="AB982" s="67">
        <v>1.4243253975000002E-4</v>
      </c>
      <c r="AC982" s="67" t="s">
        <v>95</v>
      </c>
      <c r="AD982" s="39">
        <f>INDEX(Assumptions!B$120:B$141,MATCH(UserMade_Scenario!$B981,Assumptions!$A$120:$A$141,0))</f>
        <v>-30.36</v>
      </c>
      <c r="AE982" s="39">
        <f>INDEX(Assumptions!C$120:C$141,MATCH(UserMade_Scenario!$B981,Assumptions!$A$120:$A$141,0))</f>
        <v>-30.36</v>
      </c>
      <c r="AF982" s="39">
        <f>INDEX(Assumptions!D$120:D$141,MATCH(UserMade_Scenario!$B981,Assumptions!$A$120:$A$141,0))</f>
        <v>-47.56</v>
      </c>
      <c r="AG982" s="68">
        <f>IFERROR(INDEX(WaterUseH2[Average Direct Water Consumption (Gal/ kg h2)],MATCH(LEFT(D982,3),WaterUseH2[Key],0)),0)</f>
        <v>0</v>
      </c>
      <c r="AH982">
        <v>14</v>
      </c>
      <c r="AI982">
        <v>1.4</v>
      </c>
      <c r="AJ982">
        <v>250</v>
      </c>
      <c r="AK982">
        <v>0.31</v>
      </c>
      <c r="AL982" s="63">
        <f>IFERROR(INDEX(Job_Training[[Solar]:[Wind]],MATCH(AL$1,Job_Training[[`Typical Entry Level Education`]:[`Typical Entry Level Education`]],0),MATCH(LEFT($D982,5),Job_Training[[#Headers],[Solar]:[Wind]],0)),0)</f>
        <v>0</v>
      </c>
      <c r="AM982" s="63">
        <f>IFERROR(INDEX(Job_Training[[Solar]:[Wind]],MATCH(AM$1,Job_Training[[`Typical Entry Level Education`]:[`Typical Entry Level Education`]],0),MATCH(LEFT($D982,5),Job_Training[[#Headers],[Solar]:[Wind]],0)),0)</f>
        <v>0</v>
      </c>
      <c r="AN982" s="63">
        <f>IFERROR(INDEX(Job_Training[[Solar]:[Wind]],MATCH(AN$1,Job_Training[[`Typical Entry Level Education`]:[`Typical Entry Level Education`]],0),MATCH(LEFT($D982,5),Job_Training[[#Headers],[Solar]:[Wind]],0)),0)</f>
        <v>0</v>
      </c>
      <c r="AO982" s="63">
        <f>IFERROR(INDEX(Job_Training[[Solar]:[Wind]],MATCH(AO$1,Job_Training[[`Typical Entry Level Education`]:[`Typical Entry Level Education`]],0),MATCH(LEFT($D982,5),Job_Training[[#Headers],[Solar]:[Wind]],0)),0)</f>
        <v>0</v>
      </c>
      <c r="AP982">
        <f t="shared" si="278"/>
        <v>0</v>
      </c>
      <c r="AQ982" s="63">
        <f>IF(AP982&gt;0,IFERROR(INDEX(Assumptions!$C$165:$D$165,MATCH(LEFT($D982,5),Job_Training[[#Headers],[Solar]:[Wind]],0)),0),0)</f>
        <v>0</v>
      </c>
      <c r="AR982">
        <f>IF(AP982&gt;0,IFERROR(INDEX(Assumptions!$C$166:$D$166,MATCH(LEFT($D982,5),Job_Training[[#Headers],[Solar]:[Wind]],0)),0),0)</f>
        <v>0</v>
      </c>
    </row>
    <row r="983" spans="1:44" hidden="1" x14ac:dyDescent="0.35">
      <c r="A983" t="str">
        <f>UserInput!$B$82</f>
        <v>Incremental Buildout</v>
      </c>
      <c r="B983">
        <v>2040</v>
      </c>
      <c r="C983" t="s">
        <v>92</v>
      </c>
      <c r="D983" t="s">
        <v>96</v>
      </c>
      <c r="E983" s="66">
        <f>INDEX(UserInput!$C$82:$M$102,MATCH(UserMade_Scenario!B983,UserInput!$A$82:$A$102,0),MATCH(LEFT(IF(RIGHT(C983,2)="H2",UserMade_Scenario!C983,D983),3),UserInput!$C$25:$M$25,0))</f>
        <v>5.7142857142857126</v>
      </c>
      <c r="F983" t="s">
        <v>94</v>
      </c>
      <c r="G983" s="14">
        <f t="shared" si="279"/>
        <v>8.1390022714285704E-4</v>
      </c>
      <c r="H983" s="63">
        <f t="shared" si="264"/>
        <v>2.4710010896057139E-2</v>
      </c>
      <c r="I983" s="63">
        <f t="shared" si="265"/>
        <v>2.4710010896057139E-2</v>
      </c>
      <c r="J983" s="63">
        <f t="shared" si="266"/>
        <v>3.8709094802914283E-2</v>
      </c>
      <c r="K983" s="30">
        <f>IF(OR(LEFT($D983,5)="Solar",$D983="Wind"),INDEX(Land_Use[AVG],MATCH(LEFT($D983,5),Land_Use[Tech],0)),0)*$E983</f>
        <v>0</v>
      </c>
      <c r="L983" s="30">
        <f>IF(OR(LEFT($D983,5)="Solar",$D983="Wind"),INDEX(Land_Use[MIN],MATCH(LEFT($D983,5),Land_Use[Tech],0)),0)*$E983</f>
        <v>0</v>
      </c>
      <c r="M983" s="30">
        <f>IF(OR(LEFT($D983,5)="Solar",$D983="Wind"),INDEX(Land_Use[MAX],MATCH(LEFT($D983,5),Land_Use[Tech],0)),0)*$E983</f>
        <v>0</v>
      </c>
      <c r="N983" s="15">
        <f t="shared" si="267"/>
        <v>0</v>
      </c>
      <c r="O983" s="11">
        <f t="shared" si="268"/>
        <v>0</v>
      </c>
      <c r="P983" s="11">
        <f t="shared" si="269"/>
        <v>0</v>
      </c>
      <c r="Q983" s="11">
        <f t="shared" si="270"/>
        <v>0</v>
      </c>
      <c r="R983" s="11">
        <f t="shared" si="271"/>
        <v>0</v>
      </c>
      <c r="S983" s="30">
        <f t="shared" si="272"/>
        <v>0</v>
      </c>
      <c r="T983" s="30">
        <f t="shared" si="273"/>
        <v>0</v>
      </c>
      <c r="U983" s="30">
        <f t="shared" si="274"/>
        <v>0</v>
      </c>
      <c r="V983" s="30">
        <f t="shared" si="275"/>
        <v>0</v>
      </c>
      <c r="W983" s="30">
        <f t="shared" si="276"/>
        <v>0</v>
      </c>
      <c r="X983" s="30">
        <f t="shared" si="277"/>
        <v>0</v>
      </c>
      <c r="Z983" s="23" t="s">
        <v>76</v>
      </c>
      <c r="AA983" s="40" t="str">
        <f>IF(C983="Electricity",E983*SUMIFS(Electricity!S:S,Electricity!P:P,UserMade_Scenario!B983,Electricity!M:M,UserMade_Scenario!Z983,Electricity!O:O,UserMade_Scenario!D983),"")</f>
        <v/>
      </c>
      <c r="AB983" s="67">
        <v>1.4243253975000002E-4</v>
      </c>
      <c r="AC983" s="67" t="s">
        <v>95</v>
      </c>
      <c r="AD983" s="39">
        <f>INDEX(Assumptions!B$120:B$141,MATCH(UserMade_Scenario!$B982,Assumptions!$A$120:$A$141,0))</f>
        <v>-30.36</v>
      </c>
      <c r="AE983" s="39">
        <f>INDEX(Assumptions!C$120:C$141,MATCH(UserMade_Scenario!$B982,Assumptions!$A$120:$A$141,0))</f>
        <v>-30.36</v>
      </c>
      <c r="AF983" s="39">
        <f>INDEX(Assumptions!D$120:D$141,MATCH(UserMade_Scenario!$B982,Assumptions!$A$120:$A$141,0))</f>
        <v>-47.56</v>
      </c>
      <c r="AG983" s="68">
        <f>IFERROR(INDEX(WaterUseH2[Average Direct Water Consumption (Gal/ kg h2)],MATCH(LEFT(D983,3),WaterUseH2[Key],0)),0)</f>
        <v>0</v>
      </c>
      <c r="AH983">
        <v>14</v>
      </c>
      <c r="AI983">
        <v>1.4</v>
      </c>
      <c r="AJ983">
        <v>250</v>
      </c>
      <c r="AK983">
        <v>0.31</v>
      </c>
      <c r="AL983" s="63">
        <f>IFERROR(INDEX(Job_Training[[Solar]:[Wind]],MATCH(AL$1,Job_Training[[`Typical Entry Level Education`]:[`Typical Entry Level Education`]],0),MATCH(LEFT($D983,5),Job_Training[[#Headers],[Solar]:[Wind]],0)),0)</f>
        <v>0</v>
      </c>
      <c r="AM983" s="63">
        <f>IFERROR(INDEX(Job_Training[[Solar]:[Wind]],MATCH(AM$1,Job_Training[[`Typical Entry Level Education`]:[`Typical Entry Level Education`]],0),MATCH(LEFT($D983,5),Job_Training[[#Headers],[Solar]:[Wind]],0)),0)</f>
        <v>0</v>
      </c>
      <c r="AN983" s="63">
        <f>IFERROR(INDEX(Job_Training[[Solar]:[Wind]],MATCH(AN$1,Job_Training[[`Typical Entry Level Education`]:[`Typical Entry Level Education`]],0),MATCH(LEFT($D983,5),Job_Training[[#Headers],[Solar]:[Wind]],0)),0)</f>
        <v>0</v>
      </c>
      <c r="AO983" s="63">
        <f>IFERROR(INDEX(Job_Training[[Solar]:[Wind]],MATCH(AO$1,Job_Training[[`Typical Entry Level Education`]:[`Typical Entry Level Education`]],0),MATCH(LEFT($D983,5),Job_Training[[#Headers],[Solar]:[Wind]],0)),0)</f>
        <v>0</v>
      </c>
      <c r="AP983">
        <f t="shared" si="278"/>
        <v>0</v>
      </c>
      <c r="AQ983" s="63">
        <f>IF(AP983&gt;0,IFERROR(INDEX(Assumptions!$C$165:$D$165,MATCH(LEFT($D983,5),Job_Training[[#Headers],[Solar]:[Wind]],0)),0),0)</f>
        <v>0</v>
      </c>
      <c r="AR983">
        <f>IF(AP983&gt;0,IFERROR(INDEX(Assumptions!$C$166:$D$166,MATCH(LEFT($D983,5),Job_Training[[#Headers],[Solar]:[Wind]],0)),0),0)</f>
        <v>0</v>
      </c>
    </row>
    <row r="984" spans="1:44" hidden="1" x14ac:dyDescent="0.35">
      <c r="A984" t="str">
        <f>UserInput!$B$82</f>
        <v>Incremental Buildout</v>
      </c>
      <c r="B984">
        <v>2041</v>
      </c>
      <c r="C984" t="s">
        <v>92</v>
      </c>
      <c r="D984" t="s">
        <v>96</v>
      </c>
      <c r="E984" s="66">
        <f>INDEX(UserInput!$C$82:$M$102,MATCH(UserMade_Scenario!B984,UserInput!$A$82:$A$102,0),MATCH(LEFT(IF(RIGHT(C984,2)="H2",UserMade_Scenario!C984,D984),3),UserInput!$C$25:$M$25,0))</f>
        <v>6.0714285714285694</v>
      </c>
      <c r="F984" t="s">
        <v>94</v>
      </c>
      <c r="G984" s="14">
        <f t="shared" si="279"/>
        <v>8.6476899133928553E-4</v>
      </c>
      <c r="H984" s="63">
        <f t="shared" si="264"/>
        <v>2.6254386577060709E-2</v>
      </c>
      <c r="I984" s="63">
        <f t="shared" si="265"/>
        <v>2.6254386577060709E-2</v>
      </c>
      <c r="J984" s="63">
        <f t="shared" si="266"/>
        <v>4.1128413228096419E-2</v>
      </c>
      <c r="K984" s="30">
        <f>IF(OR(LEFT($D984,5)="Solar",$D984="Wind"),INDEX(Land_Use[AVG],MATCH(LEFT($D984,5),Land_Use[Tech],0)),0)*$E984</f>
        <v>0</v>
      </c>
      <c r="L984" s="30">
        <f>IF(OR(LEFT($D984,5)="Solar",$D984="Wind"),INDEX(Land_Use[MIN],MATCH(LEFT($D984,5),Land_Use[Tech],0)),0)*$E984</f>
        <v>0</v>
      </c>
      <c r="M984" s="30">
        <f>IF(OR(LEFT($D984,5)="Solar",$D984="Wind"),INDEX(Land_Use[MAX],MATCH(LEFT($D984,5),Land_Use[Tech],0)),0)*$E984</f>
        <v>0</v>
      </c>
      <c r="N984" s="15">
        <f t="shared" si="267"/>
        <v>0</v>
      </c>
      <c r="O984" s="11">
        <f t="shared" si="268"/>
        <v>0</v>
      </c>
      <c r="P984" s="11">
        <f t="shared" si="269"/>
        <v>0</v>
      </c>
      <c r="Q984" s="11">
        <f t="shared" si="270"/>
        <v>0</v>
      </c>
      <c r="R984" s="11">
        <f t="shared" si="271"/>
        <v>0</v>
      </c>
      <c r="S984" s="30">
        <f t="shared" si="272"/>
        <v>0</v>
      </c>
      <c r="T984" s="30">
        <f t="shared" si="273"/>
        <v>0</v>
      </c>
      <c r="U984" s="30">
        <f t="shared" si="274"/>
        <v>0</v>
      </c>
      <c r="V984" s="30">
        <f t="shared" si="275"/>
        <v>0</v>
      </c>
      <c r="W984" s="30">
        <f t="shared" si="276"/>
        <v>0</v>
      </c>
      <c r="X984" s="30">
        <f t="shared" si="277"/>
        <v>0</v>
      </c>
      <c r="Z984" s="23" t="s">
        <v>76</v>
      </c>
      <c r="AA984" s="40" t="str">
        <f>IF(C984="Electricity",E984*SUMIFS(Electricity!S:S,Electricity!P:P,UserMade_Scenario!B984,Electricity!M:M,UserMade_Scenario!Z984,Electricity!O:O,UserMade_Scenario!D984),"")</f>
        <v/>
      </c>
      <c r="AB984" s="67">
        <v>1.4243253975000002E-4</v>
      </c>
      <c r="AC984" s="67" t="s">
        <v>95</v>
      </c>
      <c r="AD984" s="39">
        <f>INDEX(Assumptions!B$120:B$141,MATCH(UserMade_Scenario!$B983,Assumptions!$A$120:$A$141,0))</f>
        <v>-30.36</v>
      </c>
      <c r="AE984" s="39">
        <f>INDEX(Assumptions!C$120:C$141,MATCH(UserMade_Scenario!$B983,Assumptions!$A$120:$A$141,0))</f>
        <v>-30.36</v>
      </c>
      <c r="AF984" s="39">
        <f>INDEX(Assumptions!D$120:D$141,MATCH(UserMade_Scenario!$B983,Assumptions!$A$120:$A$141,0))</f>
        <v>-47.56</v>
      </c>
      <c r="AG984" s="68">
        <f>IFERROR(INDEX(WaterUseH2[Average Direct Water Consumption (Gal/ kg h2)],MATCH(LEFT(D984,3),WaterUseH2[Key],0)),0)</f>
        <v>0</v>
      </c>
      <c r="AH984">
        <v>14</v>
      </c>
      <c r="AI984">
        <v>1.4</v>
      </c>
      <c r="AJ984">
        <v>250</v>
      </c>
      <c r="AK984">
        <v>0.31</v>
      </c>
      <c r="AL984" s="63">
        <f>IFERROR(INDEX(Job_Training[[Solar]:[Wind]],MATCH(AL$1,Job_Training[[`Typical Entry Level Education`]:[`Typical Entry Level Education`]],0),MATCH(LEFT($D984,5),Job_Training[[#Headers],[Solar]:[Wind]],0)),0)</f>
        <v>0</v>
      </c>
      <c r="AM984" s="63">
        <f>IFERROR(INDEX(Job_Training[[Solar]:[Wind]],MATCH(AM$1,Job_Training[[`Typical Entry Level Education`]:[`Typical Entry Level Education`]],0),MATCH(LEFT($D984,5),Job_Training[[#Headers],[Solar]:[Wind]],0)),0)</f>
        <v>0</v>
      </c>
      <c r="AN984" s="63">
        <f>IFERROR(INDEX(Job_Training[[Solar]:[Wind]],MATCH(AN$1,Job_Training[[`Typical Entry Level Education`]:[`Typical Entry Level Education`]],0),MATCH(LEFT($D984,5),Job_Training[[#Headers],[Solar]:[Wind]],0)),0)</f>
        <v>0</v>
      </c>
      <c r="AO984" s="63">
        <f>IFERROR(INDEX(Job_Training[[Solar]:[Wind]],MATCH(AO$1,Job_Training[[`Typical Entry Level Education`]:[`Typical Entry Level Education`]],0),MATCH(LEFT($D984,5),Job_Training[[#Headers],[Solar]:[Wind]],0)),0)</f>
        <v>0</v>
      </c>
      <c r="AP984">
        <f t="shared" si="278"/>
        <v>0</v>
      </c>
      <c r="AQ984" s="63">
        <f>IF(AP984&gt;0,IFERROR(INDEX(Assumptions!$C$165:$D$165,MATCH(LEFT($D984,5),Job_Training[[#Headers],[Solar]:[Wind]],0)),0),0)</f>
        <v>0</v>
      </c>
      <c r="AR984">
        <f>IF(AP984&gt;0,IFERROR(INDEX(Assumptions!$C$166:$D$166,MATCH(LEFT($D984,5),Job_Training[[#Headers],[Solar]:[Wind]],0)),0),0)</f>
        <v>0</v>
      </c>
    </row>
    <row r="985" spans="1:44" hidden="1" x14ac:dyDescent="0.35">
      <c r="A985" t="str">
        <f>UserInput!$B$82</f>
        <v>Incremental Buildout</v>
      </c>
      <c r="B985">
        <v>2042</v>
      </c>
      <c r="C985" t="s">
        <v>92</v>
      </c>
      <c r="D985" t="s">
        <v>96</v>
      </c>
      <c r="E985" s="66">
        <f>INDEX(UserInput!$C$82:$M$102,MATCH(UserMade_Scenario!B985,UserInput!$A$82:$A$102,0),MATCH(LEFT(IF(RIGHT(C985,2)="H2",UserMade_Scenario!C985,D985),3),UserInput!$C$25:$M$25,0))</f>
        <v>6.4285714285714262</v>
      </c>
      <c r="F985" t="s">
        <v>94</v>
      </c>
      <c r="G985" s="14">
        <f t="shared" si="279"/>
        <v>9.1563775553571403E-4</v>
      </c>
      <c r="H985" s="63">
        <f t="shared" si="264"/>
        <v>2.7798762258064276E-2</v>
      </c>
      <c r="I985" s="63">
        <f t="shared" si="265"/>
        <v>2.7798762258064276E-2</v>
      </c>
      <c r="J985" s="63">
        <f t="shared" si="266"/>
        <v>4.3547731653278562E-2</v>
      </c>
      <c r="K985" s="30">
        <f>IF(OR(LEFT($D985,5)="Solar",$D985="Wind"),INDEX(Land_Use[AVG],MATCH(LEFT($D985,5),Land_Use[Tech],0)),0)*$E985</f>
        <v>0</v>
      </c>
      <c r="L985" s="30">
        <f>IF(OR(LEFT($D985,5)="Solar",$D985="Wind"),INDEX(Land_Use[MIN],MATCH(LEFT($D985,5),Land_Use[Tech],0)),0)*$E985</f>
        <v>0</v>
      </c>
      <c r="M985" s="30">
        <f>IF(OR(LEFT($D985,5)="Solar",$D985="Wind"),INDEX(Land_Use[MAX],MATCH(LEFT($D985,5),Land_Use[Tech],0)),0)*$E985</f>
        <v>0</v>
      </c>
      <c r="N985" s="15">
        <f t="shared" si="267"/>
        <v>0</v>
      </c>
      <c r="O985" s="11">
        <f t="shared" si="268"/>
        <v>0</v>
      </c>
      <c r="P985" s="11">
        <f t="shared" si="269"/>
        <v>0</v>
      </c>
      <c r="Q985" s="11">
        <f t="shared" si="270"/>
        <v>0</v>
      </c>
      <c r="R985" s="11">
        <f t="shared" si="271"/>
        <v>0</v>
      </c>
      <c r="S985" s="30">
        <f t="shared" si="272"/>
        <v>0</v>
      </c>
      <c r="T985" s="30">
        <f t="shared" si="273"/>
        <v>0</v>
      </c>
      <c r="U985" s="30">
        <f t="shared" si="274"/>
        <v>0</v>
      </c>
      <c r="V985" s="30">
        <f t="shared" si="275"/>
        <v>0</v>
      </c>
      <c r="W985" s="30">
        <f t="shared" si="276"/>
        <v>0</v>
      </c>
      <c r="X985" s="30">
        <f t="shared" si="277"/>
        <v>0</v>
      </c>
      <c r="Z985" s="23" t="s">
        <v>76</v>
      </c>
      <c r="AA985" s="40" t="str">
        <f>IF(C985="Electricity",E985*SUMIFS(Electricity!S:S,Electricity!P:P,UserMade_Scenario!B985,Electricity!M:M,UserMade_Scenario!Z985,Electricity!O:O,UserMade_Scenario!D985),"")</f>
        <v/>
      </c>
      <c r="AB985" s="67">
        <v>1.4243253975000002E-4</v>
      </c>
      <c r="AC985" s="67" t="s">
        <v>95</v>
      </c>
      <c r="AD985" s="39">
        <f>INDEX(Assumptions!B$120:B$141,MATCH(UserMade_Scenario!$B984,Assumptions!$A$120:$A$141,0))</f>
        <v>-30.36</v>
      </c>
      <c r="AE985" s="39">
        <f>INDEX(Assumptions!C$120:C$141,MATCH(UserMade_Scenario!$B984,Assumptions!$A$120:$A$141,0))</f>
        <v>-30.36</v>
      </c>
      <c r="AF985" s="39">
        <f>INDEX(Assumptions!D$120:D$141,MATCH(UserMade_Scenario!$B984,Assumptions!$A$120:$A$141,0))</f>
        <v>-47.56</v>
      </c>
      <c r="AG985" s="68">
        <f>IFERROR(INDEX(WaterUseH2[Average Direct Water Consumption (Gal/ kg h2)],MATCH(LEFT(D985,3),WaterUseH2[Key],0)),0)</f>
        <v>0</v>
      </c>
      <c r="AH985">
        <v>14</v>
      </c>
      <c r="AI985">
        <v>1.4</v>
      </c>
      <c r="AJ985">
        <v>250</v>
      </c>
      <c r="AK985">
        <v>0.31</v>
      </c>
      <c r="AL985" s="63">
        <f>IFERROR(INDEX(Job_Training[[Solar]:[Wind]],MATCH(AL$1,Job_Training[[`Typical Entry Level Education`]:[`Typical Entry Level Education`]],0),MATCH(LEFT($D985,5),Job_Training[[#Headers],[Solar]:[Wind]],0)),0)</f>
        <v>0</v>
      </c>
      <c r="AM985" s="63">
        <f>IFERROR(INDEX(Job_Training[[Solar]:[Wind]],MATCH(AM$1,Job_Training[[`Typical Entry Level Education`]:[`Typical Entry Level Education`]],0),MATCH(LEFT($D985,5),Job_Training[[#Headers],[Solar]:[Wind]],0)),0)</f>
        <v>0</v>
      </c>
      <c r="AN985" s="63">
        <f>IFERROR(INDEX(Job_Training[[Solar]:[Wind]],MATCH(AN$1,Job_Training[[`Typical Entry Level Education`]:[`Typical Entry Level Education`]],0),MATCH(LEFT($D985,5),Job_Training[[#Headers],[Solar]:[Wind]],0)),0)</f>
        <v>0</v>
      </c>
      <c r="AO985" s="63">
        <f>IFERROR(INDEX(Job_Training[[Solar]:[Wind]],MATCH(AO$1,Job_Training[[`Typical Entry Level Education`]:[`Typical Entry Level Education`]],0),MATCH(LEFT($D985,5),Job_Training[[#Headers],[Solar]:[Wind]],0)),0)</f>
        <v>0</v>
      </c>
      <c r="AP985">
        <f t="shared" si="278"/>
        <v>0</v>
      </c>
      <c r="AQ985" s="63">
        <f>IF(AP985&gt;0,IFERROR(INDEX(Assumptions!$C$165:$D$165,MATCH(LEFT($D985,5),Job_Training[[#Headers],[Solar]:[Wind]],0)),0),0)</f>
        <v>0</v>
      </c>
      <c r="AR985">
        <f>IF(AP985&gt;0,IFERROR(INDEX(Assumptions!$C$166:$D$166,MATCH(LEFT($D985,5),Job_Training[[#Headers],[Solar]:[Wind]],0)),0),0)</f>
        <v>0</v>
      </c>
    </row>
    <row r="986" spans="1:44" hidden="1" x14ac:dyDescent="0.35">
      <c r="A986" t="str">
        <f>UserInput!$B$82</f>
        <v>Incremental Buildout</v>
      </c>
      <c r="B986">
        <v>2043</v>
      </c>
      <c r="C986" t="s">
        <v>92</v>
      </c>
      <c r="D986" t="s">
        <v>96</v>
      </c>
      <c r="E986" s="66">
        <f>INDEX(UserInput!$C$82:$M$102,MATCH(UserMade_Scenario!B986,UserInput!$A$82:$A$102,0),MATCH(LEFT(IF(RIGHT(C986,2)="H2",UserMade_Scenario!C986,D986),3),UserInput!$C$25:$M$25,0))</f>
        <v>6.7857142857142829</v>
      </c>
      <c r="F986" t="s">
        <v>94</v>
      </c>
      <c r="G986" s="14">
        <f t="shared" si="279"/>
        <v>9.6650651973214264E-4</v>
      </c>
      <c r="H986" s="63">
        <f t="shared" si="264"/>
        <v>2.934313793906785E-2</v>
      </c>
      <c r="I986" s="63">
        <f t="shared" si="265"/>
        <v>2.934313793906785E-2</v>
      </c>
      <c r="J986" s="63">
        <f t="shared" si="266"/>
        <v>4.5967050078460706E-2</v>
      </c>
      <c r="K986" s="30">
        <f>IF(OR(LEFT($D986,5)="Solar",$D986="Wind"),INDEX(Land_Use[AVG],MATCH(LEFT($D986,5),Land_Use[Tech],0)),0)*$E986</f>
        <v>0</v>
      </c>
      <c r="L986" s="30">
        <f>IF(OR(LEFT($D986,5)="Solar",$D986="Wind"),INDEX(Land_Use[MIN],MATCH(LEFT($D986,5),Land_Use[Tech],0)),0)*$E986</f>
        <v>0</v>
      </c>
      <c r="M986" s="30">
        <f>IF(OR(LEFT($D986,5)="Solar",$D986="Wind"),INDEX(Land_Use[MAX],MATCH(LEFT($D986,5),Land_Use[Tech],0)),0)*$E986</f>
        <v>0</v>
      </c>
      <c r="N986" s="15">
        <f t="shared" si="267"/>
        <v>0</v>
      </c>
      <c r="O986" s="11">
        <f t="shared" si="268"/>
        <v>0</v>
      </c>
      <c r="P986" s="11">
        <f t="shared" si="269"/>
        <v>0</v>
      </c>
      <c r="Q986" s="11">
        <f t="shared" si="270"/>
        <v>0</v>
      </c>
      <c r="R986" s="11">
        <f t="shared" si="271"/>
        <v>0</v>
      </c>
      <c r="S986" s="30">
        <f t="shared" si="272"/>
        <v>0</v>
      </c>
      <c r="T986" s="30">
        <f t="shared" si="273"/>
        <v>0</v>
      </c>
      <c r="U986" s="30">
        <f t="shared" si="274"/>
        <v>0</v>
      </c>
      <c r="V986" s="30">
        <f t="shared" si="275"/>
        <v>0</v>
      </c>
      <c r="W986" s="30">
        <f t="shared" si="276"/>
        <v>0</v>
      </c>
      <c r="X986" s="30">
        <f t="shared" si="277"/>
        <v>0</v>
      </c>
      <c r="Z986" s="23" t="s">
        <v>76</v>
      </c>
      <c r="AA986" s="40" t="str">
        <f>IF(C986="Electricity",E986*SUMIFS(Electricity!S:S,Electricity!P:P,UserMade_Scenario!B986,Electricity!M:M,UserMade_Scenario!Z986,Electricity!O:O,UserMade_Scenario!D986),"")</f>
        <v/>
      </c>
      <c r="AB986" s="67">
        <v>1.4243253975000002E-4</v>
      </c>
      <c r="AC986" s="67" t="s">
        <v>95</v>
      </c>
      <c r="AD986" s="39">
        <f>INDEX(Assumptions!B$120:B$141,MATCH(UserMade_Scenario!$B985,Assumptions!$A$120:$A$141,0))</f>
        <v>-30.36</v>
      </c>
      <c r="AE986" s="39">
        <f>INDEX(Assumptions!C$120:C$141,MATCH(UserMade_Scenario!$B985,Assumptions!$A$120:$A$141,0))</f>
        <v>-30.36</v>
      </c>
      <c r="AF986" s="39">
        <f>INDEX(Assumptions!D$120:D$141,MATCH(UserMade_Scenario!$B985,Assumptions!$A$120:$A$141,0))</f>
        <v>-47.56</v>
      </c>
      <c r="AG986" s="68">
        <f>IFERROR(INDEX(WaterUseH2[Average Direct Water Consumption (Gal/ kg h2)],MATCH(LEFT(D986,3),WaterUseH2[Key],0)),0)</f>
        <v>0</v>
      </c>
      <c r="AH986">
        <v>14</v>
      </c>
      <c r="AI986">
        <v>1.4</v>
      </c>
      <c r="AJ986">
        <v>250</v>
      </c>
      <c r="AK986">
        <v>0.31</v>
      </c>
      <c r="AL986" s="63">
        <f>IFERROR(INDEX(Job_Training[[Solar]:[Wind]],MATCH(AL$1,Job_Training[[`Typical Entry Level Education`]:[`Typical Entry Level Education`]],0),MATCH(LEFT($D986,5),Job_Training[[#Headers],[Solar]:[Wind]],0)),0)</f>
        <v>0</v>
      </c>
      <c r="AM986" s="63">
        <f>IFERROR(INDEX(Job_Training[[Solar]:[Wind]],MATCH(AM$1,Job_Training[[`Typical Entry Level Education`]:[`Typical Entry Level Education`]],0),MATCH(LEFT($D986,5),Job_Training[[#Headers],[Solar]:[Wind]],0)),0)</f>
        <v>0</v>
      </c>
      <c r="AN986" s="63">
        <f>IFERROR(INDEX(Job_Training[[Solar]:[Wind]],MATCH(AN$1,Job_Training[[`Typical Entry Level Education`]:[`Typical Entry Level Education`]],0),MATCH(LEFT($D986,5),Job_Training[[#Headers],[Solar]:[Wind]],0)),0)</f>
        <v>0</v>
      </c>
      <c r="AO986" s="63">
        <f>IFERROR(INDEX(Job_Training[[Solar]:[Wind]],MATCH(AO$1,Job_Training[[`Typical Entry Level Education`]:[`Typical Entry Level Education`]],0),MATCH(LEFT($D986,5),Job_Training[[#Headers],[Solar]:[Wind]],0)),0)</f>
        <v>0</v>
      </c>
      <c r="AP986">
        <f t="shared" si="278"/>
        <v>0</v>
      </c>
      <c r="AQ986" s="63">
        <f>IF(AP986&gt;0,IFERROR(INDEX(Assumptions!$C$165:$D$165,MATCH(LEFT($D986,5),Job_Training[[#Headers],[Solar]:[Wind]],0)),0),0)</f>
        <v>0</v>
      </c>
      <c r="AR986">
        <f>IF(AP986&gt;0,IFERROR(INDEX(Assumptions!$C$166:$D$166,MATCH(LEFT($D986,5),Job_Training[[#Headers],[Solar]:[Wind]],0)),0),0)</f>
        <v>0</v>
      </c>
    </row>
    <row r="987" spans="1:44" hidden="1" x14ac:dyDescent="0.35">
      <c r="A987" t="str">
        <f>UserInput!$B$82</f>
        <v>Incremental Buildout</v>
      </c>
      <c r="B987">
        <v>2044</v>
      </c>
      <c r="C987" t="s">
        <v>92</v>
      </c>
      <c r="D987" t="s">
        <v>96</v>
      </c>
      <c r="E987" s="66">
        <f>INDEX(UserInput!$C$82:$M$102,MATCH(UserMade_Scenario!B987,UserInput!$A$82:$A$102,0),MATCH(LEFT(IF(RIGHT(C987,2)="H2",UserMade_Scenario!C987,D987),3),UserInput!$C$25:$M$25,0))</f>
        <v>7.1428571428571397</v>
      </c>
      <c r="F987" t="s">
        <v>94</v>
      </c>
      <c r="G987" s="14">
        <f t="shared" si="279"/>
        <v>1.017375283928571E-3</v>
      </c>
      <c r="H987" s="63">
        <f t="shared" si="264"/>
        <v>3.0887513620071416E-2</v>
      </c>
      <c r="I987" s="63">
        <f t="shared" si="265"/>
        <v>3.0887513620071416E-2</v>
      </c>
      <c r="J987" s="63">
        <f t="shared" si="266"/>
        <v>4.8386368503642842E-2</v>
      </c>
      <c r="K987" s="30">
        <f>IF(OR(LEFT($D987,5)="Solar",$D987="Wind"),INDEX(Land_Use[AVG],MATCH(LEFT($D987,5),Land_Use[Tech],0)),0)*$E987</f>
        <v>0</v>
      </c>
      <c r="L987" s="30">
        <f>IF(OR(LEFT($D987,5)="Solar",$D987="Wind"),INDEX(Land_Use[MIN],MATCH(LEFT($D987,5),Land_Use[Tech],0)),0)*$E987</f>
        <v>0</v>
      </c>
      <c r="M987" s="30">
        <f>IF(OR(LEFT($D987,5)="Solar",$D987="Wind"),INDEX(Land_Use[MAX],MATCH(LEFT($D987,5),Land_Use[Tech],0)),0)*$E987</f>
        <v>0</v>
      </c>
      <c r="N987" s="15">
        <f t="shared" si="267"/>
        <v>0</v>
      </c>
      <c r="O987" s="11">
        <f t="shared" si="268"/>
        <v>0</v>
      </c>
      <c r="P987" s="11">
        <f t="shared" si="269"/>
        <v>0</v>
      </c>
      <c r="Q987" s="11">
        <f t="shared" si="270"/>
        <v>0</v>
      </c>
      <c r="R987" s="11">
        <f t="shared" si="271"/>
        <v>0</v>
      </c>
      <c r="S987" s="30">
        <f t="shared" si="272"/>
        <v>0</v>
      </c>
      <c r="T987" s="30">
        <f t="shared" si="273"/>
        <v>0</v>
      </c>
      <c r="U987" s="30">
        <f t="shared" si="274"/>
        <v>0</v>
      </c>
      <c r="V987" s="30">
        <f t="shared" si="275"/>
        <v>0</v>
      </c>
      <c r="W987" s="30">
        <f t="shared" si="276"/>
        <v>0</v>
      </c>
      <c r="X987" s="30">
        <f t="shared" si="277"/>
        <v>0</v>
      </c>
      <c r="Z987" s="23" t="s">
        <v>76</v>
      </c>
      <c r="AA987" s="40" t="str">
        <f>IF(C987="Electricity",E987*SUMIFS(Electricity!S:S,Electricity!P:P,UserMade_Scenario!B987,Electricity!M:M,UserMade_Scenario!Z987,Electricity!O:O,UserMade_Scenario!D987),"")</f>
        <v/>
      </c>
      <c r="AB987" s="67">
        <v>1.4243253975000002E-4</v>
      </c>
      <c r="AC987" s="67" t="s">
        <v>95</v>
      </c>
      <c r="AD987" s="39">
        <f>INDEX(Assumptions!B$120:B$141,MATCH(UserMade_Scenario!$B986,Assumptions!$A$120:$A$141,0))</f>
        <v>-30.36</v>
      </c>
      <c r="AE987" s="39">
        <f>INDEX(Assumptions!C$120:C$141,MATCH(UserMade_Scenario!$B986,Assumptions!$A$120:$A$141,0))</f>
        <v>-30.36</v>
      </c>
      <c r="AF987" s="39">
        <f>INDEX(Assumptions!D$120:D$141,MATCH(UserMade_Scenario!$B986,Assumptions!$A$120:$A$141,0))</f>
        <v>-47.56</v>
      </c>
      <c r="AG987" s="68">
        <f>IFERROR(INDEX(WaterUseH2[Average Direct Water Consumption (Gal/ kg h2)],MATCH(LEFT(D987,3),WaterUseH2[Key],0)),0)</f>
        <v>0</v>
      </c>
      <c r="AH987">
        <v>14</v>
      </c>
      <c r="AI987">
        <v>1.4</v>
      </c>
      <c r="AJ987">
        <v>250</v>
      </c>
      <c r="AK987">
        <v>0.31</v>
      </c>
      <c r="AL987" s="63">
        <f>IFERROR(INDEX(Job_Training[[Solar]:[Wind]],MATCH(AL$1,Job_Training[[`Typical Entry Level Education`]:[`Typical Entry Level Education`]],0),MATCH(LEFT($D987,5),Job_Training[[#Headers],[Solar]:[Wind]],0)),0)</f>
        <v>0</v>
      </c>
      <c r="AM987" s="63">
        <f>IFERROR(INDEX(Job_Training[[Solar]:[Wind]],MATCH(AM$1,Job_Training[[`Typical Entry Level Education`]:[`Typical Entry Level Education`]],0),MATCH(LEFT($D987,5),Job_Training[[#Headers],[Solar]:[Wind]],0)),0)</f>
        <v>0</v>
      </c>
      <c r="AN987" s="63">
        <f>IFERROR(INDEX(Job_Training[[Solar]:[Wind]],MATCH(AN$1,Job_Training[[`Typical Entry Level Education`]:[`Typical Entry Level Education`]],0),MATCH(LEFT($D987,5),Job_Training[[#Headers],[Solar]:[Wind]],0)),0)</f>
        <v>0</v>
      </c>
      <c r="AO987" s="63">
        <f>IFERROR(INDEX(Job_Training[[Solar]:[Wind]],MATCH(AO$1,Job_Training[[`Typical Entry Level Education`]:[`Typical Entry Level Education`]],0),MATCH(LEFT($D987,5),Job_Training[[#Headers],[Solar]:[Wind]],0)),0)</f>
        <v>0</v>
      </c>
      <c r="AP987">
        <f t="shared" si="278"/>
        <v>0</v>
      </c>
      <c r="AQ987" s="63">
        <f>IF(AP987&gt;0,IFERROR(INDEX(Assumptions!$C$165:$D$165,MATCH(LEFT($D987,5),Job_Training[[#Headers],[Solar]:[Wind]],0)),0),0)</f>
        <v>0</v>
      </c>
      <c r="AR987">
        <f>IF(AP987&gt;0,IFERROR(INDEX(Assumptions!$C$166:$D$166,MATCH(LEFT($D987,5),Job_Training[[#Headers],[Solar]:[Wind]],0)),0),0)</f>
        <v>0</v>
      </c>
    </row>
    <row r="988" spans="1:44" hidden="1" x14ac:dyDescent="0.35">
      <c r="A988" t="str">
        <f>UserInput!$B$82</f>
        <v>Incremental Buildout</v>
      </c>
      <c r="B988">
        <v>2045</v>
      </c>
      <c r="C988" t="s">
        <v>92</v>
      </c>
      <c r="D988" t="s">
        <v>96</v>
      </c>
      <c r="E988" s="66">
        <f>INDEX(UserInput!$C$82:$M$102,MATCH(UserMade_Scenario!B988,UserInput!$A$82:$A$102,0),MATCH(LEFT(IF(RIGHT(C988,2)="H2",UserMade_Scenario!C988,D988),3),UserInput!$C$25:$M$25,0))</f>
        <v>7.5</v>
      </c>
      <c r="F988" t="s">
        <v>94</v>
      </c>
      <c r="G988" s="14">
        <f t="shared" si="279"/>
        <v>1.0682440481250002E-3</v>
      </c>
      <c r="H988" s="63">
        <f t="shared" si="264"/>
        <v>3.2431889301075004E-2</v>
      </c>
      <c r="I988" s="63">
        <f t="shared" si="265"/>
        <v>3.2431889301075004E-2</v>
      </c>
      <c r="J988" s="63">
        <f t="shared" si="266"/>
        <v>5.0805686928825013E-2</v>
      </c>
      <c r="K988" s="30">
        <f>IF(OR(LEFT($D988,5)="Solar",$D988="Wind"),INDEX(Land_Use[AVG],MATCH(LEFT($D988,5),Land_Use[Tech],0)),0)*$E988</f>
        <v>0</v>
      </c>
      <c r="L988" s="30">
        <f>IF(OR(LEFT($D988,5)="Solar",$D988="Wind"),INDEX(Land_Use[MIN],MATCH(LEFT($D988,5),Land_Use[Tech],0)),0)*$E988</f>
        <v>0</v>
      </c>
      <c r="M988" s="30">
        <f>IF(OR(LEFT($D988,5)="Solar",$D988="Wind"),INDEX(Land_Use[MAX],MATCH(LEFT($D988,5),Land_Use[Tech],0)),0)*$E988</f>
        <v>0</v>
      </c>
      <c r="N988" s="15">
        <f t="shared" si="267"/>
        <v>0</v>
      </c>
      <c r="O988" s="11">
        <f t="shared" si="268"/>
        <v>0</v>
      </c>
      <c r="P988" s="11">
        <f t="shared" si="269"/>
        <v>0</v>
      </c>
      <c r="Q988" s="11">
        <f t="shared" si="270"/>
        <v>0</v>
      </c>
      <c r="R988" s="11">
        <f t="shared" si="271"/>
        <v>0</v>
      </c>
      <c r="S988" s="30">
        <f t="shared" si="272"/>
        <v>0</v>
      </c>
      <c r="T988" s="30">
        <f t="shared" si="273"/>
        <v>0</v>
      </c>
      <c r="U988" s="30">
        <f t="shared" si="274"/>
        <v>0</v>
      </c>
      <c r="V988" s="30">
        <f t="shared" si="275"/>
        <v>0</v>
      </c>
      <c r="W988" s="30">
        <f t="shared" si="276"/>
        <v>0</v>
      </c>
      <c r="X988" s="30">
        <f t="shared" si="277"/>
        <v>0</v>
      </c>
      <c r="Z988" s="23" t="s">
        <v>76</v>
      </c>
      <c r="AA988" s="40" t="str">
        <f>IF(C988="Electricity",E988*SUMIFS(Electricity!S:S,Electricity!P:P,UserMade_Scenario!B988,Electricity!M:M,UserMade_Scenario!Z988,Electricity!O:O,UserMade_Scenario!D988),"")</f>
        <v/>
      </c>
      <c r="AB988" s="67">
        <v>1.4243253975000002E-4</v>
      </c>
      <c r="AC988" s="67" t="s">
        <v>95</v>
      </c>
      <c r="AD988" s="39">
        <f>INDEX(Assumptions!B$120:B$141,MATCH(UserMade_Scenario!$B987,Assumptions!$A$120:$A$141,0))</f>
        <v>-30.36</v>
      </c>
      <c r="AE988" s="39">
        <f>INDEX(Assumptions!C$120:C$141,MATCH(UserMade_Scenario!$B987,Assumptions!$A$120:$A$141,0))</f>
        <v>-30.36</v>
      </c>
      <c r="AF988" s="39">
        <f>INDEX(Assumptions!D$120:D$141,MATCH(UserMade_Scenario!$B987,Assumptions!$A$120:$A$141,0))</f>
        <v>-47.56</v>
      </c>
      <c r="AG988" s="68">
        <f>IFERROR(INDEX(WaterUseH2[Average Direct Water Consumption (Gal/ kg h2)],MATCH(LEFT(D988,3),WaterUseH2[Key],0)),0)</f>
        <v>0</v>
      </c>
      <c r="AH988">
        <v>14</v>
      </c>
      <c r="AI988">
        <v>1.4</v>
      </c>
      <c r="AJ988">
        <v>250</v>
      </c>
      <c r="AK988">
        <v>0.31</v>
      </c>
      <c r="AL988" s="63">
        <f>IFERROR(INDEX(Job_Training[[Solar]:[Wind]],MATCH(AL$1,Job_Training[[`Typical Entry Level Education`]:[`Typical Entry Level Education`]],0),MATCH(LEFT($D988,5),Job_Training[[#Headers],[Solar]:[Wind]],0)),0)</f>
        <v>0</v>
      </c>
      <c r="AM988" s="63">
        <f>IFERROR(INDEX(Job_Training[[Solar]:[Wind]],MATCH(AM$1,Job_Training[[`Typical Entry Level Education`]:[`Typical Entry Level Education`]],0),MATCH(LEFT($D988,5),Job_Training[[#Headers],[Solar]:[Wind]],0)),0)</f>
        <v>0</v>
      </c>
      <c r="AN988" s="63">
        <f>IFERROR(INDEX(Job_Training[[Solar]:[Wind]],MATCH(AN$1,Job_Training[[`Typical Entry Level Education`]:[`Typical Entry Level Education`]],0),MATCH(LEFT($D988,5),Job_Training[[#Headers],[Solar]:[Wind]],0)),0)</f>
        <v>0</v>
      </c>
      <c r="AO988" s="63">
        <f>IFERROR(INDEX(Job_Training[[Solar]:[Wind]],MATCH(AO$1,Job_Training[[`Typical Entry Level Education`]:[`Typical Entry Level Education`]],0),MATCH(LEFT($D988,5),Job_Training[[#Headers],[Solar]:[Wind]],0)),0)</f>
        <v>0</v>
      </c>
      <c r="AP988">
        <f t="shared" si="278"/>
        <v>0</v>
      </c>
      <c r="AQ988" s="63">
        <f>IF(AP988&gt;0,IFERROR(INDEX(Assumptions!$C$165:$D$165,MATCH(LEFT($D988,5),Job_Training[[#Headers],[Solar]:[Wind]],0)),0),0)</f>
        <v>0</v>
      </c>
      <c r="AR988">
        <f>IF(AP988&gt;0,IFERROR(INDEX(Assumptions!$C$166:$D$166,MATCH(LEFT($D988,5),Job_Training[[#Headers],[Solar]:[Wind]],0)),0),0)</f>
        <v>0</v>
      </c>
    </row>
    <row r="989" spans="1:44" hidden="1" x14ac:dyDescent="0.35">
      <c r="A989" t="str">
        <f>UserInput!$B$82</f>
        <v>Incremental Buildout</v>
      </c>
      <c r="B989" s="23">
        <v>2025</v>
      </c>
      <c r="C989" s="23" t="s">
        <v>78</v>
      </c>
      <c r="D989" s="23" t="s">
        <v>97</v>
      </c>
      <c r="E989" s="40">
        <f>SUMIFS($E$758:$E$988,$B$758:$B$988,B989,$C$758:$C$988,C989)*1000*Assumptions!$C$8/1000/8760/0.3</f>
        <v>9.2954990215264193</v>
      </c>
      <c r="F989" s="23" t="s">
        <v>81</v>
      </c>
      <c r="H989" s="63"/>
      <c r="I989" s="63"/>
      <c r="J989" s="63"/>
      <c r="K989" s="30">
        <f>IF(OR(LEFT($D989,5)="Solar",$D989="Wind"),INDEX(Land_Use[AVG],MATCH(LEFT($D989,5),Land_Use[Tech],0)),0)*$E989</f>
        <v>32.534246575342465</v>
      </c>
      <c r="L989" s="30">
        <f>IF(OR(LEFT($D989,5)="Solar",$D989="Wind"),INDEX(Land_Use[MIN],MATCH(LEFT($D989,5),Land_Use[Tech],0)),0)*$E989</f>
        <v>26.027397260273972</v>
      </c>
      <c r="M989" s="30">
        <f>IF(OR(LEFT($D989,5)="Solar",$D989="Wind"),INDEX(Land_Use[MAX],MATCH(LEFT($D989,5),Land_Use[Tech],0)),0)*$E989</f>
        <v>39.041095890410965</v>
      </c>
      <c r="N989" s="13">
        <f t="shared" si="267"/>
        <v>0</v>
      </c>
      <c r="O989" s="13">
        <f t="shared" si="268"/>
        <v>455.47945205479448</v>
      </c>
      <c r="P989" s="13">
        <f t="shared" si="269"/>
        <v>45.547945205479451</v>
      </c>
      <c r="Q989" s="13">
        <f t="shared" si="270"/>
        <v>8133.5616438356165</v>
      </c>
      <c r="R989" s="13">
        <f t="shared" si="271"/>
        <v>10.085616438356164</v>
      </c>
      <c r="S989" s="30">
        <f t="shared" si="272"/>
        <v>0.3216242661448141</v>
      </c>
      <c r="T989" s="30">
        <f t="shared" si="273"/>
        <v>0.26213307240704503</v>
      </c>
      <c r="U989" s="30">
        <f t="shared" si="274"/>
        <v>0.3104696673189824</v>
      </c>
      <c r="V989" s="30">
        <f t="shared" si="275"/>
        <v>5.2240704500978473E-2</v>
      </c>
      <c r="W989" s="30">
        <f t="shared" si="276"/>
        <v>0.94646771037181998</v>
      </c>
      <c r="X989" s="30">
        <f t="shared" si="277"/>
        <v>56.788062622309198</v>
      </c>
      <c r="Z989" s="23" t="s">
        <v>76</v>
      </c>
      <c r="AA989" s="40"/>
      <c r="AB989" s="67"/>
      <c r="AC989" s="67"/>
      <c r="AD989" s="39"/>
      <c r="AE989" s="39"/>
      <c r="AF989" s="39"/>
      <c r="AG989" s="68"/>
      <c r="AH989">
        <v>14</v>
      </c>
      <c r="AI989">
        <v>1.4</v>
      </c>
      <c r="AJ989">
        <v>250</v>
      </c>
      <c r="AK989">
        <v>0.31</v>
      </c>
      <c r="AL989" s="63">
        <f>IFERROR(INDEX(Job_Training[[Solar]:[Wind]],MATCH(AL$1,Job_Training[[`Typical Entry Level Education`]:[`Typical Entry Level Education`]],0),MATCH(LEFT($D989,5),Job_Training[[#Headers],[Solar]:[Wind]],0)),0)</f>
        <v>3.4599999999999999E-2</v>
      </c>
      <c r="AM989" s="63">
        <f>IFERROR(INDEX(Job_Training[[Solar]:[Wind]],MATCH(AM$1,Job_Training[[`Typical Entry Level Education`]:[`Typical Entry Level Education`]],0),MATCH(LEFT($D989,5),Job_Training[[#Headers],[Solar]:[Wind]],0)),0)</f>
        <v>2.8199999999999999E-2</v>
      </c>
      <c r="AN989" s="63">
        <f>IFERROR(INDEX(Job_Training[[Solar]:[Wind]],MATCH(AN$1,Job_Training[[`Typical Entry Level Education`]:[`Typical Entry Level Education`]],0),MATCH(LEFT($D989,5),Job_Training[[#Headers],[Solar]:[Wind]],0)),0)</f>
        <v>3.3399999999999999E-2</v>
      </c>
      <c r="AO989" s="63">
        <f>IFERROR(INDEX(Job_Training[[Solar]:[Wind]],MATCH(AO$1,Job_Training[[`Typical Entry Level Education`]:[`Typical Entry Level Education`]],0),MATCH(LEFT($D989,5),Job_Training[[#Headers],[Solar]:[Wind]],0)),0)</f>
        <v>5.62E-3</v>
      </c>
      <c r="AP989">
        <f t="shared" si="278"/>
        <v>9.2954990215264193</v>
      </c>
      <c r="AQ989" s="63">
        <f>IF(AP989&gt;0,IFERROR(INDEX(Assumptions!$C$165:$D$165,MATCH(LEFT($D989,5),Job_Training[[#Headers],[Solar]:[Wind]],0)),0),0)</f>
        <v>0.10181999999999999</v>
      </c>
      <c r="AR989">
        <f>IF(AP989&gt;0,IFERROR(INDEX(Assumptions!$C$166:$D$166,MATCH(LEFT($D989,5),Job_Training[[#Headers],[Solar]:[Wind]],0)),0),0)</f>
        <v>6.1091999999999995</v>
      </c>
    </row>
    <row r="990" spans="1:44" hidden="1" x14ac:dyDescent="0.35">
      <c r="A990" t="str">
        <f>UserInput!$B$82</f>
        <v>Incremental Buildout</v>
      </c>
      <c r="B990" s="23">
        <v>2026</v>
      </c>
      <c r="C990" s="23" t="s">
        <v>78</v>
      </c>
      <c r="D990" s="23" t="s">
        <v>97</v>
      </c>
      <c r="E990" s="40">
        <f>SUMIFS($E$758:$E$988,$B$758:$B$988,B990,$C$758:$C$988,C990)*1000*Assumptions!$C$8/1000/8760/0.3</f>
        <v>18.590998043052839</v>
      </c>
      <c r="F990" s="23" t="s">
        <v>81</v>
      </c>
      <c r="H990" s="63"/>
      <c r="I990" s="63"/>
      <c r="J990" s="63"/>
      <c r="K990" s="30">
        <f>IF(OR(LEFT($D990,5)="Solar",$D990="Wind"),INDEX(Land_Use[AVG],MATCH(LEFT($D990,5),Land_Use[Tech],0)),0)*$E990</f>
        <v>65.06849315068493</v>
      </c>
      <c r="L990" s="30">
        <f>IF(OR(LEFT($D990,5)="Solar",$D990="Wind"),INDEX(Land_Use[MIN],MATCH(LEFT($D990,5),Land_Use[Tech],0)),0)*$E990</f>
        <v>52.054794520547944</v>
      </c>
      <c r="M990" s="30">
        <f>IF(OR(LEFT($D990,5)="Solar",$D990="Wind"),INDEX(Land_Use[MAX],MATCH(LEFT($D990,5),Land_Use[Tech],0)),0)*$E990</f>
        <v>78.08219178082193</v>
      </c>
      <c r="N990" s="13">
        <f t="shared" si="267"/>
        <v>0</v>
      </c>
      <c r="O990" s="13">
        <f t="shared" si="268"/>
        <v>910.95890410958896</v>
      </c>
      <c r="P990" s="13">
        <f t="shared" si="269"/>
        <v>91.095890410958901</v>
      </c>
      <c r="Q990" s="13">
        <f t="shared" si="270"/>
        <v>16267.123287671233</v>
      </c>
      <c r="R990" s="13">
        <f t="shared" si="271"/>
        <v>20.171232876712327</v>
      </c>
      <c r="S990" s="30">
        <f t="shared" si="272"/>
        <v>0.3216242661448141</v>
      </c>
      <c r="T990" s="30">
        <f t="shared" si="273"/>
        <v>0.26213307240704503</v>
      </c>
      <c r="U990" s="30">
        <f t="shared" si="274"/>
        <v>0.3104696673189824</v>
      </c>
      <c r="V990" s="30">
        <f t="shared" si="275"/>
        <v>5.2240704500978473E-2</v>
      </c>
      <c r="W990" s="30">
        <f t="shared" si="276"/>
        <v>0.94646771037181998</v>
      </c>
      <c r="X990" s="30">
        <f t="shared" si="277"/>
        <v>56.788062622309198</v>
      </c>
      <c r="Z990" s="23" t="s">
        <v>76</v>
      </c>
      <c r="AA990" s="40"/>
      <c r="AB990" s="67"/>
      <c r="AC990" s="67"/>
      <c r="AD990" s="39"/>
      <c r="AE990" s="39"/>
      <c r="AF990" s="39"/>
      <c r="AG990" s="68"/>
      <c r="AH990">
        <v>14</v>
      </c>
      <c r="AI990">
        <v>1.4</v>
      </c>
      <c r="AJ990">
        <v>250</v>
      </c>
      <c r="AK990">
        <v>0.31</v>
      </c>
      <c r="AL990" s="63">
        <f>IFERROR(INDEX(Job_Training[[Solar]:[Wind]],MATCH(AL$1,Job_Training[[`Typical Entry Level Education`]:[`Typical Entry Level Education`]],0),MATCH(LEFT($D990,5),Job_Training[[#Headers],[Solar]:[Wind]],0)),0)</f>
        <v>3.4599999999999999E-2</v>
      </c>
      <c r="AM990" s="63">
        <f>IFERROR(INDEX(Job_Training[[Solar]:[Wind]],MATCH(AM$1,Job_Training[[`Typical Entry Level Education`]:[`Typical Entry Level Education`]],0),MATCH(LEFT($D990,5),Job_Training[[#Headers],[Solar]:[Wind]],0)),0)</f>
        <v>2.8199999999999999E-2</v>
      </c>
      <c r="AN990" s="63">
        <f>IFERROR(INDEX(Job_Training[[Solar]:[Wind]],MATCH(AN$1,Job_Training[[`Typical Entry Level Education`]:[`Typical Entry Level Education`]],0),MATCH(LEFT($D990,5),Job_Training[[#Headers],[Solar]:[Wind]],0)),0)</f>
        <v>3.3399999999999999E-2</v>
      </c>
      <c r="AO990" s="63">
        <f>IFERROR(INDEX(Job_Training[[Solar]:[Wind]],MATCH(AO$1,Job_Training[[`Typical Entry Level Education`]:[`Typical Entry Level Education`]],0),MATCH(LEFT($D990,5),Job_Training[[#Headers],[Solar]:[Wind]],0)),0)</f>
        <v>5.62E-3</v>
      </c>
      <c r="AP990">
        <f t="shared" si="278"/>
        <v>9.2954990215264193</v>
      </c>
      <c r="AQ990" s="63">
        <f>IF(AP990&gt;0,IFERROR(INDEX(Assumptions!$C$165:$D$165,MATCH(LEFT($D990,5),Job_Training[[#Headers],[Solar]:[Wind]],0)),0),0)</f>
        <v>0.10181999999999999</v>
      </c>
      <c r="AR990">
        <f>IF(AP990&gt;0,IFERROR(INDEX(Assumptions!$C$166:$D$166,MATCH(LEFT($D990,5),Job_Training[[#Headers],[Solar]:[Wind]],0)),0),0)</f>
        <v>6.1091999999999995</v>
      </c>
    </row>
    <row r="991" spans="1:44" hidden="1" x14ac:dyDescent="0.35">
      <c r="A991" t="str">
        <f>UserInput!$B$82</f>
        <v>Incremental Buildout</v>
      </c>
      <c r="B991" s="23">
        <v>2027</v>
      </c>
      <c r="C991" s="23" t="s">
        <v>78</v>
      </c>
      <c r="D991" s="23" t="s">
        <v>97</v>
      </c>
      <c r="E991" s="40">
        <f>SUMIFS($E$758:$E$988,$B$758:$B$988,B991,$C$758:$C$988,C991)*1000*Assumptions!$C$8/1000/8760/0.3</f>
        <v>27.88649706457926</v>
      </c>
      <c r="F991" s="23" t="s">
        <v>81</v>
      </c>
      <c r="H991" s="63"/>
      <c r="I991" s="63"/>
      <c r="J991" s="63"/>
      <c r="K991" s="30">
        <f>IF(OR(LEFT($D991,5)="Solar",$D991="Wind"),INDEX(Land_Use[AVG],MATCH(LEFT($D991,5),Land_Use[Tech],0)),0)*$E991</f>
        <v>97.602739726027409</v>
      </c>
      <c r="L991" s="30">
        <f>IF(OR(LEFT($D991,5)="Solar",$D991="Wind"),INDEX(Land_Use[MIN],MATCH(LEFT($D991,5),Land_Use[Tech],0)),0)*$E991</f>
        <v>78.082191780821915</v>
      </c>
      <c r="M991" s="30">
        <f>IF(OR(LEFT($D991,5)="Solar",$D991="Wind"),INDEX(Land_Use[MAX],MATCH(LEFT($D991,5),Land_Use[Tech],0)),0)*$E991</f>
        <v>117.1232876712329</v>
      </c>
      <c r="N991" s="13">
        <f t="shared" si="267"/>
        <v>0</v>
      </c>
      <c r="O991" s="13">
        <f t="shared" si="268"/>
        <v>1366.4383561643838</v>
      </c>
      <c r="P991" s="13">
        <f t="shared" si="269"/>
        <v>136.64383561643837</v>
      </c>
      <c r="Q991" s="13">
        <f t="shared" si="270"/>
        <v>24400.684931506854</v>
      </c>
      <c r="R991" s="13">
        <f t="shared" si="271"/>
        <v>30.256849315068497</v>
      </c>
      <c r="S991" s="30">
        <f t="shared" si="272"/>
        <v>0.32162426614481415</v>
      </c>
      <c r="T991" s="30">
        <f t="shared" si="273"/>
        <v>0.26213307240704509</v>
      </c>
      <c r="U991" s="30">
        <f t="shared" si="274"/>
        <v>0.31046966731898246</v>
      </c>
      <c r="V991" s="30">
        <f t="shared" si="275"/>
        <v>5.2240704500978487E-2</v>
      </c>
      <c r="W991" s="30">
        <f t="shared" si="276"/>
        <v>0.94646771037182009</v>
      </c>
      <c r="X991" s="30">
        <f t="shared" si="277"/>
        <v>56.788062622309205</v>
      </c>
      <c r="Z991" s="23" t="s">
        <v>76</v>
      </c>
      <c r="AA991" s="40"/>
      <c r="AB991" s="67"/>
      <c r="AC991" s="67"/>
      <c r="AD991" s="39"/>
      <c r="AE991" s="39"/>
      <c r="AF991" s="39"/>
      <c r="AG991" s="68"/>
      <c r="AH991">
        <v>14</v>
      </c>
      <c r="AI991">
        <v>1.4</v>
      </c>
      <c r="AJ991">
        <v>250</v>
      </c>
      <c r="AK991">
        <v>0.31</v>
      </c>
      <c r="AL991" s="63">
        <f>IFERROR(INDEX(Job_Training[[Solar]:[Wind]],MATCH(AL$1,Job_Training[[`Typical Entry Level Education`]:[`Typical Entry Level Education`]],0),MATCH(LEFT($D991,5),Job_Training[[#Headers],[Solar]:[Wind]],0)),0)</f>
        <v>3.4599999999999999E-2</v>
      </c>
      <c r="AM991" s="63">
        <f>IFERROR(INDEX(Job_Training[[Solar]:[Wind]],MATCH(AM$1,Job_Training[[`Typical Entry Level Education`]:[`Typical Entry Level Education`]],0),MATCH(LEFT($D991,5),Job_Training[[#Headers],[Solar]:[Wind]],0)),0)</f>
        <v>2.8199999999999999E-2</v>
      </c>
      <c r="AN991" s="63">
        <f>IFERROR(INDEX(Job_Training[[Solar]:[Wind]],MATCH(AN$1,Job_Training[[`Typical Entry Level Education`]:[`Typical Entry Level Education`]],0),MATCH(LEFT($D991,5),Job_Training[[#Headers],[Solar]:[Wind]],0)),0)</f>
        <v>3.3399999999999999E-2</v>
      </c>
      <c r="AO991" s="63">
        <f>IFERROR(INDEX(Job_Training[[Solar]:[Wind]],MATCH(AO$1,Job_Training[[`Typical Entry Level Education`]:[`Typical Entry Level Education`]],0),MATCH(LEFT($D991,5),Job_Training[[#Headers],[Solar]:[Wind]],0)),0)</f>
        <v>5.62E-3</v>
      </c>
      <c r="AP991">
        <f t="shared" si="278"/>
        <v>9.295499021526421</v>
      </c>
      <c r="AQ991" s="63">
        <f>IF(AP991&gt;0,IFERROR(INDEX(Assumptions!$C$165:$D$165,MATCH(LEFT($D991,5),Job_Training[[#Headers],[Solar]:[Wind]],0)),0),0)</f>
        <v>0.10181999999999999</v>
      </c>
      <c r="AR991">
        <f>IF(AP991&gt;0,IFERROR(INDEX(Assumptions!$C$166:$D$166,MATCH(LEFT($D991,5),Job_Training[[#Headers],[Solar]:[Wind]],0)),0),0)</f>
        <v>6.1091999999999995</v>
      </c>
    </row>
    <row r="992" spans="1:44" hidden="1" x14ac:dyDescent="0.35">
      <c r="A992" t="str">
        <f>UserInput!$B$82</f>
        <v>Incremental Buildout</v>
      </c>
      <c r="B992" s="23">
        <v>2028</v>
      </c>
      <c r="C992" s="23" t="s">
        <v>78</v>
      </c>
      <c r="D992" s="23" t="s">
        <v>97</v>
      </c>
      <c r="E992" s="40">
        <f>SUMIFS($E$758:$E$988,$B$758:$B$988,B992,$C$758:$C$988,C992)*1000*Assumptions!$C$8/1000/8760/0.3</f>
        <v>37.181996086105677</v>
      </c>
      <c r="F992" s="23" t="s">
        <v>81</v>
      </c>
      <c r="H992" s="63"/>
      <c r="I992" s="63"/>
      <c r="J992" s="63"/>
      <c r="K992" s="30">
        <f>IF(OR(LEFT($D992,5)="Solar",$D992="Wind"),INDEX(Land_Use[AVG],MATCH(LEFT($D992,5),Land_Use[Tech],0)),0)*$E992</f>
        <v>130.13698630136986</v>
      </c>
      <c r="L992" s="30">
        <f>IF(OR(LEFT($D992,5)="Solar",$D992="Wind"),INDEX(Land_Use[MIN],MATCH(LEFT($D992,5),Land_Use[Tech],0)),0)*$E992</f>
        <v>104.10958904109589</v>
      </c>
      <c r="M992" s="30">
        <f>IF(OR(LEFT($D992,5)="Solar",$D992="Wind"),INDEX(Land_Use[MAX],MATCH(LEFT($D992,5),Land_Use[Tech],0)),0)*$E992</f>
        <v>156.16438356164386</v>
      </c>
      <c r="N992" s="13">
        <f t="shared" si="267"/>
        <v>0</v>
      </c>
      <c r="O992" s="13">
        <f t="shared" si="268"/>
        <v>1821.9178082191779</v>
      </c>
      <c r="P992" s="13">
        <f t="shared" si="269"/>
        <v>182.1917808219178</v>
      </c>
      <c r="Q992" s="13">
        <f t="shared" si="270"/>
        <v>32534.246575342466</v>
      </c>
      <c r="R992" s="13">
        <f t="shared" si="271"/>
        <v>40.342465753424655</v>
      </c>
      <c r="S992" s="30">
        <f t="shared" si="272"/>
        <v>0.32162426614481404</v>
      </c>
      <c r="T992" s="30">
        <f t="shared" si="273"/>
        <v>0.26213307240704498</v>
      </c>
      <c r="U992" s="30">
        <f t="shared" si="274"/>
        <v>0.31046966731898235</v>
      </c>
      <c r="V992" s="30">
        <f t="shared" si="275"/>
        <v>5.2240704500978466E-2</v>
      </c>
      <c r="W992" s="30">
        <f t="shared" si="276"/>
        <v>0.94646771037181976</v>
      </c>
      <c r="X992" s="30">
        <f t="shared" si="277"/>
        <v>56.788062622309184</v>
      </c>
      <c r="Z992" s="23" t="s">
        <v>76</v>
      </c>
      <c r="AA992" s="40"/>
      <c r="AB992" s="67"/>
      <c r="AC992" s="67"/>
      <c r="AD992" s="39"/>
      <c r="AE992" s="39"/>
      <c r="AF992" s="39"/>
      <c r="AG992" s="68"/>
      <c r="AH992">
        <v>14</v>
      </c>
      <c r="AI992">
        <v>1.4</v>
      </c>
      <c r="AJ992">
        <v>250</v>
      </c>
      <c r="AK992">
        <v>0.31</v>
      </c>
      <c r="AL992" s="63">
        <f>IFERROR(INDEX(Job_Training[[Solar]:[Wind]],MATCH(AL$1,Job_Training[[`Typical Entry Level Education`]:[`Typical Entry Level Education`]],0),MATCH(LEFT($D992,5),Job_Training[[#Headers],[Solar]:[Wind]],0)),0)</f>
        <v>3.4599999999999999E-2</v>
      </c>
      <c r="AM992" s="63">
        <f>IFERROR(INDEX(Job_Training[[Solar]:[Wind]],MATCH(AM$1,Job_Training[[`Typical Entry Level Education`]:[`Typical Entry Level Education`]],0),MATCH(LEFT($D992,5),Job_Training[[#Headers],[Solar]:[Wind]],0)),0)</f>
        <v>2.8199999999999999E-2</v>
      </c>
      <c r="AN992" s="63">
        <f>IFERROR(INDEX(Job_Training[[Solar]:[Wind]],MATCH(AN$1,Job_Training[[`Typical Entry Level Education`]:[`Typical Entry Level Education`]],0),MATCH(LEFT($D992,5),Job_Training[[#Headers],[Solar]:[Wind]],0)),0)</f>
        <v>3.3399999999999999E-2</v>
      </c>
      <c r="AO992" s="63">
        <f>IFERROR(INDEX(Job_Training[[Solar]:[Wind]],MATCH(AO$1,Job_Training[[`Typical Entry Level Education`]:[`Typical Entry Level Education`]],0),MATCH(LEFT($D992,5),Job_Training[[#Headers],[Solar]:[Wind]],0)),0)</f>
        <v>5.62E-3</v>
      </c>
      <c r="AP992">
        <f t="shared" si="278"/>
        <v>9.2954990215264175</v>
      </c>
      <c r="AQ992" s="63">
        <f>IF(AP992&gt;0,IFERROR(INDEX(Assumptions!$C$165:$D$165,MATCH(LEFT($D992,5),Job_Training[[#Headers],[Solar]:[Wind]],0)),0),0)</f>
        <v>0.10181999999999999</v>
      </c>
      <c r="AR992">
        <f>IF(AP992&gt;0,IFERROR(INDEX(Assumptions!$C$166:$D$166,MATCH(LEFT($D992,5),Job_Training[[#Headers],[Solar]:[Wind]],0)),0),0)</f>
        <v>6.1091999999999995</v>
      </c>
    </row>
    <row r="993" spans="1:44" hidden="1" x14ac:dyDescent="0.35">
      <c r="A993" t="str">
        <f>UserInput!$B$82</f>
        <v>Incremental Buildout</v>
      </c>
      <c r="B993" s="23">
        <v>2029</v>
      </c>
      <c r="C993" s="23" t="s">
        <v>78</v>
      </c>
      <c r="D993" s="23" t="s">
        <v>97</v>
      </c>
      <c r="E993" s="40">
        <f>SUMIFS($E$758:$E$988,$B$758:$B$988,B993,$C$758:$C$988,C993)*1000*Assumptions!$C$8/1000/8760/0.3</f>
        <v>46.477495107632087</v>
      </c>
      <c r="F993" s="23" t="s">
        <v>81</v>
      </c>
      <c r="H993" s="63"/>
      <c r="I993" s="63"/>
      <c r="J993" s="63"/>
      <c r="K993" s="30">
        <f>IF(OR(LEFT($D993,5)="Solar",$D993="Wind"),INDEX(Land_Use[AVG],MATCH(LEFT($D993,5),Land_Use[Tech],0)),0)*$E993</f>
        <v>162.67123287671231</v>
      </c>
      <c r="L993" s="30">
        <f>IF(OR(LEFT($D993,5)="Solar",$D993="Wind"),INDEX(Land_Use[MIN],MATCH(LEFT($D993,5),Land_Use[Tech],0)),0)*$E993</f>
        <v>130.13698630136983</v>
      </c>
      <c r="M993" s="30">
        <f>IF(OR(LEFT($D993,5)="Solar",$D993="Wind"),INDEX(Land_Use[MAX],MATCH(LEFT($D993,5),Land_Use[Tech],0)),0)*$E993</f>
        <v>195.20547945205479</v>
      </c>
      <c r="N993" s="13">
        <f t="shared" si="267"/>
        <v>0</v>
      </c>
      <c r="O993" s="13">
        <f t="shared" si="268"/>
        <v>2277.3972602739723</v>
      </c>
      <c r="P993" s="13">
        <f t="shared" si="269"/>
        <v>227.73972602739721</v>
      </c>
      <c r="Q993" s="13">
        <f t="shared" si="270"/>
        <v>40667.808219178078</v>
      </c>
      <c r="R993" s="13">
        <f t="shared" si="271"/>
        <v>50.428082191780817</v>
      </c>
      <c r="S993" s="30">
        <f t="shared" si="272"/>
        <v>0.32162426614481376</v>
      </c>
      <c r="T993" s="30">
        <f t="shared" si="273"/>
        <v>0.26213307240704475</v>
      </c>
      <c r="U993" s="30">
        <f t="shared" si="274"/>
        <v>0.31046966731898212</v>
      </c>
      <c r="V993" s="30">
        <f t="shared" si="275"/>
        <v>5.2240704500978424E-2</v>
      </c>
      <c r="W993" s="30">
        <f t="shared" si="276"/>
        <v>0.94646771037181909</v>
      </c>
      <c r="X993" s="30">
        <f t="shared" si="277"/>
        <v>56.788062622309141</v>
      </c>
      <c r="Z993" s="23" t="s">
        <v>76</v>
      </c>
      <c r="AA993" s="40"/>
      <c r="AB993" s="67"/>
      <c r="AC993" s="67"/>
      <c r="AD993" s="39"/>
      <c r="AE993" s="39"/>
      <c r="AF993" s="39"/>
      <c r="AG993" s="68"/>
      <c r="AH993">
        <v>14</v>
      </c>
      <c r="AI993">
        <v>1.4</v>
      </c>
      <c r="AJ993">
        <v>250</v>
      </c>
      <c r="AK993">
        <v>0.31</v>
      </c>
      <c r="AL993" s="63">
        <f>IFERROR(INDEX(Job_Training[[Solar]:[Wind]],MATCH(AL$1,Job_Training[[`Typical Entry Level Education`]:[`Typical Entry Level Education`]],0),MATCH(LEFT($D993,5),Job_Training[[#Headers],[Solar]:[Wind]],0)),0)</f>
        <v>3.4599999999999999E-2</v>
      </c>
      <c r="AM993" s="63">
        <f>IFERROR(INDEX(Job_Training[[Solar]:[Wind]],MATCH(AM$1,Job_Training[[`Typical Entry Level Education`]:[`Typical Entry Level Education`]],0),MATCH(LEFT($D993,5),Job_Training[[#Headers],[Solar]:[Wind]],0)),0)</f>
        <v>2.8199999999999999E-2</v>
      </c>
      <c r="AN993" s="63">
        <f>IFERROR(INDEX(Job_Training[[Solar]:[Wind]],MATCH(AN$1,Job_Training[[`Typical Entry Level Education`]:[`Typical Entry Level Education`]],0),MATCH(LEFT($D993,5),Job_Training[[#Headers],[Solar]:[Wind]],0)),0)</f>
        <v>3.3399999999999999E-2</v>
      </c>
      <c r="AO993" s="63">
        <f>IFERROR(INDEX(Job_Training[[Solar]:[Wind]],MATCH(AO$1,Job_Training[[`Typical Entry Level Education`]:[`Typical Entry Level Education`]],0),MATCH(LEFT($D993,5),Job_Training[[#Headers],[Solar]:[Wind]],0)),0)</f>
        <v>5.62E-3</v>
      </c>
      <c r="AP993">
        <f t="shared" si="278"/>
        <v>9.2954990215264104</v>
      </c>
      <c r="AQ993" s="63">
        <f>IF(AP993&gt;0,IFERROR(INDEX(Assumptions!$C$165:$D$165,MATCH(LEFT($D993,5),Job_Training[[#Headers],[Solar]:[Wind]],0)),0),0)</f>
        <v>0.10181999999999999</v>
      </c>
      <c r="AR993">
        <f>IF(AP993&gt;0,IFERROR(INDEX(Assumptions!$C$166:$D$166,MATCH(LEFT($D993,5),Job_Training[[#Headers],[Solar]:[Wind]],0)),0),0)</f>
        <v>6.1091999999999995</v>
      </c>
    </row>
    <row r="994" spans="1:44" hidden="1" x14ac:dyDescent="0.35">
      <c r="A994" t="str">
        <f>UserInput!$B$82</f>
        <v>Incremental Buildout</v>
      </c>
      <c r="B994" s="23">
        <v>2030</v>
      </c>
      <c r="C994" s="23" t="s">
        <v>78</v>
      </c>
      <c r="D994" s="23" t="s">
        <v>97</v>
      </c>
      <c r="E994" s="40">
        <f>SUMIFS($E$758:$E$988,$B$758:$B$988,B994,$C$758:$C$988,C994)*1000*Assumptions!$C$8/1000/8760/0.3</f>
        <v>55.772994129158519</v>
      </c>
      <c r="F994" s="23" t="s">
        <v>81</v>
      </c>
      <c r="H994" s="63"/>
      <c r="I994" s="63"/>
      <c r="J994" s="63"/>
      <c r="K994" s="30">
        <f>IF(OR(LEFT($D994,5)="Solar",$D994="Wind"),INDEX(Land_Use[AVG],MATCH(LEFT($D994,5),Land_Use[Tech],0)),0)*$E994</f>
        <v>195.20547945205482</v>
      </c>
      <c r="L994" s="30">
        <f>IF(OR(LEFT($D994,5)="Solar",$D994="Wind"),INDEX(Land_Use[MIN],MATCH(LEFT($D994,5),Land_Use[Tech],0)),0)*$E994</f>
        <v>156.16438356164383</v>
      </c>
      <c r="M994" s="30">
        <f>IF(OR(LEFT($D994,5)="Solar",$D994="Wind"),INDEX(Land_Use[MAX],MATCH(LEFT($D994,5),Land_Use[Tech],0)),0)*$E994</f>
        <v>234.2465753424658</v>
      </c>
      <c r="N994" s="13">
        <f t="shared" si="267"/>
        <v>0</v>
      </c>
      <c r="O994" s="13">
        <f t="shared" si="268"/>
        <v>2732.8767123287676</v>
      </c>
      <c r="P994" s="13">
        <f t="shared" si="269"/>
        <v>273.28767123287673</v>
      </c>
      <c r="Q994" s="13">
        <f t="shared" si="270"/>
        <v>48801.369863013708</v>
      </c>
      <c r="R994" s="13">
        <f t="shared" si="271"/>
        <v>60.513698630136993</v>
      </c>
      <c r="S994" s="30">
        <f t="shared" si="272"/>
        <v>0.32162426614481454</v>
      </c>
      <c r="T994" s="30">
        <f t="shared" si="273"/>
        <v>0.26213307240704536</v>
      </c>
      <c r="U994" s="30">
        <f t="shared" si="274"/>
        <v>0.31046966731898279</v>
      </c>
      <c r="V994" s="30">
        <f t="shared" si="275"/>
        <v>5.2240704500978549E-2</v>
      </c>
      <c r="W994" s="30">
        <f t="shared" si="276"/>
        <v>0.9464677103718212</v>
      </c>
      <c r="X994" s="30">
        <f t="shared" si="277"/>
        <v>56.788062622309269</v>
      </c>
      <c r="Z994" s="23" t="s">
        <v>76</v>
      </c>
      <c r="AA994" s="40"/>
      <c r="AB994" s="67"/>
      <c r="AC994" s="67"/>
      <c r="AD994" s="39"/>
      <c r="AE994" s="39"/>
      <c r="AF994" s="39"/>
      <c r="AG994" s="68"/>
      <c r="AH994">
        <v>14</v>
      </c>
      <c r="AI994">
        <v>1.4</v>
      </c>
      <c r="AJ994">
        <v>250</v>
      </c>
      <c r="AK994">
        <v>0.31</v>
      </c>
      <c r="AL994" s="63">
        <f>IFERROR(INDEX(Job_Training[[Solar]:[Wind]],MATCH(AL$1,Job_Training[[`Typical Entry Level Education`]:[`Typical Entry Level Education`]],0),MATCH(LEFT($D994,5),Job_Training[[#Headers],[Solar]:[Wind]],0)),0)</f>
        <v>3.4599999999999999E-2</v>
      </c>
      <c r="AM994" s="63">
        <f>IFERROR(INDEX(Job_Training[[Solar]:[Wind]],MATCH(AM$1,Job_Training[[`Typical Entry Level Education`]:[`Typical Entry Level Education`]],0),MATCH(LEFT($D994,5),Job_Training[[#Headers],[Solar]:[Wind]],0)),0)</f>
        <v>2.8199999999999999E-2</v>
      </c>
      <c r="AN994" s="63">
        <f>IFERROR(INDEX(Job_Training[[Solar]:[Wind]],MATCH(AN$1,Job_Training[[`Typical Entry Level Education`]:[`Typical Entry Level Education`]],0),MATCH(LEFT($D994,5),Job_Training[[#Headers],[Solar]:[Wind]],0)),0)</f>
        <v>3.3399999999999999E-2</v>
      </c>
      <c r="AO994" s="63">
        <f>IFERROR(INDEX(Job_Training[[Solar]:[Wind]],MATCH(AO$1,Job_Training[[`Typical Entry Level Education`]:[`Typical Entry Level Education`]],0),MATCH(LEFT($D994,5),Job_Training[[#Headers],[Solar]:[Wind]],0)),0)</f>
        <v>5.62E-3</v>
      </c>
      <c r="AP994">
        <f t="shared" si="278"/>
        <v>9.2954990215264317</v>
      </c>
      <c r="AQ994" s="63">
        <f>IF(AP994&gt;0,IFERROR(INDEX(Assumptions!$C$165:$D$165,MATCH(LEFT($D994,5),Job_Training[[#Headers],[Solar]:[Wind]],0)),0),0)</f>
        <v>0.10181999999999999</v>
      </c>
      <c r="AR994">
        <f>IF(AP994&gt;0,IFERROR(INDEX(Assumptions!$C$166:$D$166,MATCH(LEFT($D994,5),Job_Training[[#Headers],[Solar]:[Wind]],0)),0),0)</f>
        <v>6.1091999999999995</v>
      </c>
    </row>
    <row r="995" spans="1:44" hidden="1" x14ac:dyDescent="0.35">
      <c r="A995" t="str">
        <f>UserInput!$B$82</f>
        <v>Incremental Buildout</v>
      </c>
      <c r="B995" s="23">
        <v>2031</v>
      </c>
      <c r="C995" s="23" t="s">
        <v>78</v>
      </c>
      <c r="D995" s="23" t="s">
        <v>97</v>
      </c>
      <c r="E995" s="40">
        <f>SUMIFS($E$758:$E$988,$B$758:$B$988,B995,$C$758:$C$988,C995)*1000*Assumptions!$C$8/1000/8760/0.3</f>
        <v>65.06849315068493</v>
      </c>
      <c r="F995" s="23" t="s">
        <v>81</v>
      </c>
      <c r="H995" s="63"/>
      <c r="I995" s="63"/>
      <c r="J995" s="63"/>
      <c r="K995" s="30">
        <f>IF(OR(LEFT($D995,5)="Solar",$D995="Wind"),INDEX(Land_Use[AVG],MATCH(LEFT($D995,5),Land_Use[Tech],0)),0)*$E995</f>
        <v>227.73972602739724</v>
      </c>
      <c r="L995" s="30">
        <f>IF(OR(LEFT($D995,5)="Solar",$D995="Wind"),INDEX(Land_Use[MIN],MATCH(LEFT($D995,5),Land_Use[Tech],0)),0)*$E995</f>
        <v>182.1917808219178</v>
      </c>
      <c r="M995" s="30">
        <f>IF(OR(LEFT($D995,5)="Solar",$D995="Wind"),INDEX(Land_Use[MAX],MATCH(LEFT($D995,5),Land_Use[Tech],0)),0)*$E995</f>
        <v>273.28767123287673</v>
      </c>
      <c r="N995" s="13">
        <f t="shared" si="267"/>
        <v>0</v>
      </c>
      <c r="O995" s="13">
        <f t="shared" si="268"/>
        <v>3188.3561643835615</v>
      </c>
      <c r="P995" s="13">
        <f t="shared" si="269"/>
        <v>318.83561643835611</v>
      </c>
      <c r="Q995" s="13">
        <f t="shared" si="270"/>
        <v>56934.931506849309</v>
      </c>
      <c r="R995" s="13">
        <f t="shared" si="271"/>
        <v>70.599315068493141</v>
      </c>
      <c r="S995" s="30">
        <f t="shared" si="272"/>
        <v>0.32162426614481376</v>
      </c>
      <c r="T995" s="30">
        <f t="shared" si="273"/>
        <v>0.26213307240704475</v>
      </c>
      <c r="U995" s="30">
        <f t="shared" si="274"/>
        <v>0.31046966731898212</v>
      </c>
      <c r="V995" s="30">
        <f t="shared" si="275"/>
        <v>5.2240704500978424E-2</v>
      </c>
      <c r="W995" s="30">
        <f t="shared" si="276"/>
        <v>0.94646771037181909</v>
      </c>
      <c r="X995" s="30">
        <f t="shared" si="277"/>
        <v>56.788062622309141</v>
      </c>
      <c r="Z995" s="23" t="s">
        <v>76</v>
      </c>
      <c r="AA995" s="40"/>
      <c r="AB995" s="67"/>
      <c r="AC995" s="67"/>
      <c r="AD995" s="39"/>
      <c r="AE995" s="39"/>
      <c r="AF995" s="39"/>
      <c r="AG995" s="68"/>
      <c r="AH995">
        <v>14</v>
      </c>
      <c r="AI995">
        <v>1.4</v>
      </c>
      <c r="AJ995">
        <v>250</v>
      </c>
      <c r="AK995">
        <v>0.31</v>
      </c>
      <c r="AL995" s="63">
        <f>IFERROR(INDEX(Job_Training[[Solar]:[Wind]],MATCH(AL$1,Job_Training[[`Typical Entry Level Education`]:[`Typical Entry Level Education`]],0),MATCH(LEFT($D995,5),Job_Training[[#Headers],[Solar]:[Wind]],0)),0)</f>
        <v>3.4599999999999999E-2</v>
      </c>
      <c r="AM995" s="63">
        <f>IFERROR(INDEX(Job_Training[[Solar]:[Wind]],MATCH(AM$1,Job_Training[[`Typical Entry Level Education`]:[`Typical Entry Level Education`]],0),MATCH(LEFT($D995,5),Job_Training[[#Headers],[Solar]:[Wind]],0)),0)</f>
        <v>2.8199999999999999E-2</v>
      </c>
      <c r="AN995" s="63">
        <f>IFERROR(INDEX(Job_Training[[Solar]:[Wind]],MATCH(AN$1,Job_Training[[`Typical Entry Level Education`]:[`Typical Entry Level Education`]],0),MATCH(LEFT($D995,5),Job_Training[[#Headers],[Solar]:[Wind]],0)),0)</f>
        <v>3.3399999999999999E-2</v>
      </c>
      <c r="AO995" s="63">
        <f>IFERROR(INDEX(Job_Training[[Solar]:[Wind]],MATCH(AO$1,Job_Training[[`Typical Entry Level Education`]:[`Typical Entry Level Education`]],0),MATCH(LEFT($D995,5),Job_Training[[#Headers],[Solar]:[Wind]],0)),0)</f>
        <v>5.62E-3</v>
      </c>
      <c r="AP995">
        <f t="shared" si="278"/>
        <v>9.2954990215264104</v>
      </c>
      <c r="AQ995" s="63">
        <f>IF(AP995&gt;0,IFERROR(INDEX(Assumptions!$C$165:$D$165,MATCH(LEFT($D995,5),Job_Training[[#Headers],[Solar]:[Wind]],0)),0),0)</f>
        <v>0.10181999999999999</v>
      </c>
      <c r="AR995">
        <f>IF(AP995&gt;0,IFERROR(INDEX(Assumptions!$C$166:$D$166,MATCH(LEFT($D995,5),Job_Training[[#Headers],[Solar]:[Wind]],0)),0),0)</f>
        <v>6.1091999999999995</v>
      </c>
    </row>
    <row r="996" spans="1:44" hidden="1" x14ac:dyDescent="0.35">
      <c r="A996" t="str">
        <f>UserInput!$B$82</f>
        <v>Incremental Buildout</v>
      </c>
      <c r="B996" s="23">
        <v>2032</v>
      </c>
      <c r="C996" s="23" t="s">
        <v>78</v>
      </c>
      <c r="D996" s="23" t="s">
        <v>97</v>
      </c>
      <c r="E996" s="40">
        <f>SUMIFS($E$758:$E$988,$B$758:$B$988,B996,$C$758:$C$988,C996)*1000*Assumptions!$C$8/1000/8760/0.3</f>
        <v>74.363992172211354</v>
      </c>
      <c r="F996" s="23" t="s">
        <v>81</v>
      </c>
      <c r="H996" s="63"/>
      <c r="I996" s="63"/>
      <c r="J996" s="63"/>
      <c r="K996" s="30">
        <f>IF(OR(LEFT($D996,5)="Solar",$D996="Wind"),INDEX(Land_Use[AVG],MATCH(LEFT($D996,5),Land_Use[Tech],0)),0)*$E996</f>
        <v>260.27397260273972</v>
      </c>
      <c r="L996" s="30">
        <f>IF(OR(LEFT($D996,5)="Solar",$D996="Wind"),INDEX(Land_Use[MIN],MATCH(LEFT($D996,5),Land_Use[Tech],0)),0)*$E996</f>
        <v>208.21917808219177</v>
      </c>
      <c r="M996" s="30">
        <f>IF(OR(LEFT($D996,5)="Solar",$D996="Wind"),INDEX(Land_Use[MAX],MATCH(LEFT($D996,5),Land_Use[Tech],0)),0)*$E996</f>
        <v>312.32876712328772</v>
      </c>
      <c r="N996" s="13">
        <f t="shared" si="267"/>
        <v>0</v>
      </c>
      <c r="O996" s="13">
        <f t="shared" si="268"/>
        <v>3643.8356164383558</v>
      </c>
      <c r="P996" s="13">
        <f t="shared" si="269"/>
        <v>364.38356164383561</v>
      </c>
      <c r="Q996" s="13">
        <f t="shared" si="270"/>
        <v>65068.493150684932</v>
      </c>
      <c r="R996" s="13">
        <f t="shared" si="271"/>
        <v>80.68493150684931</v>
      </c>
      <c r="S996" s="30">
        <f t="shared" si="272"/>
        <v>0.32162426614481426</v>
      </c>
      <c r="T996" s="30">
        <f t="shared" si="273"/>
        <v>0.26213307240704514</v>
      </c>
      <c r="U996" s="30">
        <f t="shared" si="274"/>
        <v>0.31046966731898257</v>
      </c>
      <c r="V996" s="30">
        <f t="shared" si="275"/>
        <v>5.2240704500978508E-2</v>
      </c>
      <c r="W996" s="30">
        <f t="shared" si="276"/>
        <v>0.94646771037182054</v>
      </c>
      <c r="X996" s="30">
        <f t="shared" si="277"/>
        <v>56.788062622309226</v>
      </c>
      <c r="Z996" s="23" t="s">
        <v>76</v>
      </c>
      <c r="AA996" s="40"/>
      <c r="AB996" s="67"/>
      <c r="AC996" s="67"/>
      <c r="AD996" s="39"/>
      <c r="AE996" s="39"/>
      <c r="AF996" s="39"/>
      <c r="AG996" s="68"/>
      <c r="AH996">
        <v>14</v>
      </c>
      <c r="AI996">
        <v>1.4</v>
      </c>
      <c r="AJ996">
        <v>250</v>
      </c>
      <c r="AK996">
        <v>0.31</v>
      </c>
      <c r="AL996" s="63">
        <f>IFERROR(INDEX(Job_Training[[Solar]:[Wind]],MATCH(AL$1,Job_Training[[`Typical Entry Level Education`]:[`Typical Entry Level Education`]],0),MATCH(LEFT($D996,5),Job_Training[[#Headers],[Solar]:[Wind]],0)),0)</f>
        <v>3.4599999999999999E-2</v>
      </c>
      <c r="AM996" s="63">
        <f>IFERROR(INDEX(Job_Training[[Solar]:[Wind]],MATCH(AM$1,Job_Training[[`Typical Entry Level Education`]:[`Typical Entry Level Education`]],0),MATCH(LEFT($D996,5),Job_Training[[#Headers],[Solar]:[Wind]],0)),0)</f>
        <v>2.8199999999999999E-2</v>
      </c>
      <c r="AN996" s="63">
        <f>IFERROR(INDEX(Job_Training[[Solar]:[Wind]],MATCH(AN$1,Job_Training[[`Typical Entry Level Education`]:[`Typical Entry Level Education`]],0),MATCH(LEFT($D996,5),Job_Training[[#Headers],[Solar]:[Wind]],0)),0)</f>
        <v>3.3399999999999999E-2</v>
      </c>
      <c r="AO996" s="63">
        <f>IFERROR(INDEX(Job_Training[[Solar]:[Wind]],MATCH(AO$1,Job_Training[[`Typical Entry Level Education`]:[`Typical Entry Level Education`]],0),MATCH(LEFT($D996,5),Job_Training[[#Headers],[Solar]:[Wind]],0)),0)</f>
        <v>5.62E-3</v>
      </c>
      <c r="AP996">
        <f t="shared" si="278"/>
        <v>9.2954990215264246</v>
      </c>
      <c r="AQ996" s="63">
        <f>IF(AP996&gt;0,IFERROR(INDEX(Assumptions!$C$165:$D$165,MATCH(LEFT($D996,5),Job_Training[[#Headers],[Solar]:[Wind]],0)),0),0)</f>
        <v>0.10181999999999999</v>
      </c>
      <c r="AR996">
        <f>IF(AP996&gt;0,IFERROR(INDEX(Assumptions!$C$166:$D$166,MATCH(LEFT($D996,5),Job_Training[[#Headers],[Solar]:[Wind]],0)),0),0)</f>
        <v>6.1091999999999995</v>
      </c>
    </row>
    <row r="997" spans="1:44" hidden="1" x14ac:dyDescent="0.35">
      <c r="A997" t="str">
        <f>UserInput!$B$82</f>
        <v>Incremental Buildout</v>
      </c>
      <c r="B997" s="23">
        <v>2033</v>
      </c>
      <c r="C997" s="23" t="s">
        <v>78</v>
      </c>
      <c r="D997" s="23" t="s">
        <v>97</v>
      </c>
      <c r="E997" s="40">
        <f>SUMIFS($E$758:$E$988,$B$758:$B$988,B997,$C$758:$C$988,C997)*1000*Assumptions!$C$8/1000/8760/0.3</f>
        <v>83.659491193737779</v>
      </c>
      <c r="F997" s="23" t="s">
        <v>81</v>
      </c>
      <c r="H997" s="63"/>
      <c r="I997" s="63"/>
      <c r="J997" s="63"/>
      <c r="K997" s="30">
        <f>IF(OR(LEFT($D997,5)="Solar",$D997="Wind"),INDEX(Land_Use[AVG],MATCH(LEFT($D997,5),Land_Use[Tech],0)),0)*$E997</f>
        <v>292.80821917808225</v>
      </c>
      <c r="L997" s="30">
        <f>IF(OR(LEFT($D997,5)="Solar",$D997="Wind"),INDEX(Land_Use[MIN],MATCH(LEFT($D997,5),Land_Use[Tech],0)),0)*$E997</f>
        <v>234.24657534246577</v>
      </c>
      <c r="M997" s="30">
        <f>IF(OR(LEFT($D997,5)="Solar",$D997="Wind"),INDEX(Land_Use[MAX],MATCH(LEFT($D997,5),Land_Use[Tech],0)),0)*$E997</f>
        <v>351.3698630136987</v>
      </c>
      <c r="N997" s="13">
        <f t="shared" si="267"/>
        <v>0</v>
      </c>
      <c r="O997" s="13">
        <f t="shared" si="268"/>
        <v>4099.3150684931516</v>
      </c>
      <c r="P997" s="13">
        <f t="shared" si="269"/>
        <v>409.93150684931516</v>
      </c>
      <c r="Q997" s="13">
        <f t="shared" si="270"/>
        <v>73202.054794520562</v>
      </c>
      <c r="R997" s="13">
        <f t="shared" si="271"/>
        <v>90.770547945205493</v>
      </c>
      <c r="S997" s="30">
        <f t="shared" si="272"/>
        <v>0.32162426614481426</v>
      </c>
      <c r="T997" s="30">
        <f t="shared" si="273"/>
        <v>0.26213307240704514</v>
      </c>
      <c r="U997" s="30">
        <f t="shared" si="274"/>
        <v>0.31046966731898257</v>
      </c>
      <c r="V997" s="30">
        <f t="shared" si="275"/>
        <v>5.2240704500978508E-2</v>
      </c>
      <c r="W997" s="30">
        <f t="shared" si="276"/>
        <v>0.94646771037182054</v>
      </c>
      <c r="X997" s="30">
        <f t="shared" si="277"/>
        <v>56.788062622309226</v>
      </c>
      <c r="Z997" s="23" t="s">
        <v>76</v>
      </c>
      <c r="AA997" s="40"/>
      <c r="AB997" s="67"/>
      <c r="AC997" s="67"/>
      <c r="AD997" s="39"/>
      <c r="AE997" s="39"/>
      <c r="AF997" s="39"/>
      <c r="AG997" s="68"/>
      <c r="AH997">
        <v>14</v>
      </c>
      <c r="AI997">
        <v>1.4</v>
      </c>
      <c r="AJ997">
        <v>250</v>
      </c>
      <c r="AK997">
        <v>0.31</v>
      </c>
      <c r="AL997" s="63">
        <f>IFERROR(INDEX(Job_Training[[Solar]:[Wind]],MATCH(AL$1,Job_Training[[`Typical Entry Level Education`]:[`Typical Entry Level Education`]],0),MATCH(LEFT($D997,5),Job_Training[[#Headers],[Solar]:[Wind]],0)),0)</f>
        <v>3.4599999999999999E-2</v>
      </c>
      <c r="AM997" s="63">
        <f>IFERROR(INDEX(Job_Training[[Solar]:[Wind]],MATCH(AM$1,Job_Training[[`Typical Entry Level Education`]:[`Typical Entry Level Education`]],0),MATCH(LEFT($D997,5),Job_Training[[#Headers],[Solar]:[Wind]],0)),0)</f>
        <v>2.8199999999999999E-2</v>
      </c>
      <c r="AN997" s="63">
        <f>IFERROR(INDEX(Job_Training[[Solar]:[Wind]],MATCH(AN$1,Job_Training[[`Typical Entry Level Education`]:[`Typical Entry Level Education`]],0),MATCH(LEFT($D997,5),Job_Training[[#Headers],[Solar]:[Wind]],0)),0)</f>
        <v>3.3399999999999999E-2</v>
      </c>
      <c r="AO997" s="63">
        <f>IFERROR(INDEX(Job_Training[[Solar]:[Wind]],MATCH(AO$1,Job_Training[[`Typical Entry Level Education`]:[`Typical Entry Level Education`]],0),MATCH(LEFT($D997,5),Job_Training[[#Headers],[Solar]:[Wind]],0)),0)</f>
        <v>5.62E-3</v>
      </c>
      <c r="AP997">
        <f t="shared" si="278"/>
        <v>9.2954990215264246</v>
      </c>
      <c r="AQ997" s="63">
        <f>IF(AP997&gt;0,IFERROR(INDEX(Assumptions!$C$165:$D$165,MATCH(LEFT($D997,5),Job_Training[[#Headers],[Solar]:[Wind]],0)),0),0)</f>
        <v>0.10181999999999999</v>
      </c>
      <c r="AR997">
        <f>IF(AP997&gt;0,IFERROR(INDEX(Assumptions!$C$166:$D$166,MATCH(LEFT($D997,5),Job_Training[[#Headers],[Solar]:[Wind]],0)),0),0)</f>
        <v>6.1091999999999995</v>
      </c>
    </row>
    <row r="998" spans="1:44" hidden="1" x14ac:dyDescent="0.35">
      <c r="A998" t="str">
        <f>UserInput!$B$82</f>
        <v>Incremental Buildout</v>
      </c>
      <c r="B998" s="23">
        <v>2034</v>
      </c>
      <c r="C998" s="23" t="s">
        <v>78</v>
      </c>
      <c r="D998" s="23" t="s">
        <v>97</v>
      </c>
      <c r="E998" s="40">
        <f>SUMIFS($E$758:$E$988,$B$758:$B$988,B998,$C$758:$C$988,C998)*1000*Assumptions!$C$8/1000/8760/0.3</f>
        <v>92.954990215264175</v>
      </c>
      <c r="F998" s="23" t="s">
        <v>81</v>
      </c>
      <c r="H998" s="63"/>
      <c r="I998" s="63"/>
      <c r="J998" s="63"/>
      <c r="K998" s="30">
        <f>IF(OR(LEFT($D998,5)="Solar",$D998="Wind"),INDEX(Land_Use[AVG],MATCH(LEFT($D998,5),Land_Use[Tech],0)),0)*$E998</f>
        <v>325.34246575342462</v>
      </c>
      <c r="L998" s="30">
        <f>IF(OR(LEFT($D998,5)="Solar",$D998="Wind"),INDEX(Land_Use[MIN],MATCH(LEFT($D998,5),Land_Use[Tech],0)),0)*$E998</f>
        <v>260.27397260273966</v>
      </c>
      <c r="M998" s="30">
        <f>IF(OR(LEFT($D998,5)="Solar",$D998="Wind"),INDEX(Land_Use[MAX],MATCH(LEFT($D998,5),Land_Use[Tech],0)),0)*$E998</f>
        <v>390.41095890410958</v>
      </c>
      <c r="N998" s="13">
        <f t="shared" si="267"/>
        <v>0</v>
      </c>
      <c r="O998" s="13">
        <f t="shared" si="268"/>
        <v>4554.7945205479446</v>
      </c>
      <c r="P998" s="13">
        <f t="shared" si="269"/>
        <v>455.47945205479442</v>
      </c>
      <c r="Q998" s="13">
        <f t="shared" si="270"/>
        <v>81335.616438356155</v>
      </c>
      <c r="R998" s="13">
        <f t="shared" si="271"/>
        <v>100.85616438356163</v>
      </c>
      <c r="S998" s="30">
        <f t="shared" si="272"/>
        <v>0.32162426614481332</v>
      </c>
      <c r="T998" s="30">
        <f t="shared" si="273"/>
        <v>0.26213307240704437</v>
      </c>
      <c r="U998" s="30">
        <f t="shared" si="274"/>
        <v>0.31046966731898162</v>
      </c>
      <c r="V998" s="30">
        <f t="shared" si="275"/>
        <v>5.2240704500978348E-2</v>
      </c>
      <c r="W998" s="30">
        <f t="shared" si="276"/>
        <v>0.94646771037181765</v>
      </c>
      <c r="X998" s="30">
        <f t="shared" si="277"/>
        <v>56.788062622309056</v>
      </c>
      <c r="Z998" s="23" t="s">
        <v>76</v>
      </c>
      <c r="AA998" s="40"/>
      <c r="AB998" s="67"/>
      <c r="AC998" s="67"/>
      <c r="AD998" s="39"/>
      <c r="AE998" s="39"/>
      <c r="AF998" s="39"/>
      <c r="AG998" s="68"/>
      <c r="AH998">
        <v>14</v>
      </c>
      <c r="AI998">
        <v>1.4</v>
      </c>
      <c r="AJ998">
        <v>250</v>
      </c>
      <c r="AK998">
        <v>0.31</v>
      </c>
      <c r="AL998" s="63">
        <f>IFERROR(INDEX(Job_Training[[Solar]:[Wind]],MATCH(AL$1,Job_Training[[`Typical Entry Level Education`]:[`Typical Entry Level Education`]],0),MATCH(LEFT($D998,5),Job_Training[[#Headers],[Solar]:[Wind]],0)),0)</f>
        <v>3.4599999999999999E-2</v>
      </c>
      <c r="AM998" s="63">
        <f>IFERROR(INDEX(Job_Training[[Solar]:[Wind]],MATCH(AM$1,Job_Training[[`Typical Entry Level Education`]:[`Typical Entry Level Education`]],0),MATCH(LEFT($D998,5),Job_Training[[#Headers],[Solar]:[Wind]],0)),0)</f>
        <v>2.8199999999999999E-2</v>
      </c>
      <c r="AN998" s="63">
        <f>IFERROR(INDEX(Job_Training[[Solar]:[Wind]],MATCH(AN$1,Job_Training[[`Typical Entry Level Education`]:[`Typical Entry Level Education`]],0),MATCH(LEFT($D998,5),Job_Training[[#Headers],[Solar]:[Wind]],0)),0)</f>
        <v>3.3399999999999999E-2</v>
      </c>
      <c r="AO998" s="63">
        <f>IFERROR(INDEX(Job_Training[[Solar]:[Wind]],MATCH(AO$1,Job_Training[[`Typical Entry Level Education`]:[`Typical Entry Level Education`]],0),MATCH(LEFT($D998,5),Job_Training[[#Headers],[Solar]:[Wind]],0)),0)</f>
        <v>5.62E-3</v>
      </c>
      <c r="AP998">
        <f t="shared" si="278"/>
        <v>9.2954990215263962</v>
      </c>
      <c r="AQ998" s="63">
        <f>IF(AP998&gt;0,IFERROR(INDEX(Assumptions!$C$165:$D$165,MATCH(LEFT($D998,5),Job_Training[[#Headers],[Solar]:[Wind]],0)),0),0)</f>
        <v>0.10181999999999999</v>
      </c>
      <c r="AR998">
        <f>IF(AP998&gt;0,IFERROR(INDEX(Assumptions!$C$166:$D$166,MATCH(LEFT($D998,5),Job_Training[[#Headers],[Solar]:[Wind]],0)),0),0)</f>
        <v>6.1091999999999995</v>
      </c>
    </row>
    <row r="999" spans="1:44" hidden="1" x14ac:dyDescent="0.35">
      <c r="A999" t="str">
        <f>UserInput!$B$82</f>
        <v>Incremental Buildout</v>
      </c>
      <c r="B999" s="23">
        <v>2035</v>
      </c>
      <c r="C999" s="23" t="s">
        <v>78</v>
      </c>
      <c r="D999" s="23" t="s">
        <v>97</v>
      </c>
      <c r="E999" s="40">
        <f>SUMIFS($E$758:$E$988,$B$758:$B$988,B999,$C$758:$C$988,C999)*1000*Assumptions!$C$8/1000/8760/0.3</f>
        <v>102.25048923679061</v>
      </c>
      <c r="F999" s="23" t="s">
        <v>81</v>
      </c>
      <c r="H999" s="63"/>
      <c r="I999" s="63"/>
      <c r="J999" s="63"/>
      <c r="K999" s="30">
        <f>IF(OR(LEFT($D999,5)="Solar",$D999="Wind"),INDEX(Land_Use[AVG],MATCH(LEFT($D999,5),Land_Use[Tech],0)),0)*$E999</f>
        <v>357.87671232876716</v>
      </c>
      <c r="L999" s="30">
        <f>IF(OR(LEFT($D999,5)="Solar",$D999="Wind"),INDEX(Land_Use[MIN],MATCH(LEFT($D999,5),Land_Use[Tech],0)),0)*$E999</f>
        <v>286.30136986301369</v>
      </c>
      <c r="M999" s="30">
        <f>IF(OR(LEFT($D999,5)="Solar",$D999="Wind"),INDEX(Land_Use[MAX],MATCH(LEFT($D999,5),Land_Use[Tech],0)),0)*$E999</f>
        <v>429.45205479452062</v>
      </c>
      <c r="N999" s="13">
        <f t="shared" si="267"/>
        <v>0</v>
      </c>
      <c r="O999" s="13">
        <f t="shared" si="268"/>
        <v>5010.2739726027403</v>
      </c>
      <c r="P999" s="13">
        <f t="shared" si="269"/>
        <v>501.02739726027397</v>
      </c>
      <c r="Q999" s="13">
        <f t="shared" si="270"/>
        <v>89469.178082191793</v>
      </c>
      <c r="R999" s="13">
        <f t="shared" si="271"/>
        <v>110.94178082191782</v>
      </c>
      <c r="S999" s="30">
        <f t="shared" si="272"/>
        <v>0.32162426614481476</v>
      </c>
      <c r="T999" s="30">
        <f t="shared" si="273"/>
        <v>0.26213307240704559</v>
      </c>
      <c r="U999" s="30">
        <f t="shared" si="274"/>
        <v>0.31046966731898307</v>
      </c>
      <c r="V999" s="30">
        <f t="shared" si="275"/>
        <v>5.2240704500978584E-2</v>
      </c>
      <c r="W999" s="30">
        <f t="shared" si="276"/>
        <v>0.94646771037182198</v>
      </c>
      <c r="X999" s="30">
        <f t="shared" si="277"/>
        <v>56.788062622309319</v>
      </c>
      <c r="Z999" s="23" t="s">
        <v>76</v>
      </c>
      <c r="AA999" s="40"/>
      <c r="AB999" s="67"/>
      <c r="AC999" s="67"/>
      <c r="AD999" s="39"/>
      <c r="AE999" s="39"/>
      <c r="AF999" s="39"/>
      <c r="AG999" s="68"/>
      <c r="AH999">
        <v>14</v>
      </c>
      <c r="AI999">
        <v>1.4</v>
      </c>
      <c r="AJ999">
        <v>250</v>
      </c>
      <c r="AK999">
        <v>0.31</v>
      </c>
      <c r="AL999" s="63">
        <f>IFERROR(INDEX(Job_Training[[Solar]:[Wind]],MATCH(AL$1,Job_Training[[`Typical Entry Level Education`]:[`Typical Entry Level Education`]],0),MATCH(LEFT($D999,5),Job_Training[[#Headers],[Solar]:[Wind]],0)),0)</f>
        <v>3.4599999999999999E-2</v>
      </c>
      <c r="AM999" s="63">
        <f>IFERROR(INDEX(Job_Training[[Solar]:[Wind]],MATCH(AM$1,Job_Training[[`Typical Entry Level Education`]:[`Typical Entry Level Education`]],0),MATCH(LEFT($D999,5),Job_Training[[#Headers],[Solar]:[Wind]],0)),0)</f>
        <v>2.8199999999999999E-2</v>
      </c>
      <c r="AN999" s="63">
        <f>IFERROR(INDEX(Job_Training[[Solar]:[Wind]],MATCH(AN$1,Job_Training[[`Typical Entry Level Education`]:[`Typical Entry Level Education`]],0),MATCH(LEFT($D999,5),Job_Training[[#Headers],[Solar]:[Wind]],0)),0)</f>
        <v>3.3399999999999999E-2</v>
      </c>
      <c r="AO999" s="63">
        <f>IFERROR(INDEX(Job_Training[[Solar]:[Wind]],MATCH(AO$1,Job_Training[[`Typical Entry Level Education`]:[`Typical Entry Level Education`]],0),MATCH(LEFT($D999,5),Job_Training[[#Headers],[Solar]:[Wind]],0)),0)</f>
        <v>5.62E-3</v>
      </c>
      <c r="AP999">
        <f t="shared" si="278"/>
        <v>9.2954990215264388</v>
      </c>
      <c r="AQ999" s="63">
        <f>IF(AP999&gt;0,IFERROR(INDEX(Assumptions!$C$165:$D$165,MATCH(LEFT($D999,5),Job_Training[[#Headers],[Solar]:[Wind]],0)),0),0)</f>
        <v>0.10181999999999999</v>
      </c>
      <c r="AR999">
        <f>IF(AP999&gt;0,IFERROR(INDEX(Assumptions!$C$166:$D$166,MATCH(LEFT($D999,5),Job_Training[[#Headers],[Solar]:[Wind]],0)),0),0)</f>
        <v>6.1091999999999995</v>
      </c>
    </row>
    <row r="1000" spans="1:44" hidden="1" x14ac:dyDescent="0.35">
      <c r="A1000" t="str">
        <f>UserInput!$B$82</f>
        <v>Incremental Buildout</v>
      </c>
      <c r="B1000" s="23">
        <v>2036</v>
      </c>
      <c r="C1000" s="23" t="s">
        <v>78</v>
      </c>
      <c r="D1000" s="23" t="s">
        <v>97</v>
      </c>
      <c r="E1000" s="40">
        <f>SUMIFS($E$758:$E$988,$B$758:$B$988,B1000,$C$758:$C$988,C1000)*1000*Assumptions!$C$8/1000/8760/0.3</f>
        <v>111.54598825831704</v>
      </c>
      <c r="F1000" s="23" t="s">
        <v>81</v>
      </c>
      <c r="H1000" s="63"/>
      <c r="I1000" s="63"/>
      <c r="J1000" s="63"/>
      <c r="K1000" s="30">
        <f>IF(OR(LEFT($D1000,5)="Solar",$D1000="Wind"),INDEX(Land_Use[AVG],MATCH(LEFT($D1000,5),Land_Use[Tech],0)),0)*$E1000</f>
        <v>390.41095890410963</v>
      </c>
      <c r="L1000" s="30">
        <f>IF(OR(LEFT($D1000,5)="Solar",$D1000="Wind"),INDEX(Land_Use[MIN],MATCH(LEFT($D1000,5),Land_Use[Tech],0)),0)*$E1000</f>
        <v>312.32876712328766</v>
      </c>
      <c r="M1000" s="30">
        <f>IF(OR(LEFT($D1000,5)="Solar",$D1000="Wind"),INDEX(Land_Use[MAX],MATCH(LEFT($D1000,5),Land_Use[Tech],0)),0)*$E1000</f>
        <v>468.49315068493161</v>
      </c>
      <c r="N1000" s="13">
        <f t="shared" si="267"/>
        <v>0</v>
      </c>
      <c r="O1000" s="13">
        <f t="shared" si="268"/>
        <v>5465.7534246575351</v>
      </c>
      <c r="P1000" s="13">
        <f t="shared" si="269"/>
        <v>546.57534246575347</v>
      </c>
      <c r="Q1000" s="13">
        <f t="shared" si="270"/>
        <v>97602.739726027416</v>
      </c>
      <c r="R1000" s="13">
        <f t="shared" si="271"/>
        <v>121.02739726027399</v>
      </c>
      <c r="S1000" s="30">
        <f t="shared" si="272"/>
        <v>0.32162426614481426</v>
      </c>
      <c r="T1000" s="30">
        <f t="shared" si="273"/>
        <v>0.26213307240704514</v>
      </c>
      <c r="U1000" s="30">
        <f t="shared" si="274"/>
        <v>0.31046966731898257</v>
      </c>
      <c r="V1000" s="30">
        <f t="shared" si="275"/>
        <v>5.2240704500978508E-2</v>
      </c>
      <c r="W1000" s="30">
        <f t="shared" si="276"/>
        <v>0.94646771037182054</v>
      </c>
      <c r="X1000" s="30">
        <f t="shared" si="277"/>
        <v>56.788062622309226</v>
      </c>
      <c r="Z1000" s="23" t="s">
        <v>76</v>
      </c>
      <c r="AA1000" s="40"/>
      <c r="AB1000" s="67"/>
      <c r="AC1000" s="67"/>
      <c r="AD1000" s="39"/>
      <c r="AE1000" s="39"/>
      <c r="AF1000" s="39"/>
      <c r="AG1000" s="68"/>
      <c r="AH1000">
        <v>14</v>
      </c>
      <c r="AI1000">
        <v>1.4</v>
      </c>
      <c r="AJ1000">
        <v>250</v>
      </c>
      <c r="AK1000">
        <v>0.31</v>
      </c>
      <c r="AL1000" s="63">
        <f>IFERROR(INDEX(Job_Training[[Solar]:[Wind]],MATCH(AL$1,Job_Training[[`Typical Entry Level Education`]:[`Typical Entry Level Education`]],0),MATCH(LEFT($D1000,5),Job_Training[[#Headers],[Solar]:[Wind]],0)),0)</f>
        <v>3.4599999999999999E-2</v>
      </c>
      <c r="AM1000" s="63">
        <f>IFERROR(INDEX(Job_Training[[Solar]:[Wind]],MATCH(AM$1,Job_Training[[`Typical Entry Level Education`]:[`Typical Entry Level Education`]],0),MATCH(LEFT($D1000,5),Job_Training[[#Headers],[Solar]:[Wind]],0)),0)</f>
        <v>2.8199999999999999E-2</v>
      </c>
      <c r="AN1000" s="63">
        <f>IFERROR(INDEX(Job_Training[[Solar]:[Wind]],MATCH(AN$1,Job_Training[[`Typical Entry Level Education`]:[`Typical Entry Level Education`]],0),MATCH(LEFT($D1000,5),Job_Training[[#Headers],[Solar]:[Wind]],0)),0)</f>
        <v>3.3399999999999999E-2</v>
      </c>
      <c r="AO1000" s="63">
        <f>IFERROR(INDEX(Job_Training[[Solar]:[Wind]],MATCH(AO$1,Job_Training[[`Typical Entry Level Education`]:[`Typical Entry Level Education`]],0),MATCH(LEFT($D1000,5),Job_Training[[#Headers],[Solar]:[Wind]],0)),0)</f>
        <v>5.62E-3</v>
      </c>
      <c r="AP1000">
        <f t="shared" si="278"/>
        <v>9.2954990215264246</v>
      </c>
      <c r="AQ1000" s="63">
        <f>IF(AP1000&gt;0,IFERROR(INDEX(Assumptions!$C$165:$D$165,MATCH(LEFT($D1000,5),Job_Training[[#Headers],[Solar]:[Wind]],0)),0),0)</f>
        <v>0.10181999999999999</v>
      </c>
      <c r="AR1000">
        <f>IF(AP1000&gt;0,IFERROR(INDEX(Assumptions!$C$166:$D$166,MATCH(LEFT($D1000,5),Job_Training[[#Headers],[Solar]:[Wind]],0)),0),0)</f>
        <v>6.1091999999999995</v>
      </c>
    </row>
    <row r="1001" spans="1:44" hidden="1" x14ac:dyDescent="0.35">
      <c r="A1001" t="str">
        <f>UserInput!$B$82</f>
        <v>Incremental Buildout</v>
      </c>
      <c r="B1001" s="23">
        <v>2037</v>
      </c>
      <c r="C1001" s="23" t="s">
        <v>78</v>
      </c>
      <c r="D1001" s="23" t="s">
        <v>97</v>
      </c>
      <c r="E1001" s="40">
        <f>SUMIFS($E$758:$E$988,$B$758:$B$988,B1001,$C$758:$C$988,C1001)*1000*Assumptions!$C$8/1000/8760/0.3</f>
        <v>120.84148727984345</v>
      </c>
      <c r="F1001" s="23" t="s">
        <v>81</v>
      </c>
      <c r="H1001" s="63"/>
      <c r="I1001" s="63"/>
      <c r="J1001" s="63"/>
      <c r="K1001" s="30">
        <f>IF(OR(LEFT($D1001,5)="Solar",$D1001="Wind"),INDEX(Land_Use[AVG],MATCH(LEFT($D1001,5),Land_Use[Tech],0)),0)*$E1001</f>
        <v>422.94520547945206</v>
      </c>
      <c r="L1001" s="30">
        <f>IF(OR(LEFT($D1001,5)="Solar",$D1001="Wind"),INDEX(Land_Use[MIN],MATCH(LEFT($D1001,5),Land_Use[Tech],0)),0)*$E1001</f>
        <v>338.35616438356163</v>
      </c>
      <c r="M1001" s="30">
        <f>IF(OR(LEFT($D1001,5)="Solar",$D1001="Wind"),INDEX(Land_Use[MAX],MATCH(LEFT($D1001,5),Land_Use[Tech],0)),0)*$E1001</f>
        <v>507.53424657534248</v>
      </c>
      <c r="N1001" s="13">
        <f t="shared" si="267"/>
        <v>0</v>
      </c>
      <c r="O1001" s="13">
        <f t="shared" si="268"/>
        <v>5921.232876712329</v>
      </c>
      <c r="P1001" s="13">
        <f t="shared" si="269"/>
        <v>592.12328767123279</v>
      </c>
      <c r="Q1001" s="13">
        <f t="shared" si="270"/>
        <v>105736.30136986301</v>
      </c>
      <c r="R1001" s="13">
        <f t="shared" si="271"/>
        <v>131.11301369863014</v>
      </c>
      <c r="S1001" s="30">
        <f t="shared" si="272"/>
        <v>0.32162426614481376</v>
      </c>
      <c r="T1001" s="30">
        <f t="shared" si="273"/>
        <v>0.26213307240704475</v>
      </c>
      <c r="U1001" s="30">
        <f t="shared" si="274"/>
        <v>0.31046966731898212</v>
      </c>
      <c r="V1001" s="30">
        <f t="shared" si="275"/>
        <v>5.2240704500978424E-2</v>
      </c>
      <c r="W1001" s="30">
        <f t="shared" si="276"/>
        <v>0.94646771037181909</v>
      </c>
      <c r="X1001" s="30">
        <f t="shared" si="277"/>
        <v>56.788062622309141</v>
      </c>
      <c r="Z1001" s="23" t="s">
        <v>76</v>
      </c>
      <c r="AA1001" s="40"/>
      <c r="AB1001" s="67"/>
      <c r="AC1001" s="67"/>
      <c r="AD1001" s="39"/>
      <c r="AE1001" s="39"/>
      <c r="AF1001" s="39"/>
      <c r="AG1001" s="68"/>
      <c r="AH1001">
        <v>14</v>
      </c>
      <c r="AI1001">
        <v>1.4</v>
      </c>
      <c r="AJ1001">
        <v>250</v>
      </c>
      <c r="AK1001">
        <v>0.31</v>
      </c>
      <c r="AL1001" s="63">
        <f>IFERROR(INDEX(Job_Training[[Solar]:[Wind]],MATCH(AL$1,Job_Training[[`Typical Entry Level Education`]:[`Typical Entry Level Education`]],0),MATCH(LEFT($D1001,5),Job_Training[[#Headers],[Solar]:[Wind]],0)),0)</f>
        <v>3.4599999999999999E-2</v>
      </c>
      <c r="AM1001" s="63">
        <f>IFERROR(INDEX(Job_Training[[Solar]:[Wind]],MATCH(AM$1,Job_Training[[`Typical Entry Level Education`]:[`Typical Entry Level Education`]],0),MATCH(LEFT($D1001,5),Job_Training[[#Headers],[Solar]:[Wind]],0)),0)</f>
        <v>2.8199999999999999E-2</v>
      </c>
      <c r="AN1001" s="63">
        <f>IFERROR(INDEX(Job_Training[[Solar]:[Wind]],MATCH(AN$1,Job_Training[[`Typical Entry Level Education`]:[`Typical Entry Level Education`]],0),MATCH(LEFT($D1001,5),Job_Training[[#Headers],[Solar]:[Wind]],0)),0)</f>
        <v>3.3399999999999999E-2</v>
      </c>
      <c r="AO1001" s="63">
        <f>IFERROR(INDEX(Job_Training[[Solar]:[Wind]],MATCH(AO$1,Job_Training[[`Typical Entry Level Education`]:[`Typical Entry Level Education`]],0),MATCH(LEFT($D1001,5),Job_Training[[#Headers],[Solar]:[Wind]],0)),0)</f>
        <v>5.62E-3</v>
      </c>
      <c r="AP1001">
        <f t="shared" si="278"/>
        <v>9.2954990215264104</v>
      </c>
      <c r="AQ1001" s="63">
        <f>IF(AP1001&gt;0,IFERROR(INDEX(Assumptions!$C$165:$D$165,MATCH(LEFT($D1001,5),Job_Training[[#Headers],[Solar]:[Wind]],0)),0),0)</f>
        <v>0.10181999999999999</v>
      </c>
      <c r="AR1001">
        <f>IF(AP1001&gt;0,IFERROR(INDEX(Assumptions!$C$166:$D$166,MATCH(LEFT($D1001,5),Job_Training[[#Headers],[Solar]:[Wind]],0)),0),0)</f>
        <v>6.1091999999999995</v>
      </c>
    </row>
    <row r="1002" spans="1:44" hidden="1" x14ac:dyDescent="0.35">
      <c r="A1002" t="str">
        <f>UserInput!$B$82</f>
        <v>Incremental Buildout</v>
      </c>
      <c r="B1002" s="23">
        <v>2038</v>
      </c>
      <c r="C1002" s="23" t="s">
        <v>78</v>
      </c>
      <c r="D1002" s="23" t="s">
        <v>97</v>
      </c>
      <c r="E1002" s="40">
        <f>SUMIFS($E$758:$E$988,$B$758:$B$988,B1002,$C$758:$C$988,C1002)*1000*Assumptions!$C$8/1000/8760/0.3</f>
        <v>130.13698630136986</v>
      </c>
      <c r="F1002" s="23" t="s">
        <v>81</v>
      </c>
      <c r="H1002" s="63"/>
      <c r="I1002" s="63"/>
      <c r="J1002" s="63"/>
      <c r="K1002" s="30">
        <f>IF(OR(LEFT($D1002,5)="Solar",$D1002="Wind"),INDEX(Land_Use[AVG],MATCH(LEFT($D1002,5),Land_Use[Tech],0)),0)*$E1002</f>
        <v>455.47945205479448</v>
      </c>
      <c r="L1002" s="30">
        <f>IF(OR(LEFT($D1002,5)="Solar",$D1002="Wind"),INDEX(Land_Use[MIN],MATCH(LEFT($D1002,5),Land_Use[Tech],0)),0)*$E1002</f>
        <v>364.38356164383561</v>
      </c>
      <c r="M1002" s="30">
        <f>IF(OR(LEFT($D1002,5)="Solar",$D1002="Wind"),INDEX(Land_Use[MAX],MATCH(LEFT($D1002,5),Land_Use[Tech],0)),0)*$E1002</f>
        <v>546.57534246575347</v>
      </c>
      <c r="N1002" s="13">
        <f t="shared" si="267"/>
        <v>0</v>
      </c>
      <c r="O1002" s="13">
        <f t="shared" si="268"/>
        <v>6376.7123287671229</v>
      </c>
      <c r="P1002" s="13">
        <f t="shared" si="269"/>
        <v>637.67123287671222</v>
      </c>
      <c r="Q1002" s="13">
        <f t="shared" si="270"/>
        <v>113869.86301369862</v>
      </c>
      <c r="R1002" s="13">
        <f t="shared" si="271"/>
        <v>141.19863013698628</v>
      </c>
      <c r="S1002" s="30">
        <f t="shared" si="272"/>
        <v>0.32162426614481376</v>
      </c>
      <c r="T1002" s="30">
        <f t="shared" si="273"/>
        <v>0.26213307240704475</v>
      </c>
      <c r="U1002" s="30">
        <f t="shared" si="274"/>
        <v>0.31046966731898212</v>
      </c>
      <c r="V1002" s="30">
        <f t="shared" si="275"/>
        <v>5.2240704500978424E-2</v>
      </c>
      <c r="W1002" s="30">
        <f t="shared" si="276"/>
        <v>0.94646771037181909</v>
      </c>
      <c r="X1002" s="30">
        <f t="shared" si="277"/>
        <v>56.788062622309141</v>
      </c>
      <c r="Z1002" s="23" t="s">
        <v>76</v>
      </c>
      <c r="AA1002" s="40"/>
      <c r="AB1002" s="67"/>
      <c r="AC1002" s="67"/>
      <c r="AD1002" s="39"/>
      <c r="AE1002" s="39"/>
      <c r="AF1002" s="39"/>
      <c r="AG1002" s="68"/>
      <c r="AH1002">
        <v>14</v>
      </c>
      <c r="AI1002">
        <v>1.4</v>
      </c>
      <c r="AJ1002">
        <v>250</v>
      </c>
      <c r="AK1002">
        <v>0.31</v>
      </c>
      <c r="AL1002" s="63">
        <f>IFERROR(INDEX(Job_Training[[Solar]:[Wind]],MATCH(AL$1,Job_Training[[`Typical Entry Level Education`]:[`Typical Entry Level Education`]],0),MATCH(LEFT($D1002,5),Job_Training[[#Headers],[Solar]:[Wind]],0)),0)</f>
        <v>3.4599999999999999E-2</v>
      </c>
      <c r="AM1002" s="63">
        <f>IFERROR(INDEX(Job_Training[[Solar]:[Wind]],MATCH(AM$1,Job_Training[[`Typical Entry Level Education`]:[`Typical Entry Level Education`]],0),MATCH(LEFT($D1002,5),Job_Training[[#Headers],[Solar]:[Wind]],0)),0)</f>
        <v>2.8199999999999999E-2</v>
      </c>
      <c r="AN1002" s="63">
        <f>IFERROR(INDEX(Job_Training[[Solar]:[Wind]],MATCH(AN$1,Job_Training[[`Typical Entry Level Education`]:[`Typical Entry Level Education`]],0),MATCH(LEFT($D1002,5),Job_Training[[#Headers],[Solar]:[Wind]],0)),0)</f>
        <v>3.3399999999999999E-2</v>
      </c>
      <c r="AO1002" s="63">
        <f>IFERROR(INDEX(Job_Training[[Solar]:[Wind]],MATCH(AO$1,Job_Training[[`Typical Entry Level Education`]:[`Typical Entry Level Education`]],0),MATCH(LEFT($D1002,5),Job_Training[[#Headers],[Solar]:[Wind]],0)),0)</f>
        <v>5.62E-3</v>
      </c>
      <c r="AP1002">
        <f t="shared" si="278"/>
        <v>9.2954990215264104</v>
      </c>
      <c r="AQ1002" s="63">
        <f>IF(AP1002&gt;0,IFERROR(INDEX(Assumptions!$C$165:$D$165,MATCH(LEFT($D1002,5),Job_Training[[#Headers],[Solar]:[Wind]],0)),0),0)</f>
        <v>0.10181999999999999</v>
      </c>
      <c r="AR1002">
        <f>IF(AP1002&gt;0,IFERROR(INDEX(Assumptions!$C$166:$D$166,MATCH(LEFT($D1002,5),Job_Training[[#Headers],[Solar]:[Wind]],0)),0),0)</f>
        <v>6.1091999999999995</v>
      </c>
    </row>
    <row r="1003" spans="1:44" hidden="1" x14ac:dyDescent="0.35">
      <c r="A1003" t="str">
        <f>UserInput!$B$82</f>
        <v>Incremental Buildout</v>
      </c>
      <c r="B1003" s="23">
        <v>2039</v>
      </c>
      <c r="C1003" s="23" t="s">
        <v>78</v>
      </c>
      <c r="D1003" s="23" t="s">
        <v>97</v>
      </c>
      <c r="E1003" s="40">
        <f>SUMIFS($E$758:$E$988,$B$758:$B$988,B1003,$C$758:$C$988,C1003)*1000*Assumptions!$C$8/1000/8760/0.3</f>
        <v>139.43248532289627</v>
      </c>
      <c r="F1003" s="23" t="s">
        <v>81</v>
      </c>
      <c r="H1003" s="63"/>
      <c r="I1003" s="63"/>
      <c r="J1003" s="63"/>
      <c r="K1003" s="30">
        <f>IF(OR(LEFT($D1003,5)="Solar",$D1003="Wind"),INDEX(Land_Use[AVG],MATCH(LEFT($D1003,5),Land_Use[Tech],0)),0)*$E1003</f>
        <v>488.01369863013696</v>
      </c>
      <c r="L1003" s="30">
        <f>IF(OR(LEFT($D1003,5)="Solar",$D1003="Wind"),INDEX(Land_Use[MIN],MATCH(LEFT($D1003,5),Land_Use[Tech],0)),0)*$E1003</f>
        <v>390.41095890410952</v>
      </c>
      <c r="M1003" s="30">
        <f>IF(OR(LEFT($D1003,5)="Solar",$D1003="Wind"),INDEX(Land_Use[MAX],MATCH(LEFT($D1003,5),Land_Use[Tech],0)),0)*$E1003</f>
        <v>585.61643835616439</v>
      </c>
      <c r="N1003" s="13">
        <f t="shared" si="267"/>
        <v>0</v>
      </c>
      <c r="O1003" s="13">
        <f t="shared" si="268"/>
        <v>6832.1917808219177</v>
      </c>
      <c r="P1003" s="13">
        <f t="shared" si="269"/>
        <v>683.21917808219166</v>
      </c>
      <c r="Q1003" s="13">
        <f t="shared" si="270"/>
        <v>122003.42465753424</v>
      </c>
      <c r="R1003" s="13">
        <f t="shared" si="271"/>
        <v>151.28424657534245</v>
      </c>
      <c r="S1003" s="30">
        <f t="shared" si="272"/>
        <v>0.32162426614481376</v>
      </c>
      <c r="T1003" s="30">
        <f t="shared" si="273"/>
        <v>0.26213307240704475</v>
      </c>
      <c r="U1003" s="30">
        <f t="shared" si="274"/>
        <v>0.31046966731898212</v>
      </c>
      <c r="V1003" s="30">
        <f t="shared" si="275"/>
        <v>5.2240704500978424E-2</v>
      </c>
      <c r="W1003" s="30">
        <f t="shared" si="276"/>
        <v>0.94646771037181909</v>
      </c>
      <c r="X1003" s="30">
        <f t="shared" si="277"/>
        <v>56.788062622309141</v>
      </c>
      <c r="Z1003" s="23" t="s">
        <v>76</v>
      </c>
      <c r="AA1003" s="40"/>
      <c r="AB1003" s="67"/>
      <c r="AC1003" s="67"/>
      <c r="AD1003" s="39"/>
      <c r="AE1003" s="39"/>
      <c r="AF1003" s="39"/>
      <c r="AG1003" s="68"/>
      <c r="AH1003">
        <v>14</v>
      </c>
      <c r="AI1003">
        <v>1.4</v>
      </c>
      <c r="AJ1003">
        <v>250</v>
      </c>
      <c r="AK1003">
        <v>0.31</v>
      </c>
      <c r="AL1003" s="63">
        <f>IFERROR(INDEX(Job_Training[[Solar]:[Wind]],MATCH(AL$1,Job_Training[[`Typical Entry Level Education`]:[`Typical Entry Level Education`]],0),MATCH(LEFT($D1003,5),Job_Training[[#Headers],[Solar]:[Wind]],0)),0)</f>
        <v>3.4599999999999999E-2</v>
      </c>
      <c r="AM1003" s="63">
        <f>IFERROR(INDEX(Job_Training[[Solar]:[Wind]],MATCH(AM$1,Job_Training[[`Typical Entry Level Education`]:[`Typical Entry Level Education`]],0),MATCH(LEFT($D1003,5),Job_Training[[#Headers],[Solar]:[Wind]],0)),0)</f>
        <v>2.8199999999999999E-2</v>
      </c>
      <c r="AN1003" s="63">
        <f>IFERROR(INDEX(Job_Training[[Solar]:[Wind]],MATCH(AN$1,Job_Training[[`Typical Entry Level Education`]:[`Typical Entry Level Education`]],0),MATCH(LEFT($D1003,5),Job_Training[[#Headers],[Solar]:[Wind]],0)),0)</f>
        <v>3.3399999999999999E-2</v>
      </c>
      <c r="AO1003" s="63">
        <f>IFERROR(INDEX(Job_Training[[Solar]:[Wind]],MATCH(AO$1,Job_Training[[`Typical Entry Level Education`]:[`Typical Entry Level Education`]],0),MATCH(LEFT($D1003,5),Job_Training[[#Headers],[Solar]:[Wind]],0)),0)</f>
        <v>5.62E-3</v>
      </c>
      <c r="AP1003">
        <f t="shared" si="278"/>
        <v>9.2954990215264104</v>
      </c>
      <c r="AQ1003" s="63">
        <f>IF(AP1003&gt;0,IFERROR(INDEX(Assumptions!$C$165:$D$165,MATCH(LEFT($D1003,5),Job_Training[[#Headers],[Solar]:[Wind]],0)),0),0)</f>
        <v>0.10181999999999999</v>
      </c>
      <c r="AR1003">
        <f>IF(AP1003&gt;0,IFERROR(INDEX(Assumptions!$C$166:$D$166,MATCH(LEFT($D1003,5),Job_Training[[#Headers],[Solar]:[Wind]],0)),0),0)</f>
        <v>6.1091999999999995</v>
      </c>
    </row>
    <row r="1004" spans="1:44" hidden="1" x14ac:dyDescent="0.35">
      <c r="A1004" t="str">
        <f>UserInput!$B$82</f>
        <v>Incremental Buildout</v>
      </c>
      <c r="B1004" s="23">
        <v>2040</v>
      </c>
      <c r="C1004" s="23" t="s">
        <v>78</v>
      </c>
      <c r="D1004" s="23" t="s">
        <v>97</v>
      </c>
      <c r="E1004" s="40">
        <f>SUMIFS($E$758:$E$988,$B$758:$B$988,B1004,$C$758:$C$988,C1004)*1000*Assumptions!$C$8/1000/8760/0.3</f>
        <v>148.72798434442271</v>
      </c>
      <c r="F1004" s="23" t="s">
        <v>81</v>
      </c>
      <c r="H1004" s="63"/>
      <c r="I1004" s="63"/>
      <c r="J1004" s="63"/>
      <c r="K1004" s="30">
        <f>IF(OR(LEFT($D1004,5)="Solar",$D1004="Wind"),INDEX(Land_Use[AVG],MATCH(LEFT($D1004,5),Land_Use[Tech],0)),0)*$E1004</f>
        <v>520.54794520547944</v>
      </c>
      <c r="L1004" s="30">
        <f>IF(OR(LEFT($D1004,5)="Solar",$D1004="Wind"),INDEX(Land_Use[MIN],MATCH(LEFT($D1004,5),Land_Use[Tech],0)),0)*$E1004</f>
        <v>416.43835616438355</v>
      </c>
      <c r="M1004" s="30">
        <f>IF(OR(LEFT($D1004,5)="Solar",$D1004="Wind"),INDEX(Land_Use[MAX],MATCH(LEFT($D1004,5),Land_Use[Tech],0)),0)*$E1004</f>
        <v>624.65753424657544</v>
      </c>
      <c r="N1004" s="13">
        <f t="shared" si="267"/>
        <v>0</v>
      </c>
      <c r="O1004" s="13">
        <f t="shared" si="268"/>
        <v>7287.6712328767117</v>
      </c>
      <c r="P1004" s="13">
        <f t="shared" si="269"/>
        <v>728.76712328767121</v>
      </c>
      <c r="Q1004" s="13">
        <f t="shared" si="270"/>
        <v>130136.98630136986</v>
      </c>
      <c r="R1004" s="13">
        <f t="shared" si="271"/>
        <v>161.36986301369862</v>
      </c>
      <c r="S1004" s="30">
        <f t="shared" si="272"/>
        <v>0.32162426614481476</v>
      </c>
      <c r="T1004" s="30">
        <f t="shared" si="273"/>
        <v>0.26213307240704559</v>
      </c>
      <c r="U1004" s="30">
        <f t="shared" si="274"/>
        <v>0.31046966731898307</v>
      </c>
      <c r="V1004" s="30">
        <f t="shared" si="275"/>
        <v>5.2240704500978584E-2</v>
      </c>
      <c r="W1004" s="30">
        <f t="shared" si="276"/>
        <v>0.94646771037182198</v>
      </c>
      <c r="X1004" s="30">
        <f t="shared" si="277"/>
        <v>56.788062622309319</v>
      </c>
      <c r="Z1004" s="23" t="s">
        <v>76</v>
      </c>
      <c r="AA1004" s="40"/>
      <c r="AB1004" s="67"/>
      <c r="AC1004" s="67"/>
      <c r="AD1004" s="39"/>
      <c r="AE1004" s="39"/>
      <c r="AF1004" s="39"/>
      <c r="AG1004" s="68"/>
      <c r="AH1004">
        <v>14</v>
      </c>
      <c r="AI1004">
        <v>1.4</v>
      </c>
      <c r="AJ1004">
        <v>250</v>
      </c>
      <c r="AK1004">
        <v>0.31</v>
      </c>
      <c r="AL1004" s="63">
        <f>IFERROR(INDEX(Job_Training[[Solar]:[Wind]],MATCH(AL$1,Job_Training[[`Typical Entry Level Education`]:[`Typical Entry Level Education`]],0),MATCH(LEFT($D1004,5),Job_Training[[#Headers],[Solar]:[Wind]],0)),0)</f>
        <v>3.4599999999999999E-2</v>
      </c>
      <c r="AM1004" s="63">
        <f>IFERROR(INDEX(Job_Training[[Solar]:[Wind]],MATCH(AM$1,Job_Training[[`Typical Entry Level Education`]:[`Typical Entry Level Education`]],0),MATCH(LEFT($D1004,5),Job_Training[[#Headers],[Solar]:[Wind]],0)),0)</f>
        <v>2.8199999999999999E-2</v>
      </c>
      <c r="AN1004" s="63">
        <f>IFERROR(INDEX(Job_Training[[Solar]:[Wind]],MATCH(AN$1,Job_Training[[`Typical Entry Level Education`]:[`Typical Entry Level Education`]],0),MATCH(LEFT($D1004,5),Job_Training[[#Headers],[Solar]:[Wind]],0)),0)</f>
        <v>3.3399999999999999E-2</v>
      </c>
      <c r="AO1004" s="63">
        <f>IFERROR(INDEX(Job_Training[[Solar]:[Wind]],MATCH(AO$1,Job_Training[[`Typical Entry Level Education`]:[`Typical Entry Level Education`]],0),MATCH(LEFT($D1004,5),Job_Training[[#Headers],[Solar]:[Wind]],0)),0)</f>
        <v>5.62E-3</v>
      </c>
      <c r="AP1004">
        <f t="shared" si="278"/>
        <v>9.2954990215264388</v>
      </c>
      <c r="AQ1004" s="63">
        <f>IF(AP1004&gt;0,IFERROR(INDEX(Assumptions!$C$165:$D$165,MATCH(LEFT($D1004,5),Job_Training[[#Headers],[Solar]:[Wind]],0)),0),0)</f>
        <v>0.10181999999999999</v>
      </c>
      <c r="AR1004">
        <f>IF(AP1004&gt;0,IFERROR(INDEX(Assumptions!$C$166:$D$166,MATCH(LEFT($D1004,5),Job_Training[[#Headers],[Solar]:[Wind]],0)),0),0)</f>
        <v>6.1091999999999995</v>
      </c>
    </row>
    <row r="1005" spans="1:44" hidden="1" x14ac:dyDescent="0.35">
      <c r="A1005" t="str">
        <f>UserInput!$B$82</f>
        <v>Incremental Buildout</v>
      </c>
      <c r="B1005" s="23">
        <v>2041</v>
      </c>
      <c r="C1005" s="23" t="s">
        <v>78</v>
      </c>
      <c r="D1005" s="23" t="s">
        <v>97</v>
      </c>
      <c r="E1005" s="40">
        <f>SUMIFS($E$758:$E$988,$B$758:$B$988,B1005,$C$758:$C$988,C1005)*1000*Assumptions!$C$8/1000/8760/0.3</f>
        <v>158.02348336594912</v>
      </c>
      <c r="F1005" s="23" t="s">
        <v>81</v>
      </c>
      <c r="H1005" s="63"/>
      <c r="I1005" s="63"/>
      <c r="J1005" s="63"/>
      <c r="K1005" s="30">
        <f>IF(OR(LEFT($D1005,5)="Solar",$D1005="Wind"),INDEX(Land_Use[AVG],MATCH(LEFT($D1005,5),Land_Use[Tech],0)),0)*$E1005</f>
        <v>553.08219178082186</v>
      </c>
      <c r="L1005" s="30">
        <f>IF(OR(LEFT($D1005,5)="Solar",$D1005="Wind"),INDEX(Land_Use[MIN],MATCH(LEFT($D1005,5),Land_Use[Tech],0)),0)*$E1005</f>
        <v>442.46575342465752</v>
      </c>
      <c r="M1005" s="30">
        <f>IF(OR(LEFT($D1005,5)="Solar",$D1005="Wind"),INDEX(Land_Use[MAX],MATCH(LEFT($D1005,5),Land_Use[Tech],0)),0)*$E1005</f>
        <v>663.69863013698637</v>
      </c>
      <c r="N1005" s="13">
        <f t="shared" si="267"/>
        <v>0</v>
      </c>
      <c r="O1005" s="13">
        <f t="shared" si="268"/>
        <v>7743.1506849315065</v>
      </c>
      <c r="P1005" s="13">
        <f t="shared" si="269"/>
        <v>774.31506849315053</v>
      </c>
      <c r="Q1005" s="13">
        <f t="shared" si="270"/>
        <v>138270.54794520547</v>
      </c>
      <c r="R1005" s="13">
        <f t="shared" si="271"/>
        <v>171.45547945205479</v>
      </c>
      <c r="S1005" s="30">
        <f t="shared" si="272"/>
        <v>0.32162426614481376</v>
      </c>
      <c r="T1005" s="30">
        <f t="shared" si="273"/>
        <v>0.26213307240704475</v>
      </c>
      <c r="U1005" s="30">
        <f t="shared" si="274"/>
        <v>0.31046966731898212</v>
      </c>
      <c r="V1005" s="30">
        <f t="shared" si="275"/>
        <v>5.2240704500978424E-2</v>
      </c>
      <c r="W1005" s="30">
        <f t="shared" si="276"/>
        <v>0.94646771037181909</v>
      </c>
      <c r="X1005" s="30">
        <f t="shared" si="277"/>
        <v>56.788062622309141</v>
      </c>
      <c r="Z1005" s="23" t="s">
        <v>76</v>
      </c>
      <c r="AA1005" s="40"/>
      <c r="AB1005" s="67"/>
      <c r="AC1005" s="67"/>
      <c r="AD1005" s="39"/>
      <c r="AE1005" s="39"/>
      <c r="AF1005" s="39"/>
      <c r="AG1005" s="68"/>
      <c r="AH1005">
        <v>14</v>
      </c>
      <c r="AI1005">
        <v>1.4</v>
      </c>
      <c r="AJ1005">
        <v>250</v>
      </c>
      <c r="AK1005">
        <v>0.31</v>
      </c>
      <c r="AL1005" s="63">
        <f>IFERROR(INDEX(Job_Training[[Solar]:[Wind]],MATCH(AL$1,Job_Training[[`Typical Entry Level Education`]:[`Typical Entry Level Education`]],0),MATCH(LEFT($D1005,5),Job_Training[[#Headers],[Solar]:[Wind]],0)),0)</f>
        <v>3.4599999999999999E-2</v>
      </c>
      <c r="AM1005" s="63">
        <f>IFERROR(INDEX(Job_Training[[Solar]:[Wind]],MATCH(AM$1,Job_Training[[`Typical Entry Level Education`]:[`Typical Entry Level Education`]],0),MATCH(LEFT($D1005,5),Job_Training[[#Headers],[Solar]:[Wind]],0)),0)</f>
        <v>2.8199999999999999E-2</v>
      </c>
      <c r="AN1005" s="63">
        <f>IFERROR(INDEX(Job_Training[[Solar]:[Wind]],MATCH(AN$1,Job_Training[[`Typical Entry Level Education`]:[`Typical Entry Level Education`]],0),MATCH(LEFT($D1005,5),Job_Training[[#Headers],[Solar]:[Wind]],0)),0)</f>
        <v>3.3399999999999999E-2</v>
      </c>
      <c r="AO1005" s="63">
        <f>IFERROR(INDEX(Job_Training[[Solar]:[Wind]],MATCH(AO$1,Job_Training[[`Typical Entry Level Education`]:[`Typical Entry Level Education`]],0),MATCH(LEFT($D1005,5),Job_Training[[#Headers],[Solar]:[Wind]],0)),0)</f>
        <v>5.62E-3</v>
      </c>
      <c r="AP1005">
        <f t="shared" si="278"/>
        <v>9.2954990215264104</v>
      </c>
      <c r="AQ1005" s="63">
        <f>IF(AP1005&gt;0,IFERROR(INDEX(Assumptions!$C$165:$D$165,MATCH(LEFT($D1005,5),Job_Training[[#Headers],[Solar]:[Wind]],0)),0),0)</f>
        <v>0.10181999999999999</v>
      </c>
      <c r="AR1005">
        <f>IF(AP1005&gt;0,IFERROR(INDEX(Assumptions!$C$166:$D$166,MATCH(LEFT($D1005,5),Job_Training[[#Headers],[Solar]:[Wind]],0)),0),0)</f>
        <v>6.1091999999999995</v>
      </c>
    </row>
    <row r="1006" spans="1:44" hidden="1" x14ac:dyDescent="0.35">
      <c r="A1006" t="str">
        <f>UserInput!$B$82</f>
        <v>Incremental Buildout</v>
      </c>
      <c r="B1006" s="23">
        <v>2042</v>
      </c>
      <c r="C1006" s="23" t="s">
        <v>78</v>
      </c>
      <c r="D1006" s="23" t="s">
        <v>97</v>
      </c>
      <c r="E1006" s="40">
        <f>SUMIFS($E$758:$E$988,$B$758:$B$988,B1006,$C$758:$C$988,C1006)*1000*Assumptions!$C$8/1000/8760/0.3</f>
        <v>167.31898238747556</v>
      </c>
      <c r="F1006" s="23" t="s">
        <v>81</v>
      </c>
      <c r="H1006" s="63"/>
      <c r="I1006" s="63"/>
      <c r="J1006" s="63"/>
      <c r="K1006" s="30">
        <f>IF(OR(LEFT($D1006,5)="Solar",$D1006="Wind"),INDEX(Land_Use[AVG],MATCH(LEFT($D1006,5),Land_Use[Tech],0)),0)*$E1006</f>
        <v>585.61643835616451</v>
      </c>
      <c r="L1006" s="30">
        <f>IF(OR(LEFT($D1006,5)="Solar",$D1006="Wind"),INDEX(Land_Use[MIN],MATCH(LEFT($D1006,5),Land_Use[Tech],0)),0)*$E1006</f>
        <v>468.49315068493155</v>
      </c>
      <c r="M1006" s="30">
        <f>IF(OR(LEFT($D1006,5)="Solar",$D1006="Wind"),INDEX(Land_Use[MAX],MATCH(LEFT($D1006,5),Land_Use[Tech],0)),0)*$E1006</f>
        <v>702.73972602739741</v>
      </c>
      <c r="N1006" s="13">
        <f t="shared" si="267"/>
        <v>0</v>
      </c>
      <c r="O1006" s="13">
        <f t="shared" si="268"/>
        <v>8198.6301369863031</v>
      </c>
      <c r="P1006" s="13">
        <f t="shared" si="269"/>
        <v>819.86301369863031</v>
      </c>
      <c r="Q1006" s="13">
        <f t="shared" si="270"/>
        <v>146404.10958904112</v>
      </c>
      <c r="R1006" s="13">
        <f t="shared" si="271"/>
        <v>181.54109589041099</v>
      </c>
      <c r="S1006" s="30">
        <f t="shared" si="272"/>
        <v>0.32162426614481476</v>
      </c>
      <c r="T1006" s="30">
        <f t="shared" si="273"/>
        <v>0.26213307240704559</v>
      </c>
      <c r="U1006" s="30">
        <f t="shared" si="274"/>
        <v>0.31046966731898307</v>
      </c>
      <c r="V1006" s="30">
        <f t="shared" si="275"/>
        <v>5.2240704500978584E-2</v>
      </c>
      <c r="W1006" s="30">
        <f t="shared" si="276"/>
        <v>0.94646771037182198</v>
      </c>
      <c r="X1006" s="30">
        <f t="shared" si="277"/>
        <v>56.788062622309319</v>
      </c>
      <c r="Z1006" s="23" t="s">
        <v>76</v>
      </c>
      <c r="AA1006" s="40"/>
      <c r="AB1006" s="67"/>
      <c r="AC1006" s="67"/>
      <c r="AD1006" s="39"/>
      <c r="AE1006" s="39"/>
      <c r="AF1006" s="39"/>
      <c r="AG1006" s="68"/>
      <c r="AH1006">
        <v>14</v>
      </c>
      <c r="AI1006">
        <v>1.4</v>
      </c>
      <c r="AJ1006">
        <v>250</v>
      </c>
      <c r="AK1006">
        <v>0.31</v>
      </c>
      <c r="AL1006" s="63">
        <f>IFERROR(INDEX(Job_Training[[Solar]:[Wind]],MATCH(AL$1,Job_Training[[`Typical Entry Level Education`]:[`Typical Entry Level Education`]],0),MATCH(LEFT($D1006,5),Job_Training[[#Headers],[Solar]:[Wind]],0)),0)</f>
        <v>3.4599999999999999E-2</v>
      </c>
      <c r="AM1006" s="63">
        <f>IFERROR(INDEX(Job_Training[[Solar]:[Wind]],MATCH(AM$1,Job_Training[[`Typical Entry Level Education`]:[`Typical Entry Level Education`]],0),MATCH(LEFT($D1006,5),Job_Training[[#Headers],[Solar]:[Wind]],0)),0)</f>
        <v>2.8199999999999999E-2</v>
      </c>
      <c r="AN1006" s="63">
        <f>IFERROR(INDEX(Job_Training[[Solar]:[Wind]],MATCH(AN$1,Job_Training[[`Typical Entry Level Education`]:[`Typical Entry Level Education`]],0),MATCH(LEFT($D1006,5),Job_Training[[#Headers],[Solar]:[Wind]],0)),0)</f>
        <v>3.3399999999999999E-2</v>
      </c>
      <c r="AO1006" s="63">
        <f>IFERROR(INDEX(Job_Training[[Solar]:[Wind]],MATCH(AO$1,Job_Training[[`Typical Entry Level Education`]:[`Typical Entry Level Education`]],0),MATCH(LEFT($D1006,5),Job_Training[[#Headers],[Solar]:[Wind]],0)),0)</f>
        <v>5.62E-3</v>
      </c>
      <c r="AP1006">
        <f t="shared" si="278"/>
        <v>9.2954990215264388</v>
      </c>
      <c r="AQ1006" s="63">
        <f>IF(AP1006&gt;0,IFERROR(INDEX(Assumptions!$C$165:$D$165,MATCH(LEFT($D1006,5),Job_Training[[#Headers],[Solar]:[Wind]],0)),0),0)</f>
        <v>0.10181999999999999</v>
      </c>
      <c r="AR1006">
        <f>IF(AP1006&gt;0,IFERROR(INDEX(Assumptions!$C$166:$D$166,MATCH(LEFT($D1006,5),Job_Training[[#Headers],[Solar]:[Wind]],0)),0),0)</f>
        <v>6.1091999999999995</v>
      </c>
    </row>
    <row r="1007" spans="1:44" hidden="1" x14ac:dyDescent="0.35">
      <c r="A1007" t="str">
        <f>UserInput!$B$82</f>
        <v>Incremental Buildout</v>
      </c>
      <c r="B1007" s="23">
        <v>2043</v>
      </c>
      <c r="C1007" s="23" t="s">
        <v>78</v>
      </c>
      <c r="D1007" s="23" t="s">
        <v>97</v>
      </c>
      <c r="E1007" s="40">
        <f>SUMIFS($E$758:$E$988,$B$758:$B$988,B1007,$C$758:$C$988,C1007)*1000*Assumptions!$C$8/1000/8760/0.3</f>
        <v>176.61448140900202</v>
      </c>
      <c r="F1007" s="23" t="s">
        <v>81</v>
      </c>
      <c r="H1007" s="63"/>
      <c r="I1007" s="63"/>
      <c r="J1007" s="63"/>
      <c r="K1007" s="30">
        <f>IF(OR(LEFT($D1007,5)="Solar",$D1007="Wind"),INDEX(Land_Use[AVG],MATCH(LEFT($D1007,5),Land_Use[Tech],0)),0)*$E1007</f>
        <v>618.15068493150704</v>
      </c>
      <c r="L1007" s="30">
        <f>IF(OR(LEFT($D1007,5)="Solar",$D1007="Wind"),INDEX(Land_Use[MIN],MATCH(LEFT($D1007,5),Land_Use[Tech],0)),0)*$E1007</f>
        <v>494.52054794520564</v>
      </c>
      <c r="M1007" s="30">
        <f>IF(OR(LEFT($D1007,5)="Solar",$D1007="Wind"),INDEX(Land_Use[MAX],MATCH(LEFT($D1007,5),Land_Use[Tech],0)),0)*$E1007</f>
        <v>741.78082191780857</v>
      </c>
      <c r="N1007" s="13">
        <f t="shared" si="267"/>
        <v>0</v>
      </c>
      <c r="O1007" s="13">
        <f t="shared" si="268"/>
        <v>8654.1095890410979</v>
      </c>
      <c r="P1007" s="13">
        <f t="shared" si="269"/>
        <v>865.41095890410986</v>
      </c>
      <c r="Q1007" s="13">
        <f t="shared" si="270"/>
        <v>154537.67123287678</v>
      </c>
      <c r="R1007" s="13">
        <f t="shared" si="271"/>
        <v>191.62671232876718</v>
      </c>
      <c r="S1007" s="30">
        <f t="shared" si="272"/>
        <v>0.32162426614481576</v>
      </c>
      <c r="T1007" s="30">
        <f t="shared" si="273"/>
        <v>0.26213307240704636</v>
      </c>
      <c r="U1007" s="30">
        <f t="shared" si="274"/>
        <v>0.31046966731898401</v>
      </c>
      <c r="V1007" s="30">
        <f t="shared" si="275"/>
        <v>5.2240704500978744E-2</v>
      </c>
      <c r="W1007" s="30">
        <f t="shared" si="276"/>
        <v>0.94646771037182487</v>
      </c>
      <c r="X1007" s="30">
        <f t="shared" si="277"/>
        <v>56.788062622309489</v>
      </c>
      <c r="Z1007" s="23" t="s">
        <v>76</v>
      </c>
      <c r="AA1007" s="40"/>
      <c r="AB1007" s="67"/>
      <c r="AC1007" s="67"/>
      <c r="AD1007" s="39"/>
      <c r="AE1007" s="39"/>
      <c r="AF1007" s="39"/>
      <c r="AG1007" s="68"/>
      <c r="AH1007">
        <v>14</v>
      </c>
      <c r="AI1007">
        <v>1.4</v>
      </c>
      <c r="AJ1007">
        <v>250</v>
      </c>
      <c r="AK1007">
        <v>0.31</v>
      </c>
      <c r="AL1007" s="63">
        <f>IFERROR(INDEX(Job_Training[[Solar]:[Wind]],MATCH(AL$1,Job_Training[[`Typical Entry Level Education`]:[`Typical Entry Level Education`]],0),MATCH(LEFT($D1007,5),Job_Training[[#Headers],[Solar]:[Wind]],0)),0)</f>
        <v>3.4599999999999999E-2</v>
      </c>
      <c r="AM1007" s="63">
        <f>IFERROR(INDEX(Job_Training[[Solar]:[Wind]],MATCH(AM$1,Job_Training[[`Typical Entry Level Education`]:[`Typical Entry Level Education`]],0),MATCH(LEFT($D1007,5),Job_Training[[#Headers],[Solar]:[Wind]],0)),0)</f>
        <v>2.8199999999999999E-2</v>
      </c>
      <c r="AN1007" s="63">
        <f>IFERROR(INDEX(Job_Training[[Solar]:[Wind]],MATCH(AN$1,Job_Training[[`Typical Entry Level Education`]:[`Typical Entry Level Education`]],0),MATCH(LEFT($D1007,5),Job_Training[[#Headers],[Solar]:[Wind]],0)),0)</f>
        <v>3.3399999999999999E-2</v>
      </c>
      <c r="AO1007" s="63">
        <f>IFERROR(INDEX(Job_Training[[Solar]:[Wind]],MATCH(AO$1,Job_Training[[`Typical Entry Level Education`]:[`Typical Entry Level Education`]],0),MATCH(LEFT($D1007,5),Job_Training[[#Headers],[Solar]:[Wind]],0)),0)</f>
        <v>5.62E-3</v>
      </c>
      <c r="AP1007">
        <f t="shared" si="278"/>
        <v>9.2954990215264672</v>
      </c>
      <c r="AQ1007" s="63">
        <f>IF(AP1007&gt;0,IFERROR(INDEX(Assumptions!$C$165:$D$165,MATCH(LEFT($D1007,5),Job_Training[[#Headers],[Solar]:[Wind]],0)),0),0)</f>
        <v>0.10181999999999999</v>
      </c>
      <c r="AR1007">
        <f>IF(AP1007&gt;0,IFERROR(INDEX(Assumptions!$C$166:$D$166,MATCH(LEFT($D1007,5),Job_Training[[#Headers],[Solar]:[Wind]],0)),0),0)</f>
        <v>6.1091999999999995</v>
      </c>
    </row>
    <row r="1008" spans="1:44" hidden="1" x14ac:dyDescent="0.35">
      <c r="A1008" t="str">
        <f>UserInput!$B$82</f>
        <v>Incremental Buildout</v>
      </c>
      <c r="B1008" s="23">
        <v>2044</v>
      </c>
      <c r="C1008" s="23" t="s">
        <v>78</v>
      </c>
      <c r="D1008" s="23" t="s">
        <v>97</v>
      </c>
      <c r="E1008" s="40">
        <f>SUMIFS($E$758:$E$988,$B$758:$B$988,B1008,$C$758:$C$988,C1008)*1000*Assumptions!$C$8/1000/8760/0.3</f>
        <v>185.90998043052841</v>
      </c>
      <c r="F1008" s="23" t="s">
        <v>81</v>
      </c>
      <c r="H1008" s="63"/>
      <c r="I1008" s="63"/>
      <c r="J1008" s="63"/>
      <c r="K1008" s="30">
        <f>IF(OR(LEFT($D1008,5)="Solar",$D1008="Wind"),INDEX(Land_Use[AVG],MATCH(LEFT($D1008,5),Land_Use[Tech],0)),0)*$E1008</f>
        <v>650.68493150684947</v>
      </c>
      <c r="L1008" s="30">
        <f>IF(OR(LEFT($D1008,5)="Solar",$D1008="Wind"),INDEX(Land_Use[MIN],MATCH(LEFT($D1008,5),Land_Use[Tech],0)),0)*$E1008</f>
        <v>520.54794520547955</v>
      </c>
      <c r="M1008" s="30">
        <f>IF(OR(LEFT($D1008,5)="Solar",$D1008="Wind"),INDEX(Land_Use[MAX],MATCH(LEFT($D1008,5),Land_Use[Tech],0)),0)*$E1008</f>
        <v>780.82191780821938</v>
      </c>
      <c r="N1008" s="13">
        <f t="shared" si="267"/>
        <v>0</v>
      </c>
      <c r="O1008" s="13">
        <f t="shared" si="268"/>
        <v>9109.5890410958928</v>
      </c>
      <c r="P1008" s="13">
        <f t="shared" si="269"/>
        <v>910.95890410958918</v>
      </c>
      <c r="Q1008" s="13">
        <f t="shared" si="270"/>
        <v>162671.23287671237</v>
      </c>
      <c r="R1008" s="13">
        <f t="shared" si="271"/>
        <v>201.71232876712332</v>
      </c>
      <c r="S1008" s="30">
        <f t="shared" si="272"/>
        <v>0.32162426614481282</v>
      </c>
      <c r="T1008" s="30">
        <f t="shared" si="273"/>
        <v>0.26213307240704398</v>
      </c>
      <c r="U1008" s="30">
        <f t="shared" si="274"/>
        <v>0.31046966731898112</v>
      </c>
      <c r="V1008" s="30">
        <f t="shared" si="275"/>
        <v>5.2240704500978265E-2</v>
      </c>
      <c r="W1008" s="30">
        <f t="shared" si="276"/>
        <v>0.94646771037181621</v>
      </c>
      <c r="X1008" s="30">
        <f t="shared" si="277"/>
        <v>56.788062622308971</v>
      </c>
      <c r="Z1008" s="23" t="s">
        <v>76</v>
      </c>
      <c r="AA1008" s="40"/>
      <c r="AB1008" s="67"/>
      <c r="AC1008" s="67"/>
      <c r="AD1008" s="39"/>
      <c r="AE1008" s="39"/>
      <c r="AF1008" s="39"/>
      <c r="AG1008" s="68"/>
      <c r="AH1008">
        <v>14</v>
      </c>
      <c r="AI1008">
        <v>1.4</v>
      </c>
      <c r="AJ1008">
        <v>250</v>
      </c>
      <c r="AK1008">
        <v>0.31</v>
      </c>
      <c r="AL1008" s="63">
        <f>IFERROR(INDEX(Job_Training[[Solar]:[Wind]],MATCH(AL$1,Job_Training[[`Typical Entry Level Education`]:[`Typical Entry Level Education`]],0),MATCH(LEFT($D1008,5),Job_Training[[#Headers],[Solar]:[Wind]],0)),0)</f>
        <v>3.4599999999999999E-2</v>
      </c>
      <c r="AM1008" s="63">
        <f>IFERROR(INDEX(Job_Training[[Solar]:[Wind]],MATCH(AM$1,Job_Training[[`Typical Entry Level Education`]:[`Typical Entry Level Education`]],0),MATCH(LEFT($D1008,5),Job_Training[[#Headers],[Solar]:[Wind]],0)),0)</f>
        <v>2.8199999999999999E-2</v>
      </c>
      <c r="AN1008" s="63">
        <f>IFERROR(INDEX(Job_Training[[Solar]:[Wind]],MATCH(AN$1,Job_Training[[`Typical Entry Level Education`]:[`Typical Entry Level Education`]],0),MATCH(LEFT($D1008,5),Job_Training[[#Headers],[Solar]:[Wind]],0)),0)</f>
        <v>3.3399999999999999E-2</v>
      </c>
      <c r="AO1008" s="63">
        <f>IFERROR(INDEX(Job_Training[[Solar]:[Wind]],MATCH(AO$1,Job_Training[[`Typical Entry Level Education`]:[`Typical Entry Level Education`]],0),MATCH(LEFT($D1008,5),Job_Training[[#Headers],[Solar]:[Wind]],0)),0)</f>
        <v>5.62E-3</v>
      </c>
      <c r="AP1008">
        <f t="shared" si="278"/>
        <v>9.295499021526382</v>
      </c>
      <c r="AQ1008" s="63">
        <f>IF(AP1008&gt;0,IFERROR(INDEX(Assumptions!$C$165:$D$165,MATCH(LEFT($D1008,5),Job_Training[[#Headers],[Solar]:[Wind]],0)),0),0)</f>
        <v>0.10181999999999999</v>
      </c>
      <c r="AR1008">
        <f>IF(AP1008&gt;0,IFERROR(INDEX(Assumptions!$C$166:$D$166,MATCH(LEFT($D1008,5),Job_Training[[#Headers],[Solar]:[Wind]],0)),0),0)</f>
        <v>6.1091999999999995</v>
      </c>
    </row>
    <row r="1009" spans="1:44" hidden="1" x14ac:dyDescent="0.35">
      <c r="A1009" t="str">
        <f>UserInput!$B$82</f>
        <v>Incremental Buildout</v>
      </c>
      <c r="B1009" s="23">
        <v>2045</v>
      </c>
      <c r="C1009" s="23" t="s">
        <v>78</v>
      </c>
      <c r="D1009" s="23" t="s">
        <v>97</v>
      </c>
      <c r="E1009" s="40">
        <f>SUMIFS($E$758:$E$988,$B$758:$B$988,B1009,$C$758:$C$988,C1009)*1000*Assumptions!$C$8/1000/8760/0.3</f>
        <v>195.20547945205479</v>
      </c>
      <c r="F1009" s="23" t="s">
        <v>81</v>
      </c>
      <c r="H1009" s="63"/>
      <c r="I1009" s="63"/>
      <c r="J1009" s="63"/>
      <c r="K1009" s="30">
        <f>IF(OR(LEFT($D1009,5)="Solar",$D1009="Wind"),INDEX(Land_Use[AVG],MATCH(LEFT($D1009,5),Land_Use[Tech],0)),0)*$E1009</f>
        <v>683.21917808219177</v>
      </c>
      <c r="L1009" s="30">
        <f>IF(OR(LEFT($D1009,5)="Solar",$D1009="Wind"),INDEX(Land_Use[MIN],MATCH(LEFT($D1009,5),Land_Use[Tech],0)),0)*$E1009</f>
        <v>546.57534246575335</v>
      </c>
      <c r="M1009" s="30">
        <f>IF(OR(LEFT($D1009,5)="Solar",$D1009="Wind"),INDEX(Land_Use[MAX],MATCH(LEFT($D1009,5),Land_Use[Tech],0)),0)*$E1009</f>
        <v>819.8630136986302</v>
      </c>
      <c r="N1009" s="13">
        <f t="shared" si="267"/>
        <v>0</v>
      </c>
      <c r="O1009" s="13">
        <f t="shared" si="268"/>
        <v>9565.0684931506839</v>
      </c>
      <c r="P1009" s="13">
        <f t="shared" si="269"/>
        <v>956.50684931506839</v>
      </c>
      <c r="Q1009" s="13">
        <f t="shared" si="270"/>
        <v>170804.79452054793</v>
      </c>
      <c r="R1009" s="13">
        <f t="shared" si="271"/>
        <v>211.79794520547944</v>
      </c>
      <c r="S1009" s="30">
        <f t="shared" si="272"/>
        <v>0.32162426614481282</v>
      </c>
      <c r="T1009" s="30">
        <f t="shared" si="273"/>
        <v>0.26213307240704398</v>
      </c>
      <c r="U1009" s="30">
        <f t="shared" si="274"/>
        <v>0.31046966731898112</v>
      </c>
      <c r="V1009" s="30">
        <f t="shared" si="275"/>
        <v>5.2240704500978265E-2</v>
      </c>
      <c r="W1009" s="30">
        <f t="shared" si="276"/>
        <v>0.94646771037181621</v>
      </c>
      <c r="X1009" s="30">
        <f t="shared" si="277"/>
        <v>56.788062622308971</v>
      </c>
      <c r="Z1009" s="23" t="s">
        <v>76</v>
      </c>
      <c r="AA1009" s="40"/>
      <c r="AB1009" s="67"/>
      <c r="AC1009" s="67"/>
      <c r="AD1009" s="39"/>
      <c r="AE1009" s="39"/>
      <c r="AF1009" s="39"/>
      <c r="AG1009" s="68"/>
      <c r="AH1009">
        <v>14</v>
      </c>
      <c r="AI1009">
        <v>1.4</v>
      </c>
      <c r="AJ1009">
        <v>250</v>
      </c>
      <c r="AK1009">
        <v>0.31</v>
      </c>
      <c r="AL1009" s="63">
        <f>IFERROR(INDEX(Job_Training[[Solar]:[Wind]],MATCH(AL$1,Job_Training[[`Typical Entry Level Education`]:[`Typical Entry Level Education`]],0),MATCH(LEFT($D1009,5),Job_Training[[#Headers],[Solar]:[Wind]],0)),0)</f>
        <v>3.4599999999999999E-2</v>
      </c>
      <c r="AM1009" s="63">
        <f>IFERROR(INDEX(Job_Training[[Solar]:[Wind]],MATCH(AM$1,Job_Training[[`Typical Entry Level Education`]:[`Typical Entry Level Education`]],0),MATCH(LEFT($D1009,5),Job_Training[[#Headers],[Solar]:[Wind]],0)),0)</f>
        <v>2.8199999999999999E-2</v>
      </c>
      <c r="AN1009" s="63">
        <f>IFERROR(INDEX(Job_Training[[Solar]:[Wind]],MATCH(AN$1,Job_Training[[`Typical Entry Level Education`]:[`Typical Entry Level Education`]],0),MATCH(LEFT($D1009,5),Job_Training[[#Headers],[Solar]:[Wind]],0)),0)</f>
        <v>3.3399999999999999E-2</v>
      </c>
      <c r="AO1009" s="63">
        <f>IFERROR(INDEX(Job_Training[[Solar]:[Wind]],MATCH(AO$1,Job_Training[[`Typical Entry Level Education`]:[`Typical Entry Level Education`]],0),MATCH(LEFT($D1009,5),Job_Training[[#Headers],[Solar]:[Wind]],0)),0)</f>
        <v>5.62E-3</v>
      </c>
      <c r="AP1009">
        <f t="shared" si="278"/>
        <v>9.295499021526382</v>
      </c>
      <c r="AQ1009" s="63">
        <f>IF(AP1009&gt;0,IFERROR(INDEX(Assumptions!$C$165:$D$165,MATCH(LEFT($D1009,5),Job_Training[[#Headers],[Solar]:[Wind]],0)),0),0)</f>
        <v>0.10181999999999999</v>
      </c>
      <c r="AR1009">
        <f>IF(AP1009&gt;0,IFERROR(INDEX(Assumptions!$C$166:$D$166,MATCH(LEFT($D1009,5),Job_Training[[#Headers],[Solar]:[Wind]],0)),0),0)</f>
        <v>6.1091999999999995</v>
      </c>
    </row>
    <row r="1013" spans="1:44" x14ac:dyDescent="0.35">
      <c r="K1013">
        <f>L253/E43</f>
        <v>5.4657534246575344E-2</v>
      </c>
    </row>
    <row r="1015" spans="1:44" x14ac:dyDescent="0.35">
      <c r="K1015">
        <f>M505/E295</f>
        <v>8.1986301369863013E-2</v>
      </c>
    </row>
  </sheetData>
  <autoFilter ref="A1:AR1009" xr:uid="{B00E0496-DAB9-4AFC-95A6-7D74F8F7E847}">
    <filterColumn colId="0">
      <filters>
        <filter val="Current Projects"/>
      </filters>
    </filterColumn>
  </autoFilter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0453-4D86-4223-8398-7D259302C3FA}">
  <dimension ref="A1:T506"/>
  <sheetViews>
    <sheetView zoomScale="68" zoomScaleNormal="85" workbookViewId="0">
      <selection activeCell="L129" sqref="L129"/>
    </sheetView>
  </sheetViews>
  <sheetFormatPr defaultColWidth="8.83203125" defaultRowHeight="15.5" x14ac:dyDescent="0.35"/>
  <cols>
    <col min="4" max="4" width="17.5" customWidth="1"/>
    <col min="5" max="5" width="14.83203125" customWidth="1"/>
    <col min="6" max="6" width="23.08203125" bestFit="1" customWidth="1"/>
    <col min="7" max="7" width="14.83203125" customWidth="1"/>
    <col min="8" max="8" width="15.83203125" style="13" customWidth="1"/>
    <col min="9" max="11" width="14.83203125" customWidth="1"/>
    <col min="12" max="14" width="19" customWidth="1"/>
    <col min="15" max="17" width="14.83203125" customWidth="1"/>
    <col min="18" max="18" width="21" hidden="1" customWidth="1"/>
    <col min="19" max="19" width="17.5" customWidth="1"/>
    <col min="20" max="20" width="20.33203125" customWidth="1"/>
    <col min="21" max="21" width="19.08203125" customWidth="1"/>
    <col min="22" max="22" width="19.58203125" customWidth="1"/>
    <col min="23" max="23" width="21.58203125" customWidth="1"/>
  </cols>
  <sheetData>
    <row r="1" spans="1:20" x14ac:dyDescent="0.35">
      <c r="O1" s="31"/>
    </row>
    <row r="2" spans="1:20" ht="145.5" customHeight="1" x14ac:dyDescent="0.35">
      <c r="A2" t="s">
        <v>62</v>
      </c>
      <c r="B2" t="s">
        <v>0</v>
      </c>
      <c r="C2" t="s">
        <v>42</v>
      </c>
      <c r="D2" t="s">
        <v>43</v>
      </c>
      <c r="E2" s="16" t="s">
        <v>44</v>
      </c>
      <c r="F2" s="16" t="s">
        <v>45</v>
      </c>
      <c r="G2" s="16" t="s">
        <v>98</v>
      </c>
      <c r="H2" s="62" t="s">
        <v>63</v>
      </c>
      <c r="I2" s="16" t="s">
        <v>65</v>
      </c>
      <c r="J2" s="16" t="s">
        <v>66</v>
      </c>
      <c r="K2" s="16" t="s">
        <v>67</v>
      </c>
      <c r="L2" s="28" t="s">
        <v>99</v>
      </c>
      <c r="M2" s="28" t="s">
        <v>100</v>
      </c>
      <c r="N2" s="28" t="s">
        <v>101</v>
      </c>
      <c r="O2" s="64" t="s">
        <v>102</v>
      </c>
      <c r="P2" s="64" t="s">
        <v>103</v>
      </c>
      <c r="Q2" s="64" t="s">
        <v>104</v>
      </c>
      <c r="R2" s="16" t="s">
        <v>68</v>
      </c>
      <c r="S2" s="65" t="s">
        <v>105</v>
      </c>
      <c r="T2" s="16"/>
    </row>
    <row r="3" spans="1:20" x14ac:dyDescent="0.35">
      <c r="A3" t="s">
        <v>76</v>
      </c>
      <c r="B3">
        <v>2025</v>
      </c>
      <c r="C3" s="16" t="s">
        <v>73</v>
      </c>
      <c r="D3" t="s">
        <v>74</v>
      </c>
      <c r="E3" s="14">
        <f>SUMIFS(Hydrogen!$AD:$AD,Hydrogen!$Y:$Y,$D3,Hydrogen!$AB:$AB,Predev_Scenarios!$B3,Hydrogen!$AA:$AA,$A3)</f>
        <v>0</v>
      </c>
      <c r="F3" s="14" t="s">
        <v>106</v>
      </c>
      <c r="G3" s="14">
        <f>SUMIFS(Hydrogen!$AC:$AC,Hydrogen!$Y:$Y,$D3,Hydrogen!$AB:$AB,Predev_Scenarios!$B3,Hydrogen!$AA:$AA,$A3)</f>
        <v>0</v>
      </c>
      <c r="H3" s="13" t="str">
        <f>IF(C3="Electricity",E3*SUMIFS(Electricity!S:S,Electricity!P:P,Predev_Scenarios!B3,Electricity!M:M,Predev_Scenarios!A3,Electricity!O:O,Predev_Scenarios!D3),"")</f>
        <v/>
      </c>
      <c r="I3" s="12">
        <f>SUMIFS(Hydrogen!AK:AK,Hydrogen!$AA:$AA,Predev_Scenarios!$A3,Hydrogen!$Y:$Y,Predev_Scenarios!$D3,Hydrogen!$AB:$AB,Predev_Scenarios!$B3,Hydrogen!$Z:$Z,Predev_Scenarios!$C3)</f>
        <v>-25.962263497910243</v>
      </c>
      <c r="J3" s="12">
        <f>SUMIFS(Hydrogen!AL:AL,Hydrogen!$AA:$AA,Predev_Scenarios!$A3,Hydrogen!$Y:$Y,Predev_Scenarios!$D3,Hydrogen!$AB:$AB,Predev_Scenarios!$B3,Hydrogen!$Z:$Z,Predev_Scenarios!$C3)</f>
        <v>-24.871817180742241</v>
      </c>
      <c r="K3" s="12">
        <f>SUMIFS(Hydrogen!AM:AM,Hydrogen!$AA:$AA,Predev_Scenarios!$A3,Hydrogen!$Y:$Y,Predev_Scenarios!$D3,Hydrogen!$AB:$AB,Predev_Scenarios!$B3,Hydrogen!$Z:$Z,Predev_Scenarios!$C3)</f>
        <v>-27.052709815078245</v>
      </c>
      <c r="L3" s="63">
        <f>IF($C3="Electricity",$H3/1000000000000,$G3)*I3*-1</f>
        <v>0</v>
      </c>
      <c r="M3" s="63">
        <f t="shared" ref="M3:N3" si="0">IF($C3="Electricity",$H3/1000000000000,$G3)*J3*-1</f>
        <v>0</v>
      </c>
      <c r="N3" s="63">
        <f t="shared" si="0"/>
        <v>0</v>
      </c>
      <c r="O3" s="30">
        <f>IF(OR(LEFT($D3,5)="Solar",$D3="Wind"),INDEX(Land_Use[AVG],MATCH(LEFT($D3,5),Land_Use[Tech],0)),0)*$E3</f>
        <v>0</v>
      </c>
      <c r="P3" s="30">
        <f>IF(OR(LEFT($D3,5)="Solar",$D3="Wind"),INDEX(Land_Use[MIN],MATCH(LEFT($D3,5),Land_Use[Tech],0)),0)*$E3</f>
        <v>0</v>
      </c>
      <c r="Q3" s="30">
        <f>IF(OR(LEFT($D3,5)="Solar",$D3="Wind"),INDEX(Land_Use[MAX],MATCH(LEFT($D3,5),Land_Use[Tech],0)),0)*$E3</f>
        <v>0</v>
      </c>
      <c r="R3" s="31">
        <f>IFERROR(INDEX(WaterUseH2[Average Direct Water Consumption (Gal/ kg h2)],MATCH(LEFT(D3,3),WaterUseH2[Key],0)),0)</f>
        <v>2.8</v>
      </c>
      <c r="S3" s="11">
        <f>E3*R3*1000/1000000</f>
        <v>0</v>
      </c>
      <c r="T3" s="14"/>
    </row>
    <row r="4" spans="1:20" x14ac:dyDescent="0.35">
      <c r="A4" t="s">
        <v>76</v>
      </c>
      <c r="B4">
        <v>2026</v>
      </c>
      <c r="C4" s="16" t="s">
        <v>73</v>
      </c>
      <c r="D4" t="s">
        <v>74</v>
      </c>
      <c r="E4" s="14">
        <f>SUMIFS(Hydrogen!$AD:$AD,Hydrogen!$Y:$Y,$D4,Hydrogen!$AB:$AB,Predev_Scenarios!$B4,Hydrogen!$AA:$AA,$A4)</f>
        <v>10950</v>
      </c>
      <c r="F4" s="14" t="s">
        <v>106</v>
      </c>
      <c r="G4" s="14">
        <f>SUMIFS(Hydrogen!$AC:$AC,Hydrogen!$Y:$Y,$D4,Hydrogen!$AB:$AB,Predev_Scenarios!$B4,Hydrogen!$AA:$AA,$A4)</f>
        <v>1.3140000000000001E-3</v>
      </c>
      <c r="H4" s="13" t="str">
        <f>IF(C4="Electricity",E4*SUMIFS(Electricity!S:S,Electricity!P:P,Predev_Scenarios!B4,Electricity!M:M,Predev_Scenarios!A4,Electricity!O:O,Predev_Scenarios!D4),"")</f>
        <v/>
      </c>
      <c r="I4" s="12">
        <f>SUMIFS(Hydrogen!AK:AK,Hydrogen!$AA:$AA,Predev_Scenarios!$A4,Hydrogen!$Y:$Y,Predev_Scenarios!$D4,Hydrogen!$AB:$AB,Predev_Scenarios!$B4,Hydrogen!$Z:$Z,Predev_Scenarios!$C4)</f>
        <v>-25.603497258236359</v>
      </c>
      <c r="J4" s="12">
        <f>SUMIFS(Hydrogen!AL:AL,Hydrogen!$AA:$AA,Predev_Scenarios!$A4,Hydrogen!$Y:$Y,Predev_Scenarios!$D4,Hydrogen!$AB:$AB,Predev_Scenarios!$B4,Hydrogen!$Z:$Z,Predev_Scenarios!$C4)</f>
        <v>-24.154284701394474</v>
      </c>
      <c r="K4" s="12">
        <f>SUMIFS(Hydrogen!AM:AM,Hydrogen!$AA:$AA,Predev_Scenarios!$A4,Hydrogen!$Y:$Y,Predev_Scenarios!$D4,Hydrogen!$AB:$AB,Predev_Scenarios!$B4,Hydrogen!$Z:$Z,Predev_Scenarios!$C4)</f>
        <v>-27.052709815078245</v>
      </c>
      <c r="L4" s="63">
        <f t="shared" ref="L4:L67" si="1">IF($C4="Electricity",$H4/1000000000000,$G4)*I4*-1</f>
        <v>3.364299539732258E-2</v>
      </c>
      <c r="M4" s="63">
        <f t="shared" ref="M4:M67" si="2">IF($C4="Electricity",$H4/1000000000000,$G4)*J4*-1</f>
        <v>3.1738730097632339E-2</v>
      </c>
      <c r="N4" s="63">
        <f t="shared" ref="N4:N67" si="3">IF($C4="Electricity",$H4/1000000000000,$G4)*K4*-1</f>
        <v>3.5547260697012813E-2</v>
      </c>
      <c r="O4" s="30">
        <f>IF(OR(LEFT($D4,5)="Solar",$D4="Wind"),INDEX(Land_Use[AVG],MATCH(LEFT($D4,5),Land_Use[Tech],0)),0)*$E4</f>
        <v>0</v>
      </c>
      <c r="P4" s="30">
        <f>IF(OR(LEFT($D4,5)="Solar",$D4="Wind"),INDEX(Land_Use[MIN],MATCH(LEFT($D4,5),Land_Use[Tech],0)),0)*$E4</f>
        <v>0</v>
      </c>
      <c r="Q4" s="30">
        <f>IF(OR(LEFT($D4,5)="Solar",$D4="Wind"),INDEX(Land_Use[MAX],MATCH(LEFT($D4,5),Land_Use[Tech],0)),0)*$E4</f>
        <v>0</v>
      </c>
      <c r="R4" s="31">
        <f>IFERROR(INDEX(WaterUseH2[Average Direct Water Consumption (Gal/ kg h2)],MATCH(LEFT(D4,3),WaterUseH2[Key],0)),0)</f>
        <v>2.8</v>
      </c>
      <c r="S4" s="15">
        <f t="shared" ref="S4:S67" si="4">E4*R4*1000/1000000</f>
        <v>30.659999999999997</v>
      </c>
      <c r="T4" s="14"/>
    </row>
    <row r="5" spans="1:20" x14ac:dyDescent="0.35">
      <c r="A5" t="s">
        <v>76</v>
      </c>
      <c r="B5">
        <v>2027</v>
      </c>
      <c r="C5" s="16" t="s">
        <v>73</v>
      </c>
      <c r="D5" t="s">
        <v>74</v>
      </c>
      <c r="E5" s="14">
        <f>SUMIFS(Hydrogen!$AD:$AD,Hydrogen!$Y:$Y,$D5,Hydrogen!$AB:$AB,Predev_Scenarios!$B5,Hydrogen!$AA:$AA,$A5)</f>
        <v>10950</v>
      </c>
      <c r="F5" s="14" t="s">
        <v>106</v>
      </c>
      <c r="G5" s="14">
        <f>SUMIFS(Hydrogen!$AC:$AC,Hydrogen!$Y:$Y,$D5,Hydrogen!$AB:$AB,Predev_Scenarios!$B5,Hydrogen!$AA:$AA,$A5)</f>
        <v>1.3140000000000001E-3</v>
      </c>
      <c r="H5" s="13" t="str">
        <f>IF(C5="Electricity",E5*SUMIFS(Electricity!S:S,Electricity!P:P,Predev_Scenarios!B5,Electricity!M:M,Predev_Scenarios!A5,Electricity!O:O,Predev_Scenarios!D5),"")</f>
        <v/>
      </c>
      <c r="I5" s="12">
        <f>SUMIFS(Hydrogen!AK:AK,Hydrogen!$AA:$AA,Predev_Scenarios!$A5,Hydrogen!$Y:$Y,Predev_Scenarios!$D5,Hydrogen!$AB:$AB,Predev_Scenarios!$B5,Hydrogen!$Z:$Z,Predev_Scenarios!$C5)</f>
        <v>-25.165146736438331</v>
      </c>
      <c r="J5" s="12">
        <f>SUMIFS(Hydrogen!AL:AL,Hydrogen!$AA:$AA,Predev_Scenarios!$A5,Hydrogen!$Y:$Y,Predev_Scenarios!$D5,Hydrogen!$AB:$AB,Predev_Scenarios!$B5,Hydrogen!$Z:$Z,Predev_Scenarios!$C5)</f>
        <v>-23.277583657798417</v>
      </c>
      <c r="K5" s="12">
        <f>SUMIFS(Hydrogen!AM:AM,Hydrogen!$AA:$AA,Predev_Scenarios!$A5,Hydrogen!$Y:$Y,Predev_Scenarios!$D5,Hydrogen!$AB:$AB,Predev_Scenarios!$B5,Hydrogen!$Z:$Z,Predev_Scenarios!$C5)</f>
        <v>-27.052709815078245</v>
      </c>
      <c r="L5" s="63">
        <f t="shared" si="1"/>
        <v>3.3067002811679971E-2</v>
      </c>
      <c r="M5" s="63">
        <f t="shared" si="2"/>
        <v>3.058674492634712E-2</v>
      </c>
      <c r="N5" s="63">
        <f t="shared" si="3"/>
        <v>3.5547260697012813E-2</v>
      </c>
      <c r="O5" s="30">
        <f>IF(OR(LEFT($D5,5)="Solar",$D5="Wind"),INDEX(Land_Use[AVG],MATCH(LEFT($D5,5),Land_Use[Tech],0)),0)*$E5</f>
        <v>0</v>
      </c>
      <c r="P5" s="30">
        <f>IF(OR(LEFT($D5,5)="Solar",$D5="Wind"),INDEX(Land_Use[MIN],MATCH(LEFT($D5,5),Land_Use[Tech],0)),0)*$E5</f>
        <v>0</v>
      </c>
      <c r="Q5" s="30">
        <f>IF(OR(LEFT($D5,5)="Solar",$D5="Wind"),INDEX(Land_Use[MAX],MATCH(LEFT($D5,5),Land_Use[Tech],0)),0)*$E5</f>
        <v>0</v>
      </c>
      <c r="R5" s="31">
        <f>IFERROR(INDEX(WaterUseH2[Average Direct Water Consumption (Gal/ kg h2)],MATCH(LEFT(D5,3),WaterUseH2[Key],0)),0)</f>
        <v>2.8</v>
      </c>
      <c r="S5" s="15">
        <f t="shared" si="4"/>
        <v>30.659999999999997</v>
      </c>
      <c r="T5" s="14"/>
    </row>
    <row r="6" spans="1:20" x14ac:dyDescent="0.35">
      <c r="A6" t="s">
        <v>76</v>
      </c>
      <c r="B6">
        <v>2028</v>
      </c>
      <c r="C6" s="16" t="s">
        <v>73</v>
      </c>
      <c r="D6" t="s">
        <v>74</v>
      </c>
      <c r="E6" s="14">
        <f>SUMIFS(Hydrogen!$AD:$AD,Hydrogen!$Y:$Y,$D6,Hydrogen!$AB:$AB,Predev_Scenarios!$B6,Hydrogen!$AA:$AA,$A6)</f>
        <v>10950</v>
      </c>
      <c r="F6" s="14" t="s">
        <v>106</v>
      </c>
      <c r="G6" s="14">
        <f>SUMIFS(Hydrogen!$AC:$AC,Hydrogen!$Y:$Y,$D6,Hydrogen!$AB:$AB,Predev_Scenarios!$B6,Hydrogen!$AA:$AA,$A6)</f>
        <v>1.3140000000000001E-3</v>
      </c>
      <c r="H6" s="13" t="str">
        <f>IF(C6="Electricity",E6*SUMIFS(Electricity!S:S,Electricity!P:P,Predev_Scenarios!B6,Electricity!M:M,Predev_Scenarios!A6,Electricity!O:O,Predev_Scenarios!D6),"")</f>
        <v/>
      </c>
      <c r="I6" s="12">
        <f>SUMIFS(Hydrogen!AK:AK,Hydrogen!$AA:$AA,Predev_Scenarios!$A6,Hydrogen!$Y:$Y,Predev_Scenarios!$D6,Hydrogen!$AB:$AB,Predev_Scenarios!$B6,Hydrogen!$Z:$Z,Predev_Scenarios!$C6)</f>
        <v>-24.691583909350094</v>
      </c>
      <c r="J6" s="12">
        <f>SUMIFS(Hydrogen!AL:AL,Hydrogen!$AA:$AA,Predev_Scenarios!$A6,Hydrogen!$Y:$Y,Predev_Scenarios!$D6,Hydrogen!$AB:$AB,Predev_Scenarios!$B6,Hydrogen!$Z:$Z,Predev_Scenarios!$C6)</f>
        <v>-22.330458003621942</v>
      </c>
      <c r="K6" s="12">
        <f>SUMIFS(Hydrogen!AM:AM,Hydrogen!$AA:$AA,Predev_Scenarios!$A6,Hydrogen!$Y:$Y,Predev_Scenarios!$D6,Hydrogen!$AB:$AB,Predev_Scenarios!$B6,Hydrogen!$Z:$Z,Predev_Scenarios!$C6)</f>
        <v>-27.052709815078245</v>
      </c>
      <c r="L6" s="63">
        <f t="shared" si="1"/>
        <v>3.2444741256886026E-2</v>
      </c>
      <c r="M6" s="63">
        <f t="shared" si="2"/>
        <v>2.9342221816759235E-2</v>
      </c>
      <c r="N6" s="63">
        <f t="shared" si="3"/>
        <v>3.5547260697012813E-2</v>
      </c>
      <c r="O6" s="30">
        <f>IF(OR(LEFT($D6,5)="Solar",$D6="Wind"),INDEX(Land_Use[AVG],MATCH(LEFT($D6,5),Land_Use[Tech],0)),0)*$E6</f>
        <v>0</v>
      </c>
      <c r="P6" s="30">
        <f>IF(OR(LEFT($D6,5)="Solar",$D6="Wind"),INDEX(Land_Use[MIN],MATCH(LEFT($D6,5),Land_Use[Tech],0)),0)*$E6</f>
        <v>0</v>
      </c>
      <c r="Q6" s="30">
        <f>IF(OR(LEFT($D6,5)="Solar",$D6="Wind"),INDEX(Land_Use[MAX],MATCH(LEFT($D6,5),Land_Use[Tech],0)),0)*$E6</f>
        <v>0</v>
      </c>
      <c r="R6" s="31">
        <f>IFERROR(INDEX(WaterUseH2[Average Direct Water Consumption (Gal/ kg h2)],MATCH(LEFT(D6,3),WaterUseH2[Key],0)),0)</f>
        <v>2.8</v>
      </c>
      <c r="S6" s="15">
        <f t="shared" si="4"/>
        <v>30.659999999999997</v>
      </c>
      <c r="T6" s="14"/>
    </row>
    <row r="7" spans="1:20" x14ac:dyDescent="0.35">
      <c r="A7" t="s">
        <v>76</v>
      </c>
      <c r="B7">
        <v>2029</v>
      </c>
      <c r="C7" s="16" t="s">
        <v>73</v>
      </c>
      <c r="D7" t="s">
        <v>74</v>
      </c>
      <c r="E7" s="14">
        <f>SUMIFS(Hydrogen!$AD:$AD,Hydrogen!$Y:$Y,$D7,Hydrogen!$AB:$AB,Predev_Scenarios!$B7,Hydrogen!$AA:$AA,$A7)</f>
        <v>10950</v>
      </c>
      <c r="F7" s="14" t="s">
        <v>106</v>
      </c>
      <c r="G7" s="14">
        <f>SUMIFS(Hydrogen!$AC:$AC,Hydrogen!$Y:$Y,$D7,Hydrogen!$AB:$AB,Predev_Scenarios!$B7,Hydrogen!$AA:$AA,$A7)</f>
        <v>1.3140000000000001E-3</v>
      </c>
      <c r="H7" s="13" t="str">
        <f>IF(C7="Electricity",E7*SUMIFS(Electricity!S:S,Electricity!P:P,Predev_Scenarios!B7,Electricity!M:M,Predev_Scenarios!A7,Electricity!O:O,Predev_Scenarios!D7),"")</f>
        <v/>
      </c>
      <c r="I7" s="12">
        <f>SUMIFS(Hydrogen!AK:AK,Hydrogen!$AA:$AA,Predev_Scenarios!$A7,Hydrogen!$Y:$Y,Predev_Scenarios!$D7,Hydrogen!$AB:$AB,Predev_Scenarios!$B7,Hydrogen!$Z:$Z,Predev_Scenarios!$C7)</f>
        <v>-24.147577694558088</v>
      </c>
      <c r="J7" s="12">
        <f>SUMIFS(Hydrogen!AL:AL,Hydrogen!$AA:$AA,Predev_Scenarios!$A7,Hydrogen!$Y:$Y,Predev_Scenarios!$D7,Hydrogen!$AB:$AB,Predev_Scenarios!$B7,Hydrogen!$Z:$Z,Predev_Scenarios!$C7)</f>
        <v>-21.24244557403793</v>
      </c>
      <c r="K7" s="12">
        <f>SUMIFS(Hydrogen!AM:AM,Hydrogen!$AA:$AA,Predev_Scenarios!$A7,Hydrogen!$Y:$Y,Predev_Scenarios!$D7,Hydrogen!$AB:$AB,Predev_Scenarios!$B7,Hydrogen!$Z:$Z,Predev_Scenarios!$C7)</f>
        <v>-27.052709815078245</v>
      </c>
      <c r="L7" s="63">
        <f t="shared" si="1"/>
        <v>3.1729917090649332E-2</v>
      </c>
      <c r="M7" s="63">
        <f t="shared" si="2"/>
        <v>2.791257348428584E-2</v>
      </c>
      <c r="N7" s="63">
        <f t="shared" si="3"/>
        <v>3.5547260697012813E-2</v>
      </c>
      <c r="O7" s="30">
        <f>IF(OR(LEFT($D7,5)="Solar",$D7="Wind"),INDEX(Land_Use[AVG],MATCH(LEFT($D7,5),Land_Use[Tech],0)),0)*$E7</f>
        <v>0</v>
      </c>
      <c r="P7" s="30">
        <f>IF(OR(LEFT($D7,5)="Solar",$D7="Wind"),INDEX(Land_Use[MIN],MATCH(LEFT($D7,5),Land_Use[Tech],0)),0)*$E7</f>
        <v>0</v>
      </c>
      <c r="Q7" s="30">
        <f>IF(OR(LEFT($D7,5)="Solar",$D7="Wind"),INDEX(Land_Use[MAX],MATCH(LEFT($D7,5),Land_Use[Tech],0)),0)*$E7</f>
        <v>0</v>
      </c>
      <c r="R7" s="31">
        <f>IFERROR(INDEX(WaterUseH2[Average Direct Water Consumption (Gal/ kg h2)],MATCH(LEFT(D7,3),WaterUseH2[Key],0)),0)</f>
        <v>2.8</v>
      </c>
      <c r="S7" s="15">
        <f t="shared" si="4"/>
        <v>30.659999999999997</v>
      </c>
      <c r="T7" s="14"/>
    </row>
    <row r="8" spans="1:20" x14ac:dyDescent="0.35">
      <c r="A8" t="s">
        <v>76</v>
      </c>
      <c r="B8">
        <v>2030</v>
      </c>
      <c r="C8" s="16" t="s">
        <v>73</v>
      </c>
      <c r="D8" t="s">
        <v>74</v>
      </c>
      <c r="E8" s="14">
        <f>SUMIFS(Hydrogen!$AD:$AD,Hydrogen!$Y:$Y,$D8,Hydrogen!$AB:$AB,Predev_Scenarios!$B8,Hydrogen!$AA:$AA,$A8)</f>
        <v>10950</v>
      </c>
      <c r="F8" s="14" t="s">
        <v>106</v>
      </c>
      <c r="G8" s="14">
        <f>SUMIFS(Hydrogen!$AC:$AC,Hydrogen!$Y:$Y,$D8,Hydrogen!$AB:$AB,Predev_Scenarios!$B8,Hydrogen!$AA:$AA,$A8)</f>
        <v>1.3140000000000001E-3</v>
      </c>
      <c r="H8" s="13" t="str">
        <f>IF(C8="Electricity",E8*SUMIFS(Electricity!S:S,Electricity!P:P,Predev_Scenarios!B8,Electricity!M:M,Predev_Scenarios!A8,Electricity!O:O,Predev_Scenarios!D8),"")</f>
        <v/>
      </c>
      <c r="I8" s="12">
        <f>SUMIFS(Hydrogen!AK:AK,Hydrogen!$AA:$AA,Predev_Scenarios!$A8,Hydrogen!$Y:$Y,Predev_Scenarios!$D8,Hydrogen!$AB:$AB,Predev_Scenarios!$B8,Hydrogen!$Z:$Z,Predev_Scenarios!$C8)</f>
        <v>-23.527324162575127</v>
      </c>
      <c r="J8" s="12">
        <f>SUMIFS(Hydrogen!AL:AL,Hydrogen!$AA:$AA,Predev_Scenarios!$A8,Hydrogen!$Y:$Y,Predev_Scenarios!$D8,Hydrogen!$AB:$AB,Predev_Scenarios!$B8,Hydrogen!$Z:$Z,Predev_Scenarios!$C8)</f>
        <v>-20.001938510072009</v>
      </c>
      <c r="K8" s="12">
        <f>SUMIFS(Hydrogen!AM:AM,Hydrogen!$AA:$AA,Predev_Scenarios!$A8,Hydrogen!$Y:$Y,Predev_Scenarios!$D8,Hydrogen!$AB:$AB,Predev_Scenarios!$B8,Hydrogen!$Z:$Z,Predev_Scenarios!$C8)</f>
        <v>-27.052709815078245</v>
      </c>
      <c r="L8" s="63">
        <f t="shared" si="1"/>
        <v>3.0914903949623717E-2</v>
      </c>
      <c r="M8" s="63">
        <f t="shared" si="2"/>
        <v>2.6282547202234621E-2</v>
      </c>
      <c r="N8" s="63">
        <f t="shared" si="3"/>
        <v>3.5547260697012813E-2</v>
      </c>
      <c r="O8" s="30">
        <f>IF(OR(LEFT($D8,5)="Solar",$D8="Wind"),INDEX(Land_Use[AVG],MATCH(LEFT($D8,5),Land_Use[Tech],0)),0)*$E8</f>
        <v>0</v>
      </c>
      <c r="P8" s="30">
        <f>IF(OR(LEFT($D8,5)="Solar",$D8="Wind"),INDEX(Land_Use[MIN],MATCH(LEFT($D8,5),Land_Use[Tech],0)),0)*$E8</f>
        <v>0</v>
      </c>
      <c r="Q8" s="30">
        <f>IF(OR(LEFT($D8,5)="Solar",$D8="Wind"),INDEX(Land_Use[MAX],MATCH(LEFT($D8,5),Land_Use[Tech],0)),0)*$E8</f>
        <v>0</v>
      </c>
      <c r="R8" s="31">
        <f>IFERROR(INDEX(WaterUseH2[Average Direct Water Consumption (Gal/ kg h2)],MATCH(LEFT(D8,3),WaterUseH2[Key],0)),0)</f>
        <v>2.8</v>
      </c>
      <c r="S8" s="15">
        <f t="shared" si="4"/>
        <v>30.659999999999997</v>
      </c>
      <c r="T8" s="14"/>
    </row>
    <row r="9" spans="1:20" x14ac:dyDescent="0.35">
      <c r="A9" t="s">
        <v>76</v>
      </c>
      <c r="B9">
        <v>2031</v>
      </c>
      <c r="C9" s="16" t="s">
        <v>73</v>
      </c>
      <c r="D9" t="s">
        <v>74</v>
      </c>
      <c r="E9" s="14">
        <f>SUMIFS(Hydrogen!$AD:$AD,Hydrogen!$Y:$Y,$D9,Hydrogen!$AB:$AB,Predev_Scenarios!$B9,Hydrogen!$AA:$AA,$A9)</f>
        <v>10950</v>
      </c>
      <c r="F9" s="14" t="s">
        <v>106</v>
      </c>
      <c r="G9" s="14">
        <f>SUMIFS(Hydrogen!$AC:$AC,Hydrogen!$Y:$Y,$D9,Hydrogen!$AB:$AB,Predev_Scenarios!$B9,Hydrogen!$AA:$AA,$A9)</f>
        <v>1.3140000000000001E-3</v>
      </c>
      <c r="H9" s="13" t="str">
        <f>IF(C9="Electricity",E9*SUMIFS(Electricity!S:S,Electricity!P:P,Predev_Scenarios!B9,Electricity!M:M,Predev_Scenarios!A9,Electricity!O:O,Predev_Scenarios!D9),"")</f>
        <v/>
      </c>
      <c r="I9" s="12">
        <f>SUMIFS(Hydrogen!AK:AK,Hydrogen!$AA:$AA,Predev_Scenarios!$A9,Hydrogen!$Y:$Y,Predev_Scenarios!$D9,Hydrogen!$AB:$AB,Predev_Scenarios!$B9,Hydrogen!$Z:$Z,Predev_Scenarios!$C9)</f>
        <v>-22.822587284615302</v>
      </c>
      <c r="J9" s="12">
        <f>SUMIFS(Hydrogen!AL:AL,Hydrogen!$AA:$AA,Predev_Scenarios!$A9,Hydrogen!$Y:$Y,Predev_Scenarios!$D9,Hydrogen!$AB:$AB,Predev_Scenarios!$B9,Hydrogen!$Z:$Z,Predev_Scenarios!$C9)</f>
        <v>-18.59246475415236</v>
      </c>
      <c r="K9" s="12">
        <f>SUMIFS(Hydrogen!AM:AM,Hydrogen!$AA:$AA,Predev_Scenarios!$A9,Hydrogen!$Y:$Y,Predev_Scenarios!$D9,Hydrogen!$AB:$AB,Predev_Scenarios!$B9,Hydrogen!$Z:$Z,Predev_Scenarios!$C9)</f>
        <v>-27.052709815078245</v>
      </c>
      <c r="L9" s="63">
        <f t="shared" si="1"/>
        <v>2.9988879691984507E-2</v>
      </c>
      <c r="M9" s="63">
        <f t="shared" si="2"/>
        <v>2.4430498686956202E-2</v>
      </c>
      <c r="N9" s="63">
        <f t="shared" si="3"/>
        <v>3.5547260697012813E-2</v>
      </c>
      <c r="O9" s="30">
        <f>IF(OR(LEFT($D9,5)="Solar",$D9="Wind"),INDEX(Land_Use[AVG],MATCH(LEFT($D9,5),Land_Use[Tech],0)),0)*$E9</f>
        <v>0</v>
      </c>
      <c r="P9" s="30">
        <f>IF(OR(LEFT($D9,5)="Solar",$D9="Wind"),INDEX(Land_Use[MIN],MATCH(LEFT($D9,5),Land_Use[Tech],0)),0)*$E9</f>
        <v>0</v>
      </c>
      <c r="Q9" s="30">
        <f>IF(OR(LEFT($D9,5)="Solar",$D9="Wind"),INDEX(Land_Use[MAX],MATCH(LEFT($D9,5),Land_Use[Tech],0)),0)*$E9</f>
        <v>0</v>
      </c>
      <c r="R9" s="31">
        <f>IFERROR(INDEX(WaterUseH2[Average Direct Water Consumption (Gal/ kg h2)],MATCH(LEFT(D9,3),WaterUseH2[Key],0)),0)</f>
        <v>2.8</v>
      </c>
      <c r="S9" s="15">
        <f t="shared" si="4"/>
        <v>30.659999999999997</v>
      </c>
      <c r="T9" s="14"/>
    </row>
    <row r="10" spans="1:20" x14ac:dyDescent="0.35">
      <c r="A10" t="s">
        <v>76</v>
      </c>
      <c r="B10">
        <v>2032</v>
      </c>
      <c r="C10" s="16" t="s">
        <v>73</v>
      </c>
      <c r="D10" t="s">
        <v>74</v>
      </c>
      <c r="E10" s="14">
        <f>SUMIFS(Hydrogen!$AD:$AD,Hydrogen!$Y:$Y,$D10,Hydrogen!$AB:$AB,Predev_Scenarios!$B10,Hydrogen!$AA:$AA,$A10)</f>
        <v>10950</v>
      </c>
      <c r="F10" s="14" t="s">
        <v>106</v>
      </c>
      <c r="G10" s="14">
        <f>SUMIFS(Hydrogen!$AC:$AC,Hydrogen!$Y:$Y,$D10,Hydrogen!$AB:$AB,Predev_Scenarios!$B10,Hydrogen!$AA:$AA,$A10)</f>
        <v>1.3140000000000001E-3</v>
      </c>
      <c r="H10" s="13" t="str">
        <f>IF(C10="Electricity",E10*SUMIFS(Electricity!S:S,Electricity!P:P,Predev_Scenarios!B10,Electricity!M:M,Predev_Scenarios!A10,Electricity!O:O,Predev_Scenarios!D10),"")</f>
        <v/>
      </c>
      <c r="I10" s="12">
        <f>SUMIFS(Hydrogen!AK:AK,Hydrogen!$AA:$AA,Predev_Scenarios!$A10,Hydrogen!$Y:$Y,Predev_Scenarios!$D10,Hydrogen!$AB:$AB,Predev_Scenarios!$B10,Hydrogen!$Z:$Z,Predev_Scenarios!$C10)</f>
        <v>-22.033922765591775</v>
      </c>
      <c r="J10" s="12">
        <f>SUMIFS(Hydrogen!AL:AL,Hydrogen!$AA:$AA,Predev_Scenarios!$A10,Hydrogen!$Y:$Y,Predev_Scenarios!$D10,Hydrogen!$AB:$AB,Predev_Scenarios!$B10,Hydrogen!$Z:$Z,Predev_Scenarios!$C10)</f>
        <v>-17.015135716105306</v>
      </c>
      <c r="K10" s="12">
        <f>SUMIFS(Hydrogen!AM:AM,Hydrogen!$AA:$AA,Predev_Scenarios!$A10,Hydrogen!$Y:$Y,Predev_Scenarios!$D10,Hydrogen!$AB:$AB,Predev_Scenarios!$B10,Hydrogen!$Z:$Z,Predev_Scenarios!$C10)</f>
        <v>-27.052709815078245</v>
      </c>
      <c r="L10" s="63">
        <f t="shared" si="1"/>
        <v>2.8952574513987594E-2</v>
      </c>
      <c r="M10" s="63">
        <f t="shared" si="2"/>
        <v>2.2357888330962371E-2</v>
      </c>
      <c r="N10" s="63">
        <f t="shared" si="3"/>
        <v>3.5547260697012813E-2</v>
      </c>
      <c r="O10" s="30">
        <f>IF(OR(LEFT($D10,5)="Solar",$D10="Wind"),INDEX(Land_Use[AVG],MATCH(LEFT($D10,5),Land_Use[Tech],0)),0)*$E10</f>
        <v>0</v>
      </c>
      <c r="P10" s="30">
        <f>IF(OR(LEFT($D10,5)="Solar",$D10="Wind"),INDEX(Land_Use[MIN],MATCH(LEFT($D10,5),Land_Use[Tech],0)),0)*$E10</f>
        <v>0</v>
      </c>
      <c r="Q10" s="30">
        <f>IF(OR(LEFT($D10,5)="Solar",$D10="Wind"),INDEX(Land_Use[MAX],MATCH(LEFT($D10,5),Land_Use[Tech],0)),0)*$E10</f>
        <v>0</v>
      </c>
      <c r="R10" s="31">
        <f>IFERROR(INDEX(WaterUseH2[Average Direct Water Consumption (Gal/ kg h2)],MATCH(LEFT(D10,3),WaterUseH2[Key],0)),0)</f>
        <v>2.8</v>
      </c>
      <c r="S10" s="15">
        <f t="shared" si="4"/>
        <v>30.659999999999997</v>
      </c>
      <c r="T10" s="14"/>
    </row>
    <row r="11" spans="1:20" x14ac:dyDescent="0.35">
      <c r="A11" t="s">
        <v>76</v>
      </c>
      <c r="B11">
        <v>2033</v>
      </c>
      <c r="C11" s="16" t="s">
        <v>73</v>
      </c>
      <c r="D11" t="s">
        <v>74</v>
      </c>
      <c r="E11" s="14">
        <f>SUMIFS(Hydrogen!$AD:$AD,Hydrogen!$Y:$Y,$D11,Hydrogen!$AB:$AB,Predev_Scenarios!$B11,Hydrogen!$AA:$AA,$A11)</f>
        <v>10950</v>
      </c>
      <c r="F11" s="14" t="s">
        <v>106</v>
      </c>
      <c r="G11" s="14">
        <f>SUMIFS(Hydrogen!$AC:$AC,Hydrogen!$Y:$Y,$D11,Hydrogen!$AB:$AB,Predev_Scenarios!$B11,Hydrogen!$AA:$AA,$A11)</f>
        <v>1.3140000000000001E-3</v>
      </c>
      <c r="H11" s="13" t="str">
        <f>IF(C11="Electricity",E11*SUMIFS(Electricity!S:S,Electricity!P:P,Predev_Scenarios!B11,Electricity!M:M,Predev_Scenarios!A11,Electricity!O:O,Predev_Scenarios!D11),"")</f>
        <v/>
      </c>
      <c r="I11" s="12">
        <f>SUMIFS(Hydrogen!AK:AK,Hydrogen!$AA:$AA,Predev_Scenarios!$A11,Hydrogen!$Y:$Y,Predev_Scenarios!$D11,Hydrogen!$AB:$AB,Predev_Scenarios!$B11,Hydrogen!$Z:$Z,Predev_Scenarios!$C11)</f>
        <v>-21.128205767176091</v>
      </c>
      <c r="J11" s="12">
        <f>SUMIFS(Hydrogen!AL:AL,Hydrogen!$AA:$AA,Predev_Scenarios!$A11,Hydrogen!$Y:$Y,Predev_Scenarios!$D11,Hydrogen!$AB:$AB,Predev_Scenarios!$B11,Hydrogen!$Z:$Z,Predev_Scenarios!$C11)</f>
        <v>-15.203701719273937</v>
      </c>
      <c r="K11" s="12">
        <f>SUMIFS(Hydrogen!AM:AM,Hydrogen!$AA:$AA,Predev_Scenarios!$A11,Hydrogen!$Y:$Y,Predev_Scenarios!$D11,Hydrogen!$AB:$AB,Predev_Scenarios!$B11,Hydrogen!$Z:$Z,Predev_Scenarios!$C11)</f>
        <v>-27.052709815078245</v>
      </c>
      <c r="L11" s="63">
        <f t="shared" si="1"/>
        <v>2.7762462378069386E-2</v>
      </c>
      <c r="M11" s="63">
        <f t="shared" si="2"/>
        <v>1.9977664059125953E-2</v>
      </c>
      <c r="N11" s="63">
        <f t="shared" si="3"/>
        <v>3.5547260697012813E-2</v>
      </c>
      <c r="O11" s="30">
        <f>IF(OR(LEFT($D11,5)="Solar",$D11="Wind"),INDEX(Land_Use[AVG],MATCH(LEFT($D11,5),Land_Use[Tech],0)),0)*$E11</f>
        <v>0</v>
      </c>
      <c r="P11" s="30">
        <f>IF(OR(LEFT($D11,5)="Solar",$D11="Wind"),INDEX(Land_Use[MIN],MATCH(LEFT($D11,5),Land_Use[Tech],0)),0)*$E11</f>
        <v>0</v>
      </c>
      <c r="Q11" s="30">
        <f>IF(OR(LEFT($D11,5)="Solar",$D11="Wind"),INDEX(Land_Use[MAX],MATCH(LEFT($D11,5),Land_Use[Tech],0)),0)*$E11</f>
        <v>0</v>
      </c>
      <c r="R11" s="31">
        <f>IFERROR(INDEX(WaterUseH2[Average Direct Water Consumption (Gal/ kg h2)],MATCH(LEFT(D11,3),WaterUseH2[Key],0)),0)</f>
        <v>2.8</v>
      </c>
      <c r="S11" s="15">
        <f t="shared" si="4"/>
        <v>30.659999999999997</v>
      </c>
      <c r="T11" s="14"/>
    </row>
    <row r="12" spans="1:20" x14ac:dyDescent="0.35">
      <c r="A12" t="s">
        <v>76</v>
      </c>
      <c r="B12">
        <v>2034</v>
      </c>
      <c r="C12" s="16" t="s">
        <v>73</v>
      </c>
      <c r="D12" t="s">
        <v>74</v>
      </c>
      <c r="E12" s="14">
        <f>SUMIFS(Hydrogen!$AD:$AD,Hydrogen!$Y:$Y,$D12,Hydrogen!$AB:$AB,Predev_Scenarios!$B12,Hydrogen!$AA:$AA,$A12)</f>
        <v>10950</v>
      </c>
      <c r="F12" s="14" t="s">
        <v>106</v>
      </c>
      <c r="G12" s="14">
        <f>SUMIFS(Hydrogen!$AC:$AC,Hydrogen!$Y:$Y,$D12,Hydrogen!$AB:$AB,Predev_Scenarios!$B12,Hydrogen!$AA:$AA,$A12)</f>
        <v>1.3140000000000001E-3</v>
      </c>
      <c r="H12" s="13" t="str">
        <f>IF(C12="Electricity",E12*SUMIFS(Electricity!S:S,Electricity!P:P,Predev_Scenarios!B12,Electricity!M:M,Predev_Scenarios!A12,Electricity!O:O,Predev_Scenarios!D12),"")</f>
        <v/>
      </c>
      <c r="I12" s="12">
        <f>SUMIFS(Hydrogen!AK:AK,Hydrogen!$AA:$AA,Predev_Scenarios!$A12,Hydrogen!$Y:$Y,Predev_Scenarios!$D12,Hydrogen!$AB:$AB,Predev_Scenarios!$B12,Hydrogen!$Z:$Z,Predev_Scenarios!$C12)</f>
        <v>-20.117908135590554</v>
      </c>
      <c r="J12" s="12">
        <f>SUMIFS(Hydrogen!AL:AL,Hydrogen!$AA:$AA,Predev_Scenarios!$A12,Hydrogen!$Y:$Y,Predev_Scenarios!$D12,Hydrogen!$AB:$AB,Predev_Scenarios!$B12,Hydrogen!$Z:$Z,Predev_Scenarios!$C12)</f>
        <v>-13.183106456102863</v>
      </c>
      <c r="K12" s="12">
        <f>SUMIFS(Hydrogen!AM:AM,Hydrogen!$AA:$AA,Predev_Scenarios!$A12,Hydrogen!$Y:$Y,Predev_Scenarios!$D12,Hydrogen!$AB:$AB,Predev_Scenarios!$B12,Hydrogen!$Z:$Z,Predev_Scenarios!$C12)</f>
        <v>-27.052709815078245</v>
      </c>
      <c r="L12" s="63">
        <f t="shared" si="1"/>
        <v>2.643493129016599E-2</v>
      </c>
      <c r="M12" s="63">
        <f t="shared" si="2"/>
        <v>1.7322601883319161E-2</v>
      </c>
      <c r="N12" s="63">
        <f t="shared" si="3"/>
        <v>3.5547260697012813E-2</v>
      </c>
      <c r="O12" s="30">
        <f>IF(OR(LEFT($D12,5)="Solar",$D12="Wind"),INDEX(Land_Use[AVG],MATCH(LEFT($D12,5),Land_Use[Tech],0)),0)*$E12</f>
        <v>0</v>
      </c>
      <c r="P12" s="30">
        <f>IF(OR(LEFT($D12,5)="Solar",$D12="Wind"),INDEX(Land_Use[MIN],MATCH(LEFT($D12,5),Land_Use[Tech],0)),0)*$E12</f>
        <v>0</v>
      </c>
      <c r="Q12" s="30">
        <f>IF(OR(LEFT($D12,5)="Solar",$D12="Wind"),INDEX(Land_Use[MAX],MATCH(LEFT($D12,5),Land_Use[Tech],0)),0)*$E12</f>
        <v>0</v>
      </c>
      <c r="R12" s="31">
        <f>IFERROR(INDEX(WaterUseH2[Average Direct Water Consumption (Gal/ kg h2)],MATCH(LEFT(D12,3),WaterUseH2[Key],0)),0)</f>
        <v>2.8</v>
      </c>
      <c r="S12" s="15">
        <f t="shared" si="4"/>
        <v>30.659999999999997</v>
      </c>
      <c r="T12" s="14"/>
    </row>
    <row r="13" spans="1:20" x14ac:dyDescent="0.35">
      <c r="A13" t="s">
        <v>76</v>
      </c>
      <c r="B13">
        <v>2035</v>
      </c>
      <c r="C13" s="16" t="s">
        <v>73</v>
      </c>
      <c r="D13" t="s">
        <v>74</v>
      </c>
      <c r="E13" s="14">
        <f>SUMIFS(Hydrogen!$AD:$AD,Hydrogen!$Y:$Y,$D13,Hydrogen!$AB:$AB,Predev_Scenarios!$B13,Hydrogen!$AA:$AA,$A13)</f>
        <v>10950</v>
      </c>
      <c r="F13" s="14" t="s">
        <v>106</v>
      </c>
      <c r="G13" s="14">
        <f>SUMIFS(Hydrogen!$AC:$AC,Hydrogen!$Y:$Y,$D13,Hydrogen!$AB:$AB,Predev_Scenarios!$B13,Hydrogen!$AA:$AA,$A13)</f>
        <v>1.3140000000000001E-3</v>
      </c>
      <c r="H13" s="13" t="str">
        <f>IF(C13="Electricity",E13*SUMIFS(Electricity!S:S,Electricity!P:P,Predev_Scenarios!B13,Electricity!M:M,Predev_Scenarios!A13,Electricity!O:O,Predev_Scenarios!D13),"")</f>
        <v/>
      </c>
      <c r="I13" s="12">
        <f>SUMIFS(Hydrogen!AK:AK,Hydrogen!$AA:$AA,Predev_Scenarios!$A13,Hydrogen!$Y:$Y,Predev_Scenarios!$D13,Hydrogen!$AB:$AB,Predev_Scenarios!$B13,Hydrogen!$Z:$Z,Predev_Scenarios!$C13)</f>
        <v>-18.964368734957425</v>
      </c>
      <c r="J13" s="12">
        <f>SUMIFS(Hydrogen!AL:AL,Hydrogen!$AA:$AA,Predev_Scenarios!$A13,Hydrogen!$Y:$Y,Predev_Scenarios!$D13,Hydrogen!$AB:$AB,Predev_Scenarios!$B13,Hydrogen!$Z:$Z,Predev_Scenarios!$C13)</f>
        <v>-10.876027654836605</v>
      </c>
      <c r="K13" s="12">
        <f>SUMIFS(Hydrogen!AM:AM,Hydrogen!$AA:$AA,Predev_Scenarios!$A13,Hydrogen!$Y:$Y,Predev_Scenarios!$D13,Hydrogen!$AB:$AB,Predev_Scenarios!$B13,Hydrogen!$Z:$Z,Predev_Scenarios!$C13)</f>
        <v>-27.052709815078245</v>
      </c>
      <c r="L13" s="63">
        <f t="shared" si="1"/>
        <v>2.4919180517734056E-2</v>
      </c>
      <c r="M13" s="63">
        <f t="shared" si="2"/>
        <v>1.42911003384553E-2</v>
      </c>
      <c r="N13" s="63">
        <f t="shared" si="3"/>
        <v>3.5547260697012813E-2</v>
      </c>
      <c r="O13" s="30">
        <f>IF(OR(LEFT($D13,5)="Solar",$D13="Wind"),INDEX(Land_Use[AVG],MATCH(LEFT($D13,5),Land_Use[Tech],0)),0)*$E13</f>
        <v>0</v>
      </c>
      <c r="P13" s="30">
        <f>IF(OR(LEFT($D13,5)="Solar",$D13="Wind"),INDEX(Land_Use[MIN],MATCH(LEFT($D13,5),Land_Use[Tech],0)),0)*$E13</f>
        <v>0</v>
      </c>
      <c r="Q13" s="30">
        <f>IF(OR(LEFT($D13,5)="Solar",$D13="Wind"),INDEX(Land_Use[MAX],MATCH(LEFT($D13,5),Land_Use[Tech],0)),0)*$E13</f>
        <v>0</v>
      </c>
      <c r="R13" s="31">
        <f>IFERROR(INDEX(WaterUseH2[Average Direct Water Consumption (Gal/ kg h2)],MATCH(LEFT(D13,3),WaterUseH2[Key],0)),0)</f>
        <v>2.8</v>
      </c>
      <c r="S13" s="15">
        <f t="shared" si="4"/>
        <v>30.659999999999997</v>
      </c>
      <c r="T13" s="14"/>
    </row>
    <row r="14" spans="1:20" x14ac:dyDescent="0.35">
      <c r="A14" t="s">
        <v>76</v>
      </c>
      <c r="B14">
        <v>2036</v>
      </c>
      <c r="C14" s="16" t="s">
        <v>73</v>
      </c>
      <c r="D14" t="s">
        <v>74</v>
      </c>
      <c r="E14" s="14">
        <f>SUMIFS(Hydrogen!$AD:$AD,Hydrogen!$Y:$Y,$D14,Hydrogen!$AB:$AB,Predev_Scenarios!$B14,Hydrogen!$AA:$AA,$A14)</f>
        <v>10950</v>
      </c>
      <c r="F14" s="14" t="s">
        <v>106</v>
      </c>
      <c r="G14" s="14">
        <f>SUMIFS(Hydrogen!$AC:$AC,Hydrogen!$Y:$Y,$D14,Hydrogen!$AB:$AB,Predev_Scenarios!$B14,Hydrogen!$AA:$AA,$A14)</f>
        <v>1.3140000000000001E-3</v>
      </c>
      <c r="H14" s="13" t="str">
        <f>IF(C14="Electricity",E14*SUMIFS(Electricity!S:S,Electricity!P:P,Predev_Scenarios!B14,Electricity!M:M,Predev_Scenarios!A14,Electricity!O:O,Predev_Scenarios!D14),"")</f>
        <v/>
      </c>
      <c r="I14" s="12">
        <f>SUMIFS(Hydrogen!AK:AK,Hydrogen!$AA:$AA,Predev_Scenarios!$A14,Hydrogen!$Y:$Y,Predev_Scenarios!$D14,Hydrogen!$AB:$AB,Predev_Scenarios!$B14,Hydrogen!$Z:$Z,Predev_Scenarios!$C14)</f>
        <v>-17.727082967909745</v>
      </c>
      <c r="J14" s="12">
        <f>SUMIFS(Hydrogen!AL:AL,Hydrogen!$AA:$AA,Predev_Scenarios!$A14,Hydrogen!$Y:$Y,Predev_Scenarios!$D14,Hydrogen!$AB:$AB,Predev_Scenarios!$B14,Hydrogen!$Z:$Z,Predev_Scenarios!$C14)</f>
        <v>-8.4014561207412441</v>
      </c>
      <c r="K14" s="12">
        <f>SUMIFS(Hydrogen!AM:AM,Hydrogen!$AA:$AA,Predev_Scenarios!$A14,Hydrogen!$Y:$Y,Predev_Scenarios!$D14,Hydrogen!$AB:$AB,Predev_Scenarios!$B14,Hydrogen!$Z:$Z,Predev_Scenarios!$C14)</f>
        <v>-27.052709815078245</v>
      </c>
      <c r="L14" s="63">
        <f t="shared" si="1"/>
        <v>2.3293387019833404E-2</v>
      </c>
      <c r="M14" s="63">
        <f t="shared" si="2"/>
        <v>1.1039513342653995E-2</v>
      </c>
      <c r="N14" s="63">
        <f t="shared" si="3"/>
        <v>3.5547260697012813E-2</v>
      </c>
      <c r="O14" s="30">
        <f>IF(OR(LEFT($D14,5)="Solar",$D14="Wind"),INDEX(Land_Use[AVG],MATCH(LEFT($D14,5),Land_Use[Tech],0)),0)*$E14</f>
        <v>0</v>
      </c>
      <c r="P14" s="30">
        <f>IF(OR(LEFT($D14,5)="Solar",$D14="Wind"),INDEX(Land_Use[MIN],MATCH(LEFT($D14,5),Land_Use[Tech],0)),0)*$E14</f>
        <v>0</v>
      </c>
      <c r="Q14" s="30">
        <f>IF(OR(LEFT($D14,5)="Solar",$D14="Wind"),INDEX(Land_Use[MAX],MATCH(LEFT($D14,5),Land_Use[Tech],0)),0)*$E14</f>
        <v>0</v>
      </c>
      <c r="R14" s="31">
        <f>IFERROR(INDEX(WaterUseH2[Average Direct Water Consumption (Gal/ kg h2)],MATCH(LEFT(D14,3),WaterUseH2[Key],0)),0)</f>
        <v>2.8</v>
      </c>
      <c r="S14" s="15">
        <f t="shared" si="4"/>
        <v>30.659999999999997</v>
      </c>
      <c r="T14" s="14"/>
    </row>
    <row r="15" spans="1:20" x14ac:dyDescent="0.35">
      <c r="A15" t="s">
        <v>76</v>
      </c>
      <c r="B15">
        <v>2037</v>
      </c>
      <c r="C15" s="16" t="s">
        <v>73</v>
      </c>
      <c r="D15" t="s">
        <v>74</v>
      </c>
      <c r="E15" s="14">
        <f>SUMIFS(Hydrogen!$AD:$AD,Hydrogen!$Y:$Y,$D15,Hydrogen!$AB:$AB,Predev_Scenarios!$B15,Hydrogen!$AA:$AA,$A15)</f>
        <v>10950</v>
      </c>
      <c r="F15" s="14" t="s">
        <v>106</v>
      </c>
      <c r="G15" s="14">
        <f>SUMIFS(Hydrogen!$AC:$AC,Hydrogen!$Y:$Y,$D15,Hydrogen!$AB:$AB,Predev_Scenarios!$B15,Hydrogen!$AA:$AA,$A15)</f>
        <v>1.3140000000000001E-3</v>
      </c>
      <c r="H15" s="13" t="str">
        <f>IF(C15="Electricity",E15*SUMIFS(Electricity!S:S,Electricity!P:P,Predev_Scenarios!B15,Electricity!M:M,Predev_Scenarios!A15,Electricity!O:O,Predev_Scenarios!D15),"")</f>
        <v/>
      </c>
      <c r="I15" s="12">
        <f>SUMIFS(Hydrogen!AK:AK,Hydrogen!$AA:$AA,Predev_Scenarios!$A15,Hydrogen!$Y:$Y,Predev_Scenarios!$D15,Hydrogen!$AB:$AB,Predev_Scenarios!$B15,Hydrogen!$Z:$Z,Predev_Scenarios!$C15)</f>
        <v>-16.448593753633467</v>
      </c>
      <c r="J15" s="12">
        <f>SUMIFS(Hydrogen!AL:AL,Hydrogen!$AA:$AA,Predev_Scenarios!$A15,Hydrogen!$Y:$Y,Predev_Scenarios!$D15,Hydrogen!$AB:$AB,Predev_Scenarios!$B15,Hydrogen!$Z:$Z,Predev_Scenarios!$C15)</f>
        <v>-5.8444776921886898</v>
      </c>
      <c r="K15" s="12">
        <f>SUMIFS(Hydrogen!AM:AM,Hydrogen!$AA:$AA,Predev_Scenarios!$A15,Hydrogen!$Y:$Y,Predev_Scenarios!$D15,Hydrogen!$AB:$AB,Predev_Scenarios!$B15,Hydrogen!$Z:$Z,Predev_Scenarios!$C15)</f>
        <v>-27.052709815078245</v>
      </c>
      <c r="L15" s="63">
        <f t="shared" si="1"/>
        <v>2.1613452192274379E-2</v>
      </c>
      <c r="M15" s="63">
        <f t="shared" si="2"/>
        <v>7.6796436875359387E-3</v>
      </c>
      <c r="N15" s="63">
        <f t="shared" si="3"/>
        <v>3.5547260697012813E-2</v>
      </c>
      <c r="O15" s="30">
        <f>IF(OR(LEFT($D15,5)="Solar",$D15="Wind"),INDEX(Land_Use[AVG],MATCH(LEFT($D15,5),Land_Use[Tech],0)),0)*$E15</f>
        <v>0</v>
      </c>
      <c r="P15" s="30">
        <f>IF(OR(LEFT($D15,5)="Solar",$D15="Wind"),INDEX(Land_Use[MIN],MATCH(LEFT($D15,5),Land_Use[Tech],0)),0)*$E15</f>
        <v>0</v>
      </c>
      <c r="Q15" s="30">
        <f>IF(OR(LEFT($D15,5)="Solar",$D15="Wind"),INDEX(Land_Use[MAX],MATCH(LEFT($D15,5),Land_Use[Tech],0)),0)*$E15</f>
        <v>0</v>
      </c>
      <c r="R15" s="31">
        <f>IFERROR(INDEX(WaterUseH2[Average Direct Water Consumption (Gal/ kg h2)],MATCH(LEFT(D15,3),WaterUseH2[Key],0)),0)</f>
        <v>2.8</v>
      </c>
      <c r="S15" s="15">
        <f t="shared" si="4"/>
        <v>30.659999999999997</v>
      </c>
      <c r="T15" s="14"/>
    </row>
    <row r="16" spans="1:20" x14ac:dyDescent="0.35">
      <c r="A16" t="s">
        <v>76</v>
      </c>
      <c r="B16">
        <v>2038</v>
      </c>
      <c r="C16" s="16" t="s">
        <v>73</v>
      </c>
      <c r="D16" t="s">
        <v>74</v>
      </c>
      <c r="E16" s="14">
        <f>SUMIFS(Hydrogen!$AD:$AD,Hydrogen!$Y:$Y,$D16,Hydrogen!$AB:$AB,Predev_Scenarios!$B16,Hydrogen!$AA:$AA,$A16)</f>
        <v>10950</v>
      </c>
      <c r="F16" s="14" t="s">
        <v>106</v>
      </c>
      <c r="G16" s="14">
        <f>SUMIFS(Hydrogen!$AC:$AC,Hydrogen!$Y:$Y,$D16,Hydrogen!$AB:$AB,Predev_Scenarios!$B16,Hydrogen!$AA:$AA,$A16)</f>
        <v>1.3140000000000001E-3</v>
      </c>
      <c r="H16" s="13" t="str">
        <f>IF(C16="Electricity",E16*SUMIFS(Electricity!S:S,Electricity!P:P,Predev_Scenarios!B16,Electricity!M:M,Predev_Scenarios!A16,Electricity!O:O,Predev_Scenarios!D16),"")</f>
        <v/>
      </c>
      <c r="I16" s="12">
        <f>SUMIFS(Hydrogen!AK:AK,Hydrogen!$AA:$AA,Predev_Scenarios!$A16,Hydrogen!$Y:$Y,Predev_Scenarios!$D16,Hydrogen!$AB:$AB,Predev_Scenarios!$B16,Hydrogen!$Z:$Z,Predev_Scenarios!$C16)</f>
        <v>-15.177257002677678</v>
      </c>
      <c r="J16" s="12">
        <f>SUMIFS(Hydrogen!AL:AL,Hydrogen!$AA:$AA,Predev_Scenarios!$A16,Hydrogen!$Y:$Y,Predev_Scenarios!$D16,Hydrogen!$AB:$AB,Predev_Scenarios!$B16,Hydrogen!$Z:$Z,Predev_Scenarios!$C16)</f>
        <v>-3.3018041902771103</v>
      </c>
      <c r="K16" s="12">
        <f>SUMIFS(Hydrogen!AM:AM,Hydrogen!$AA:$AA,Predev_Scenarios!$A16,Hydrogen!$Y:$Y,Predev_Scenarios!$D16,Hydrogen!$AB:$AB,Predev_Scenarios!$B16,Hydrogen!$Z:$Z,Predev_Scenarios!$C16)</f>
        <v>-27.052709815078245</v>
      </c>
      <c r="L16" s="63">
        <f t="shared" si="1"/>
        <v>1.994291570151847E-2</v>
      </c>
      <c r="M16" s="63">
        <f t="shared" si="2"/>
        <v>4.3385707060241228E-3</v>
      </c>
      <c r="N16" s="63">
        <f t="shared" si="3"/>
        <v>3.5547260697012813E-2</v>
      </c>
      <c r="O16" s="30">
        <f>IF(OR(LEFT($D16,5)="Solar",$D16="Wind"),INDEX(Land_Use[AVG],MATCH(LEFT($D16,5),Land_Use[Tech],0)),0)*$E16</f>
        <v>0</v>
      </c>
      <c r="P16" s="30">
        <f>IF(OR(LEFT($D16,5)="Solar",$D16="Wind"),INDEX(Land_Use[MIN],MATCH(LEFT($D16,5),Land_Use[Tech],0)),0)*$E16</f>
        <v>0</v>
      </c>
      <c r="Q16" s="30">
        <f>IF(OR(LEFT($D16,5)="Solar",$D16="Wind"),INDEX(Land_Use[MAX],MATCH(LEFT($D16,5),Land_Use[Tech],0)),0)*$E16</f>
        <v>0</v>
      </c>
      <c r="R16" s="31">
        <f>IFERROR(INDEX(WaterUseH2[Average Direct Water Consumption (Gal/ kg h2)],MATCH(LEFT(D16,3),WaterUseH2[Key],0)),0)</f>
        <v>2.8</v>
      </c>
      <c r="S16" s="15">
        <f t="shared" si="4"/>
        <v>30.659999999999997</v>
      </c>
      <c r="T16" s="14"/>
    </row>
    <row r="17" spans="1:20" x14ac:dyDescent="0.35">
      <c r="A17" t="s">
        <v>76</v>
      </c>
      <c r="B17">
        <v>2039</v>
      </c>
      <c r="C17" s="16" t="s">
        <v>73</v>
      </c>
      <c r="D17" t="s">
        <v>74</v>
      </c>
      <c r="E17" s="14">
        <f>SUMIFS(Hydrogen!$AD:$AD,Hydrogen!$Y:$Y,$D17,Hydrogen!$AB:$AB,Predev_Scenarios!$B17,Hydrogen!$AA:$AA,$A17)</f>
        <v>10950</v>
      </c>
      <c r="F17" s="14" t="s">
        <v>106</v>
      </c>
      <c r="G17" s="14">
        <f>SUMIFS(Hydrogen!$AC:$AC,Hydrogen!$Y:$Y,$D17,Hydrogen!$AB:$AB,Predev_Scenarios!$B17,Hydrogen!$AA:$AA,$A17)</f>
        <v>1.3140000000000001E-3</v>
      </c>
      <c r="H17" s="13" t="str">
        <f>IF(C17="Electricity",E17*SUMIFS(Electricity!S:S,Electricity!P:P,Predev_Scenarios!B17,Electricity!M:M,Predev_Scenarios!A17,Electricity!O:O,Predev_Scenarios!D17),"")</f>
        <v/>
      </c>
      <c r="I17" s="12">
        <f>SUMIFS(Hydrogen!AK:AK,Hydrogen!$AA:$AA,Predev_Scenarios!$A17,Hydrogen!$Y:$Y,Predev_Scenarios!$D17,Hydrogen!$AB:$AB,Predev_Scenarios!$B17,Hydrogen!$Z:$Z,Predev_Scenarios!$C17)</f>
        <v>-13.876188615014854</v>
      </c>
      <c r="J17" s="12">
        <f>SUMIFS(Hydrogen!AL:AL,Hydrogen!$AA:$AA,Predev_Scenarios!$A17,Hydrogen!$Y:$Y,Predev_Scenarios!$D17,Hydrogen!$AB:$AB,Predev_Scenarios!$B17,Hydrogen!$Z:$Z,Predev_Scenarios!$C17)</f>
        <v>-0.69966741495146323</v>
      </c>
      <c r="K17" s="12">
        <f>SUMIFS(Hydrogen!AM:AM,Hydrogen!$AA:$AA,Predev_Scenarios!$A17,Hydrogen!$Y:$Y,Predev_Scenarios!$D17,Hydrogen!$AB:$AB,Predev_Scenarios!$B17,Hydrogen!$Z:$Z,Predev_Scenarios!$C17)</f>
        <v>-27.052709815078245</v>
      </c>
      <c r="L17" s="63">
        <f t="shared" si="1"/>
        <v>1.823331184012952E-2</v>
      </c>
      <c r="M17" s="63">
        <f t="shared" si="2"/>
        <v>9.1936298324622268E-4</v>
      </c>
      <c r="N17" s="63">
        <f t="shared" si="3"/>
        <v>3.5547260697012813E-2</v>
      </c>
      <c r="O17" s="30">
        <f>IF(OR(LEFT($D17,5)="Solar",$D17="Wind"),INDEX(Land_Use[AVG],MATCH(LEFT($D17,5),Land_Use[Tech],0)),0)*$E17</f>
        <v>0</v>
      </c>
      <c r="P17" s="30">
        <f>IF(OR(LEFT($D17,5)="Solar",$D17="Wind"),INDEX(Land_Use[MIN],MATCH(LEFT($D17,5),Land_Use[Tech],0)),0)*$E17</f>
        <v>0</v>
      </c>
      <c r="Q17" s="30">
        <f>IF(OR(LEFT($D17,5)="Solar",$D17="Wind"),INDEX(Land_Use[MAX],MATCH(LEFT($D17,5),Land_Use[Tech],0)),0)*$E17</f>
        <v>0</v>
      </c>
      <c r="R17" s="31">
        <f>IFERROR(INDEX(WaterUseH2[Average Direct Water Consumption (Gal/ kg h2)],MATCH(LEFT(D17,3),WaterUseH2[Key],0)),0)</f>
        <v>2.8</v>
      </c>
      <c r="S17" s="15">
        <f t="shared" si="4"/>
        <v>30.659999999999997</v>
      </c>
      <c r="T17" s="14"/>
    </row>
    <row r="18" spans="1:20" x14ac:dyDescent="0.35">
      <c r="A18" t="s">
        <v>76</v>
      </c>
      <c r="B18">
        <v>2040</v>
      </c>
      <c r="C18" s="16" t="s">
        <v>73</v>
      </c>
      <c r="D18" t="s">
        <v>74</v>
      </c>
      <c r="E18" s="14">
        <f>SUMIFS(Hydrogen!$AD:$AD,Hydrogen!$Y:$Y,$D18,Hydrogen!$AB:$AB,Predev_Scenarios!$B18,Hydrogen!$AA:$AA,$A18)</f>
        <v>10950</v>
      </c>
      <c r="F18" s="14" t="s">
        <v>106</v>
      </c>
      <c r="G18" s="14">
        <f>SUMIFS(Hydrogen!$AC:$AC,Hydrogen!$Y:$Y,$D18,Hydrogen!$AB:$AB,Predev_Scenarios!$B18,Hydrogen!$AA:$AA,$A18)</f>
        <v>1.3140000000000001E-3</v>
      </c>
      <c r="H18" s="13" t="str">
        <f>IF(C18="Electricity",E18*SUMIFS(Electricity!S:S,Electricity!P:P,Predev_Scenarios!B18,Electricity!M:M,Predev_Scenarios!A18,Electricity!O:O,Predev_Scenarios!D18),"")</f>
        <v/>
      </c>
      <c r="I18" s="12">
        <f>SUMIFS(Hydrogen!AK:AK,Hydrogen!$AA:$AA,Predev_Scenarios!$A18,Hydrogen!$Y:$Y,Predev_Scenarios!$D18,Hydrogen!$AB:$AB,Predev_Scenarios!$B18,Hydrogen!$Z:$Z,Predev_Scenarios!$C18)</f>
        <v>-13.526354907539123</v>
      </c>
      <c r="J18" s="12">
        <f>SUMIFS(Hydrogen!AL:AL,Hydrogen!$AA:$AA,Predev_Scenarios!$A18,Hydrogen!$Y:$Y,Predev_Scenarios!$D18,Hydrogen!$AB:$AB,Predev_Scenarios!$B18,Hydrogen!$Z:$Z,Predev_Scenarios!$C18)</f>
        <v>0</v>
      </c>
      <c r="K18" s="12">
        <f>SUMIFS(Hydrogen!AM:AM,Hydrogen!$AA:$AA,Predev_Scenarios!$A18,Hydrogen!$Y:$Y,Predev_Scenarios!$D18,Hydrogen!$AB:$AB,Predev_Scenarios!$B18,Hydrogen!$Z:$Z,Predev_Scenarios!$C18)</f>
        <v>-27.052709815078245</v>
      </c>
      <c r="L18" s="63">
        <f t="shared" si="1"/>
        <v>1.7773630348506406E-2</v>
      </c>
      <c r="M18" s="63">
        <f t="shared" si="2"/>
        <v>0</v>
      </c>
      <c r="N18" s="63">
        <f t="shared" si="3"/>
        <v>3.5547260697012813E-2</v>
      </c>
      <c r="O18" s="30">
        <f>IF(OR(LEFT($D18,5)="Solar",$D18="Wind"),INDEX(Land_Use[AVG],MATCH(LEFT($D18,5),Land_Use[Tech],0)),0)*$E18</f>
        <v>0</v>
      </c>
      <c r="P18" s="30">
        <f>IF(OR(LEFT($D18,5)="Solar",$D18="Wind"),INDEX(Land_Use[MIN],MATCH(LEFT($D18,5),Land_Use[Tech],0)),0)*$E18</f>
        <v>0</v>
      </c>
      <c r="Q18" s="30">
        <f>IF(OR(LEFT($D18,5)="Solar",$D18="Wind"),INDEX(Land_Use[MAX],MATCH(LEFT($D18,5),Land_Use[Tech],0)),0)*$E18</f>
        <v>0</v>
      </c>
      <c r="R18" s="31">
        <f>IFERROR(INDEX(WaterUseH2[Average Direct Water Consumption (Gal/ kg h2)],MATCH(LEFT(D18,3),WaterUseH2[Key],0)),0)</f>
        <v>2.8</v>
      </c>
      <c r="S18" s="15">
        <f t="shared" si="4"/>
        <v>30.659999999999997</v>
      </c>
      <c r="T18" s="14"/>
    </row>
    <row r="19" spans="1:20" x14ac:dyDescent="0.35">
      <c r="A19" t="s">
        <v>76</v>
      </c>
      <c r="B19">
        <v>2041</v>
      </c>
      <c r="C19" s="16" t="s">
        <v>73</v>
      </c>
      <c r="D19" t="s">
        <v>74</v>
      </c>
      <c r="E19" s="14">
        <f>SUMIFS(Hydrogen!$AD:$AD,Hydrogen!$Y:$Y,$D19,Hydrogen!$AB:$AB,Predev_Scenarios!$B19,Hydrogen!$AA:$AA,$A19)</f>
        <v>10950</v>
      </c>
      <c r="F19" s="14" t="s">
        <v>106</v>
      </c>
      <c r="G19" s="14">
        <f>SUMIFS(Hydrogen!$AC:$AC,Hydrogen!$Y:$Y,$D19,Hydrogen!$AB:$AB,Predev_Scenarios!$B19,Hydrogen!$AA:$AA,$A19)</f>
        <v>1.3140000000000001E-3</v>
      </c>
      <c r="H19" s="13" t="str">
        <f>IF(C19="Electricity",E19*SUMIFS(Electricity!S:S,Electricity!P:P,Predev_Scenarios!B19,Electricity!M:M,Predev_Scenarios!A19,Electricity!O:O,Predev_Scenarios!D19),"")</f>
        <v/>
      </c>
      <c r="I19" s="12">
        <f>SUMIFS(Hydrogen!AK:AK,Hydrogen!$AA:$AA,Predev_Scenarios!$A19,Hydrogen!$Y:$Y,Predev_Scenarios!$D19,Hydrogen!$AB:$AB,Predev_Scenarios!$B19,Hydrogen!$Z:$Z,Predev_Scenarios!$C19)</f>
        <v>-13.526354907539123</v>
      </c>
      <c r="J19" s="12">
        <f>SUMIFS(Hydrogen!AL:AL,Hydrogen!$AA:$AA,Predev_Scenarios!$A19,Hydrogen!$Y:$Y,Predev_Scenarios!$D19,Hydrogen!$AB:$AB,Predev_Scenarios!$B19,Hydrogen!$Z:$Z,Predev_Scenarios!$C19)</f>
        <v>0</v>
      </c>
      <c r="K19" s="12">
        <f>SUMIFS(Hydrogen!AM:AM,Hydrogen!$AA:$AA,Predev_Scenarios!$A19,Hydrogen!$Y:$Y,Predev_Scenarios!$D19,Hydrogen!$AB:$AB,Predev_Scenarios!$B19,Hydrogen!$Z:$Z,Predev_Scenarios!$C19)</f>
        <v>-27.052709815078245</v>
      </c>
      <c r="L19" s="63">
        <f t="shared" si="1"/>
        <v>1.7773630348506406E-2</v>
      </c>
      <c r="M19" s="63">
        <f t="shared" si="2"/>
        <v>0</v>
      </c>
      <c r="N19" s="63">
        <f t="shared" si="3"/>
        <v>3.5547260697012813E-2</v>
      </c>
      <c r="O19" s="30">
        <f>IF(OR(LEFT($D19,5)="Solar",$D19="Wind"),INDEX(Land_Use[AVG],MATCH(LEFT($D19,5),Land_Use[Tech],0)),0)*$E19</f>
        <v>0</v>
      </c>
      <c r="P19" s="30">
        <f>IF(OR(LEFT($D19,5)="Solar",$D19="Wind"),INDEX(Land_Use[MIN],MATCH(LEFT($D19,5),Land_Use[Tech],0)),0)*$E19</f>
        <v>0</v>
      </c>
      <c r="Q19" s="30">
        <f>IF(OR(LEFT($D19,5)="Solar",$D19="Wind"),INDEX(Land_Use[MAX],MATCH(LEFT($D19,5),Land_Use[Tech],0)),0)*$E19</f>
        <v>0</v>
      </c>
      <c r="R19" s="31">
        <f>IFERROR(INDEX(WaterUseH2[Average Direct Water Consumption (Gal/ kg h2)],MATCH(LEFT(D19,3),WaterUseH2[Key],0)),0)</f>
        <v>2.8</v>
      </c>
      <c r="S19" s="15">
        <f t="shared" si="4"/>
        <v>30.659999999999997</v>
      </c>
      <c r="T19" s="14"/>
    </row>
    <row r="20" spans="1:20" x14ac:dyDescent="0.35">
      <c r="A20" t="s">
        <v>76</v>
      </c>
      <c r="B20">
        <v>2042</v>
      </c>
      <c r="C20" s="16" t="s">
        <v>73</v>
      </c>
      <c r="D20" t="s">
        <v>74</v>
      </c>
      <c r="E20" s="14">
        <f>SUMIFS(Hydrogen!$AD:$AD,Hydrogen!$Y:$Y,$D20,Hydrogen!$AB:$AB,Predev_Scenarios!$B20,Hydrogen!$AA:$AA,$A20)</f>
        <v>10950</v>
      </c>
      <c r="F20" s="14" t="s">
        <v>106</v>
      </c>
      <c r="G20" s="14">
        <f>SUMIFS(Hydrogen!$AC:$AC,Hydrogen!$Y:$Y,$D20,Hydrogen!$AB:$AB,Predev_Scenarios!$B20,Hydrogen!$AA:$AA,$A20)</f>
        <v>1.3140000000000001E-3</v>
      </c>
      <c r="H20" s="13" t="str">
        <f>IF(C20="Electricity",E20*SUMIFS(Electricity!S:S,Electricity!P:P,Predev_Scenarios!B20,Electricity!M:M,Predev_Scenarios!A20,Electricity!O:O,Predev_Scenarios!D20),"")</f>
        <v/>
      </c>
      <c r="I20" s="12">
        <f>SUMIFS(Hydrogen!AK:AK,Hydrogen!$AA:$AA,Predev_Scenarios!$A20,Hydrogen!$Y:$Y,Predev_Scenarios!$D20,Hydrogen!$AB:$AB,Predev_Scenarios!$B20,Hydrogen!$Z:$Z,Predev_Scenarios!$C20)</f>
        <v>-13.526354907539123</v>
      </c>
      <c r="J20" s="12">
        <f>SUMIFS(Hydrogen!AL:AL,Hydrogen!$AA:$AA,Predev_Scenarios!$A20,Hydrogen!$Y:$Y,Predev_Scenarios!$D20,Hydrogen!$AB:$AB,Predev_Scenarios!$B20,Hydrogen!$Z:$Z,Predev_Scenarios!$C20)</f>
        <v>0</v>
      </c>
      <c r="K20" s="12">
        <f>SUMIFS(Hydrogen!AM:AM,Hydrogen!$AA:$AA,Predev_Scenarios!$A20,Hydrogen!$Y:$Y,Predev_Scenarios!$D20,Hydrogen!$AB:$AB,Predev_Scenarios!$B20,Hydrogen!$Z:$Z,Predev_Scenarios!$C20)</f>
        <v>-27.052709815078245</v>
      </c>
      <c r="L20" s="63">
        <f t="shared" si="1"/>
        <v>1.7773630348506406E-2</v>
      </c>
      <c r="M20" s="63">
        <f t="shared" si="2"/>
        <v>0</v>
      </c>
      <c r="N20" s="63">
        <f t="shared" si="3"/>
        <v>3.5547260697012813E-2</v>
      </c>
      <c r="O20" s="30">
        <f>IF(OR(LEFT($D20,5)="Solar",$D20="Wind"),INDEX(Land_Use[AVG],MATCH(LEFT($D20,5),Land_Use[Tech],0)),0)*$E20</f>
        <v>0</v>
      </c>
      <c r="P20" s="30">
        <f>IF(OR(LEFT($D20,5)="Solar",$D20="Wind"),INDEX(Land_Use[MIN],MATCH(LEFT($D20,5),Land_Use[Tech],0)),0)*$E20</f>
        <v>0</v>
      </c>
      <c r="Q20" s="30">
        <f>IF(OR(LEFT($D20,5)="Solar",$D20="Wind"),INDEX(Land_Use[MAX],MATCH(LEFT($D20,5),Land_Use[Tech],0)),0)*$E20</f>
        <v>0</v>
      </c>
      <c r="R20" s="31">
        <f>IFERROR(INDEX(WaterUseH2[Average Direct Water Consumption (Gal/ kg h2)],MATCH(LEFT(D20,3),WaterUseH2[Key],0)),0)</f>
        <v>2.8</v>
      </c>
      <c r="S20" s="15">
        <f t="shared" si="4"/>
        <v>30.659999999999997</v>
      </c>
      <c r="T20" s="14"/>
    </row>
    <row r="21" spans="1:20" x14ac:dyDescent="0.35">
      <c r="A21" t="s">
        <v>76</v>
      </c>
      <c r="B21">
        <v>2043</v>
      </c>
      <c r="C21" s="16" t="s">
        <v>73</v>
      </c>
      <c r="D21" t="s">
        <v>74</v>
      </c>
      <c r="E21" s="14">
        <f>SUMIFS(Hydrogen!$AD:$AD,Hydrogen!$Y:$Y,$D21,Hydrogen!$AB:$AB,Predev_Scenarios!$B21,Hydrogen!$AA:$AA,$A21)</f>
        <v>10950</v>
      </c>
      <c r="F21" s="14" t="s">
        <v>106</v>
      </c>
      <c r="G21" s="14">
        <f>SUMIFS(Hydrogen!$AC:$AC,Hydrogen!$Y:$Y,$D21,Hydrogen!$AB:$AB,Predev_Scenarios!$B21,Hydrogen!$AA:$AA,$A21)</f>
        <v>1.3140000000000001E-3</v>
      </c>
      <c r="H21" s="13" t="str">
        <f>IF(C21="Electricity",E21*SUMIFS(Electricity!S:S,Electricity!P:P,Predev_Scenarios!B21,Electricity!M:M,Predev_Scenarios!A21,Electricity!O:O,Predev_Scenarios!D21),"")</f>
        <v/>
      </c>
      <c r="I21" s="12">
        <f>SUMIFS(Hydrogen!AK:AK,Hydrogen!$AA:$AA,Predev_Scenarios!$A21,Hydrogen!$Y:$Y,Predev_Scenarios!$D21,Hydrogen!$AB:$AB,Predev_Scenarios!$B21,Hydrogen!$Z:$Z,Predev_Scenarios!$C21)</f>
        <v>-13.526354907539123</v>
      </c>
      <c r="J21" s="12">
        <f>SUMIFS(Hydrogen!AL:AL,Hydrogen!$AA:$AA,Predev_Scenarios!$A21,Hydrogen!$Y:$Y,Predev_Scenarios!$D21,Hydrogen!$AB:$AB,Predev_Scenarios!$B21,Hydrogen!$Z:$Z,Predev_Scenarios!$C21)</f>
        <v>0</v>
      </c>
      <c r="K21" s="12">
        <f>SUMIFS(Hydrogen!AM:AM,Hydrogen!$AA:$AA,Predev_Scenarios!$A21,Hydrogen!$Y:$Y,Predev_Scenarios!$D21,Hydrogen!$AB:$AB,Predev_Scenarios!$B21,Hydrogen!$Z:$Z,Predev_Scenarios!$C21)</f>
        <v>-27.052709815078245</v>
      </c>
      <c r="L21" s="63">
        <f t="shared" si="1"/>
        <v>1.7773630348506406E-2</v>
      </c>
      <c r="M21" s="63">
        <f t="shared" si="2"/>
        <v>0</v>
      </c>
      <c r="N21" s="63">
        <f t="shared" si="3"/>
        <v>3.5547260697012813E-2</v>
      </c>
      <c r="O21" s="30">
        <f>IF(OR(LEFT($D21,5)="Solar",$D21="Wind"),INDEX(Land_Use[AVG],MATCH(LEFT($D21,5),Land_Use[Tech],0)),0)*$E21</f>
        <v>0</v>
      </c>
      <c r="P21" s="30">
        <f>IF(OR(LEFT($D21,5)="Solar",$D21="Wind"),INDEX(Land_Use[MIN],MATCH(LEFT($D21,5),Land_Use[Tech],0)),0)*$E21</f>
        <v>0</v>
      </c>
      <c r="Q21" s="30">
        <f>IF(OR(LEFT($D21,5)="Solar",$D21="Wind"),INDEX(Land_Use[MAX],MATCH(LEFT($D21,5),Land_Use[Tech],0)),0)*$E21</f>
        <v>0</v>
      </c>
      <c r="R21" s="31">
        <f>IFERROR(INDEX(WaterUseH2[Average Direct Water Consumption (Gal/ kg h2)],MATCH(LEFT(D21,3),WaterUseH2[Key],0)),0)</f>
        <v>2.8</v>
      </c>
      <c r="S21" s="15">
        <f t="shared" si="4"/>
        <v>30.659999999999997</v>
      </c>
      <c r="T21" s="14"/>
    </row>
    <row r="22" spans="1:20" x14ac:dyDescent="0.35">
      <c r="A22" t="s">
        <v>76</v>
      </c>
      <c r="B22">
        <v>2044</v>
      </c>
      <c r="C22" s="16" t="s">
        <v>73</v>
      </c>
      <c r="D22" t="s">
        <v>74</v>
      </c>
      <c r="E22" s="14">
        <f>SUMIFS(Hydrogen!$AD:$AD,Hydrogen!$Y:$Y,$D22,Hydrogen!$AB:$AB,Predev_Scenarios!$B22,Hydrogen!$AA:$AA,$A22)</f>
        <v>10950</v>
      </c>
      <c r="F22" s="14" t="s">
        <v>106</v>
      </c>
      <c r="G22" s="14">
        <f>SUMIFS(Hydrogen!$AC:$AC,Hydrogen!$Y:$Y,$D22,Hydrogen!$AB:$AB,Predev_Scenarios!$B22,Hydrogen!$AA:$AA,$A22)</f>
        <v>1.3140000000000001E-3</v>
      </c>
      <c r="H22" s="13" t="str">
        <f>IF(C22="Electricity",E22*SUMIFS(Electricity!S:S,Electricity!P:P,Predev_Scenarios!B22,Electricity!M:M,Predev_Scenarios!A22,Electricity!O:O,Predev_Scenarios!D22),"")</f>
        <v/>
      </c>
      <c r="I22" s="12">
        <f>SUMIFS(Hydrogen!AK:AK,Hydrogen!$AA:$AA,Predev_Scenarios!$A22,Hydrogen!$Y:$Y,Predev_Scenarios!$D22,Hydrogen!$AB:$AB,Predev_Scenarios!$B22,Hydrogen!$Z:$Z,Predev_Scenarios!$C22)</f>
        <v>-13.526354907539123</v>
      </c>
      <c r="J22" s="12">
        <f>SUMIFS(Hydrogen!AL:AL,Hydrogen!$AA:$AA,Predev_Scenarios!$A22,Hydrogen!$Y:$Y,Predev_Scenarios!$D22,Hydrogen!$AB:$AB,Predev_Scenarios!$B22,Hydrogen!$Z:$Z,Predev_Scenarios!$C22)</f>
        <v>0</v>
      </c>
      <c r="K22" s="12">
        <f>SUMIFS(Hydrogen!AM:AM,Hydrogen!$AA:$AA,Predev_Scenarios!$A22,Hydrogen!$Y:$Y,Predev_Scenarios!$D22,Hydrogen!$AB:$AB,Predev_Scenarios!$B22,Hydrogen!$Z:$Z,Predev_Scenarios!$C22)</f>
        <v>-27.052709815078245</v>
      </c>
      <c r="L22" s="63">
        <f t="shared" si="1"/>
        <v>1.7773630348506406E-2</v>
      </c>
      <c r="M22" s="63">
        <f t="shared" si="2"/>
        <v>0</v>
      </c>
      <c r="N22" s="63">
        <f t="shared" si="3"/>
        <v>3.5547260697012813E-2</v>
      </c>
      <c r="O22" s="30">
        <f>IF(OR(LEFT($D22,5)="Solar",$D22="Wind"),INDEX(Land_Use[AVG],MATCH(LEFT($D22,5),Land_Use[Tech],0)),0)*$E22</f>
        <v>0</v>
      </c>
      <c r="P22" s="30">
        <f>IF(OR(LEFT($D22,5)="Solar",$D22="Wind"),INDEX(Land_Use[MIN],MATCH(LEFT($D22,5),Land_Use[Tech],0)),0)*$E22</f>
        <v>0</v>
      </c>
      <c r="Q22" s="30">
        <f>IF(OR(LEFT($D22,5)="Solar",$D22="Wind"),INDEX(Land_Use[MAX],MATCH(LEFT($D22,5),Land_Use[Tech],0)),0)*$E22</f>
        <v>0</v>
      </c>
      <c r="R22" s="31">
        <f>IFERROR(INDEX(WaterUseH2[Average Direct Water Consumption (Gal/ kg h2)],MATCH(LEFT(D22,3),WaterUseH2[Key],0)),0)</f>
        <v>2.8</v>
      </c>
      <c r="S22" s="15">
        <f t="shared" si="4"/>
        <v>30.659999999999997</v>
      </c>
      <c r="T22" s="14"/>
    </row>
    <row r="23" spans="1:20" x14ac:dyDescent="0.35">
      <c r="A23" t="s">
        <v>76</v>
      </c>
      <c r="B23">
        <v>2045</v>
      </c>
      <c r="C23" s="16" t="s">
        <v>73</v>
      </c>
      <c r="D23" t="s">
        <v>74</v>
      </c>
      <c r="E23" s="14">
        <f>SUMIFS(Hydrogen!$AD:$AD,Hydrogen!$Y:$Y,$D23,Hydrogen!$AB:$AB,Predev_Scenarios!$B23,Hydrogen!$AA:$AA,$A23)</f>
        <v>10950</v>
      </c>
      <c r="F23" s="14" t="s">
        <v>106</v>
      </c>
      <c r="G23" s="14">
        <f>SUMIFS(Hydrogen!$AC:$AC,Hydrogen!$Y:$Y,$D23,Hydrogen!$AB:$AB,Predev_Scenarios!$B23,Hydrogen!$AA:$AA,$A23)</f>
        <v>1.3140000000000001E-3</v>
      </c>
      <c r="H23" s="13" t="str">
        <f>IF(C23="Electricity",E23*SUMIFS(Electricity!S:S,Electricity!P:P,Predev_Scenarios!B23,Electricity!M:M,Predev_Scenarios!A23,Electricity!O:O,Predev_Scenarios!D23),"")</f>
        <v/>
      </c>
      <c r="I23" s="12">
        <f>SUMIFS(Hydrogen!AK:AK,Hydrogen!$AA:$AA,Predev_Scenarios!$A23,Hydrogen!$Y:$Y,Predev_Scenarios!$D23,Hydrogen!$AB:$AB,Predev_Scenarios!$B23,Hydrogen!$Z:$Z,Predev_Scenarios!$C23)</f>
        <v>-13.526354907539123</v>
      </c>
      <c r="J23" s="12">
        <f>SUMIFS(Hydrogen!AL:AL,Hydrogen!$AA:$AA,Predev_Scenarios!$A23,Hydrogen!$Y:$Y,Predev_Scenarios!$D23,Hydrogen!$AB:$AB,Predev_Scenarios!$B23,Hydrogen!$Z:$Z,Predev_Scenarios!$C23)</f>
        <v>0</v>
      </c>
      <c r="K23" s="12">
        <f>SUMIFS(Hydrogen!AM:AM,Hydrogen!$AA:$AA,Predev_Scenarios!$A23,Hydrogen!$Y:$Y,Predev_Scenarios!$D23,Hydrogen!$AB:$AB,Predev_Scenarios!$B23,Hydrogen!$Z:$Z,Predev_Scenarios!$C23)</f>
        <v>-27.052709815078245</v>
      </c>
      <c r="L23" s="63">
        <f t="shared" si="1"/>
        <v>1.7773630348506406E-2</v>
      </c>
      <c r="M23" s="63">
        <f t="shared" si="2"/>
        <v>0</v>
      </c>
      <c r="N23" s="63">
        <f t="shared" si="3"/>
        <v>3.5547260697012813E-2</v>
      </c>
      <c r="O23" s="30">
        <f>IF(OR(LEFT($D23,5)="Solar",$D23="Wind"),INDEX(Land_Use[AVG],MATCH(LEFT($D23,5),Land_Use[Tech],0)),0)*$E23</f>
        <v>0</v>
      </c>
      <c r="P23" s="30">
        <f>IF(OR(LEFT($D23,5)="Solar",$D23="Wind"),INDEX(Land_Use[MIN],MATCH(LEFT($D23,5),Land_Use[Tech],0)),0)*$E23</f>
        <v>0</v>
      </c>
      <c r="Q23" s="30">
        <f>IF(OR(LEFT($D23,5)="Solar",$D23="Wind"),INDEX(Land_Use[MAX],MATCH(LEFT($D23,5),Land_Use[Tech],0)),0)*$E23</f>
        <v>0</v>
      </c>
      <c r="R23" s="31">
        <f>IFERROR(INDEX(WaterUseH2[Average Direct Water Consumption (Gal/ kg h2)],MATCH(LEFT(D23,3),WaterUseH2[Key],0)),0)</f>
        <v>2.8</v>
      </c>
      <c r="S23" s="15">
        <f t="shared" si="4"/>
        <v>30.659999999999997</v>
      </c>
      <c r="T23" s="14"/>
    </row>
    <row r="24" spans="1:20" x14ac:dyDescent="0.35">
      <c r="A24" t="s">
        <v>107</v>
      </c>
      <c r="B24">
        <v>2025</v>
      </c>
      <c r="C24" s="16" t="s">
        <v>73</v>
      </c>
      <c r="D24" t="s">
        <v>74</v>
      </c>
      <c r="E24" s="14">
        <f>SUMIFS(Hydrogen!$AD:$AD,Hydrogen!$Y:$Y,$D24,Hydrogen!$AB:$AB,Predev_Scenarios!$B24,Hydrogen!$AA:$AA,$A24)</f>
        <v>0</v>
      </c>
      <c r="F24" s="14" t="s">
        <v>106</v>
      </c>
      <c r="G24" s="14">
        <f>SUMIFS(Hydrogen!$AC:$AC,Hydrogen!$Y:$Y,$D24,Hydrogen!$AB:$AB,Predev_Scenarios!$B24,Hydrogen!$AA:$AA,$A24)</f>
        <v>0</v>
      </c>
      <c r="H24" s="13" t="str">
        <f>IF(C24="Electricity",E24*SUMIFS(Electricity!S:S,Electricity!P:P,Predev_Scenarios!B24,Electricity!M:M,Predev_Scenarios!A24,Electricity!O:O,Predev_Scenarios!D24),"")</f>
        <v/>
      </c>
      <c r="I24" s="12">
        <f>SUMIFS(Hydrogen!AK:AK,Hydrogen!$AA:$AA,Predev_Scenarios!$A24,Hydrogen!$Y:$Y,Predev_Scenarios!$D24,Hydrogen!$AB:$AB,Predev_Scenarios!$B24,Hydrogen!$Z:$Z,Predev_Scenarios!$C24)</f>
        <v>-25.962263497910243</v>
      </c>
      <c r="J24" s="12">
        <f>SUMIFS(Hydrogen!AL:AL,Hydrogen!$AA:$AA,Predev_Scenarios!$A24,Hydrogen!$Y:$Y,Predev_Scenarios!$D24,Hydrogen!$AB:$AB,Predev_Scenarios!$B24,Hydrogen!$Z:$Z,Predev_Scenarios!$C24)</f>
        <v>-24.871817180742241</v>
      </c>
      <c r="K24" s="12">
        <f>SUMIFS(Hydrogen!AM:AM,Hydrogen!$AA:$AA,Predev_Scenarios!$A24,Hydrogen!$Y:$Y,Predev_Scenarios!$D24,Hydrogen!$AB:$AB,Predev_Scenarios!$B24,Hydrogen!$Z:$Z,Predev_Scenarios!$C24)</f>
        <v>-27.052709815078245</v>
      </c>
      <c r="L24" s="63">
        <f t="shared" si="1"/>
        <v>0</v>
      </c>
      <c r="M24" s="63">
        <f t="shared" si="2"/>
        <v>0</v>
      </c>
      <c r="N24" s="63">
        <f t="shared" si="3"/>
        <v>0</v>
      </c>
      <c r="O24" s="30">
        <f>IF(OR(LEFT($D24,5)="Solar",$D24="Wind"),INDEX(Land_Use[AVG],MATCH(LEFT($D24,5),Land_Use[Tech],0)),0)*$E24</f>
        <v>0</v>
      </c>
      <c r="P24" s="30">
        <f>IF(OR(LEFT($D24,5)="Solar",$D24="Wind"),INDEX(Land_Use[MIN],MATCH(LEFT($D24,5),Land_Use[Tech],0)),0)*$E24</f>
        <v>0</v>
      </c>
      <c r="Q24" s="30">
        <f>IF(OR(LEFT($D24,5)="Solar",$D24="Wind"),INDEX(Land_Use[MAX],MATCH(LEFT($D24,5),Land_Use[Tech],0)),0)*$E24</f>
        <v>0</v>
      </c>
      <c r="R24" s="31">
        <f>IFERROR(INDEX(WaterUseH2[Average Direct Water Consumption (Gal/ kg h2)],MATCH(LEFT(D24,3),WaterUseH2[Key],0)),0)</f>
        <v>2.8</v>
      </c>
      <c r="S24" s="15">
        <f t="shared" si="4"/>
        <v>0</v>
      </c>
      <c r="T24" s="14"/>
    </row>
    <row r="25" spans="1:20" x14ac:dyDescent="0.35">
      <c r="A25" t="s">
        <v>107</v>
      </c>
      <c r="B25">
        <v>2026</v>
      </c>
      <c r="C25" s="16" t="s">
        <v>73</v>
      </c>
      <c r="D25" t="s">
        <v>74</v>
      </c>
      <c r="E25" s="14">
        <f>SUMIFS(Hydrogen!$AD:$AD,Hydrogen!$Y:$Y,$D25,Hydrogen!$AB:$AB,Predev_Scenarios!$B25,Hydrogen!$AA:$AA,$A25)</f>
        <v>10950</v>
      </c>
      <c r="F25" s="14" t="s">
        <v>106</v>
      </c>
      <c r="G25" s="14">
        <f>SUMIFS(Hydrogen!$AC:$AC,Hydrogen!$Y:$Y,$D25,Hydrogen!$AB:$AB,Predev_Scenarios!$B25,Hydrogen!$AA:$AA,$A25)</f>
        <v>1.3140000000000001E-3</v>
      </c>
      <c r="H25" s="13" t="str">
        <f>IF(C25="Electricity",E25*SUMIFS(Electricity!S:S,Electricity!P:P,Predev_Scenarios!B25,Electricity!M:M,Predev_Scenarios!A25,Electricity!O:O,Predev_Scenarios!D25),"")</f>
        <v/>
      </c>
      <c r="I25" s="12">
        <f>SUMIFS(Hydrogen!AK:AK,Hydrogen!$AA:$AA,Predev_Scenarios!$A25,Hydrogen!$Y:$Y,Predev_Scenarios!$D25,Hydrogen!$AB:$AB,Predev_Scenarios!$B25,Hydrogen!$Z:$Z,Predev_Scenarios!$C25)</f>
        <v>-25.603497258236359</v>
      </c>
      <c r="J25" s="12">
        <f>SUMIFS(Hydrogen!AL:AL,Hydrogen!$AA:$AA,Predev_Scenarios!$A25,Hydrogen!$Y:$Y,Predev_Scenarios!$D25,Hydrogen!$AB:$AB,Predev_Scenarios!$B25,Hydrogen!$Z:$Z,Predev_Scenarios!$C25)</f>
        <v>-24.154284701394474</v>
      </c>
      <c r="K25" s="12">
        <f>SUMIFS(Hydrogen!AM:AM,Hydrogen!$AA:$AA,Predev_Scenarios!$A25,Hydrogen!$Y:$Y,Predev_Scenarios!$D25,Hydrogen!$AB:$AB,Predev_Scenarios!$B25,Hydrogen!$Z:$Z,Predev_Scenarios!$C25)</f>
        <v>-27.052709815078245</v>
      </c>
      <c r="L25" s="63">
        <f t="shared" si="1"/>
        <v>3.364299539732258E-2</v>
      </c>
      <c r="M25" s="63">
        <f t="shared" si="2"/>
        <v>3.1738730097632339E-2</v>
      </c>
      <c r="N25" s="63">
        <f t="shared" si="3"/>
        <v>3.5547260697012813E-2</v>
      </c>
      <c r="O25" s="30">
        <f>IF(OR(LEFT($D25,5)="Solar",$D25="Wind"),INDEX(Land_Use[AVG],MATCH(LEFT($D25,5),Land_Use[Tech],0)),0)*$E25</f>
        <v>0</v>
      </c>
      <c r="P25" s="30">
        <f>IF(OR(LEFT($D25,5)="Solar",$D25="Wind"),INDEX(Land_Use[MIN],MATCH(LEFT($D25,5),Land_Use[Tech],0)),0)*$E25</f>
        <v>0</v>
      </c>
      <c r="Q25" s="30">
        <f>IF(OR(LEFT($D25,5)="Solar",$D25="Wind"),INDEX(Land_Use[MAX],MATCH(LEFT($D25,5),Land_Use[Tech],0)),0)*$E25</f>
        <v>0</v>
      </c>
      <c r="R25" s="31">
        <f>IFERROR(INDEX(WaterUseH2[Average Direct Water Consumption (Gal/ kg h2)],MATCH(LEFT(D25,3),WaterUseH2[Key],0)),0)</f>
        <v>2.8</v>
      </c>
      <c r="S25" s="15">
        <f t="shared" si="4"/>
        <v>30.659999999999997</v>
      </c>
      <c r="T25" s="14"/>
    </row>
    <row r="26" spans="1:20" x14ac:dyDescent="0.35">
      <c r="A26" t="s">
        <v>107</v>
      </c>
      <c r="B26">
        <v>2027</v>
      </c>
      <c r="C26" s="16" t="s">
        <v>73</v>
      </c>
      <c r="D26" t="s">
        <v>74</v>
      </c>
      <c r="E26" s="14">
        <f>SUMIFS(Hydrogen!$AD:$AD,Hydrogen!$Y:$Y,$D26,Hydrogen!$AB:$AB,Predev_Scenarios!$B26,Hydrogen!$AA:$AA,$A26)</f>
        <v>10950</v>
      </c>
      <c r="F26" s="14" t="s">
        <v>106</v>
      </c>
      <c r="G26" s="14">
        <f>SUMIFS(Hydrogen!$AC:$AC,Hydrogen!$Y:$Y,$D26,Hydrogen!$AB:$AB,Predev_Scenarios!$B26,Hydrogen!$AA:$AA,$A26)</f>
        <v>1.3140000000000001E-3</v>
      </c>
      <c r="H26" s="13" t="str">
        <f>IF(C26="Electricity",E26*SUMIFS(Electricity!S:S,Electricity!P:P,Predev_Scenarios!B26,Electricity!M:M,Predev_Scenarios!A26,Electricity!O:O,Predev_Scenarios!D26),"")</f>
        <v/>
      </c>
      <c r="I26" s="12">
        <f>SUMIFS(Hydrogen!AK:AK,Hydrogen!$AA:$AA,Predev_Scenarios!$A26,Hydrogen!$Y:$Y,Predev_Scenarios!$D26,Hydrogen!$AB:$AB,Predev_Scenarios!$B26,Hydrogen!$Z:$Z,Predev_Scenarios!$C26)</f>
        <v>-25.165146736438331</v>
      </c>
      <c r="J26" s="12">
        <f>SUMIFS(Hydrogen!AL:AL,Hydrogen!$AA:$AA,Predev_Scenarios!$A26,Hydrogen!$Y:$Y,Predev_Scenarios!$D26,Hydrogen!$AB:$AB,Predev_Scenarios!$B26,Hydrogen!$Z:$Z,Predev_Scenarios!$C26)</f>
        <v>-23.277583657798417</v>
      </c>
      <c r="K26" s="12">
        <f>SUMIFS(Hydrogen!AM:AM,Hydrogen!$AA:$AA,Predev_Scenarios!$A26,Hydrogen!$Y:$Y,Predev_Scenarios!$D26,Hydrogen!$AB:$AB,Predev_Scenarios!$B26,Hydrogen!$Z:$Z,Predev_Scenarios!$C26)</f>
        <v>-27.052709815078245</v>
      </c>
      <c r="L26" s="63">
        <f t="shared" si="1"/>
        <v>3.3067002811679971E-2</v>
      </c>
      <c r="M26" s="63">
        <f t="shared" si="2"/>
        <v>3.058674492634712E-2</v>
      </c>
      <c r="N26" s="63">
        <f t="shared" si="3"/>
        <v>3.5547260697012813E-2</v>
      </c>
      <c r="O26" s="30">
        <f>IF(OR(LEFT($D26,5)="Solar",$D26="Wind"),INDEX(Land_Use[AVG],MATCH(LEFT($D26,5),Land_Use[Tech],0)),0)*$E26</f>
        <v>0</v>
      </c>
      <c r="P26" s="30">
        <f>IF(OR(LEFT($D26,5)="Solar",$D26="Wind"),INDEX(Land_Use[MIN],MATCH(LEFT($D26,5),Land_Use[Tech],0)),0)*$E26</f>
        <v>0</v>
      </c>
      <c r="Q26" s="30">
        <f>IF(OR(LEFT($D26,5)="Solar",$D26="Wind"),INDEX(Land_Use[MAX],MATCH(LEFT($D26,5),Land_Use[Tech],0)),0)*$E26</f>
        <v>0</v>
      </c>
      <c r="R26" s="31">
        <f>IFERROR(INDEX(WaterUseH2[Average Direct Water Consumption (Gal/ kg h2)],MATCH(LEFT(D26,3),WaterUseH2[Key],0)),0)</f>
        <v>2.8</v>
      </c>
      <c r="S26" s="15">
        <f t="shared" si="4"/>
        <v>30.659999999999997</v>
      </c>
      <c r="T26" s="14"/>
    </row>
    <row r="27" spans="1:20" x14ac:dyDescent="0.35">
      <c r="A27" t="s">
        <v>107</v>
      </c>
      <c r="B27">
        <v>2028</v>
      </c>
      <c r="C27" s="16" t="s">
        <v>73</v>
      </c>
      <c r="D27" t="s">
        <v>74</v>
      </c>
      <c r="E27" s="14">
        <f>SUMIFS(Hydrogen!$AD:$AD,Hydrogen!$Y:$Y,$D27,Hydrogen!$AB:$AB,Predev_Scenarios!$B27,Hydrogen!$AA:$AA,$A27)</f>
        <v>10950</v>
      </c>
      <c r="F27" s="14" t="s">
        <v>106</v>
      </c>
      <c r="G27" s="14">
        <f>SUMIFS(Hydrogen!$AC:$AC,Hydrogen!$Y:$Y,$D27,Hydrogen!$AB:$AB,Predev_Scenarios!$B27,Hydrogen!$AA:$AA,$A27)</f>
        <v>1.3140000000000001E-3</v>
      </c>
      <c r="H27" s="13" t="str">
        <f>IF(C27="Electricity",E27*SUMIFS(Electricity!S:S,Electricity!P:P,Predev_Scenarios!B27,Electricity!M:M,Predev_Scenarios!A27,Electricity!O:O,Predev_Scenarios!D27),"")</f>
        <v/>
      </c>
      <c r="I27" s="12">
        <f>SUMIFS(Hydrogen!AK:AK,Hydrogen!$AA:$AA,Predev_Scenarios!$A27,Hydrogen!$Y:$Y,Predev_Scenarios!$D27,Hydrogen!$AB:$AB,Predev_Scenarios!$B27,Hydrogen!$Z:$Z,Predev_Scenarios!$C27)</f>
        <v>-24.691583909350094</v>
      </c>
      <c r="J27" s="12">
        <f>SUMIFS(Hydrogen!AL:AL,Hydrogen!$AA:$AA,Predev_Scenarios!$A27,Hydrogen!$Y:$Y,Predev_Scenarios!$D27,Hydrogen!$AB:$AB,Predev_Scenarios!$B27,Hydrogen!$Z:$Z,Predev_Scenarios!$C27)</f>
        <v>-22.330458003621942</v>
      </c>
      <c r="K27" s="12">
        <f>SUMIFS(Hydrogen!AM:AM,Hydrogen!$AA:$AA,Predev_Scenarios!$A27,Hydrogen!$Y:$Y,Predev_Scenarios!$D27,Hydrogen!$AB:$AB,Predev_Scenarios!$B27,Hydrogen!$Z:$Z,Predev_Scenarios!$C27)</f>
        <v>-27.052709815078245</v>
      </c>
      <c r="L27" s="63">
        <f t="shared" si="1"/>
        <v>3.2444741256886026E-2</v>
      </c>
      <c r="M27" s="63">
        <f t="shared" si="2"/>
        <v>2.9342221816759235E-2</v>
      </c>
      <c r="N27" s="63">
        <f t="shared" si="3"/>
        <v>3.5547260697012813E-2</v>
      </c>
      <c r="O27" s="30">
        <f>IF(OR(LEFT($D27,5)="Solar",$D27="Wind"),INDEX(Land_Use[AVG],MATCH(LEFT($D27,5),Land_Use[Tech],0)),0)*$E27</f>
        <v>0</v>
      </c>
      <c r="P27" s="30">
        <f>IF(OR(LEFT($D27,5)="Solar",$D27="Wind"),INDEX(Land_Use[MIN],MATCH(LEFT($D27,5),Land_Use[Tech],0)),0)*$E27</f>
        <v>0</v>
      </c>
      <c r="Q27" s="30">
        <f>IF(OR(LEFT($D27,5)="Solar",$D27="Wind"),INDEX(Land_Use[MAX],MATCH(LEFT($D27,5),Land_Use[Tech],0)),0)*$E27</f>
        <v>0</v>
      </c>
      <c r="R27" s="31">
        <f>IFERROR(INDEX(WaterUseH2[Average Direct Water Consumption (Gal/ kg h2)],MATCH(LEFT(D27,3),WaterUseH2[Key],0)),0)</f>
        <v>2.8</v>
      </c>
      <c r="S27" s="15">
        <f t="shared" si="4"/>
        <v>30.659999999999997</v>
      </c>
      <c r="T27" s="14"/>
    </row>
    <row r="28" spans="1:20" x14ac:dyDescent="0.35">
      <c r="A28" t="s">
        <v>107</v>
      </c>
      <c r="B28">
        <v>2029</v>
      </c>
      <c r="C28" s="16" t="s">
        <v>73</v>
      </c>
      <c r="D28" t="s">
        <v>74</v>
      </c>
      <c r="E28" s="14">
        <f>SUMIFS(Hydrogen!$AD:$AD,Hydrogen!$Y:$Y,$D28,Hydrogen!$AB:$AB,Predev_Scenarios!$B28,Hydrogen!$AA:$AA,$A28)</f>
        <v>10950</v>
      </c>
      <c r="F28" s="14" t="s">
        <v>106</v>
      </c>
      <c r="G28" s="14">
        <f>SUMIFS(Hydrogen!$AC:$AC,Hydrogen!$Y:$Y,$D28,Hydrogen!$AB:$AB,Predev_Scenarios!$B28,Hydrogen!$AA:$AA,$A28)</f>
        <v>1.3140000000000001E-3</v>
      </c>
      <c r="H28" s="13" t="str">
        <f>IF(C28="Electricity",E28*SUMIFS(Electricity!S:S,Electricity!P:P,Predev_Scenarios!B28,Electricity!M:M,Predev_Scenarios!A28,Electricity!O:O,Predev_Scenarios!D28),"")</f>
        <v/>
      </c>
      <c r="I28" s="12">
        <f>SUMIFS(Hydrogen!AK:AK,Hydrogen!$AA:$AA,Predev_Scenarios!$A28,Hydrogen!$Y:$Y,Predev_Scenarios!$D28,Hydrogen!$AB:$AB,Predev_Scenarios!$B28,Hydrogen!$Z:$Z,Predev_Scenarios!$C28)</f>
        <v>-24.147577694558088</v>
      </c>
      <c r="J28" s="12">
        <f>SUMIFS(Hydrogen!AL:AL,Hydrogen!$AA:$AA,Predev_Scenarios!$A28,Hydrogen!$Y:$Y,Predev_Scenarios!$D28,Hydrogen!$AB:$AB,Predev_Scenarios!$B28,Hydrogen!$Z:$Z,Predev_Scenarios!$C28)</f>
        <v>-21.24244557403793</v>
      </c>
      <c r="K28" s="12">
        <f>SUMIFS(Hydrogen!AM:AM,Hydrogen!$AA:$AA,Predev_Scenarios!$A28,Hydrogen!$Y:$Y,Predev_Scenarios!$D28,Hydrogen!$AB:$AB,Predev_Scenarios!$B28,Hydrogen!$Z:$Z,Predev_Scenarios!$C28)</f>
        <v>-27.052709815078245</v>
      </c>
      <c r="L28" s="63">
        <f t="shared" si="1"/>
        <v>3.1729917090649332E-2</v>
      </c>
      <c r="M28" s="63">
        <f t="shared" si="2"/>
        <v>2.791257348428584E-2</v>
      </c>
      <c r="N28" s="63">
        <f t="shared" si="3"/>
        <v>3.5547260697012813E-2</v>
      </c>
      <c r="O28" s="30">
        <f>IF(OR(LEFT($D28,5)="Solar",$D28="Wind"),INDEX(Land_Use[AVG],MATCH(LEFT($D28,5),Land_Use[Tech],0)),0)*$E28</f>
        <v>0</v>
      </c>
      <c r="P28" s="30">
        <f>IF(OR(LEFT($D28,5)="Solar",$D28="Wind"),INDEX(Land_Use[MIN],MATCH(LEFT($D28,5),Land_Use[Tech],0)),0)*$E28</f>
        <v>0</v>
      </c>
      <c r="Q28" s="30">
        <f>IF(OR(LEFT($D28,5)="Solar",$D28="Wind"),INDEX(Land_Use[MAX],MATCH(LEFT($D28,5),Land_Use[Tech],0)),0)*$E28</f>
        <v>0</v>
      </c>
      <c r="R28" s="31">
        <f>IFERROR(INDEX(WaterUseH2[Average Direct Water Consumption (Gal/ kg h2)],MATCH(LEFT(D28,3),WaterUseH2[Key],0)),0)</f>
        <v>2.8</v>
      </c>
      <c r="S28" s="15">
        <f t="shared" si="4"/>
        <v>30.659999999999997</v>
      </c>
      <c r="T28" s="14"/>
    </row>
    <row r="29" spans="1:20" x14ac:dyDescent="0.35">
      <c r="A29" t="s">
        <v>107</v>
      </c>
      <c r="B29">
        <v>2030</v>
      </c>
      <c r="C29" s="16" t="s">
        <v>73</v>
      </c>
      <c r="D29" t="s">
        <v>74</v>
      </c>
      <c r="E29" s="14">
        <f>SUMIFS(Hydrogen!$AD:$AD,Hydrogen!$Y:$Y,$D29,Hydrogen!$AB:$AB,Predev_Scenarios!$B29,Hydrogen!$AA:$AA,$A29)</f>
        <v>10950</v>
      </c>
      <c r="F29" s="14" t="s">
        <v>106</v>
      </c>
      <c r="G29" s="14">
        <f>SUMIFS(Hydrogen!$AC:$AC,Hydrogen!$Y:$Y,$D29,Hydrogen!$AB:$AB,Predev_Scenarios!$B29,Hydrogen!$AA:$AA,$A29)</f>
        <v>1.3140000000000001E-3</v>
      </c>
      <c r="H29" s="13" t="str">
        <f>IF(C29="Electricity",E29*SUMIFS(Electricity!S:S,Electricity!P:P,Predev_Scenarios!B29,Electricity!M:M,Predev_Scenarios!A29,Electricity!O:O,Predev_Scenarios!D29),"")</f>
        <v/>
      </c>
      <c r="I29" s="12">
        <f>SUMIFS(Hydrogen!AK:AK,Hydrogen!$AA:$AA,Predev_Scenarios!$A29,Hydrogen!$Y:$Y,Predev_Scenarios!$D29,Hydrogen!$AB:$AB,Predev_Scenarios!$B29,Hydrogen!$Z:$Z,Predev_Scenarios!$C29)</f>
        <v>-23.527324162575127</v>
      </c>
      <c r="J29" s="12">
        <f>SUMIFS(Hydrogen!AL:AL,Hydrogen!$AA:$AA,Predev_Scenarios!$A29,Hydrogen!$Y:$Y,Predev_Scenarios!$D29,Hydrogen!$AB:$AB,Predev_Scenarios!$B29,Hydrogen!$Z:$Z,Predev_Scenarios!$C29)</f>
        <v>-20.001938510072009</v>
      </c>
      <c r="K29" s="12">
        <f>SUMIFS(Hydrogen!AM:AM,Hydrogen!$AA:$AA,Predev_Scenarios!$A29,Hydrogen!$Y:$Y,Predev_Scenarios!$D29,Hydrogen!$AB:$AB,Predev_Scenarios!$B29,Hydrogen!$Z:$Z,Predev_Scenarios!$C29)</f>
        <v>-27.052709815078245</v>
      </c>
      <c r="L29" s="63">
        <f t="shared" si="1"/>
        <v>3.0914903949623717E-2</v>
      </c>
      <c r="M29" s="63">
        <f t="shared" si="2"/>
        <v>2.6282547202234621E-2</v>
      </c>
      <c r="N29" s="63">
        <f t="shared" si="3"/>
        <v>3.5547260697012813E-2</v>
      </c>
      <c r="O29" s="30">
        <f>IF(OR(LEFT($D29,5)="Solar",$D29="Wind"),INDEX(Land_Use[AVG],MATCH(LEFT($D29,5),Land_Use[Tech],0)),0)*$E29</f>
        <v>0</v>
      </c>
      <c r="P29" s="30">
        <f>IF(OR(LEFT($D29,5)="Solar",$D29="Wind"),INDEX(Land_Use[MIN],MATCH(LEFT($D29,5),Land_Use[Tech],0)),0)*$E29</f>
        <v>0</v>
      </c>
      <c r="Q29" s="30">
        <f>IF(OR(LEFT($D29,5)="Solar",$D29="Wind"),INDEX(Land_Use[MAX],MATCH(LEFT($D29,5),Land_Use[Tech],0)),0)*$E29</f>
        <v>0</v>
      </c>
      <c r="R29" s="31">
        <f>IFERROR(INDEX(WaterUseH2[Average Direct Water Consumption (Gal/ kg h2)],MATCH(LEFT(D29,3),WaterUseH2[Key],0)),0)</f>
        <v>2.8</v>
      </c>
      <c r="S29" s="15">
        <f t="shared" si="4"/>
        <v>30.659999999999997</v>
      </c>
      <c r="T29" s="14"/>
    </row>
    <row r="30" spans="1:20" x14ac:dyDescent="0.35">
      <c r="A30" t="s">
        <v>107</v>
      </c>
      <c r="B30">
        <v>2031</v>
      </c>
      <c r="C30" s="16" t="s">
        <v>73</v>
      </c>
      <c r="D30" t="s">
        <v>74</v>
      </c>
      <c r="E30" s="14">
        <f>SUMIFS(Hydrogen!$AD:$AD,Hydrogen!$Y:$Y,$D30,Hydrogen!$AB:$AB,Predev_Scenarios!$B30,Hydrogen!$AA:$AA,$A30)</f>
        <v>21900</v>
      </c>
      <c r="F30" s="14" t="s">
        <v>106</v>
      </c>
      <c r="G30" s="14">
        <f>SUMIFS(Hydrogen!$AC:$AC,Hydrogen!$Y:$Y,$D30,Hydrogen!$AB:$AB,Predev_Scenarios!$B30,Hydrogen!$AA:$AA,$A30)</f>
        <v>2.6280000000000001E-3</v>
      </c>
      <c r="H30" s="13" t="str">
        <f>IF(C30="Electricity",E30*SUMIFS(Electricity!S:S,Electricity!P:P,Predev_Scenarios!B30,Electricity!M:M,Predev_Scenarios!A30,Electricity!O:O,Predev_Scenarios!D30),"")</f>
        <v/>
      </c>
      <c r="I30" s="12">
        <f>SUMIFS(Hydrogen!AK:AK,Hydrogen!$AA:$AA,Predev_Scenarios!$A30,Hydrogen!$Y:$Y,Predev_Scenarios!$D30,Hydrogen!$AB:$AB,Predev_Scenarios!$B30,Hydrogen!$Z:$Z,Predev_Scenarios!$C30)</f>
        <v>-22.822587284615302</v>
      </c>
      <c r="J30" s="12">
        <f>SUMIFS(Hydrogen!AL:AL,Hydrogen!$AA:$AA,Predev_Scenarios!$A30,Hydrogen!$Y:$Y,Predev_Scenarios!$D30,Hydrogen!$AB:$AB,Predev_Scenarios!$B30,Hydrogen!$Z:$Z,Predev_Scenarios!$C30)</f>
        <v>-18.59246475415236</v>
      </c>
      <c r="K30" s="12">
        <f>SUMIFS(Hydrogen!AM:AM,Hydrogen!$AA:$AA,Predev_Scenarios!$A30,Hydrogen!$Y:$Y,Predev_Scenarios!$D30,Hydrogen!$AB:$AB,Predev_Scenarios!$B30,Hydrogen!$Z:$Z,Predev_Scenarios!$C30)</f>
        <v>-27.052709815078245</v>
      </c>
      <c r="L30" s="63">
        <f t="shared" si="1"/>
        <v>5.9977759383969015E-2</v>
      </c>
      <c r="M30" s="63">
        <f t="shared" si="2"/>
        <v>4.8860997373912404E-2</v>
      </c>
      <c r="N30" s="63">
        <f t="shared" si="3"/>
        <v>7.1094521394025625E-2</v>
      </c>
      <c r="O30" s="30">
        <f>IF(OR(LEFT($D30,5)="Solar",$D30="Wind"),INDEX(Land_Use[AVG],MATCH(LEFT($D30,5),Land_Use[Tech],0)),0)*$E30</f>
        <v>0</v>
      </c>
      <c r="P30" s="30">
        <f>IF(OR(LEFT($D30,5)="Solar",$D30="Wind"),INDEX(Land_Use[MIN],MATCH(LEFT($D30,5),Land_Use[Tech],0)),0)*$E30</f>
        <v>0</v>
      </c>
      <c r="Q30" s="30">
        <f>IF(OR(LEFT($D30,5)="Solar",$D30="Wind"),INDEX(Land_Use[MAX],MATCH(LEFT($D30,5),Land_Use[Tech],0)),0)*$E30</f>
        <v>0</v>
      </c>
      <c r="R30" s="31">
        <f>IFERROR(INDEX(WaterUseH2[Average Direct Water Consumption (Gal/ kg h2)],MATCH(LEFT(D30,3),WaterUseH2[Key],0)),0)</f>
        <v>2.8</v>
      </c>
      <c r="S30" s="15">
        <f t="shared" si="4"/>
        <v>61.319999999999993</v>
      </c>
      <c r="T30" s="14"/>
    </row>
    <row r="31" spans="1:20" x14ac:dyDescent="0.35">
      <c r="A31" t="s">
        <v>107</v>
      </c>
      <c r="B31">
        <v>2032</v>
      </c>
      <c r="C31" s="16" t="s">
        <v>73</v>
      </c>
      <c r="D31" t="s">
        <v>74</v>
      </c>
      <c r="E31" s="14">
        <f>SUMIFS(Hydrogen!$AD:$AD,Hydrogen!$Y:$Y,$D31,Hydrogen!$AB:$AB,Predev_Scenarios!$B31,Hydrogen!$AA:$AA,$A31)</f>
        <v>21900</v>
      </c>
      <c r="F31" s="14" t="s">
        <v>106</v>
      </c>
      <c r="G31" s="14">
        <f>SUMIFS(Hydrogen!$AC:$AC,Hydrogen!$Y:$Y,$D31,Hydrogen!$AB:$AB,Predev_Scenarios!$B31,Hydrogen!$AA:$AA,$A31)</f>
        <v>2.6280000000000001E-3</v>
      </c>
      <c r="H31" s="13" t="str">
        <f>IF(C31="Electricity",E31*SUMIFS(Electricity!S:S,Electricity!P:P,Predev_Scenarios!B31,Electricity!M:M,Predev_Scenarios!A31,Electricity!O:O,Predev_Scenarios!D31),"")</f>
        <v/>
      </c>
      <c r="I31" s="12">
        <f>SUMIFS(Hydrogen!AK:AK,Hydrogen!$AA:$AA,Predev_Scenarios!$A31,Hydrogen!$Y:$Y,Predev_Scenarios!$D31,Hydrogen!$AB:$AB,Predev_Scenarios!$B31,Hydrogen!$Z:$Z,Predev_Scenarios!$C31)</f>
        <v>-22.033922765591775</v>
      </c>
      <c r="J31" s="12">
        <f>SUMIFS(Hydrogen!AL:AL,Hydrogen!$AA:$AA,Predev_Scenarios!$A31,Hydrogen!$Y:$Y,Predev_Scenarios!$D31,Hydrogen!$AB:$AB,Predev_Scenarios!$B31,Hydrogen!$Z:$Z,Predev_Scenarios!$C31)</f>
        <v>-17.015135716105306</v>
      </c>
      <c r="K31" s="12">
        <f>SUMIFS(Hydrogen!AM:AM,Hydrogen!$AA:$AA,Predev_Scenarios!$A31,Hydrogen!$Y:$Y,Predev_Scenarios!$D31,Hydrogen!$AB:$AB,Predev_Scenarios!$B31,Hydrogen!$Z:$Z,Predev_Scenarios!$C31)</f>
        <v>-27.052709815078245</v>
      </c>
      <c r="L31" s="63">
        <f t="shared" si="1"/>
        <v>5.7905149027975188E-2</v>
      </c>
      <c r="M31" s="63">
        <f t="shared" si="2"/>
        <v>4.4715776661924743E-2</v>
      </c>
      <c r="N31" s="63">
        <f t="shared" si="3"/>
        <v>7.1094521394025625E-2</v>
      </c>
      <c r="O31" s="30">
        <f>IF(OR(LEFT($D31,5)="Solar",$D31="Wind"),INDEX(Land_Use[AVG],MATCH(LEFT($D31,5),Land_Use[Tech],0)),0)*$E31</f>
        <v>0</v>
      </c>
      <c r="P31" s="30">
        <f>IF(OR(LEFT($D31,5)="Solar",$D31="Wind"),INDEX(Land_Use[MIN],MATCH(LEFT($D31,5),Land_Use[Tech],0)),0)*$E31</f>
        <v>0</v>
      </c>
      <c r="Q31" s="30">
        <f>IF(OR(LEFT($D31,5)="Solar",$D31="Wind"),INDEX(Land_Use[MAX],MATCH(LEFT($D31,5),Land_Use[Tech],0)),0)*$E31</f>
        <v>0</v>
      </c>
      <c r="R31" s="31">
        <f>IFERROR(INDEX(WaterUseH2[Average Direct Water Consumption (Gal/ kg h2)],MATCH(LEFT(D31,3),WaterUseH2[Key],0)),0)</f>
        <v>2.8</v>
      </c>
      <c r="S31" s="15">
        <f t="shared" si="4"/>
        <v>61.319999999999993</v>
      </c>
      <c r="T31" s="14"/>
    </row>
    <row r="32" spans="1:20" x14ac:dyDescent="0.35">
      <c r="A32" t="s">
        <v>107</v>
      </c>
      <c r="B32">
        <v>2033</v>
      </c>
      <c r="C32" s="16" t="s">
        <v>73</v>
      </c>
      <c r="D32" t="s">
        <v>74</v>
      </c>
      <c r="E32" s="14">
        <f>SUMIFS(Hydrogen!$AD:$AD,Hydrogen!$Y:$Y,$D32,Hydrogen!$AB:$AB,Predev_Scenarios!$B32,Hydrogen!$AA:$AA,$A32)</f>
        <v>21900</v>
      </c>
      <c r="F32" s="14" t="s">
        <v>106</v>
      </c>
      <c r="G32" s="14">
        <f>SUMIFS(Hydrogen!$AC:$AC,Hydrogen!$Y:$Y,$D32,Hydrogen!$AB:$AB,Predev_Scenarios!$B32,Hydrogen!$AA:$AA,$A32)</f>
        <v>2.6280000000000001E-3</v>
      </c>
      <c r="H32" s="13" t="str">
        <f>IF(C32="Electricity",E32*SUMIFS(Electricity!S:S,Electricity!P:P,Predev_Scenarios!B32,Electricity!M:M,Predev_Scenarios!A32,Electricity!O:O,Predev_Scenarios!D32),"")</f>
        <v/>
      </c>
      <c r="I32" s="12">
        <f>SUMIFS(Hydrogen!AK:AK,Hydrogen!$AA:$AA,Predev_Scenarios!$A32,Hydrogen!$Y:$Y,Predev_Scenarios!$D32,Hydrogen!$AB:$AB,Predev_Scenarios!$B32,Hydrogen!$Z:$Z,Predev_Scenarios!$C32)</f>
        <v>-21.128205767176091</v>
      </c>
      <c r="J32" s="12">
        <f>SUMIFS(Hydrogen!AL:AL,Hydrogen!$AA:$AA,Predev_Scenarios!$A32,Hydrogen!$Y:$Y,Predev_Scenarios!$D32,Hydrogen!$AB:$AB,Predev_Scenarios!$B32,Hydrogen!$Z:$Z,Predev_Scenarios!$C32)</f>
        <v>-15.203701719273937</v>
      </c>
      <c r="K32" s="12">
        <f>SUMIFS(Hydrogen!AM:AM,Hydrogen!$AA:$AA,Predev_Scenarios!$A32,Hydrogen!$Y:$Y,Predev_Scenarios!$D32,Hydrogen!$AB:$AB,Predev_Scenarios!$B32,Hydrogen!$Z:$Z,Predev_Scenarios!$C32)</f>
        <v>-27.052709815078245</v>
      </c>
      <c r="L32" s="63">
        <f t="shared" si="1"/>
        <v>5.5524924756138773E-2</v>
      </c>
      <c r="M32" s="63">
        <f t="shared" si="2"/>
        <v>3.9955328118251907E-2</v>
      </c>
      <c r="N32" s="63">
        <f t="shared" si="3"/>
        <v>7.1094521394025625E-2</v>
      </c>
      <c r="O32" s="30">
        <f>IF(OR(LEFT($D32,5)="Solar",$D32="Wind"),INDEX(Land_Use[AVG],MATCH(LEFT($D32,5),Land_Use[Tech],0)),0)*$E32</f>
        <v>0</v>
      </c>
      <c r="P32" s="30">
        <f>IF(OR(LEFT($D32,5)="Solar",$D32="Wind"),INDEX(Land_Use[MIN],MATCH(LEFT($D32,5),Land_Use[Tech],0)),0)*$E32</f>
        <v>0</v>
      </c>
      <c r="Q32" s="30">
        <f>IF(OR(LEFT($D32,5)="Solar",$D32="Wind"),INDEX(Land_Use[MAX],MATCH(LEFT($D32,5),Land_Use[Tech],0)),0)*$E32</f>
        <v>0</v>
      </c>
      <c r="R32" s="31">
        <f>IFERROR(INDEX(WaterUseH2[Average Direct Water Consumption (Gal/ kg h2)],MATCH(LEFT(D32,3),WaterUseH2[Key],0)),0)</f>
        <v>2.8</v>
      </c>
      <c r="S32" s="15">
        <f t="shared" si="4"/>
        <v>61.319999999999993</v>
      </c>
      <c r="T32" s="14"/>
    </row>
    <row r="33" spans="1:20" x14ac:dyDescent="0.35">
      <c r="A33" t="s">
        <v>107</v>
      </c>
      <c r="B33">
        <v>2034</v>
      </c>
      <c r="C33" s="16" t="s">
        <v>73</v>
      </c>
      <c r="D33" t="s">
        <v>74</v>
      </c>
      <c r="E33" s="14">
        <f>SUMIFS(Hydrogen!$AD:$AD,Hydrogen!$Y:$Y,$D33,Hydrogen!$AB:$AB,Predev_Scenarios!$B33,Hydrogen!$AA:$AA,$A33)</f>
        <v>21900</v>
      </c>
      <c r="F33" s="14" t="s">
        <v>106</v>
      </c>
      <c r="G33" s="14">
        <f>SUMIFS(Hydrogen!$AC:$AC,Hydrogen!$Y:$Y,$D33,Hydrogen!$AB:$AB,Predev_Scenarios!$B33,Hydrogen!$AA:$AA,$A33)</f>
        <v>2.6280000000000001E-3</v>
      </c>
      <c r="H33" s="13" t="str">
        <f>IF(C33="Electricity",E33*SUMIFS(Electricity!S:S,Electricity!P:P,Predev_Scenarios!B33,Electricity!M:M,Predev_Scenarios!A33,Electricity!O:O,Predev_Scenarios!D33),"")</f>
        <v/>
      </c>
      <c r="I33" s="12">
        <f>SUMIFS(Hydrogen!AK:AK,Hydrogen!$AA:$AA,Predev_Scenarios!$A33,Hydrogen!$Y:$Y,Predev_Scenarios!$D33,Hydrogen!$AB:$AB,Predev_Scenarios!$B33,Hydrogen!$Z:$Z,Predev_Scenarios!$C33)</f>
        <v>-20.117908135590554</v>
      </c>
      <c r="J33" s="12">
        <f>SUMIFS(Hydrogen!AL:AL,Hydrogen!$AA:$AA,Predev_Scenarios!$A33,Hydrogen!$Y:$Y,Predev_Scenarios!$D33,Hydrogen!$AB:$AB,Predev_Scenarios!$B33,Hydrogen!$Z:$Z,Predev_Scenarios!$C33)</f>
        <v>-13.183106456102863</v>
      </c>
      <c r="K33" s="12">
        <f>SUMIFS(Hydrogen!AM:AM,Hydrogen!$AA:$AA,Predev_Scenarios!$A33,Hydrogen!$Y:$Y,Predev_Scenarios!$D33,Hydrogen!$AB:$AB,Predev_Scenarios!$B33,Hydrogen!$Z:$Z,Predev_Scenarios!$C33)</f>
        <v>-27.052709815078245</v>
      </c>
      <c r="L33" s="63">
        <f t="shared" si="1"/>
        <v>5.286986258033198E-2</v>
      </c>
      <c r="M33" s="63">
        <f t="shared" si="2"/>
        <v>3.4645203766638322E-2</v>
      </c>
      <c r="N33" s="63">
        <f t="shared" si="3"/>
        <v>7.1094521394025625E-2</v>
      </c>
      <c r="O33" s="30">
        <f>IF(OR(LEFT($D33,5)="Solar",$D33="Wind"),INDEX(Land_Use[AVG],MATCH(LEFT($D33,5),Land_Use[Tech],0)),0)*$E33</f>
        <v>0</v>
      </c>
      <c r="P33" s="30">
        <f>IF(OR(LEFT($D33,5)="Solar",$D33="Wind"),INDEX(Land_Use[MIN],MATCH(LEFT($D33,5),Land_Use[Tech],0)),0)*$E33</f>
        <v>0</v>
      </c>
      <c r="Q33" s="30">
        <f>IF(OR(LEFT($D33,5)="Solar",$D33="Wind"),INDEX(Land_Use[MAX],MATCH(LEFT($D33,5),Land_Use[Tech],0)),0)*$E33</f>
        <v>0</v>
      </c>
      <c r="R33" s="31">
        <f>IFERROR(INDEX(WaterUseH2[Average Direct Water Consumption (Gal/ kg h2)],MATCH(LEFT(D33,3),WaterUseH2[Key],0)),0)</f>
        <v>2.8</v>
      </c>
      <c r="S33" s="15">
        <f t="shared" si="4"/>
        <v>61.319999999999993</v>
      </c>
      <c r="T33" s="14"/>
    </row>
    <row r="34" spans="1:20" x14ac:dyDescent="0.35">
      <c r="A34" t="s">
        <v>107</v>
      </c>
      <c r="B34">
        <v>2035</v>
      </c>
      <c r="C34" s="16" t="s">
        <v>73</v>
      </c>
      <c r="D34" t="s">
        <v>74</v>
      </c>
      <c r="E34" s="14">
        <f>SUMIFS(Hydrogen!$AD:$AD,Hydrogen!$Y:$Y,$D34,Hydrogen!$AB:$AB,Predev_Scenarios!$B34,Hydrogen!$AA:$AA,$A34)</f>
        <v>21900</v>
      </c>
      <c r="F34" s="14" t="s">
        <v>106</v>
      </c>
      <c r="G34" s="14">
        <f>SUMIFS(Hydrogen!$AC:$AC,Hydrogen!$Y:$Y,$D34,Hydrogen!$AB:$AB,Predev_Scenarios!$B34,Hydrogen!$AA:$AA,$A34)</f>
        <v>2.6280000000000001E-3</v>
      </c>
      <c r="H34" s="13" t="str">
        <f>IF(C34="Electricity",E34*SUMIFS(Electricity!S:S,Electricity!P:P,Predev_Scenarios!B34,Electricity!M:M,Predev_Scenarios!A34,Electricity!O:O,Predev_Scenarios!D34),"")</f>
        <v/>
      </c>
      <c r="I34" s="12">
        <f>SUMIFS(Hydrogen!AK:AK,Hydrogen!$AA:$AA,Predev_Scenarios!$A34,Hydrogen!$Y:$Y,Predev_Scenarios!$D34,Hydrogen!$AB:$AB,Predev_Scenarios!$B34,Hydrogen!$Z:$Z,Predev_Scenarios!$C34)</f>
        <v>-18.964368734957425</v>
      </c>
      <c r="J34" s="12">
        <f>SUMIFS(Hydrogen!AL:AL,Hydrogen!$AA:$AA,Predev_Scenarios!$A34,Hydrogen!$Y:$Y,Predev_Scenarios!$D34,Hydrogen!$AB:$AB,Predev_Scenarios!$B34,Hydrogen!$Z:$Z,Predev_Scenarios!$C34)</f>
        <v>-10.876027654836605</v>
      </c>
      <c r="K34" s="12">
        <f>SUMIFS(Hydrogen!AM:AM,Hydrogen!$AA:$AA,Predev_Scenarios!$A34,Hydrogen!$Y:$Y,Predev_Scenarios!$D34,Hydrogen!$AB:$AB,Predev_Scenarios!$B34,Hydrogen!$Z:$Z,Predev_Scenarios!$C34)</f>
        <v>-27.052709815078245</v>
      </c>
      <c r="L34" s="63">
        <f t="shared" si="1"/>
        <v>4.9838361035468112E-2</v>
      </c>
      <c r="M34" s="63">
        <f t="shared" si="2"/>
        <v>2.8582200676910599E-2</v>
      </c>
      <c r="N34" s="63">
        <f t="shared" si="3"/>
        <v>7.1094521394025625E-2</v>
      </c>
      <c r="O34" s="30">
        <f>IF(OR(LEFT($D34,5)="Solar",$D34="Wind"),INDEX(Land_Use[AVG],MATCH(LEFT($D34,5),Land_Use[Tech],0)),0)*$E34</f>
        <v>0</v>
      </c>
      <c r="P34" s="30">
        <f>IF(OR(LEFT($D34,5)="Solar",$D34="Wind"),INDEX(Land_Use[MIN],MATCH(LEFT($D34,5),Land_Use[Tech],0)),0)*$E34</f>
        <v>0</v>
      </c>
      <c r="Q34" s="30">
        <f>IF(OR(LEFT($D34,5)="Solar",$D34="Wind"),INDEX(Land_Use[MAX],MATCH(LEFT($D34,5),Land_Use[Tech],0)),0)*$E34</f>
        <v>0</v>
      </c>
      <c r="R34" s="31">
        <f>IFERROR(INDEX(WaterUseH2[Average Direct Water Consumption (Gal/ kg h2)],MATCH(LEFT(D34,3),WaterUseH2[Key],0)),0)</f>
        <v>2.8</v>
      </c>
      <c r="S34" s="15">
        <f t="shared" si="4"/>
        <v>61.319999999999993</v>
      </c>
      <c r="T34" s="14"/>
    </row>
    <row r="35" spans="1:20" x14ac:dyDescent="0.35">
      <c r="A35" t="s">
        <v>107</v>
      </c>
      <c r="B35">
        <v>2036</v>
      </c>
      <c r="C35" s="16" t="s">
        <v>73</v>
      </c>
      <c r="D35" t="s">
        <v>74</v>
      </c>
      <c r="E35" s="14">
        <f>SUMIFS(Hydrogen!$AD:$AD,Hydrogen!$Y:$Y,$D35,Hydrogen!$AB:$AB,Predev_Scenarios!$B35,Hydrogen!$AA:$AA,$A35)</f>
        <v>43800</v>
      </c>
      <c r="F35" s="14" t="s">
        <v>106</v>
      </c>
      <c r="G35" s="14">
        <f>SUMIFS(Hydrogen!$AC:$AC,Hydrogen!$Y:$Y,$D35,Hydrogen!$AB:$AB,Predev_Scenarios!$B35,Hydrogen!$AA:$AA,$A35)</f>
        <v>5.2560000000000003E-3</v>
      </c>
      <c r="H35" s="13" t="str">
        <f>IF(C35="Electricity",E35*SUMIFS(Electricity!S:S,Electricity!P:P,Predev_Scenarios!B35,Electricity!M:M,Predev_Scenarios!A35,Electricity!O:O,Predev_Scenarios!D35),"")</f>
        <v/>
      </c>
      <c r="I35" s="12">
        <f>SUMIFS(Hydrogen!AK:AK,Hydrogen!$AA:$AA,Predev_Scenarios!$A35,Hydrogen!$Y:$Y,Predev_Scenarios!$D35,Hydrogen!$AB:$AB,Predev_Scenarios!$B35,Hydrogen!$Z:$Z,Predev_Scenarios!$C35)</f>
        <v>-17.727082967909745</v>
      </c>
      <c r="J35" s="12">
        <f>SUMIFS(Hydrogen!AL:AL,Hydrogen!$AA:$AA,Predev_Scenarios!$A35,Hydrogen!$Y:$Y,Predev_Scenarios!$D35,Hydrogen!$AB:$AB,Predev_Scenarios!$B35,Hydrogen!$Z:$Z,Predev_Scenarios!$C35)</f>
        <v>-8.4014561207412441</v>
      </c>
      <c r="K35" s="12">
        <f>SUMIFS(Hydrogen!AM:AM,Hydrogen!$AA:$AA,Predev_Scenarios!$A35,Hydrogen!$Y:$Y,Predev_Scenarios!$D35,Hydrogen!$AB:$AB,Predev_Scenarios!$B35,Hydrogen!$Z:$Z,Predev_Scenarios!$C35)</f>
        <v>-27.052709815078245</v>
      </c>
      <c r="L35" s="63">
        <f t="shared" si="1"/>
        <v>9.3173548079333618E-2</v>
      </c>
      <c r="M35" s="63">
        <f t="shared" si="2"/>
        <v>4.4158053370615978E-2</v>
      </c>
      <c r="N35" s="63">
        <f t="shared" si="3"/>
        <v>0.14218904278805125</v>
      </c>
      <c r="O35" s="30">
        <f>IF(OR(LEFT($D35,5)="Solar",$D35="Wind"),INDEX(Land_Use[AVG],MATCH(LEFT($D35,5),Land_Use[Tech],0)),0)*$E35</f>
        <v>0</v>
      </c>
      <c r="P35" s="30">
        <f>IF(OR(LEFT($D35,5)="Solar",$D35="Wind"),INDEX(Land_Use[MIN],MATCH(LEFT($D35,5),Land_Use[Tech],0)),0)*$E35</f>
        <v>0</v>
      </c>
      <c r="Q35" s="30">
        <f>IF(OR(LEFT($D35,5)="Solar",$D35="Wind"),INDEX(Land_Use[MAX],MATCH(LEFT($D35,5),Land_Use[Tech],0)),0)*$E35</f>
        <v>0</v>
      </c>
      <c r="R35" s="31">
        <f>IFERROR(INDEX(WaterUseH2[Average Direct Water Consumption (Gal/ kg h2)],MATCH(LEFT(D35,3),WaterUseH2[Key],0)),0)</f>
        <v>2.8</v>
      </c>
      <c r="S35" s="15">
        <f t="shared" si="4"/>
        <v>122.63999999999999</v>
      </c>
      <c r="T35" s="14"/>
    </row>
    <row r="36" spans="1:20" x14ac:dyDescent="0.35">
      <c r="A36" t="s">
        <v>107</v>
      </c>
      <c r="B36">
        <v>2037</v>
      </c>
      <c r="C36" s="16" t="s">
        <v>73</v>
      </c>
      <c r="D36" t="s">
        <v>74</v>
      </c>
      <c r="E36" s="14">
        <f>SUMIFS(Hydrogen!$AD:$AD,Hydrogen!$Y:$Y,$D36,Hydrogen!$AB:$AB,Predev_Scenarios!$B36,Hydrogen!$AA:$AA,$A36)</f>
        <v>43800</v>
      </c>
      <c r="F36" s="14" t="s">
        <v>106</v>
      </c>
      <c r="G36" s="14">
        <f>SUMIFS(Hydrogen!$AC:$AC,Hydrogen!$Y:$Y,$D36,Hydrogen!$AB:$AB,Predev_Scenarios!$B36,Hydrogen!$AA:$AA,$A36)</f>
        <v>5.2560000000000003E-3</v>
      </c>
      <c r="H36" s="13" t="str">
        <f>IF(C36="Electricity",E36*SUMIFS(Electricity!S:S,Electricity!P:P,Predev_Scenarios!B36,Electricity!M:M,Predev_Scenarios!A36,Electricity!O:O,Predev_Scenarios!D36),"")</f>
        <v/>
      </c>
      <c r="I36" s="12">
        <f>SUMIFS(Hydrogen!AK:AK,Hydrogen!$AA:$AA,Predev_Scenarios!$A36,Hydrogen!$Y:$Y,Predev_Scenarios!$D36,Hydrogen!$AB:$AB,Predev_Scenarios!$B36,Hydrogen!$Z:$Z,Predev_Scenarios!$C36)</f>
        <v>-16.448593753633467</v>
      </c>
      <c r="J36" s="12">
        <f>SUMIFS(Hydrogen!AL:AL,Hydrogen!$AA:$AA,Predev_Scenarios!$A36,Hydrogen!$Y:$Y,Predev_Scenarios!$D36,Hydrogen!$AB:$AB,Predev_Scenarios!$B36,Hydrogen!$Z:$Z,Predev_Scenarios!$C36)</f>
        <v>-5.8444776921886898</v>
      </c>
      <c r="K36" s="12">
        <f>SUMIFS(Hydrogen!AM:AM,Hydrogen!$AA:$AA,Predev_Scenarios!$A36,Hydrogen!$Y:$Y,Predev_Scenarios!$D36,Hydrogen!$AB:$AB,Predev_Scenarios!$B36,Hydrogen!$Z:$Z,Predev_Scenarios!$C36)</f>
        <v>-27.052709815078245</v>
      </c>
      <c r="L36" s="63">
        <f t="shared" si="1"/>
        <v>8.6453808769097515E-2</v>
      </c>
      <c r="M36" s="63">
        <f t="shared" si="2"/>
        <v>3.0718574750143755E-2</v>
      </c>
      <c r="N36" s="63">
        <f t="shared" si="3"/>
        <v>0.14218904278805125</v>
      </c>
      <c r="O36" s="30">
        <f>IF(OR(LEFT($D36,5)="Solar",$D36="Wind"),INDEX(Land_Use[AVG],MATCH(LEFT($D36,5),Land_Use[Tech],0)),0)*$E36</f>
        <v>0</v>
      </c>
      <c r="P36" s="30">
        <f>IF(OR(LEFT($D36,5)="Solar",$D36="Wind"),INDEX(Land_Use[MIN],MATCH(LEFT($D36,5),Land_Use[Tech],0)),0)*$E36</f>
        <v>0</v>
      </c>
      <c r="Q36" s="30">
        <f>IF(OR(LEFT($D36,5)="Solar",$D36="Wind"),INDEX(Land_Use[MAX],MATCH(LEFT($D36,5),Land_Use[Tech],0)),0)*$E36</f>
        <v>0</v>
      </c>
      <c r="R36" s="31">
        <f>IFERROR(INDEX(WaterUseH2[Average Direct Water Consumption (Gal/ kg h2)],MATCH(LEFT(D36,3),WaterUseH2[Key],0)),0)</f>
        <v>2.8</v>
      </c>
      <c r="S36" s="15">
        <f t="shared" si="4"/>
        <v>122.63999999999999</v>
      </c>
      <c r="T36" s="14"/>
    </row>
    <row r="37" spans="1:20" x14ac:dyDescent="0.35">
      <c r="A37" t="s">
        <v>107</v>
      </c>
      <c r="B37">
        <v>2038</v>
      </c>
      <c r="C37" s="16" t="s">
        <v>73</v>
      </c>
      <c r="D37" t="s">
        <v>74</v>
      </c>
      <c r="E37" s="14">
        <f>SUMIFS(Hydrogen!$AD:$AD,Hydrogen!$Y:$Y,$D37,Hydrogen!$AB:$AB,Predev_Scenarios!$B37,Hydrogen!$AA:$AA,$A37)</f>
        <v>43800</v>
      </c>
      <c r="F37" s="14" t="s">
        <v>106</v>
      </c>
      <c r="G37" s="14">
        <f>SUMIFS(Hydrogen!$AC:$AC,Hydrogen!$Y:$Y,$D37,Hydrogen!$AB:$AB,Predev_Scenarios!$B37,Hydrogen!$AA:$AA,$A37)</f>
        <v>5.2560000000000003E-3</v>
      </c>
      <c r="H37" s="13" t="str">
        <f>IF(C37="Electricity",E37*SUMIFS(Electricity!S:S,Electricity!P:P,Predev_Scenarios!B37,Electricity!M:M,Predev_Scenarios!A37,Electricity!O:O,Predev_Scenarios!D37),"")</f>
        <v/>
      </c>
      <c r="I37" s="12">
        <f>SUMIFS(Hydrogen!AK:AK,Hydrogen!$AA:$AA,Predev_Scenarios!$A37,Hydrogen!$Y:$Y,Predev_Scenarios!$D37,Hydrogen!$AB:$AB,Predev_Scenarios!$B37,Hydrogen!$Z:$Z,Predev_Scenarios!$C37)</f>
        <v>-15.177257002677678</v>
      </c>
      <c r="J37" s="12">
        <f>SUMIFS(Hydrogen!AL:AL,Hydrogen!$AA:$AA,Predev_Scenarios!$A37,Hydrogen!$Y:$Y,Predev_Scenarios!$D37,Hydrogen!$AB:$AB,Predev_Scenarios!$B37,Hydrogen!$Z:$Z,Predev_Scenarios!$C37)</f>
        <v>-3.3018041902771103</v>
      </c>
      <c r="K37" s="12">
        <f>SUMIFS(Hydrogen!AM:AM,Hydrogen!$AA:$AA,Predev_Scenarios!$A37,Hydrogen!$Y:$Y,Predev_Scenarios!$D37,Hydrogen!$AB:$AB,Predev_Scenarios!$B37,Hydrogen!$Z:$Z,Predev_Scenarios!$C37)</f>
        <v>-27.052709815078245</v>
      </c>
      <c r="L37" s="63">
        <f t="shared" si="1"/>
        <v>7.9771662806073881E-2</v>
      </c>
      <c r="M37" s="63">
        <f t="shared" si="2"/>
        <v>1.7354282824096491E-2</v>
      </c>
      <c r="N37" s="63">
        <f t="shared" si="3"/>
        <v>0.14218904278805125</v>
      </c>
      <c r="O37" s="30">
        <f>IF(OR(LEFT($D37,5)="Solar",$D37="Wind"),INDEX(Land_Use[AVG],MATCH(LEFT($D37,5),Land_Use[Tech],0)),0)*$E37</f>
        <v>0</v>
      </c>
      <c r="P37" s="30">
        <f>IF(OR(LEFT($D37,5)="Solar",$D37="Wind"),INDEX(Land_Use[MIN],MATCH(LEFT($D37,5),Land_Use[Tech],0)),0)*$E37</f>
        <v>0</v>
      </c>
      <c r="Q37" s="30">
        <f>IF(OR(LEFT($D37,5)="Solar",$D37="Wind"),INDEX(Land_Use[MAX],MATCH(LEFT($D37,5),Land_Use[Tech],0)),0)*$E37</f>
        <v>0</v>
      </c>
      <c r="R37" s="31">
        <f>IFERROR(INDEX(WaterUseH2[Average Direct Water Consumption (Gal/ kg h2)],MATCH(LEFT(D37,3),WaterUseH2[Key],0)),0)</f>
        <v>2.8</v>
      </c>
      <c r="S37" s="15">
        <f t="shared" si="4"/>
        <v>122.63999999999999</v>
      </c>
      <c r="T37" s="14"/>
    </row>
    <row r="38" spans="1:20" x14ac:dyDescent="0.35">
      <c r="A38" t="s">
        <v>107</v>
      </c>
      <c r="B38">
        <v>2039</v>
      </c>
      <c r="C38" s="16" t="s">
        <v>73</v>
      </c>
      <c r="D38" t="s">
        <v>74</v>
      </c>
      <c r="E38" s="14">
        <f>SUMIFS(Hydrogen!$AD:$AD,Hydrogen!$Y:$Y,$D38,Hydrogen!$AB:$AB,Predev_Scenarios!$B38,Hydrogen!$AA:$AA,$A38)</f>
        <v>43800</v>
      </c>
      <c r="F38" s="14" t="s">
        <v>106</v>
      </c>
      <c r="G38" s="14">
        <f>SUMIFS(Hydrogen!$AC:$AC,Hydrogen!$Y:$Y,$D38,Hydrogen!$AB:$AB,Predev_Scenarios!$B38,Hydrogen!$AA:$AA,$A38)</f>
        <v>5.2560000000000003E-3</v>
      </c>
      <c r="H38" s="13" t="str">
        <f>IF(C38="Electricity",E38*SUMIFS(Electricity!S:S,Electricity!P:P,Predev_Scenarios!B38,Electricity!M:M,Predev_Scenarios!A38,Electricity!O:O,Predev_Scenarios!D38),"")</f>
        <v/>
      </c>
      <c r="I38" s="12">
        <f>SUMIFS(Hydrogen!AK:AK,Hydrogen!$AA:$AA,Predev_Scenarios!$A38,Hydrogen!$Y:$Y,Predev_Scenarios!$D38,Hydrogen!$AB:$AB,Predev_Scenarios!$B38,Hydrogen!$Z:$Z,Predev_Scenarios!$C38)</f>
        <v>-13.876188615014854</v>
      </c>
      <c r="J38" s="12">
        <f>SUMIFS(Hydrogen!AL:AL,Hydrogen!$AA:$AA,Predev_Scenarios!$A38,Hydrogen!$Y:$Y,Predev_Scenarios!$D38,Hydrogen!$AB:$AB,Predev_Scenarios!$B38,Hydrogen!$Z:$Z,Predev_Scenarios!$C38)</f>
        <v>-0.69966741495146323</v>
      </c>
      <c r="K38" s="12">
        <f>SUMIFS(Hydrogen!AM:AM,Hydrogen!$AA:$AA,Predev_Scenarios!$A38,Hydrogen!$Y:$Y,Predev_Scenarios!$D38,Hydrogen!$AB:$AB,Predev_Scenarios!$B38,Hydrogen!$Z:$Z,Predev_Scenarios!$C38)</f>
        <v>-27.052709815078245</v>
      </c>
      <c r="L38" s="63">
        <f t="shared" si="1"/>
        <v>7.293324736051808E-2</v>
      </c>
      <c r="M38" s="63">
        <f t="shared" si="2"/>
        <v>3.6774519329848907E-3</v>
      </c>
      <c r="N38" s="63">
        <f t="shared" si="3"/>
        <v>0.14218904278805125</v>
      </c>
      <c r="O38" s="30">
        <f>IF(OR(LEFT($D38,5)="Solar",$D38="Wind"),INDEX(Land_Use[AVG],MATCH(LEFT($D38,5),Land_Use[Tech],0)),0)*$E38</f>
        <v>0</v>
      </c>
      <c r="P38" s="30">
        <f>IF(OR(LEFT($D38,5)="Solar",$D38="Wind"),INDEX(Land_Use[MIN],MATCH(LEFT($D38,5),Land_Use[Tech],0)),0)*$E38</f>
        <v>0</v>
      </c>
      <c r="Q38" s="30">
        <f>IF(OR(LEFT($D38,5)="Solar",$D38="Wind"),INDEX(Land_Use[MAX],MATCH(LEFT($D38,5),Land_Use[Tech],0)),0)*$E38</f>
        <v>0</v>
      </c>
      <c r="R38" s="31">
        <f>IFERROR(INDEX(WaterUseH2[Average Direct Water Consumption (Gal/ kg h2)],MATCH(LEFT(D38,3),WaterUseH2[Key],0)),0)</f>
        <v>2.8</v>
      </c>
      <c r="S38" s="15">
        <f t="shared" si="4"/>
        <v>122.63999999999999</v>
      </c>
      <c r="T38" s="14"/>
    </row>
    <row r="39" spans="1:20" x14ac:dyDescent="0.35">
      <c r="A39" t="s">
        <v>107</v>
      </c>
      <c r="B39">
        <v>2040</v>
      </c>
      <c r="C39" s="16" t="s">
        <v>73</v>
      </c>
      <c r="D39" t="s">
        <v>74</v>
      </c>
      <c r="E39" s="14">
        <f>SUMIFS(Hydrogen!$AD:$AD,Hydrogen!$Y:$Y,$D39,Hydrogen!$AB:$AB,Predev_Scenarios!$B39,Hydrogen!$AA:$AA,$A39)</f>
        <v>43800</v>
      </c>
      <c r="F39" s="14" t="s">
        <v>106</v>
      </c>
      <c r="G39" s="14">
        <f>SUMIFS(Hydrogen!$AC:$AC,Hydrogen!$Y:$Y,$D39,Hydrogen!$AB:$AB,Predev_Scenarios!$B39,Hydrogen!$AA:$AA,$A39)</f>
        <v>5.2560000000000003E-3</v>
      </c>
      <c r="H39" s="13" t="str">
        <f>IF(C39="Electricity",E39*SUMIFS(Electricity!S:S,Electricity!P:P,Predev_Scenarios!B39,Electricity!M:M,Predev_Scenarios!A39,Electricity!O:O,Predev_Scenarios!D39),"")</f>
        <v/>
      </c>
      <c r="I39" s="12">
        <f>SUMIFS(Hydrogen!AK:AK,Hydrogen!$AA:$AA,Predev_Scenarios!$A39,Hydrogen!$Y:$Y,Predev_Scenarios!$D39,Hydrogen!$AB:$AB,Predev_Scenarios!$B39,Hydrogen!$Z:$Z,Predev_Scenarios!$C39)</f>
        <v>-13.526354907539123</v>
      </c>
      <c r="J39" s="12">
        <f>SUMIFS(Hydrogen!AL:AL,Hydrogen!$AA:$AA,Predev_Scenarios!$A39,Hydrogen!$Y:$Y,Predev_Scenarios!$D39,Hydrogen!$AB:$AB,Predev_Scenarios!$B39,Hydrogen!$Z:$Z,Predev_Scenarios!$C39)</f>
        <v>0</v>
      </c>
      <c r="K39" s="12">
        <f>SUMIFS(Hydrogen!AM:AM,Hydrogen!$AA:$AA,Predev_Scenarios!$A39,Hydrogen!$Y:$Y,Predev_Scenarios!$D39,Hydrogen!$AB:$AB,Predev_Scenarios!$B39,Hydrogen!$Z:$Z,Predev_Scenarios!$C39)</f>
        <v>-27.052709815078245</v>
      </c>
      <c r="L39" s="63">
        <f t="shared" si="1"/>
        <v>7.1094521394025625E-2</v>
      </c>
      <c r="M39" s="63">
        <f t="shared" si="2"/>
        <v>0</v>
      </c>
      <c r="N39" s="63">
        <f t="shared" si="3"/>
        <v>0.14218904278805125</v>
      </c>
      <c r="O39" s="30">
        <f>IF(OR(LEFT($D39,5)="Solar",$D39="Wind"),INDEX(Land_Use[AVG],MATCH(LEFT($D39,5),Land_Use[Tech],0)),0)*$E39</f>
        <v>0</v>
      </c>
      <c r="P39" s="30">
        <f>IF(OR(LEFT($D39,5)="Solar",$D39="Wind"),INDEX(Land_Use[MIN],MATCH(LEFT($D39,5),Land_Use[Tech],0)),0)*$E39</f>
        <v>0</v>
      </c>
      <c r="Q39" s="30">
        <f>IF(OR(LEFT($D39,5)="Solar",$D39="Wind"),INDEX(Land_Use[MAX],MATCH(LEFT($D39,5),Land_Use[Tech],0)),0)*$E39</f>
        <v>0</v>
      </c>
      <c r="R39" s="31">
        <f>IFERROR(INDEX(WaterUseH2[Average Direct Water Consumption (Gal/ kg h2)],MATCH(LEFT(D39,3),WaterUseH2[Key],0)),0)</f>
        <v>2.8</v>
      </c>
      <c r="S39" s="15">
        <f t="shared" si="4"/>
        <v>122.63999999999999</v>
      </c>
      <c r="T39" s="14"/>
    </row>
    <row r="40" spans="1:20" x14ac:dyDescent="0.35">
      <c r="A40" t="s">
        <v>107</v>
      </c>
      <c r="B40">
        <v>2041</v>
      </c>
      <c r="C40" s="16" t="s">
        <v>73</v>
      </c>
      <c r="D40" t="s">
        <v>74</v>
      </c>
      <c r="E40" s="14">
        <f>SUMIFS(Hydrogen!$AD:$AD,Hydrogen!$Y:$Y,$D40,Hydrogen!$AB:$AB,Predev_Scenarios!$B40,Hydrogen!$AA:$AA,$A40)</f>
        <v>87600</v>
      </c>
      <c r="F40" s="14" t="s">
        <v>106</v>
      </c>
      <c r="G40" s="14">
        <f>SUMIFS(Hydrogen!$AC:$AC,Hydrogen!$Y:$Y,$D40,Hydrogen!$AB:$AB,Predev_Scenarios!$B40,Hydrogen!$AA:$AA,$A40)</f>
        <v>1.0512000000000001E-2</v>
      </c>
      <c r="H40" s="13" t="str">
        <f>IF(C40="Electricity",E40*SUMIFS(Electricity!S:S,Electricity!P:P,Predev_Scenarios!B40,Electricity!M:M,Predev_Scenarios!A40,Electricity!O:O,Predev_Scenarios!D40),"")</f>
        <v/>
      </c>
      <c r="I40" s="12">
        <f>SUMIFS(Hydrogen!AK:AK,Hydrogen!$AA:$AA,Predev_Scenarios!$A40,Hydrogen!$Y:$Y,Predev_Scenarios!$D40,Hydrogen!$AB:$AB,Predev_Scenarios!$B40,Hydrogen!$Z:$Z,Predev_Scenarios!$C40)</f>
        <v>-13.526354907539123</v>
      </c>
      <c r="J40" s="12">
        <f>SUMIFS(Hydrogen!AL:AL,Hydrogen!$AA:$AA,Predev_Scenarios!$A40,Hydrogen!$Y:$Y,Predev_Scenarios!$D40,Hydrogen!$AB:$AB,Predev_Scenarios!$B40,Hydrogen!$Z:$Z,Predev_Scenarios!$C40)</f>
        <v>0</v>
      </c>
      <c r="K40" s="12">
        <f>SUMIFS(Hydrogen!AM:AM,Hydrogen!$AA:$AA,Predev_Scenarios!$A40,Hydrogen!$Y:$Y,Predev_Scenarios!$D40,Hydrogen!$AB:$AB,Predev_Scenarios!$B40,Hydrogen!$Z:$Z,Predev_Scenarios!$C40)</f>
        <v>-27.052709815078245</v>
      </c>
      <c r="L40" s="63">
        <f t="shared" si="1"/>
        <v>0.14218904278805125</v>
      </c>
      <c r="M40" s="63">
        <f t="shared" si="2"/>
        <v>0</v>
      </c>
      <c r="N40" s="63">
        <f t="shared" si="3"/>
        <v>0.2843780855761025</v>
      </c>
      <c r="O40" s="30">
        <f>IF(OR(LEFT($D40,5)="Solar",$D40="Wind"),INDEX(Land_Use[AVG],MATCH(LEFT($D40,5),Land_Use[Tech],0)),0)*$E40</f>
        <v>0</v>
      </c>
      <c r="P40" s="30">
        <f>IF(OR(LEFT($D40,5)="Solar",$D40="Wind"),INDEX(Land_Use[MIN],MATCH(LEFT($D40,5),Land_Use[Tech],0)),0)*$E40</f>
        <v>0</v>
      </c>
      <c r="Q40" s="30">
        <f>IF(OR(LEFT($D40,5)="Solar",$D40="Wind"),INDEX(Land_Use[MAX],MATCH(LEFT($D40,5),Land_Use[Tech],0)),0)*$E40</f>
        <v>0</v>
      </c>
      <c r="R40" s="31">
        <f>IFERROR(INDEX(WaterUseH2[Average Direct Water Consumption (Gal/ kg h2)],MATCH(LEFT(D40,3),WaterUseH2[Key],0)),0)</f>
        <v>2.8</v>
      </c>
      <c r="S40" s="15">
        <f t="shared" si="4"/>
        <v>245.27999999999997</v>
      </c>
      <c r="T40" s="14"/>
    </row>
    <row r="41" spans="1:20" x14ac:dyDescent="0.35">
      <c r="A41" t="s">
        <v>107</v>
      </c>
      <c r="B41">
        <v>2042</v>
      </c>
      <c r="C41" s="16" t="s">
        <v>73</v>
      </c>
      <c r="D41" t="s">
        <v>74</v>
      </c>
      <c r="E41" s="14">
        <f>SUMIFS(Hydrogen!$AD:$AD,Hydrogen!$Y:$Y,$D41,Hydrogen!$AB:$AB,Predev_Scenarios!$B41,Hydrogen!$AA:$AA,$A41)</f>
        <v>87600</v>
      </c>
      <c r="F41" s="14" t="s">
        <v>106</v>
      </c>
      <c r="G41" s="14">
        <f>SUMIFS(Hydrogen!$AC:$AC,Hydrogen!$Y:$Y,$D41,Hydrogen!$AB:$AB,Predev_Scenarios!$B41,Hydrogen!$AA:$AA,$A41)</f>
        <v>1.0512000000000001E-2</v>
      </c>
      <c r="H41" s="13" t="str">
        <f>IF(C41="Electricity",E41*SUMIFS(Electricity!S:S,Electricity!P:P,Predev_Scenarios!B41,Electricity!M:M,Predev_Scenarios!A41,Electricity!O:O,Predev_Scenarios!D41),"")</f>
        <v/>
      </c>
      <c r="I41" s="12">
        <f>SUMIFS(Hydrogen!AK:AK,Hydrogen!$AA:$AA,Predev_Scenarios!$A41,Hydrogen!$Y:$Y,Predev_Scenarios!$D41,Hydrogen!$AB:$AB,Predev_Scenarios!$B41,Hydrogen!$Z:$Z,Predev_Scenarios!$C41)</f>
        <v>-13.526354907539123</v>
      </c>
      <c r="J41" s="12">
        <f>SUMIFS(Hydrogen!AL:AL,Hydrogen!$AA:$AA,Predev_Scenarios!$A41,Hydrogen!$Y:$Y,Predev_Scenarios!$D41,Hydrogen!$AB:$AB,Predev_Scenarios!$B41,Hydrogen!$Z:$Z,Predev_Scenarios!$C41)</f>
        <v>0</v>
      </c>
      <c r="K41" s="12">
        <f>SUMIFS(Hydrogen!AM:AM,Hydrogen!$AA:$AA,Predev_Scenarios!$A41,Hydrogen!$Y:$Y,Predev_Scenarios!$D41,Hydrogen!$AB:$AB,Predev_Scenarios!$B41,Hydrogen!$Z:$Z,Predev_Scenarios!$C41)</f>
        <v>-27.052709815078245</v>
      </c>
      <c r="L41" s="63">
        <f t="shared" si="1"/>
        <v>0.14218904278805125</v>
      </c>
      <c r="M41" s="63">
        <f t="shared" si="2"/>
        <v>0</v>
      </c>
      <c r="N41" s="63">
        <f t="shared" si="3"/>
        <v>0.2843780855761025</v>
      </c>
      <c r="O41" s="30">
        <f>IF(OR(LEFT($D41,5)="Solar",$D41="Wind"),INDEX(Land_Use[AVG],MATCH(LEFT($D41,5),Land_Use[Tech],0)),0)*$E41</f>
        <v>0</v>
      </c>
      <c r="P41" s="30">
        <f>IF(OR(LEFT($D41,5)="Solar",$D41="Wind"),INDEX(Land_Use[MIN],MATCH(LEFT($D41,5),Land_Use[Tech],0)),0)*$E41</f>
        <v>0</v>
      </c>
      <c r="Q41" s="30">
        <f>IF(OR(LEFT($D41,5)="Solar",$D41="Wind"),INDEX(Land_Use[MAX],MATCH(LEFT($D41,5),Land_Use[Tech],0)),0)*$E41</f>
        <v>0</v>
      </c>
      <c r="R41" s="31">
        <f>IFERROR(INDEX(WaterUseH2[Average Direct Water Consumption (Gal/ kg h2)],MATCH(LEFT(D41,3),WaterUseH2[Key],0)),0)</f>
        <v>2.8</v>
      </c>
      <c r="S41" s="15">
        <f t="shared" si="4"/>
        <v>245.27999999999997</v>
      </c>
      <c r="T41" s="14"/>
    </row>
    <row r="42" spans="1:20" x14ac:dyDescent="0.35">
      <c r="A42" t="s">
        <v>107</v>
      </c>
      <c r="B42">
        <v>2043</v>
      </c>
      <c r="C42" s="16" t="s">
        <v>73</v>
      </c>
      <c r="D42" t="s">
        <v>74</v>
      </c>
      <c r="E42" s="14">
        <f>SUMIFS(Hydrogen!$AD:$AD,Hydrogen!$Y:$Y,$D42,Hydrogen!$AB:$AB,Predev_Scenarios!$B42,Hydrogen!$AA:$AA,$A42)</f>
        <v>87600</v>
      </c>
      <c r="F42" s="14" t="s">
        <v>106</v>
      </c>
      <c r="G42" s="14">
        <f>SUMIFS(Hydrogen!$AC:$AC,Hydrogen!$Y:$Y,$D42,Hydrogen!$AB:$AB,Predev_Scenarios!$B42,Hydrogen!$AA:$AA,$A42)</f>
        <v>1.0512000000000001E-2</v>
      </c>
      <c r="H42" s="13" t="str">
        <f>IF(C42="Electricity",E42*SUMIFS(Electricity!S:S,Electricity!P:P,Predev_Scenarios!B42,Electricity!M:M,Predev_Scenarios!A42,Electricity!O:O,Predev_Scenarios!D42),"")</f>
        <v/>
      </c>
      <c r="I42" s="12">
        <f>SUMIFS(Hydrogen!AK:AK,Hydrogen!$AA:$AA,Predev_Scenarios!$A42,Hydrogen!$Y:$Y,Predev_Scenarios!$D42,Hydrogen!$AB:$AB,Predev_Scenarios!$B42,Hydrogen!$Z:$Z,Predev_Scenarios!$C42)</f>
        <v>-13.526354907539123</v>
      </c>
      <c r="J42" s="12">
        <f>SUMIFS(Hydrogen!AL:AL,Hydrogen!$AA:$AA,Predev_Scenarios!$A42,Hydrogen!$Y:$Y,Predev_Scenarios!$D42,Hydrogen!$AB:$AB,Predev_Scenarios!$B42,Hydrogen!$Z:$Z,Predev_Scenarios!$C42)</f>
        <v>0</v>
      </c>
      <c r="K42" s="12">
        <f>SUMIFS(Hydrogen!AM:AM,Hydrogen!$AA:$AA,Predev_Scenarios!$A42,Hydrogen!$Y:$Y,Predev_Scenarios!$D42,Hydrogen!$AB:$AB,Predev_Scenarios!$B42,Hydrogen!$Z:$Z,Predev_Scenarios!$C42)</f>
        <v>-27.052709815078245</v>
      </c>
      <c r="L42" s="63">
        <f t="shared" si="1"/>
        <v>0.14218904278805125</v>
      </c>
      <c r="M42" s="63">
        <f t="shared" si="2"/>
        <v>0</v>
      </c>
      <c r="N42" s="63">
        <f t="shared" si="3"/>
        <v>0.2843780855761025</v>
      </c>
      <c r="O42" s="30">
        <f>IF(OR(LEFT($D42,5)="Solar",$D42="Wind"),INDEX(Land_Use[AVG],MATCH(LEFT($D42,5),Land_Use[Tech],0)),0)*$E42</f>
        <v>0</v>
      </c>
      <c r="P42" s="30">
        <f>IF(OR(LEFT($D42,5)="Solar",$D42="Wind"),INDEX(Land_Use[MIN],MATCH(LEFT($D42,5),Land_Use[Tech],0)),0)*$E42</f>
        <v>0</v>
      </c>
      <c r="Q42" s="30">
        <f>IF(OR(LEFT($D42,5)="Solar",$D42="Wind"),INDEX(Land_Use[MAX],MATCH(LEFT($D42,5),Land_Use[Tech],0)),0)*$E42</f>
        <v>0</v>
      </c>
      <c r="R42" s="31">
        <f>IFERROR(INDEX(WaterUseH2[Average Direct Water Consumption (Gal/ kg h2)],MATCH(LEFT(D42,3),WaterUseH2[Key],0)),0)</f>
        <v>2.8</v>
      </c>
      <c r="S42" s="15">
        <f t="shared" si="4"/>
        <v>245.27999999999997</v>
      </c>
      <c r="T42" s="14"/>
    </row>
    <row r="43" spans="1:20" x14ac:dyDescent="0.35">
      <c r="A43" t="s">
        <v>107</v>
      </c>
      <c r="B43">
        <v>2044</v>
      </c>
      <c r="C43" s="16" t="s">
        <v>73</v>
      </c>
      <c r="D43" t="s">
        <v>74</v>
      </c>
      <c r="E43" s="14">
        <f>SUMIFS(Hydrogen!$AD:$AD,Hydrogen!$Y:$Y,$D43,Hydrogen!$AB:$AB,Predev_Scenarios!$B43,Hydrogen!$AA:$AA,$A43)</f>
        <v>87600</v>
      </c>
      <c r="F43" s="14" t="s">
        <v>106</v>
      </c>
      <c r="G43" s="14">
        <f>SUMIFS(Hydrogen!$AC:$AC,Hydrogen!$Y:$Y,$D43,Hydrogen!$AB:$AB,Predev_Scenarios!$B43,Hydrogen!$AA:$AA,$A43)</f>
        <v>1.0512000000000001E-2</v>
      </c>
      <c r="H43" s="13" t="str">
        <f>IF(C43="Electricity",E43*SUMIFS(Electricity!S:S,Electricity!P:P,Predev_Scenarios!B43,Electricity!M:M,Predev_Scenarios!A43,Electricity!O:O,Predev_Scenarios!D43),"")</f>
        <v/>
      </c>
      <c r="I43" s="12">
        <f>SUMIFS(Hydrogen!AK:AK,Hydrogen!$AA:$AA,Predev_Scenarios!$A43,Hydrogen!$Y:$Y,Predev_Scenarios!$D43,Hydrogen!$AB:$AB,Predev_Scenarios!$B43,Hydrogen!$Z:$Z,Predev_Scenarios!$C43)</f>
        <v>-13.526354907539123</v>
      </c>
      <c r="J43" s="12">
        <f>SUMIFS(Hydrogen!AL:AL,Hydrogen!$AA:$AA,Predev_Scenarios!$A43,Hydrogen!$Y:$Y,Predev_Scenarios!$D43,Hydrogen!$AB:$AB,Predev_Scenarios!$B43,Hydrogen!$Z:$Z,Predev_Scenarios!$C43)</f>
        <v>0</v>
      </c>
      <c r="K43" s="12">
        <f>SUMIFS(Hydrogen!AM:AM,Hydrogen!$AA:$AA,Predev_Scenarios!$A43,Hydrogen!$Y:$Y,Predev_Scenarios!$D43,Hydrogen!$AB:$AB,Predev_Scenarios!$B43,Hydrogen!$Z:$Z,Predev_Scenarios!$C43)</f>
        <v>-27.052709815078245</v>
      </c>
      <c r="L43" s="63">
        <f t="shared" si="1"/>
        <v>0.14218904278805125</v>
      </c>
      <c r="M43" s="63">
        <f t="shared" si="2"/>
        <v>0</v>
      </c>
      <c r="N43" s="63">
        <f t="shared" si="3"/>
        <v>0.2843780855761025</v>
      </c>
      <c r="O43" s="30">
        <f>IF(OR(LEFT($D43,5)="Solar",$D43="Wind"),INDEX(Land_Use[AVG],MATCH(LEFT($D43,5),Land_Use[Tech],0)),0)*$E43</f>
        <v>0</v>
      </c>
      <c r="P43" s="30">
        <f>IF(OR(LEFT($D43,5)="Solar",$D43="Wind"),INDEX(Land_Use[MIN],MATCH(LEFT($D43,5),Land_Use[Tech],0)),0)*$E43</f>
        <v>0</v>
      </c>
      <c r="Q43" s="30">
        <f>IF(OR(LEFT($D43,5)="Solar",$D43="Wind"),INDEX(Land_Use[MAX],MATCH(LEFT($D43,5),Land_Use[Tech],0)),0)*$E43</f>
        <v>0</v>
      </c>
      <c r="R43" s="31">
        <f>IFERROR(INDEX(WaterUseH2[Average Direct Water Consumption (Gal/ kg h2)],MATCH(LEFT(D43,3),WaterUseH2[Key],0)),0)</f>
        <v>2.8</v>
      </c>
      <c r="S43" s="15">
        <f t="shared" si="4"/>
        <v>245.27999999999997</v>
      </c>
      <c r="T43" s="14"/>
    </row>
    <row r="44" spans="1:20" x14ac:dyDescent="0.35">
      <c r="A44" t="s">
        <v>107</v>
      </c>
      <c r="B44">
        <v>2045</v>
      </c>
      <c r="C44" s="16" t="s">
        <v>73</v>
      </c>
      <c r="D44" t="s">
        <v>74</v>
      </c>
      <c r="E44" s="14">
        <f>SUMIFS(Hydrogen!$AD:$AD,Hydrogen!$Y:$Y,$D44,Hydrogen!$AB:$AB,Predev_Scenarios!$B44,Hydrogen!$AA:$AA,$A44)</f>
        <v>87600</v>
      </c>
      <c r="F44" s="14" t="s">
        <v>106</v>
      </c>
      <c r="G44" s="14">
        <f>SUMIFS(Hydrogen!$AC:$AC,Hydrogen!$Y:$Y,$D44,Hydrogen!$AB:$AB,Predev_Scenarios!$B44,Hydrogen!$AA:$AA,$A44)</f>
        <v>1.0512000000000001E-2</v>
      </c>
      <c r="H44" s="13" t="str">
        <f>IF(C44="Electricity",E44*SUMIFS(Electricity!S:S,Electricity!P:P,Predev_Scenarios!B44,Electricity!M:M,Predev_Scenarios!A44,Electricity!O:O,Predev_Scenarios!D44),"")</f>
        <v/>
      </c>
      <c r="I44" s="12">
        <f>SUMIFS(Hydrogen!AK:AK,Hydrogen!$AA:$AA,Predev_Scenarios!$A44,Hydrogen!$Y:$Y,Predev_Scenarios!$D44,Hydrogen!$AB:$AB,Predev_Scenarios!$B44,Hydrogen!$Z:$Z,Predev_Scenarios!$C44)</f>
        <v>-13.526354907539123</v>
      </c>
      <c r="J44" s="12">
        <f>SUMIFS(Hydrogen!AL:AL,Hydrogen!$AA:$AA,Predev_Scenarios!$A44,Hydrogen!$Y:$Y,Predev_Scenarios!$D44,Hydrogen!$AB:$AB,Predev_Scenarios!$B44,Hydrogen!$Z:$Z,Predev_Scenarios!$C44)</f>
        <v>0</v>
      </c>
      <c r="K44" s="12">
        <f>SUMIFS(Hydrogen!AM:AM,Hydrogen!$AA:$AA,Predev_Scenarios!$A44,Hydrogen!$Y:$Y,Predev_Scenarios!$D44,Hydrogen!$AB:$AB,Predev_Scenarios!$B44,Hydrogen!$Z:$Z,Predev_Scenarios!$C44)</f>
        <v>-27.052709815078245</v>
      </c>
      <c r="L44" s="63">
        <f t="shared" si="1"/>
        <v>0.14218904278805125</v>
      </c>
      <c r="M44" s="63">
        <f t="shared" si="2"/>
        <v>0</v>
      </c>
      <c r="N44" s="63">
        <f t="shared" si="3"/>
        <v>0.2843780855761025</v>
      </c>
      <c r="O44" s="30">
        <f>IF(OR(LEFT($D44,5)="Solar",$D44="Wind"),INDEX(Land_Use[AVG],MATCH(LEFT($D44,5),Land_Use[Tech],0)),0)*$E44</f>
        <v>0</v>
      </c>
      <c r="P44" s="30">
        <f>IF(OR(LEFT($D44,5)="Solar",$D44="Wind"),INDEX(Land_Use[MIN],MATCH(LEFT($D44,5),Land_Use[Tech],0)),0)*$E44</f>
        <v>0</v>
      </c>
      <c r="Q44" s="30">
        <f>IF(OR(LEFT($D44,5)="Solar",$D44="Wind"),INDEX(Land_Use[MAX],MATCH(LEFT($D44,5),Land_Use[Tech],0)),0)*$E44</f>
        <v>0</v>
      </c>
      <c r="R44" s="31">
        <f>IFERROR(INDEX(WaterUseH2[Average Direct Water Consumption (Gal/ kg h2)],MATCH(LEFT(D44,3),WaterUseH2[Key],0)),0)</f>
        <v>2.8</v>
      </c>
      <c r="S44" s="15">
        <f t="shared" si="4"/>
        <v>245.27999999999997</v>
      </c>
      <c r="T44" s="14"/>
    </row>
    <row r="45" spans="1:20" x14ac:dyDescent="0.35">
      <c r="A45" t="s">
        <v>76</v>
      </c>
      <c r="B45">
        <v>2025</v>
      </c>
      <c r="C45" t="s">
        <v>78</v>
      </c>
      <c r="D45" t="s">
        <v>79</v>
      </c>
      <c r="E45" s="13">
        <f>SUMIFS(Hydrogen!$AD:$AD,Hydrogen!$Y:$Y,$D45,Hydrogen!$AB:$AB,Predev_Scenarios!$B3,Hydrogen!$AA:$AA,$A45)</f>
        <v>0</v>
      </c>
      <c r="F45" s="14" t="s">
        <v>108</v>
      </c>
      <c r="G45" s="14">
        <f>SUMIFS(Hydrogen!$AC:$AC,Hydrogen!$Y:$Y,$D45,Hydrogen!$AB:$AB,Predev_Scenarios!$B45,Hydrogen!$AA:$AA,$A45)</f>
        <v>0</v>
      </c>
      <c r="H45" s="13" t="str">
        <f>IF(C45="Electricity",E45*SUMIFS(Electricity!S:S,Electricity!P:P,Predev_Scenarios!B45,Electricity!M:M,Predev_Scenarios!A45,Electricity!O:O,Predev_Scenarios!D45),"")</f>
        <v/>
      </c>
      <c r="I45" s="12">
        <f>SUMIFS(Hydrogen!AK:AK,Hydrogen!$AA:$AA,Predev_Scenarios!$A45,Hydrogen!$Y:$Y,Predev_Scenarios!$D45,Hydrogen!$AB:$AB,Predev_Scenarios!$B45,Hydrogen!$Z:$Z,Predev_Scenarios!$C45)</f>
        <v>-88.849553682831996</v>
      </c>
      <c r="J45" s="12">
        <f>SUMIFS(Hydrogen!AL:AL,Hydrogen!$AA:$AA,Predev_Scenarios!$A45,Hydrogen!$Y:$Y,Predev_Scenarios!$D45,Hydrogen!$AB:$AB,Predev_Scenarios!$B45,Hydrogen!$Z:$Z,Predev_Scenarios!$C45)</f>
        <v>-87.759107365663994</v>
      </c>
      <c r="K45" s="12">
        <f>SUMIFS(Hydrogen!AM:AM,Hydrogen!$AA:$AA,Predev_Scenarios!$A45,Hydrogen!$Y:$Y,Predev_Scenarios!$D45,Hydrogen!$AB:$AB,Predev_Scenarios!$B45,Hydrogen!$Z:$Z,Predev_Scenarios!$C45)</f>
        <v>-89.94</v>
      </c>
      <c r="L45" s="63">
        <f t="shared" si="1"/>
        <v>0</v>
      </c>
      <c r="M45" s="63">
        <f t="shared" si="2"/>
        <v>0</v>
      </c>
      <c r="N45" s="63">
        <f t="shared" si="3"/>
        <v>0</v>
      </c>
      <c r="O45" s="30">
        <f>IF(OR(LEFT($D45,5)="Solar",$D45="Wind"),INDEX(Land_Use[AVG],MATCH(LEFT($D45,5),Land_Use[Tech],0)),0)*$E45</f>
        <v>0</v>
      </c>
      <c r="P45" s="30">
        <f>IF(OR(LEFT($D45,5)="Solar",$D45="Wind"),INDEX(Land_Use[MIN],MATCH(LEFT($D45,5),Land_Use[Tech],0)),0)*$E45</f>
        <v>0</v>
      </c>
      <c r="Q45" s="30">
        <f>IF(OR(LEFT($D45,5)="Solar",$D45="Wind"),INDEX(Land_Use[MAX],MATCH(LEFT($D45,5),Land_Use[Tech],0)),0)*$E45</f>
        <v>0</v>
      </c>
      <c r="R45" s="31">
        <f>IFERROR(INDEX(WaterUseH2[Average Direct Water Consumption (Gal/ kg h2)],MATCH(LEFT(D45,3),WaterUseH2[Key],0)),0)</f>
        <v>4.0999999999999996</v>
      </c>
      <c r="S45" s="15">
        <f t="shared" si="4"/>
        <v>0</v>
      </c>
    </row>
    <row r="46" spans="1:20" x14ac:dyDescent="0.35">
      <c r="A46" t="s">
        <v>76</v>
      </c>
      <c r="B46">
        <v>2026</v>
      </c>
      <c r="C46" t="s">
        <v>78</v>
      </c>
      <c r="D46" t="s">
        <v>79</v>
      </c>
      <c r="E46" s="13">
        <f>SUMIFS(Hydrogen!$AD:$AD,Hydrogen!$Y:$Y,$D46,Hydrogen!$AB:$AB,Predev_Scenarios!$B4,Hydrogen!$AA:$AA,$A46)</f>
        <v>0</v>
      </c>
      <c r="F46" s="14" t="s">
        <v>108</v>
      </c>
      <c r="G46" s="14">
        <f>SUMIFS(Hydrogen!$AC:$AC,Hydrogen!$Y:$Y,$D46,Hydrogen!$AB:$AB,Predev_Scenarios!$B46,Hydrogen!$AA:$AA,$A46)</f>
        <v>0</v>
      </c>
      <c r="H46" s="13" t="str">
        <f>IF(C46="Electricity",E46*SUMIFS(Electricity!S:S,Electricity!P:P,Predev_Scenarios!B46,Electricity!M:M,Predev_Scenarios!A46,Electricity!O:O,Predev_Scenarios!D46),"")</f>
        <v/>
      </c>
      <c r="I46" s="12">
        <f>SUMIFS(Hydrogen!AK:AK,Hydrogen!$AA:$AA,Predev_Scenarios!$A46,Hydrogen!$Y:$Y,Predev_Scenarios!$D46,Hydrogen!$AB:$AB,Predev_Scenarios!$B46,Hydrogen!$Z:$Z,Predev_Scenarios!$C46)</f>
        <v>-88.490787443158112</v>
      </c>
      <c r="J46" s="12">
        <f>SUMIFS(Hydrogen!AL:AL,Hydrogen!$AA:$AA,Predev_Scenarios!$A46,Hydrogen!$Y:$Y,Predev_Scenarios!$D46,Hydrogen!$AB:$AB,Predev_Scenarios!$B46,Hydrogen!$Z:$Z,Predev_Scenarios!$C46)</f>
        <v>-87.041574886316226</v>
      </c>
      <c r="K46" s="12">
        <f>SUMIFS(Hydrogen!AM:AM,Hydrogen!$AA:$AA,Predev_Scenarios!$A46,Hydrogen!$Y:$Y,Predev_Scenarios!$D46,Hydrogen!$AB:$AB,Predev_Scenarios!$B46,Hydrogen!$Z:$Z,Predev_Scenarios!$C46)</f>
        <v>-89.94</v>
      </c>
      <c r="L46" s="63">
        <f t="shared" si="1"/>
        <v>0</v>
      </c>
      <c r="M46" s="63">
        <f t="shared" si="2"/>
        <v>0</v>
      </c>
      <c r="N46" s="63">
        <f t="shared" si="3"/>
        <v>0</v>
      </c>
      <c r="O46" s="30">
        <f>IF(OR(LEFT($D46,5)="Solar",$D46="Wind"),INDEX(Land_Use[AVG],MATCH(LEFT($D46,5),Land_Use[Tech],0)),0)*$E46</f>
        <v>0</v>
      </c>
      <c r="P46" s="30">
        <f>IF(OR(LEFT($D46,5)="Solar",$D46="Wind"),INDEX(Land_Use[MIN],MATCH(LEFT($D46,5),Land_Use[Tech],0)),0)*$E46</f>
        <v>0</v>
      </c>
      <c r="Q46" s="30">
        <f>IF(OR(LEFT($D46,5)="Solar",$D46="Wind"),INDEX(Land_Use[MAX],MATCH(LEFT($D46,5),Land_Use[Tech],0)),0)*$E46</f>
        <v>0</v>
      </c>
      <c r="R46" s="31">
        <f>IFERROR(INDEX(WaterUseH2[Average Direct Water Consumption (Gal/ kg h2)],MATCH(LEFT(D46,3),WaterUseH2[Key],0)),0)</f>
        <v>4.0999999999999996</v>
      </c>
      <c r="S46" s="15">
        <f t="shared" si="4"/>
        <v>0</v>
      </c>
    </row>
    <row r="47" spans="1:20" x14ac:dyDescent="0.35">
      <c r="A47" t="s">
        <v>76</v>
      </c>
      <c r="B47">
        <v>2027</v>
      </c>
      <c r="C47" t="s">
        <v>78</v>
      </c>
      <c r="D47" t="s">
        <v>79</v>
      </c>
      <c r="E47" s="13">
        <f>SUMIFS(Hydrogen!$AD:$AD,Hydrogen!$Y:$Y,$D47,Hydrogen!$AB:$AB,Predev_Scenarios!$B5,Hydrogen!$AA:$AA,$A47)</f>
        <v>0</v>
      </c>
      <c r="F47" s="14" t="s">
        <v>108</v>
      </c>
      <c r="G47" s="14">
        <f>SUMIFS(Hydrogen!$AC:$AC,Hydrogen!$Y:$Y,$D47,Hydrogen!$AB:$AB,Predev_Scenarios!$B47,Hydrogen!$AA:$AA,$A47)</f>
        <v>0</v>
      </c>
      <c r="H47" s="13" t="str">
        <f>IF(C47="Electricity",E47*SUMIFS(Electricity!S:S,Electricity!P:P,Predev_Scenarios!B47,Electricity!M:M,Predev_Scenarios!A47,Electricity!O:O,Predev_Scenarios!D47),"")</f>
        <v/>
      </c>
      <c r="I47" s="12">
        <f>SUMIFS(Hydrogen!AK:AK,Hydrogen!$AA:$AA,Predev_Scenarios!$A47,Hydrogen!$Y:$Y,Predev_Scenarios!$D47,Hydrogen!$AB:$AB,Predev_Scenarios!$B47,Hydrogen!$Z:$Z,Predev_Scenarios!$C47)</f>
        <v>-88.052436921360083</v>
      </c>
      <c r="J47" s="12">
        <f>SUMIFS(Hydrogen!AL:AL,Hydrogen!$AA:$AA,Predev_Scenarios!$A47,Hydrogen!$Y:$Y,Predev_Scenarios!$D47,Hydrogen!$AB:$AB,Predev_Scenarios!$B47,Hydrogen!$Z:$Z,Predev_Scenarios!$C47)</f>
        <v>-86.164873842720169</v>
      </c>
      <c r="K47" s="12">
        <f>SUMIFS(Hydrogen!AM:AM,Hydrogen!$AA:$AA,Predev_Scenarios!$A47,Hydrogen!$Y:$Y,Predev_Scenarios!$D47,Hydrogen!$AB:$AB,Predev_Scenarios!$B47,Hydrogen!$Z:$Z,Predev_Scenarios!$C47)</f>
        <v>-89.94</v>
      </c>
      <c r="L47" s="63">
        <f t="shared" si="1"/>
        <v>0</v>
      </c>
      <c r="M47" s="63">
        <f t="shared" si="2"/>
        <v>0</v>
      </c>
      <c r="N47" s="63">
        <f t="shared" si="3"/>
        <v>0</v>
      </c>
      <c r="O47" s="30">
        <f>IF(OR(LEFT($D47,5)="Solar",$D47="Wind"),INDEX(Land_Use[AVG],MATCH(LEFT($D47,5),Land_Use[Tech],0)),0)*$E47</f>
        <v>0</v>
      </c>
      <c r="P47" s="30">
        <f>IF(OR(LEFT($D47,5)="Solar",$D47="Wind"),INDEX(Land_Use[MIN],MATCH(LEFT($D47,5),Land_Use[Tech],0)),0)*$E47</f>
        <v>0</v>
      </c>
      <c r="Q47" s="30">
        <f>IF(OR(LEFT($D47,5)="Solar",$D47="Wind"),INDEX(Land_Use[MAX],MATCH(LEFT($D47,5),Land_Use[Tech],0)),0)*$E47</f>
        <v>0</v>
      </c>
      <c r="R47" s="31">
        <f>IFERROR(INDEX(WaterUseH2[Average Direct Water Consumption (Gal/ kg h2)],MATCH(LEFT(D47,3),WaterUseH2[Key],0)),0)</f>
        <v>4.0999999999999996</v>
      </c>
      <c r="S47" s="15">
        <f t="shared" si="4"/>
        <v>0</v>
      </c>
    </row>
    <row r="48" spans="1:20" x14ac:dyDescent="0.35">
      <c r="A48" t="s">
        <v>76</v>
      </c>
      <c r="B48">
        <v>2028</v>
      </c>
      <c r="C48" t="s">
        <v>78</v>
      </c>
      <c r="D48" t="s">
        <v>79</v>
      </c>
      <c r="E48" s="13">
        <f>SUMIFS(Hydrogen!$AD:$AD,Hydrogen!$Y:$Y,$D48,Hydrogen!$AB:$AB,Predev_Scenarios!$B6,Hydrogen!$AA:$AA,$A48)</f>
        <v>0</v>
      </c>
      <c r="F48" s="14" t="s">
        <v>108</v>
      </c>
      <c r="G48" s="14">
        <f>SUMIFS(Hydrogen!$AC:$AC,Hydrogen!$Y:$Y,$D48,Hydrogen!$AB:$AB,Predev_Scenarios!$B48,Hydrogen!$AA:$AA,$A48)</f>
        <v>0</v>
      </c>
      <c r="H48" s="13" t="str">
        <f>IF(C48="Electricity",E48*SUMIFS(Electricity!S:S,Electricity!P:P,Predev_Scenarios!B48,Electricity!M:M,Predev_Scenarios!A48,Electricity!O:O,Predev_Scenarios!D48),"")</f>
        <v/>
      </c>
      <c r="I48" s="12">
        <f>SUMIFS(Hydrogen!AK:AK,Hydrogen!$AA:$AA,Predev_Scenarios!$A48,Hydrogen!$Y:$Y,Predev_Scenarios!$D48,Hydrogen!$AB:$AB,Predev_Scenarios!$B48,Hydrogen!$Z:$Z,Predev_Scenarios!$C48)</f>
        <v>-87.578874094271839</v>
      </c>
      <c r="J48" s="12">
        <f>SUMIFS(Hydrogen!AL:AL,Hydrogen!$AA:$AA,Predev_Scenarios!$A48,Hydrogen!$Y:$Y,Predev_Scenarios!$D48,Hydrogen!$AB:$AB,Predev_Scenarios!$B48,Hydrogen!$Z:$Z,Predev_Scenarios!$C48)</f>
        <v>-85.217748188543695</v>
      </c>
      <c r="K48" s="12">
        <f>SUMIFS(Hydrogen!AM:AM,Hydrogen!$AA:$AA,Predev_Scenarios!$A48,Hydrogen!$Y:$Y,Predev_Scenarios!$D48,Hydrogen!$AB:$AB,Predev_Scenarios!$B48,Hydrogen!$Z:$Z,Predev_Scenarios!$C48)</f>
        <v>-89.94</v>
      </c>
      <c r="L48" s="63">
        <f t="shared" si="1"/>
        <v>0</v>
      </c>
      <c r="M48" s="63">
        <f t="shared" si="2"/>
        <v>0</v>
      </c>
      <c r="N48" s="63">
        <f t="shared" si="3"/>
        <v>0</v>
      </c>
      <c r="O48" s="30">
        <f>IF(OR(LEFT($D48,5)="Solar",$D48="Wind"),INDEX(Land_Use[AVG],MATCH(LEFT($D48,5),Land_Use[Tech],0)),0)*$E48</f>
        <v>0</v>
      </c>
      <c r="P48" s="30">
        <f>IF(OR(LEFT($D48,5)="Solar",$D48="Wind"),INDEX(Land_Use[MIN],MATCH(LEFT($D48,5),Land_Use[Tech],0)),0)*$E48</f>
        <v>0</v>
      </c>
      <c r="Q48" s="30">
        <f>IF(OR(LEFT($D48,5)="Solar",$D48="Wind"),INDEX(Land_Use[MAX],MATCH(LEFT($D48,5),Land_Use[Tech],0)),0)*$E48</f>
        <v>0</v>
      </c>
      <c r="R48" s="31">
        <f>IFERROR(INDEX(WaterUseH2[Average Direct Water Consumption (Gal/ kg h2)],MATCH(LEFT(D48,3),WaterUseH2[Key],0)),0)</f>
        <v>4.0999999999999996</v>
      </c>
      <c r="S48" s="15">
        <f t="shared" si="4"/>
        <v>0</v>
      </c>
    </row>
    <row r="49" spans="1:19" x14ac:dyDescent="0.35">
      <c r="A49" t="s">
        <v>76</v>
      </c>
      <c r="B49">
        <v>2029</v>
      </c>
      <c r="C49" t="s">
        <v>78</v>
      </c>
      <c r="D49" t="s">
        <v>79</v>
      </c>
      <c r="E49" s="13">
        <f>SUMIFS(Hydrogen!$AD:$AD,Hydrogen!$Y:$Y,$D49,Hydrogen!$AB:$AB,Predev_Scenarios!$B7,Hydrogen!$AA:$AA,$A49)</f>
        <v>0</v>
      </c>
      <c r="F49" s="14" t="s">
        <v>108</v>
      </c>
      <c r="G49" s="14">
        <f>SUMIFS(Hydrogen!$AC:$AC,Hydrogen!$Y:$Y,$D49,Hydrogen!$AB:$AB,Predev_Scenarios!$B49,Hydrogen!$AA:$AA,$A49)</f>
        <v>0</v>
      </c>
      <c r="H49" s="13" t="str">
        <f>IF(C49="Electricity",E49*SUMIFS(Electricity!S:S,Electricity!P:P,Predev_Scenarios!B49,Electricity!M:M,Predev_Scenarios!A49,Electricity!O:O,Predev_Scenarios!D49),"")</f>
        <v/>
      </c>
      <c r="I49" s="12">
        <f>SUMIFS(Hydrogen!AK:AK,Hydrogen!$AA:$AA,Predev_Scenarios!$A49,Hydrogen!$Y:$Y,Predev_Scenarios!$D49,Hydrogen!$AB:$AB,Predev_Scenarios!$B49,Hydrogen!$Z:$Z,Predev_Scenarios!$C49)</f>
        <v>-87.034867879479833</v>
      </c>
      <c r="J49" s="12">
        <f>SUMIFS(Hydrogen!AL:AL,Hydrogen!$AA:$AA,Predev_Scenarios!$A49,Hydrogen!$Y:$Y,Predev_Scenarios!$D49,Hydrogen!$AB:$AB,Predev_Scenarios!$B49,Hydrogen!$Z:$Z,Predev_Scenarios!$C49)</f>
        <v>-84.129735758959683</v>
      </c>
      <c r="K49" s="12">
        <f>SUMIFS(Hydrogen!AM:AM,Hydrogen!$AA:$AA,Predev_Scenarios!$A49,Hydrogen!$Y:$Y,Predev_Scenarios!$D49,Hydrogen!$AB:$AB,Predev_Scenarios!$B49,Hydrogen!$Z:$Z,Predev_Scenarios!$C49)</f>
        <v>-89.94</v>
      </c>
      <c r="L49" s="63">
        <f t="shared" si="1"/>
        <v>0</v>
      </c>
      <c r="M49" s="63">
        <f t="shared" si="2"/>
        <v>0</v>
      </c>
      <c r="N49" s="63">
        <f t="shared" si="3"/>
        <v>0</v>
      </c>
      <c r="O49" s="30">
        <f>IF(OR(LEFT($D49,5)="Solar",$D49="Wind"),INDEX(Land_Use[AVG],MATCH(LEFT($D49,5),Land_Use[Tech],0)),0)*$E49</f>
        <v>0</v>
      </c>
      <c r="P49" s="30">
        <f>IF(OR(LEFT($D49,5)="Solar",$D49="Wind"),INDEX(Land_Use[MIN],MATCH(LEFT($D49,5),Land_Use[Tech],0)),0)*$E49</f>
        <v>0</v>
      </c>
      <c r="Q49" s="30">
        <f>IF(OR(LEFT($D49,5)="Solar",$D49="Wind"),INDEX(Land_Use[MAX],MATCH(LEFT($D49,5),Land_Use[Tech],0)),0)*$E49</f>
        <v>0</v>
      </c>
      <c r="R49" s="31">
        <f>IFERROR(INDEX(WaterUseH2[Average Direct Water Consumption (Gal/ kg h2)],MATCH(LEFT(D49,3),WaterUseH2[Key],0)),0)</f>
        <v>4.0999999999999996</v>
      </c>
      <c r="S49" s="15">
        <f t="shared" si="4"/>
        <v>0</v>
      </c>
    </row>
    <row r="50" spans="1:19" x14ac:dyDescent="0.35">
      <c r="A50" t="s">
        <v>76</v>
      </c>
      <c r="B50">
        <v>2030</v>
      </c>
      <c r="C50" t="s">
        <v>78</v>
      </c>
      <c r="D50" t="s">
        <v>79</v>
      </c>
      <c r="E50" s="13">
        <f>SUMIFS(Hydrogen!$AD:$AD,Hydrogen!$Y:$Y,$D50,Hydrogen!$AB:$AB,Predev_Scenarios!$B8,Hydrogen!$AA:$AA,$A50)</f>
        <v>96000</v>
      </c>
      <c r="F50" s="14" t="s">
        <v>108</v>
      </c>
      <c r="G50" s="14">
        <f>SUMIFS(Hydrogen!$AC:$AC,Hydrogen!$Y:$Y,$D50,Hydrogen!$AB:$AB,Predev_Scenarios!$B50,Hydrogen!$AA:$AA,$A50)</f>
        <v>1.1520000000000001E-2</v>
      </c>
      <c r="H50" s="13" t="str">
        <f>IF(C50="Electricity",E50*SUMIFS(Electricity!S:S,Electricity!P:P,Predev_Scenarios!B50,Electricity!M:M,Predev_Scenarios!A50,Electricity!O:O,Predev_Scenarios!D50),"")</f>
        <v/>
      </c>
      <c r="I50" s="12">
        <f>SUMIFS(Hydrogen!AK:AK,Hydrogen!$AA:$AA,Predev_Scenarios!$A50,Hydrogen!$Y:$Y,Predev_Scenarios!$D50,Hydrogen!$AB:$AB,Predev_Scenarios!$B50,Hydrogen!$Z:$Z,Predev_Scenarios!$C50)</f>
        <v>-86.41461434749688</v>
      </c>
      <c r="J50" s="12">
        <f>SUMIFS(Hydrogen!AL:AL,Hydrogen!$AA:$AA,Predev_Scenarios!$A50,Hydrogen!$Y:$Y,Predev_Scenarios!$D50,Hydrogen!$AB:$AB,Predev_Scenarios!$B50,Hydrogen!$Z:$Z,Predev_Scenarios!$C50)</f>
        <v>-82.889228694993761</v>
      </c>
      <c r="K50" s="12">
        <f>SUMIFS(Hydrogen!AM:AM,Hydrogen!$AA:$AA,Predev_Scenarios!$A50,Hydrogen!$Y:$Y,Predev_Scenarios!$D50,Hydrogen!$AB:$AB,Predev_Scenarios!$B50,Hydrogen!$Z:$Z,Predev_Scenarios!$C50)</f>
        <v>-89.94</v>
      </c>
      <c r="L50" s="63">
        <f t="shared" si="1"/>
        <v>0.9954963572831641</v>
      </c>
      <c r="M50" s="63">
        <f t="shared" si="2"/>
        <v>0.95488391456632815</v>
      </c>
      <c r="N50" s="63">
        <f t="shared" si="3"/>
        <v>1.0361088000000001</v>
      </c>
      <c r="O50" s="30">
        <f>IF(OR(LEFT($D50,5)="Solar",$D50="Wind"),INDEX(Land_Use[AVG],MATCH(LEFT($D50,5),Land_Use[Tech],0)),0)*$E50</f>
        <v>0</v>
      </c>
      <c r="P50" s="30">
        <f>IF(OR(LEFT($D50,5)="Solar",$D50="Wind"),INDEX(Land_Use[MIN],MATCH(LEFT($D50,5),Land_Use[Tech],0)),0)*$E50</f>
        <v>0</v>
      </c>
      <c r="Q50" s="30">
        <f>IF(OR(LEFT($D50,5)="Solar",$D50="Wind"),INDEX(Land_Use[MAX],MATCH(LEFT($D50,5),Land_Use[Tech],0)),0)*$E50</f>
        <v>0</v>
      </c>
      <c r="R50" s="31">
        <f>IFERROR(INDEX(WaterUseH2[Average Direct Water Consumption (Gal/ kg h2)],MATCH(LEFT(D50,3),WaterUseH2[Key],0)),0)</f>
        <v>4.0999999999999996</v>
      </c>
      <c r="S50" s="15">
        <f t="shared" si="4"/>
        <v>393.59999999999997</v>
      </c>
    </row>
    <row r="51" spans="1:19" x14ac:dyDescent="0.35">
      <c r="A51" t="s">
        <v>76</v>
      </c>
      <c r="B51">
        <v>2031</v>
      </c>
      <c r="C51" t="s">
        <v>78</v>
      </c>
      <c r="D51" t="s">
        <v>79</v>
      </c>
      <c r="E51" s="13">
        <f>SUMIFS(Hydrogen!$AD:$AD,Hydrogen!$Y:$Y,$D51,Hydrogen!$AB:$AB,Predev_Scenarios!$B9,Hydrogen!$AA:$AA,$A51)</f>
        <v>96000</v>
      </c>
      <c r="F51" s="14" t="s">
        <v>108</v>
      </c>
      <c r="G51" s="14">
        <f>SUMIFS(Hydrogen!$AC:$AC,Hydrogen!$Y:$Y,$D51,Hydrogen!$AB:$AB,Predev_Scenarios!$B51,Hydrogen!$AA:$AA,$A51)</f>
        <v>1.1520000000000001E-2</v>
      </c>
      <c r="H51" s="13" t="str">
        <f>IF(C51="Electricity",E51*SUMIFS(Electricity!S:S,Electricity!P:P,Predev_Scenarios!B51,Electricity!M:M,Predev_Scenarios!A51,Electricity!O:O,Predev_Scenarios!D51),"")</f>
        <v/>
      </c>
      <c r="I51" s="12">
        <f>SUMIFS(Hydrogen!AK:AK,Hydrogen!$AA:$AA,Predev_Scenarios!$A51,Hydrogen!$Y:$Y,Predev_Scenarios!$D51,Hydrogen!$AB:$AB,Predev_Scenarios!$B51,Hydrogen!$Z:$Z,Predev_Scenarios!$C51)</f>
        <v>-85.709877469537048</v>
      </c>
      <c r="J51" s="12">
        <f>SUMIFS(Hydrogen!AL:AL,Hydrogen!$AA:$AA,Predev_Scenarios!$A51,Hydrogen!$Y:$Y,Predev_Scenarios!$D51,Hydrogen!$AB:$AB,Predev_Scenarios!$B51,Hydrogen!$Z:$Z,Predev_Scenarios!$C51)</f>
        <v>-81.479754939074112</v>
      </c>
      <c r="K51" s="12">
        <f>SUMIFS(Hydrogen!AM:AM,Hydrogen!$AA:$AA,Predev_Scenarios!$A51,Hydrogen!$Y:$Y,Predev_Scenarios!$D51,Hydrogen!$AB:$AB,Predev_Scenarios!$B51,Hydrogen!$Z:$Z,Predev_Scenarios!$C51)</f>
        <v>-89.94</v>
      </c>
      <c r="L51" s="63">
        <f t="shared" si="1"/>
        <v>0.98737778844906687</v>
      </c>
      <c r="M51" s="63">
        <f t="shared" si="2"/>
        <v>0.93864677689813381</v>
      </c>
      <c r="N51" s="63">
        <f t="shared" si="3"/>
        <v>1.0361088000000001</v>
      </c>
      <c r="O51" s="30">
        <f>IF(OR(LEFT($D51,5)="Solar",$D51="Wind"),INDEX(Land_Use[AVG],MATCH(LEFT($D51,5),Land_Use[Tech],0)),0)*$E51</f>
        <v>0</v>
      </c>
      <c r="P51" s="30">
        <f>IF(OR(LEFT($D51,5)="Solar",$D51="Wind"),INDEX(Land_Use[MIN],MATCH(LEFT($D51,5),Land_Use[Tech],0)),0)*$E51</f>
        <v>0</v>
      </c>
      <c r="Q51" s="30">
        <f>IF(OR(LEFT($D51,5)="Solar",$D51="Wind"),INDEX(Land_Use[MAX],MATCH(LEFT($D51,5),Land_Use[Tech],0)),0)*$E51</f>
        <v>0</v>
      </c>
      <c r="R51" s="31">
        <f>IFERROR(INDEX(WaterUseH2[Average Direct Water Consumption (Gal/ kg h2)],MATCH(LEFT(D51,3),WaterUseH2[Key],0)),0)</f>
        <v>4.0999999999999996</v>
      </c>
      <c r="S51" s="15">
        <f t="shared" si="4"/>
        <v>393.59999999999997</v>
      </c>
    </row>
    <row r="52" spans="1:19" x14ac:dyDescent="0.35">
      <c r="A52" t="s">
        <v>76</v>
      </c>
      <c r="B52">
        <v>2032</v>
      </c>
      <c r="C52" t="s">
        <v>78</v>
      </c>
      <c r="D52" t="s">
        <v>79</v>
      </c>
      <c r="E52" s="13">
        <f>SUMIFS(Hydrogen!$AD:$AD,Hydrogen!$Y:$Y,$D52,Hydrogen!$AB:$AB,Predev_Scenarios!$B10,Hydrogen!$AA:$AA,$A52)</f>
        <v>96000</v>
      </c>
      <c r="F52" s="14" t="s">
        <v>108</v>
      </c>
      <c r="G52" s="14">
        <f>SUMIFS(Hydrogen!$AC:$AC,Hydrogen!$Y:$Y,$D52,Hydrogen!$AB:$AB,Predev_Scenarios!$B52,Hydrogen!$AA:$AA,$A52)</f>
        <v>1.1520000000000001E-2</v>
      </c>
      <c r="H52" s="13" t="str">
        <f>IF(C52="Electricity",E52*SUMIFS(Electricity!S:S,Electricity!P:P,Predev_Scenarios!B52,Electricity!M:M,Predev_Scenarios!A52,Electricity!O:O,Predev_Scenarios!D52),"")</f>
        <v/>
      </c>
      <c r="I52" s="12">
        <f>SUMIFS(Hydrogen!AK:AK,Hydrogen!$AA:$AA,Predev_Scenarios!$A52,Hydrogen!$Y:$Y,Predev_Scenarios!$D52,Hydrogen!$AB:$AB,Predev_Scenarios!$B52,Hydrogen!$Z:$Z,Predev_Scenarios!$C52)</f>
        <v>-84.921212950513535</v>
      </c>
      <c r="J52" s="12">
        <f>SUMIFS(Hydrogen!AL:AL,Hydrogen!$AA:$AA,Predev_Scenarios!$A52,Hydrogen!$Y:$Y,Predev_Scenarios!$D52,Hydrogen!$AB:$AB,Predev_Scenarios!$B52,Hydrogen!$Z:$Z,Predev_Scenarios!$C52)</f>
        <v>-79.902425901027058</v>
      </c>
      <c r="K52" s="12">
        <f>SUMIFS(Hydrogen!AM:AM,Hydrogen!$AA:$AA,Predev_Scenarios!$A52,Hydrogen!$Y:$Y,Predev_Scenarios!$D52,Hydrogen!$AB:$AB,Predev_Scenarios!$B52,Hydrogen!$Z:$Z,Predev_Scenarios!$C52)</f>
        <v>-89.94</v>
      </c>
      <c r="L52" s="63">
        <f t="shared" si="1"/>
        <v>0.97829237318991602</v>
      </c>
      <c r="M52" s="63">
        <f t="shared" si="2"/>
        <v>0.92047594637983177</v>
      </c>
      <c r="N52" s="63">
        <f t="shared" si="3"/>
        <v>1.0361088000000001</v>
      </c>
      <c r="O52" s="30">
        <f>IF(OR(LEFT($D52,5)="Solar",$D52="Wind"),INDEX(Land_Use[AVG],MATCH(LEFT($D52,5),Land_Use[Tech],0)),0)*$E52</f>
        <v>0</v>
      </c>
      <c r="P52" s="30">
        <f>IF(OR(LEFT($D52,5)="Solar",$D52="Wind"),INDEX(Land_Use[MIN],MATCH(LEFT($D52,5),Land_Use[Tech],0)),0)*$E52</f>
        <v>0</v>
      </c>
      <c r="Q52" s="30">
        <f>IF(OR(LEFT($D52,5)="Solar",$D52="Wind"),INDEX(Land_Use[MAX],MATCH(LEFT($D52,5),Land_Use[Tech],0)),0)*$E52</f>
        <v>0</v>
      </c>
      <c r="R52" s="31">
        <f>IFERROR(INDEX(WaterUseH2[Average Direct Water Consumption (Gal/ kg h2)],MATCH(LEFT(D52,3),WaterUseH2[Key],0)),0)</f>
        <v>4.0999999999999996</v>
      </c>
      <c r="S52" s="15">
        <f t="shared" si="4"/>
        <v>393.59999999999997</v>
      </c>
    </row>
    <row r="53" spans="1:19" x14ac:dyDescent="0.35">
      <c r="A53" t="s">
        <v>76</v>
      </c>
      <c r="B53">
        <v>2033</v>
      </c>
      <c r="C53" t="s">
        <v>78</v>
      </c>
      <c r="D53" t="s">
        <v>79</v>
      </c>
      <c r="E53" s="13">
        <f>SUMIFS(Hydrogen!$AD:$AD,Hydrogen!$Y:$Y,$D53,Hydrogen!$AB:$AB,Predev_Scenarios!$B11,Hydrogen!$AA:$AA,$A53)</f>
        <v>96000</v>
      </c>
      <c r="F53" s="14" t="s">
        <v>108</v>
      </c>
      <c r="G53" s="14">
        <f>SUMIFS(Hydrogen!$AC:$AC,Hydrogen!$Y:$Y,$D53,Hydrogen!$AB:$AB,Predev_Scenarios!$B53,Hydrogen!$AA:$AA,$A53)</f>
        <v>1.1520000000000001E-2</v>
      </c>
      <c r="H53" s="13" t="str">
        <f>IF(C53="Electricity",E53*SUMIFS(Electricity!S:S,Electricity!P:P,Predev_Scenarios!B53,Electricity!M:M,Predev_Scenarios!A53,Electricity!O:O,Predev_Scenarios!D53),"")</f>
        <v/>
      </c>
      <c r="I53" s="12">
        <f>SUMIFS(Hydrogen!AK:AK,Hydrogen!$AA:$AA,Predev_Scenarios!$A53,Hydrogen!$Y:$Y,Predev_Scenarios!$D53,Hydrogen!$AB:$AB,Predev_Scenarios!$B53,Hydrogen!$Z:$Z,Predev_Scenarios!$C53)</f>
        <v>-84.015495952097837</v>
      </c>
      <c r="J53" s="12">
        <f>SUMIFS(Hydrogen!AL:AL,Hydrogen!$AA:$AA,Predev_Scenarios!$A53,Hydrogen!$Y:$Y,Predev_Scenarios!$D53,Hydrogen!$AB:$AB,Predev_Scenarios!$B53,Hydrogen!$Z:$Z,Predev_Scenarios!$C53)</f>
        <v>-78.09099190419569</v>
      </c>
      <c r="K53" s="12">
        <f>SUMIFS(Hydrogen!AM:AM,Hydrogen!$AA:$AA,Predev_Scenarios!$A53,Hydrogen!$Y:$Y,Predev_Scenarios!$D53,Hydrogen!$AB:$AB,Predev_Scenarios!$B53,Hydrogen!$Z:$Z,Predev_Scenarios!$C53)</f>
        <v>-89.94</v>
      </c>
      <c r="L53" s="63">
        <f t="shared" si="1"/>
        <v>0.96785851336816708</v>
      </c>
      <c r="M53" s="63">
        <f t="shared" si="2"/>
        <v>0.89960822673633445</v>
      </c>
      <c r="N53" s="63">
        <f t="shared" si="3"/>
        <v>1.0361088000000001</v>
      </c>
      <c r="O53" s="30">
        <f>IF(OR(LEFT($D53,5)="Solar",$D53="Wind"),INDEX(Land_Use[AVG],MATCH(LEFT($D53,5),Land_Use[Tech],0)),0)*$E53</f>
        <v>0</v>
      </c>
      <c r="P53" s="30">
        <f>IF(OR(LEFT($D53,5)="Solar",$D53="Wind"),INDEX(Land_Use[MIN],MATCH(LEFT($D53,5),Land_Use[Tech],0)),0)*$E53</f>
        <v>0</v>
      </c>
      <c r="Q53" s="30">
        <f>IF(OR(LEFT($D53,5)="Solar",$D53="Wind"),INDEX(Land_Use[MAX],MATCH(LEFT($D53,5),Land_Use[Tech],0)),0)*$E53</f>
        <v>0</v>
      </c>
      <c r="R53" s="31">
        <f>IFERROR(INDEX(WaterUseH2[Average Direct Water Consumption (Gal/ kg h2)],MATCH(LEFT(D53,3),WaterUseH2[Key],0)),0)</f>
        <v>4.0999999999999996</v>
      </c>
      <c r="S53" s="15">
        <f t="shared" si="4"/>
        <v>393.59999999999997</v>
      </c>
    </row>
    <row r="54" spans="1:19" x14ac:dyDescent="0.35">
      <c r="A54" t="s">
        <v>76</v>
      </c>
      <c r="B54">
        <v>2034</v>
      </c>
      <c r="C54" t="s">
        <v>78</v>
      </c>
      <c r="D54" t="s">
        <v>79</v>
      </c>
      <c r="E54" s="13">
        <f>SUMIFS(Hydrogen!$AD:$AD,Hydrogen!$Y:$Y,$D54,Hydrogen!$AB:$AB,Predev_Scenarios!$B12,Hydrogen!$AA:$AA,$A54)</f>
        <v>96000</v>
      </c>
      <c r="F54" s="14" t="s">
        <v>108</v>
      </c>
      <c r="G54" s="14">
        <f>SUMIFS(Hydrogen!$AC:$AC,Hydrogen!$Y:$Y,$D54,Hydrogen!$AB:$AB,Predev_Scenarios!$B54,Hydrogen!$AA:$AA,$A54)</f>
        <v>1.1520000000000001E-2</v>
      </c>
      <c r="H54" s="13" t="str">
        <f>IF(C54="Electricity",E54*SUMIFS(Electricity!S:S,Electricity!P:P,Predev_Scenarios!B54,Electricity!M:M,Predev_Scenarios!A54,Electricity!O:O,Predev_Scenarios!D54),"")</f>
        <v/>
      </c>
      <c r="I54" s="12">
        <f>SUMIFS(Hydrogen!AK:AK,Hydrogen!$AA:$AA,Predev_Scenarios!$A54,Hydrogen!$Y:$Y,Predev_Scenarios!$D54,Hydrogen!$AB:$AB,Predev_Scenarios!$B54,Hydrogen!$Z:$Z,Predev_Scenarios!$C54)</f>
        <v>-83.005198320512307</v>
      </c>
      <c r="J54" s="12">
        <f>SUMIFS(Hydrogen!AL:AL,Hydrogen!$AA:$AA,Predev_Scenarios!$A54,Hydrogen!$Y:$Y,Predev_Scenarios!$D54,Hydrogen!$AB:$AB,Predev_Scenarios!$B54,Hydrogen!$Z:$Z,Predev_Scenarios!$C54)</f>
        <v>-76.070396641024615</v>
      </c>
      <c r="K54" s="12">
        <f>SUMIFS(Hydrogen!AM:AM,Hydrogen!$AA:$AA,Predev_Scenarios!$A54,Hydrogen!$Y:$Y,Predev_Scenarios!$D54,Hydrogen!$AB:$AB,Predev_Scenarios!$B54,Hydrogen!$Z:$Z,Predev_Scenarios!$C54)</f>
        <v>-89.94</v>
      </c>
      <c r="L54" s="63">
        <f t="shared" si="1"/>
        <v>0.95621988465230179</v>
      </c>
      <c r="M54" s="63">
        <f t="shared" si="2"/>
        <v>0.87633096930460364</v>
      </c>
      <c r="N54" s="63">
        <f t="shared" si="3"/>
        <v>1.0361088000000001</v>
      </c>
      <c r="O54" s="30">
        <f>IF(OR(LEFT($D54,5)="Solar",$D54="Wind"),INDEX(Land_Use[AVG],MATCH(LEFT($D54,5),Land_Use[Tech],0)),0)*$E54</f>
        <v>0</v>
      </c>
      <c r="P54" s="30">
        <f>IF(OR(LEFT($D54,5)="Solar",$D54="Wind"),INDEX(Land_Use[MIN],MATCH(LEFT($D54,5),Land_Use[Tech],0)),0)*$E54</f>
        <v>0</v>
      </c>
      <c r="Q54" s="30">
        <f>IF(OR(LEFT($D54,5)="Solar",$D54="Wind"),INDEX(Land_Use[MAX],MATCH(LEFT($D54,5),Land_Use[Tech],0)),0)*$E54</f>
        <v>0</v>
      </c>
      <c r="R54" s="31">
        <f>IFERROR(INDEX(WaterUseH2[Average Direct Water Consumption (Gal/ kg h2)],MATCH(LEFT(D54,3),WaterUseH2[Key],0)),0)</f>
        <v>4.0999999999999996</v>
      </c>
      <c r="S54" s="15">
        <f t="shared" si="4"/>
        <v>393.59999999999997</v>
      </c>
    </row>
    <row r="55" spans="1:19" x14ac:dyDescent="0.35">
      <c r="A55" t="s">
        <v>76</v>
      </c>
      <c r="B55">
        <v>2035</v>
      </c>
      <c r="C55" t="s">
        <v>78</v>
      </c>
      <c r="D55" t="s">
        <v>79</v>
      </c>
      <c r="E55" s="13">
        <f>SUMIFS(Hydrogen!$AD:$AD,Hydrogen!$Y:$Y,$D55,Hydrogen!$AB:$AB,Predev_Scenarios!$B13,Hydrogen!$AA:$AA,$A55)</f>
        <v>96000</v>
      </c>
      <c r="F55" s="14" t="s">
        <v>108</v>
      </c>
      <c r="G55" s="14">
        <f>SUMIFS(Hydrogen!$AC:$AC,Hydrogen!$Y:$Y,$D55,Hydrogen!$AB:$AB,Predev_Scenarios!$B55,Hydrogen!$AA:$AA,$A55)</f>
        <v>1.1520000000000001E-2</v>
      </c>
      <c r="H55" s="13" t="str">
        <f>IF(C55="Electricity",E55*SUMIFS(Electricity!S:S,Electricity!P:P,Predev_Scenarios!B55,Electricity!M:M,Predev_Scenarios!A55,Electricity!O:O,Predev_Scenarios!D55),"")</f>
        <v/>
      </c>
      <c r="I55" s="12">
        <f>SUMIFS(Hydrogen!AK:AK,Hydrogen!$AA:$AA,Predev_Scenarios!$A55,Hydrogen!$Y:$Y,Predev_Scenarios!$D55,Hydrogen!$AB:$AB,Predev_Scenarios!$B55,Hydrogen!$Z:$Z,Predev_Scenarios!$C55)</f>
        <v>-81.851658919879185</v>
      </c>
      <c r="J55" s="12">
        <f>SUMIFS(Hydrogen!AL:AL,Hydrogen!$AA:$AA,Predev_Scenarios!$A55,Hydrogen!$Y:$Y,Predev_Scenarios!$D55,Hydrogen!$AB:$AB,Predev_Scenarios!$B55,Hydrogen!$Z:$Z,Predev_Scenarios!$C55)</f>
        <v>-73.763317839758358</v>
      </c>
      <c r="K55" s="12">
        <f>SUMIFS(Hydrogen!AM:AM,Hydrogen!$AA:$AA,Predev_Scenarios!$A55,Hydrogen!$Y:$Y,Predev_Scenarios!$D55,Hydrogen!$AB:$AB,Predev_Scenarios!$B55,Hydrogen!$Z:$Z,Predev_Scenarios!$C55)</f>
        <v>-89.94</v>
      </c>
      <c r="L55" s="63">
        <f t="shared" si="1"/>
        <v>0.94293111075700831</v>
      </c>
      <c r="M55" s="63">
        <f t="shared" si="2"/>
        <v>0.84975342151401634</v>
      </c>
      <c r="N55" s="63">
        <f t="shared" si="3"/>
        <v>1.0361088000000001</v>
      </c>
      <c r="O55" s="30">
        <f>IF(OR(LEFT($D55,5)="Solar",$D55="Wind"),INDEX(Land_Use[AVG],MATCH(LEFT($D55,5),Land_Use[Tech],0)),0)*$E55</f>
        <v>0</v>
      </c>
      <c r="P55" s="30">
        <f>IF(OR(LEFT($D55,5)="Solar",$D55="Wind"),INDEX(Land_Use[MIN],MATCH(LEFT($D55,5),Land_Use[Tech],0)),0)*$E55</f>
        <v>0</v>
      </c>
      <c r="Q55" s="30">
        <f>IF(OR(LEFT($D55,5)="Solar",$D55="Wind"),INDEX(Land_Use[MAX],MATCH(LEFT($D55,5),Land_Use[Tech],0)),0)*$E55</f>
        <v>0</v>
      </c>
      <c r="R55" s="31">
        <f>IFERROR(INDEX(WaterUseH2[Average Direct Water Consumption (Gal/ kg h2)],MATCH(LEFT(D55,3),WaterUseH2[Key],0)),0)</f>
        <v>4.0999999999999996</v>
      </c>
      <c r="S55" s="15">
        <f t="shared" si="4"/>
        <v>393.59999999999997</v>
      </c>
    </row>
    <row r="56" spans="1:19" x14ac:dyDescent="0.35">
      <c r="A56" t="s">
        <v>76</v>
      </c>
      <c r="B56">
        <v>2036</v>
      </c>
      <c r="C56" t="s">
        <v>78</v>
      </c>
      <c r="D56" t="s">
        <v>79</v>
      </c>
      <c r="E56" s="13">
        <f>SUMIFS(Hydrogen!$AD:$AD,Hydrogen!$Y:$Y,$D56,Hydrogen!$AB:$AB,Predev_Scenarios!$B14,Hydrogen!$AA:$AA,$A56)</f>
        <v>96000</v>
      </c>
      <c r="F56" s="14" t="s">
        <v>108</v>
      </c>
      <c r="G56" s="14">
        <f>SUMIFS(Hydrogen!$AC:$AC,Hydrogen!$Y:$Y,$D56,Hydrogen!$AB:$AB,Predev_Scenarios!$B56,Hydrogen!$AA:$AA,$A56)</f>
        <v>1.1520000000000001E-2</v>
      </c>
      <c r="H56" s="13" t="str">
        <f>IF(C56="Electricity",E56*SUMIFS(Electricity!S:S,Electricity!P:P,Predev_Scenarios!B56,Electricity!M:M,Predev_Scenarios!A56,Electricity!O:O,Predev_Scenarios!D56),"")</f>
        <v/>
      </c>
      <c r="I56" s="12">
        <f>SUMIFS(Hydrogen!AK:AK,Hydrogen!$AA:$AA,Predev_Scenarios!$A56,Hydrogen!$Y:$Y,Predev_Scenarios!$D56,Hydrogen!$AB:$AB,Predev_Scenarios!$B56,Hydrogen!$Z:$Z,Predev_Scenarios!$C56)</f>
        <v>-80.61437315283149</v>
      </c>
      <c r="J56" s="12">
        <f>SUMIFS(Hydrogen!AL:AL,Hydrogen!$AA:$AA,Predev_Scenarios!$A56,Hydrogen!$Y:$Y,Predev_Scenarios!$D56,Hydrogen!$AB:$AB,Predev_Scenarios!$B56,Hydrogen!$Z:$Z,Predev_Scenarios!$C56)</f>
        <v>-71.288746305662997</v>
      </c>
      <c r="K56" s="12">
        <f>SUMIFS(Hydrogen!AM:AM,Hydrogen!$AA:$AA,Predev_Scenarios!$A56,Hydrogen!$Y:$Y,Predev_Scenarios!$D56,Hydrogen!$AB:$AB,Predev_Scenarios!$B56,Hydrogen!$Z:$Z,Predev_Scenarios!$C56)</f>
        <v>-89.94</v>
      </c>
      <c r="L56" s="63">
        <f t="shared" si="1"/>
        <v>0.92867757872061885</v>
      </c>
      <c r="M56" s="63">
        <f t="shared" si="2"/>
        <v>0.82124635744123775</v>
      </c>
      <c r="N56" s="63">
        <f t="shared" si="3"/>
        <v>1.0361088000000001</v>
      </c>
      <c r="O56" s="30">
        <f>IF(OR(LEFT($D56,5)="Solar",$D56="Wind"),INDEX(Land_Use[AVG],MATCH(LEFT($D56,5),Land_Use[Tech],0)),0)*$E56</f>
        <v>0</v>
      </c>
      <c r="P56" s="30">
        <f>IF(OR(LEFT($D56,5)="Solar",$D56="Wind"),INDEX(Land_Use[MIN],MATCH(LEFT($D56,5),Land_Use[Tech],0)),0)*$E56</f>
        <v>0</v>
      </c>
      <c r="Q56" s="30">
        <f>IF(OR(LEFT($D56,5)="Solar",$D56="Wind"),INDEX(Land_Use[MAX],MATCH(LEFT($D56,5),Land_Use[Tech],0)),0)*$E56</f>
        <v>0</v>
      </c>
      <c r="R56" s="31">
        <f>IFERROR(INDEX(WaterUseH2[Average Direct Water Consumption (Gal/ kg h2)],MATCH(LEFT(D56,3),WaterUseH2[Key],0)),0)</f>
        <v>4.0999999999999996</v>
      </c>
      <c r="S56" s="15">
        <f t="shared" si="4"/>
        <v>393.59999999999997</v>
      </c>
    </row>
    <row r="57" spans="1:19" x14ac:dyDescent="0.35">
      <c r="A57" t="s">
        <v>76</v>
      </c>
      <c r="B57">
        <v>2037</v>
      </c>
      <c r="C57" t="s">
        <v>78</v>
      </c>
      <c r="D57" t="s">
        <v>79</v>
      </c>
      <c r="E57" s="13">
        <f>SUMIFS(Hydrogen!$AD:$AD,Hydrogen!$Y:$Y,$D57,Hydrogen!$AB:$AB,Predev_Scenarios!$B15,Hydrogen!$AA:$AA,$A57)</f>
        <v>96000</v>
      </c>
      <c r="F57" s="14" t="s">
        <v>108</v>
      </c>
      <c r="G57" s="14">
        <f>SUMIFS(Hydrogen!$AC:$AC,Hydrogen!$Y:$Y,$D57,Hydrogen!$AB:$AB,Predev_Scenarios!$B57,Hydrogen!$AA:$AA,$A57)</f>
        <v>1.1520000000000001E-2</v>
      </c>
      <c r="H57" s="13" t="str">
        <f>IF(C57="Electricity",E57*SUMIFS(Electricity!S:S,Electricity!P:P,Predev_Scenarios!B57,Electricity!M:M,Predev_Scenarios!A57,Electricity!O:O,Predev_Scenarios!D57),"")</f>
        <v/>
      </c>
      <c r="I57" s="12">
        <f>SUMIFS(Hydrogen!AK:AK,Hydrogen!$AA:$AA,Predev_Scenarios!$A57,Hydrogen!$Y:$Y,Predev_Scenarios!$D57,Hydrogen!$AB:$AB,Predev_Scenarios!$B57,Hydrogen!$Z:$Z,Predev_Scenarios!$C57)</f>
        <v>-79.335883938555213</v>
      </c>
      <c r="J57" s="12">
        <f>SUMIFS(Hydrogen!AL:AL,Hydrogen!$AA:$AA,Predev_Scenarios!$A57,Hydrogen!$Y:$Y,Predev_Scenarios!$D57,Hydrogen!$AB:$AB,Predev_Scenarios!$B57,Hydrogen!$Z:$Z,Predev_Scenarios!$C57)</f>
        <v>-68.731767877110443</v>
      </c>
      <c r="K57" s="12">
        <f>SUMIFS(Hydrogen!AM:AM,Hydrogen!$AA:$AA,Predev_Scenarios!$A57,Hydrogen!$Y:$Y,Predev_Scenarios!$D57,Hydrogen!$AB:$AB,Predev_Scenarios!$B57,Hydrogen!$Z:$Z,Predev_Scenarios!$C57)</f>
        <v>-89.94</v>
      </c>
      <c r="L57" s="63">
        <f t="shared" si="1"/>
        <v>0.91394938297215611</v>
      </c>
      <c r="M57" s="63">
        <f t="shared" si="2"/>
        <v>0.79178996594431239</v>
      </c>
      <c r="N57" s="63">
        <f t="shared" si="3"/>
        <v>1.0361088000000001</v>
      </c>
      <c r="O57" s="30">
        <f>IF(OR(LEFT($D57,5)="Solar",$D57="Wind"),INDEX(Land_Use[AVG],MATCH(LEFT($D57,5),Land_Use[Tech],0)),0)*$E57</f>
        <v>0</v>
      </c>
      <c r="P57" s="30">
        <f>IF(OR(LEFT($D57,5)="Solar",$D57="Wind"),INDEX(Land_Use[MIN],MATCH(LEFT($D57,5),Land_Use[Tech],0)),0)*$E57</f>
        <v>0</v>
      </c>
      <c r="Q57" s="30">
        <f>IF(OR(LEFT($D57,5)="Solar",$D57="Wind"),INDEX(Land_Use[MAX],MATCH(LEFT($D57,5),Land_Use[Tech],0)),0)*$E57</f>
        <v>0</v>
      </c>
      <c r="R57" s="31">
        <f>IFERROR(INDEX(WaterUseH2[Average Direct Water Consumption (Gal/ kg h2)],MATCH(LEFT(D57,3),WaterUseH2[Key],0)),0)</f>
        <v>4.0999999999999996</v>
      </c>
      <c r="S57" s="15">
        <f t="shared" si="4"/>
        <v>393.59999999999997</v>
      </c>
    </row>
    <row r="58" spans="1:19" x14ac:dyDescent="0.35">
      <c r="A58" t="s">
        <v>76</v>
      </c>
      <c r="B58">
        <v>2038</v>
      </c>
      <c r="C58" t="s">
        <v>78</v>
      </c>
      <c r="D58" t="s">
        <v>79</v>
      </c>
      <c r="E58" s="13">
        <f>SUMIFS(Hydrogen!$AD:$AD,Hydrogen!$Y:$Y,$D58,Hydrogen!$AB:$AB,Predev_Scenarios!$B16,Hydrogen!$AA:$AA,$A58)</f>
        <v>96000</v>
      </c>
      <c r="F58" s="14" t="s">
        <v>108</v>
      </c>
      <c r="G58" s="14">
        <f>SUMIFS(Hydrogen!$AC:$AC,Hydrogen!$Y:$Y,$D58,Hydrogen!$AB:$AB,Predev_Scenarios!$B58,Hydrogen!$AA:$AA,$A58)</f>
        <v>1.1520000000000001E-2</v>
      </c>
      <c r="H58" s="13" t="str">
        <f>IF(C58="Electricity",E58*SUMIFS(Electricity!S:S,Electricity!P:P,Predev_Scenarios!B58,Electricity!M:M,Predev_Scenarios!A58,Electricity!O:O,Predev_Scenarios!D58),"")</f>
        <v/>
      </c>
      <c r="I58" s="12">
        <f>SUMIFS(Hydrogen!AK:AK,Hydrogen!$AA:$AA,Predev_Scenarios!$A58,Hydrogen!$Y:$Y,Predev_Scenarios!$D58,Hydrogen!$AB:$AB,Predev_Scenarios!$B58,Hydrogen!$Z:$Z,Predev_Scenarios!$C58)</f>
        <v>-78.06454718759943</v>
      </c>
      <c r="J58" s="12">
        <f>SUMIFS(Hydrogen!AL:AL,Hydrogen!$AA:$AA,Predev_Scenarios!$A58,Hydrogen!$Y:$Y,Predev_Scenarios!$D58,Hydrogen!$AB:$AB,Predev_Scenarios!$B58,Hydrogen!$Z:$Z,Predev_Scenarios!$C58)</f>
        <v>-66.189094375198863</v>
      </c>
      <c r="K58" s="12">
        <f>SUMIFS(Hydrogen!AM:AM,Hydrogen!$AA:$AA,Predev_Scenarios!$A58,Hydrogen!$Y:$Y,Predev_Scenarios!$D58,Hydrogen!$AB:$AB,Predev_Scenarios!$B58,Hydrogen!$Z:$Z,Predev_Scenarios!$C58)</f>
        <v>-89.94</v>
      </c>
      <c r="L58" s="63">
        <f t="shared" si="1"/>
        <v>0.89930358360114548</v>
      </c>
      <c r="M58" s="63">
        <f t="shared" si="2"/>
        <v>0.76249836720229092</v>
      </c>
      <c r="N58" s="63">
        <f t="shared" si="3"/>
        <v>1.0361088000000001</v>
      </c>
      <c r="O58" s="30">
        <f>IF(OR(LEFT($D58,5)="Solar",$D58="Wind"),INDEX(Land_Use[AVG],MATCH(LEFT($D58,5),Land_Use[Tech],0)),0)*$E58</f>
        <v>0</v>
      </c>
      <c r="P58" s="30">
        <f>IF(OR(LEFT($D58,5)="Solar",$D58="Wind"),INDEX(Land_Use[MIN],MATCH(LEFT($D58,5),Land_Use[Tech],0)),0)*$E58</f>
        <v>0</v>
      </c>
      <c r="Q58" s="30">
        <f>IF(OR(LEFT($D58,5)="Solar",$D58="Wind"),INDEX(Land_Use[MAX],MATCH(LEFT($D58,5),Land_Use[Tech],0)),0)*$E58</f>
        <v>0</v>
      </c>
      <c r="R58" s="31">
        <f>IFERROR(INDEX(WaterUseH2[Average Direct Water Consumption (Gal/ kg h2)],MATCH(LEFT(D58,3),WaterUseH2[Key],0)),0)</f>
        <v>4.0999999999999996</v>
      </c>
      <c r="S58" s="15">
        <f t="shared" si="4"/>
        <v>393.59999999999997</v>
      </c>
    </row>
    <row r="59" spans="1:19" x14ac:dyDescent="0.35">
      <c r="A59" t="s">
        <v>76</v>
      </c>
      <c r="B59">
        <v>2039</v>
      </c>
      <c r="C59" t="s">
        <v>78</v>
      </c>
      <c r="D59" t="s">
        <v>79</v>
      </c>
      <c r="E59" s="13">
        <f>SUMIFS(Hydrogen!$AD:$AD,Hydrogen!$Y:$Y,$D59,Hydrogen!$AB:$AB,Predev_Scenarios!$B17,Hydrogen!$AA:$AA,$A59)</f>
        <v>96000</v>
      </c>
      <c r="F59" s="14" t="s">
        <v>108</v>
      </c>
      <c r="G59" s="14">
        <f>SUMIFS(Hydrogen!$AC:$AC,Hydrogen!$Y:$Y,$D59,Hydrogen!$AB:$AB,Predev_Scenarios!$B59,Hydrogen!$AA:$AA,$A59)</f>
        <v>1.1520000000000001E-2</v>
      </c>
      <c r="H59" s="13" t="str">
        <f>IF(C59="Electricity",E59*SUMIFS(Electricity!S:S,Electricity!P:P,Predev_Scenarios!B59,Electricity!M:M,Predev_Scenarios!A59,Electricity!O:O,Predev_Scenarios!D59),"")</f>
        <v/>
      </c>
      <c r="I59" s="12">
        <f>SUMIFS(Hydrogen!AK:AK,Hydrogen!$AA:$AA,Predev_Scenarios!$A59,Hydrogen!$Y:$Y,Predev_Scenarios!$D59,Hydrogen!$AB:$AB,Predev_Scenarios!$B59,Hydrogen!$Z:$Z,Predev_Scenarios!$C59)</f>
        <v>-76.763478799936607</v>
      </c>
      <c r="J59" s="12">
        <f>SUMIFS(Hydrogen!AL:AL,Hydrogen!$AA:$AA,Predev_Scenarios!$A59,Hydrogen!$Y:$Y,Predev_Scenarios!$D59,Hydrogen!$AB:$AB,Predev_Scenarios!$B59,Hydrogen!$Z:$Z,Predev_Scenarios!$C59)</f>
        <v>-63.586957599873223</v>
      </c>
      <c r="K59" s="12">
        <f>SUMIFS(Hydrogen!AM:AM,Hydrogen!$AA:$AA,Predev_Scenarios!$A59,Hydrogen!$Y:$Y,Predev_Scenarios!$D59,Hydrogen!$AB:$AB,Predev_Scenarios!$B59,Hydrogen!$Z:$Z,Predev_Scenarios!$C59)</f>
        <v>-89.94</v>
      </c>
      <c r="L59" s="63">
        <f t="shared" si="1"/>
        <v>0.8843152757752698</v>
      </c>
      <c r="M59" s="63">
        <f t="shared" si="2"/>
        <v>0.73252175155053956</v>
      </c>
      <c r="N59" s="63">
        <f t="shared" si="3"/>
        <v>1.0361088000000001</v>
      </c>
      <c r="O59" s="30">
        <f>IF(OR(LEFT($D59,5)="Solar",$D59="Wind"),INDEX(Land_Use[AVG],MATCH(LEFT($D59,5),Land_Use[Tech],0)),0)*$E59</f>
        <v>0</v>
      </c>
      <c r="P59" s="30">
        <f>IF(OR(LEFT($D59,5)="Solar",$D59="Wind"),INDEX(Land_Use[MIN],MATCH(LEFT($D59,5),Land_Use[Tech],0)),0)*$E59</f>
        <v>0</v>
      </c>
      <c r="Q59" s="30">
        <f>IF(OR(LEFT($D59,5)="Solar",$D59="Wind"),INDEX(Land_Use[MAX],MATCH(LEFT($D59,5),Land_Use[Tech],0)),0)*$E59</f>
        <v>0</v>
      </c>
      <c r="R59" s="31">
        <f>IFERROR(INDEX(WaterUseH2[Average Direct Water Consumption (Gal/ kg h2)],MATCH(LEFT(D59,3),WaterUseH2[Key],0)),0)</f>
        <v>4.0999999999999996</v>
      </c>
      <c r="S59" s="15">
        <f t="shared" si="4"/>
        <v>393.59999999999997</v>
      </c>
    </row>
    <row r="60" spans="1:19" x14ac:dyDescent="0.35">
      <c r="A60" t="s">
        <v>76</v>
      </c>
      <c r="B60">
        <v>2040</v>
      </c>
      <c r="C60" t="s">
        <v>78</v>
      </c>
      <c r="D60" t="s">
        <v>79</v>
      </c>
      <c r="E60" s="13">
        <f>SUMIFS(Hydrogen!$AD:$AD,Hydrogen!$Y:$Y,$D60,Hydrogen!$AB:$AB,Predev_Scenarios!$B18,Hydrogen!$AA:$AA,$A60)</f>
        <v>96000</v>
      </c>
      <c r="F60" s="14" t="s">
        <v>108</v>
      </c>
      <c r="G60" s="14">
        <f>SUMIFS(Hydrogen!$AC:$AC,Hydrogen!$Y:$Y,$D60,Hydrogen!$AB:$AB,Predev_Scenarios!$B60,Hydrogen!$AA:$AA,$A60)</f>
        <v>1.1520000000000001E-2</v>
      </c>
      <c r="H60" s="13" t="str">
        <f>IF(C60="Electricity",E60*SUMIFS(Electricity!S:S,Electricity!P:P,Predev_Scenarios!B60,Electricity!M:M,Predev_Scenarios!A60,Electricity!O:O,Predev_Scenarios!D60),"")</f>
        <v/>
      </c>
      <c r="I60" s="12">
        <f>SUMIFS(Hydrogen!AK:AK,Hydrogen!$AA:$AA,Predev_Scenarios!$A60,Hydrogen!$Y:$Y,Predev_Scenarios!$D60,Hydrogen!$AB:$AB,Predev_Scenarios!$B60,Hydrogen!$Z:$Z,Predev_Scenarios!$C60)</f>
        <v>-75.441275707781514</v>
      </c>
      <c r="J60" s="12">
        <f>SUMIFS(Hydrogen!AL:AL,Hydrogen!$AA:$AA,Predev_Scenarios!$A60,Hydrogen!$Y:$Y,Predev_Scenarios!$D60,Hydrogen!$AB:$AB,Predev_Scenarios!$B60,Hydrogen!$Z:$Z,Predev_Scenarios!$C60)</f>
        <v>-60.942551415563038</v>
      </c>
      <c r="K60" s="12">
        <f>SUMIFS(Hydrogen!AM:AM,Hydrogen!$AA:$AA,Predev_Scenarios!$A60,Hydrogen!$Y:$Y,Predev_Scenarios!$D60,Hydrogen!$AB:$AB,Predev_Scenarios!$B60,Hydrogen!$Z:$Z,Predev_Scenarios!$C60)</f>
        <v>-89.94</v>
      </c>
      <c r="L60" s="63">
        <f t="shared" si="1"/>
        <v>0.86908349615364311</v>
      </c>
      <c r="M60" s="63">
        <f t="shared" si="2"/>
        <v>0.70205819230728628</v>
      </c>
      <c r="N60" s="63">
        <f t="shared" si="3"/>
        <v>1.0361088000000001</v>
      </c>
      <c r="O60" s="30">
        <f>IF(OR(LEFT($D60,5)="Solar",$D60="Wind"),INDEX(Land_Use[AVG],MATCH(LEFT($D60,5),Land_Use[Tech],0)),0)*$E60</f>
        <v>0</v>
      </c>
      <c r="P60" s="30">
        <f>IF(OR(LEFT($D60,5)="Solar",$D60="Wind"),INDEX(Land_Use[MIN],MATCH(LEFT($D60,5),Land_Use[Tech],0)),0)*$E60</f>
        <v>0</v>
      </c>
      <c r="Q60" s="30">
        <f>IF(OR(LEFT($D60,5)="Solar",$D60="Wind"),INDEX(Land_Use[MAX],MATCH(LEFT($D60,5),Land_Use[Tech],0)),0)*$E60</f>
        <v>0</v>
      </c>
      <c r="R60" s="31">
        <f>IFERROR(INDEX(WaterUseH2[Average Direct Water Consumption (Gal/ kg h2)],MATCH(LEFT(D60,3),WaterUseH2[Key],0)),0)</f>
        <v>4.0999999999999996</v>
      </c>
      <c r="S60" s="15">
        <f t="shared" si="4"/>
        <v>393.59999999999997</v>
      </c>
    </row>
    <row r="61" spans="1:19" x14ac:dyDescent="0.35">
      <c r="A61" t="s">
        <v>76</v>
      </c>
      <c r="B61">
        <v>2041</v>
      </c>
      <c r="C61" t="s">
        <v>78</v>
      </c>
      <c r="D61" t="s">
        <v>79</v>
      </c>
      <c r="E61" s="13">
        <f>SUMIFS(Hydrogen!$AD:$AD,Hydrogen!$Y:$Y,$D61,Hydrogen!$AB:$AB,Predev_Scenarios!$B19,Hydrogen!$AA:$AA,$A61)</f>
        <v>96000</v>
      </c>
      <c r="F61" s="14" t="s">
        <v>108</v>
      </c>
      <c r="G61" s="14">
        <f>SUMIFS(Hydrogen!$AC:$AC,Hydrogen!$Y:$Y,$D61,Hydrogen!$AB:$AB,Predev_Scenarios!$B61,Hydrogen!$AA:$AA,$A61)</f>
        <v>1.1520000000000001E-2</v>
      </c>
      <c r="H61" s="13" t="str">
        <f>IF(C61="Electricity",E61*SUMIFS(Electricity!S:S,Electricity!P:P,Predev_Scenarios!B61,Electricity!M:M,Predev_Scenarios!A61,Electricity!O:O,Predev_Scenarios!D61),"")</f>
        <v/>
      </c>
      <c r="I61" s="12">
        <f>SUMIFS(Hydrogen!AK:AK,Hydrogen!$AA:$AA,Predev_Scenarios!$A61,Hydrogen!$Y:$Y,Predev_Scenarios!$D61,Hydrogen!$AB:$AB,Predev_Scenarios!$B61,Hydrogen!$Z:$Z,Predev_Scenarios!$C61)</f>
        <v>-74.127245588482751</v>
      </c>
      <c r="J61" s="12">
        <f>SUMIFS(Hydrogen!AL:AL,Hydrogen!$AA:$AA,Predev_Scenarios!$A61,Hydrogen!$Y:$Y,Predev_Scenarios!$D61,Hydrogen!$AB:$AB,Predev_Scenarios!$B61,Hydrogen!$Z:$Z,Predev_Scenarios!$C61)</f>
        <v>-58.314491176965511</v>
      </c>
      <c r="K61" s="12">
        <f>SUMIFS(Hydrogen!AM:AM,Hydrogen!$AA:$AA,Predev_Scenarios!$A61,Hydrogen!$Y:$Y,Predev_Scenarios!$D61,Hydrogen!$AB:$AB,Predev_Scenarios!$B61,Hydrogen!$Z:$Z,Predev_Scenarios!$C61)</f>
        <v>-89.94</v>
      </c>
      <c r="L61" s="63">
        <f t="shared" si="1"/>
        <v>0.85394586917932136</v>
      </c>
      <c r="M61" s="63">
        <f t="shared" si="2"/>
        <v>0.67178293835864278</v>
      </c>
      <c r="N61" s="63">
        <f t="shared" si="3"/>
        <v>1.0361088000000001</v>
      </c>
      <c r="O61" s="30">
        <f>IF(OR(LEFT($D61,5)="Solar",$D61="Wind"),INDEX(Land_Use[AVG],MATCH(LEFT($D61,5),Land_Use[Tech],0)),0)*$E61</f>
        <v>0</v>
      </c>
      <c r="P61" s="30">
        <f>IF(OR(LEFT($D61,5)="Solar",$D61="Wind"),INDEX(Land_Use[MIN],MATCH(LEFT($D61,5),Land_Use[Tech],0)),0)*$E61</f>
        <v>0</v>
      </c>
      <c r="Q61" s="30">
        <f>IF(OR(LEFT($D61,5)="Solar",$D61="Wind"),INDEX(Land_Use[MAX],MATCH(LEFT($D61,5),Land_Use[Tech],0)),0)*$E61</f>
        <v>0</v>
      </c>
      <c r="R61" s="31">
        <f>IFERROR(INDEX(WaterUseH2[Average Direct Water Consumption (Gal/ kg h2)],MATCH(LEFT(D61,3),WaterUseH2[Key],0)),0)</f>
        <v>4.0999999999999996</v>
      </c>
      <c r="S61" s="15">
        <f t="shared" si="4"/>
        <v>393.59999999999997</v>
      </c>
    </row>
    <row r="62" spans="1:19" x14ac:dyDescent="0.35">
      <c r="A62" t="s">
        <v>76</v>
      </c>
      <c r="B62">
        <v>2042</v>
      </c>
      <c r="C62" t="s">
        <v>78</v>
      </c>
      <c r="D62" t="s">
        <v>79</v>
      </c>
      <c r="E62" s="13">
        <f>SUMIFS(Hydrogen!$AD:$AD,Hydrogen!$Y:$Y,$D62,Hydrogen!$AB:$AB,Predev_Scenarios!$B20,Hydrogen!$AA:$AA,$A62)</f>
        <v>96000</v>
      </c>
      <c r="F62" s="14" t="s">
        <v>108</v>
      </c>
      <c r="G62" s="14">
        <f>SUMIFS(Hydrogen!$AC:$AC,Hydrogen!$Y:$Y,$D62,Hydrogen!$AB:$AB,Predev_Scenarios!$B62,Hydrogen!$AA:$AA,$A62)</f>
        <v>1.1520000000000001E-2</v>
      </c>
      <c r="H62" s="13" t="str">
        <f>IF(C62="Electricity",E62*SUMIFS(Electricity!S:S,Electricity!P:P,Predev_Scenarios!B62,Electricity!M:M,Predev_Scenarios!A62,Electricity!O:O,Predev_Scenarios!D62),"")</f>
        <v/>
      </c>
      <c r="I62" s="12">
        <f>SUMIFS(Hydrogen!AK:AK,Hydrogen!$AA:$AA,Predev_Scenarios!$A62,Hydrogen!$Y:$Y,Predev_Scenarios!$D62,Hydrogen!$AB:$AB,Predev_Scenarios!$B62,Hydrogen!$Z:$Z,Predev_Scenarios!$C62)</f>
        <v>-72.85430635778954</v>
      </c>
      <c r="J62" s="12">
        <f>SUMIFS(Hydrogen!AL:AL,Hydrogen!$AA:$AA,Predev_Scenarios!$A62,Hydrogen!$Y:$Y,Predev_Scenarios!$D62,Hydrogen!$AB:$AB,Predev_Scenarios!$B62,Hydrogen!$Z:$Z,Predev_Scenarios!$C62)</f>
        <v>-55.768612715579074</v>
      </c>
      <c r="K62" s="12">
        <f>SUMIFS(Hydrogen!AM:AM,Hydrogen!$AA:$AA,Predev_Scenarios!$A62,Hydrogen!$Y:$Y,Predev_Scenarios!$D62,Hydrogen!$AB:$AB,Predev_Scenarios!$B62,Hydrogen!$Z:$Z,Predev_Scenarios!$C62)</f>
        <v>-89.94</v>
      </c>
      <c r="L62" s="63">
        <f t="shared" si="1"/>
        <v>0.83928160924173556</v>
      </c>
      <c r="M62" s="63">
        <f t="shared" si="2"/>
        <v>0.64245441848347096</v>
      </c>
      <c r="N62" s="63">
        <f t="shared" si="3"/>
        <v>1.0361088000000001</v>
      </c>
      <c r="O62" s="30">
        <f>IF(OR(LEFT($D62,5)="Solar",$D62="Wind"),INDEX(Land_Use[AVG],MATCH(LEFT($D62,5),Land_Use[Tech],0)),0)*$E62</f>
        <v>0</v>
      </c>
      <c r="P62" s="30">
        <f>IF(OR(LEFT($D62,5)="Solar",$D62="Wind"),INDEX(Land_Use[MIN],MATCH(LEFT($D62,5),Land_Use[Tech],0)),0)*$E62</f>
        <v>0</v>
      </c>
      <c r="Q62" s="30">
        <f>IF(OR(LEFT($D62,5)="Solar",$D62="Wind"),INDEX(Land_Use[MAX],MATCH(LEFT($D62,5),Land_Use[Tech],0)),0)*$E62</f>
        <v>0</v>
      </c>
      <c r="R62" s="31">
        <f>IFERROR(INDEX(WaterUseH2[Average Direct Water Consumption (Gal/ kg h2)],MATCH(LEFT(D62,3),WaterUseH2[Key],0)),0)</f>
        <v>4.0999999999999996</v>
      </c>
      <c r="S62" s="15">
        <f t="shared" si="4"/>
        <v>393.59999999999997</v>
      </c>
    </row>
    <row r="63" spans="1:19" x14ac:dyDescent="0.35">
      <c r="A63" t="s">
        <v>76</v>
      </c>
      <c r="B63">
        <v>2043</v>
      </c>
      <c r="C63" t="s">
        <v>78</v>
      </c>
      <c r="D63" t="s">
        <v>79</v>
      </c>
      <c r="E63" s="13">
        <f>SUMIFS(Hydrogen!$AD:$AD,Hydrogen!$Y:$Y,$D63,Hydrogen!$AB:$AB,Predev_Scenarios!$B21,Hydrogen!$AA:$AA,$A63)</f>
        <v>96000</v>
      </c>
      <c r="F63" s="14" t="s">
        <v>108</v>
      </c>
      <c r="G63" s="14">
        <f>SUMIFS(Hydrogen!$AC:$AC,Hydrogen!$Y:$Y,$D63,Hydrogen!$AB:$AB,Predev_Scenarios!$B63,Hydrogen!$AA:$AA,$A63)</f>
        <v>1.1520000000000001E-2</v>
      </c>
      <c r="H63" s="13" t="str">
        <f>IF(C63="Electricity",E63*SUMIFS(Electricity!S:S,Electricity!P:P,Predev_Scenarios!B63,Electricity!M:M,Predev_Scenarios!A63,Electricity!O:O,Predev_Scenarios!D63),"")</f>
        <v/>
      </c>
      <c r="I63" s="12">
        <f>SUMIFS(Hydrogen!AK:AK,Hydrogen!$AA:$AA,Predev_Scenarios!$A63,Hydrogen!$Y:$Y,Predev_Scenarios!$D63,Hydrogen!$AB:$AB,Predev_Scenarios!$B63,Hydrogen!$Z:$Z,Predev_Scenarios!$C63)</f>
        <v>-71.632704261559752</v>
      </c>
      <c r="J63" s="12">
        <f>SUMIFS(Hydrogen!AL:AL,Hydrogen!$AA:$AA,Predev_Scenarios!$A63,Hydrogen!$Y:$Y,Predev_Scenarios!$D63,Hydrogen!$AB:$AB,Predev_Scenarios!$B63,Hydrogen!$Z:$Z,Predev_Scenarios!$C63)</f>
        <v>-53.325408523119506</v>
      </c>
      <c r="K63" s="12">
        <f>SUMIFS(Hydrogen!AM:AM,Hydrogen!$AA:$AA,Predev_Scenarios!$A63,Hydrogen!$Y:$Y,Predev_Scenarios!$D63,Hydrogen!$AB:$AB,Predev_Scenarios!$B63,Hydrogen!$Z:$Z,Predev_Scenarios!$C63)</f>
        <v>-89.94</v>
      </c>
      <c r="L63" s="63">
        <f t="shared" si="1"/>
        <v>0.82520875309316843</v>
      </c>
      <c r="M63" s="63">
        <f t="shared" si="2"/>
        <v>0.61430870618633671</v>
      </c>
      <c r="N63" s="63">
        <f t="shared" si="3"/>
        <v>1.0361088000000001</v>
      </c>
      <c r="O63" s="30">
        <f>IF(OR(LEFT($D63,5)="Solar",$D63="Wind"),INDEX(Land_Use[AVG],MATCH(LEFT($D63,5),Land_Use[Tech],0)),0)*$E63</f>
        <v>0</v>
      </c>
      <c r="P63" s="30">
        <f>IF(OR(LEFT($D63,5)="Solar",$D63="Wind"),INDEX(Land_Use[MIN],MATCH(LEFT($D63,5),Land_Use[Tech],0)),0)*$E63</f>
        <v>0</v>
      </c>
      <c r="Q63" s="30">
        <f>IF(OR(LEFT($D63,5)="Solar",$D63="Wind"),INDEX(Land_Use[MAX],MATCH(LEFT($D63,5),Land_Use[Tech],0)),0)*$E63</f>
        <v>0</v>
      </c>
      <c r="R63" s="31">
        <f>IFERROR(INDEX(WaterUseH2[Average Direct Water Consumption (Gal/ kg h2)],MATCH(LEFT(D63,3),WaterUseH2[Key],0)),0)</f>
        <v>4.0999999999999996</v>
      </c>
      <c r="S63" s="15">
        <f t="shared" si="4"/>
        <v>393.59999999999997</v>
      </c>
    </row>
    <row r="64" spans="1:19" x14ac:dyDescent="0.35">
      <c r="A64" t="s">
        <v>76</v>
      </c>
      <c r="B64">
        <v>2044</v>
      </c>
      <c r="C64" t="s">
        <v>78</v>
      </c>
      <c r="D64" t="s">
        <v>79</v>
      </c>
      <c r="E64" s="13">
        <f>SUMIFS(Hydrogen!$AD:$AD,Hydrogen!$Y:$Y,$D64,Hydrogen!$AB:$AB,Predev_Scenarios!$B22,Hydrogen!$AA:$AA,$A64)</f>
        <v>96000</v>
      </c>
      <c r="F64" s="14" t="s">
        <v>108</v>
      </c>
      <c r="G64" s="14">
        <f>SUMIFS(Hydrogen!$AC:$AC,Hydrogen!$Y:$Y,$D64,Hydrogen!$AB:$AB,Predev_Scenarios!$B64,Hydrogen!$AA:$AA,$A64)</f>
        <v>1.1520000000000001E-2</v>
      </c>
      <c r="H64" s="13" t="str">
        <f>IF(C64="Electricity",E64*SUMIFS(Electricity!S:S,Electricity!P:P,Predev_Scenarios!B64,Electricity!M:M,Predev_Scenarios!A64,Electricity!O:O,Predev_Scenarios!D64),"")</f>
        <v/>
      </c>
      <c r="I64" s="12">
        <f>SUMIFS(Hydrogen!AK:AK,Hydrogen!$AA:$AA,Predev_Scenarios!$A64,Hydrogen!$Y:$Y,Predev_Scenarios!$D64,Hydrogen!$AB:$AB,Predev_Scenarios!$B64,Hydrogen!$Z:$Z,Predev_Scenarios!$C64)</f>
        <v>-70.480181196488871</v>
      </c>
      <c r="J64" s="12">
        <f>SUMIFS(Hydrogen!AL:AL,Hydrogen!$AA:$AA,Predev_Scenarios!$A64,Hydrogen!$Y:$Y,Predev_Scenarios!$D64,Hydrogen!$AB:$AB,Predev_Scenarios!$B64,Hydrogen!$Z:$Z,Predev_Scenarios!$C64)</f>
        <v>-51.020362392977738</v>
      </c>
      <c r="K64" s="12">
        <f>SUMIFS(Hydrogen!AM:AM,Hydrogen!$AA:$AA,Predev_Scenarios!$A64,Hydrogen!$Y:$Y,Predev_Scenarios!$D64,Hydrogen!$AB:$AB,Predev_Scenarios!$B64,Hydrogen!$Z:$Z,Predev_Scenarios!$C64)</f>
        <v>-89.94</v>
      </c>
      <c r="L64" s="63">
        <f t="shared" si="1"/>
        <v>0.81193168738355181</v>
      </c>
      <c r="M64" s="63">
        <f t="shared" si="2"/>
        <v>0.58775457476710358</v>
      </c>
      <c r="N64" s="63">
        <f t="shared" si="3"/>
        <v>1.0361088000000001</v>
      </c>
      <c r="O64" s="30">
        <f>IF(OR(LEFT($D64,5)="Solar",$D64="Wind"),INDEX(Land_Use[AVG],MATCH(LEFT($D64,5),Land_Use[Tech],0)),0)*$E64</f>
        <v>0</v>
      </c>
      <c r="P64" s="30">
        <f>IF(OR(LEFT($D64,5)="Solar",$D64="Wind"),INDEX(Land_Use[MIN],MATCH(LEFT($D64,5),Land_Use[Tech],0)),0)*$E64</f>
        <v>0</v>
      </c>
      <c r="Q64" s="30">
        <f>IF(OR(LEFT($D64,5)="Solar",$D64="Wind"),INDEX(Land_Use[MAX],MATCH(LEFT($D64,5),Land_Use[Tech],0)),0)*$E64</f>
        <v>0</v>
      </c>
      <c r="R64" s="31">
        <f>IFERROR(INDEX(WaterUseH2[Average Direct Water Consumption (Gal/ kg h2)],MATCH(LEFT(D64,3),WaterUseH2[Key],0)),0)</f>
        <v>4.0999999999999996</v>
      </c>
      <c r="S64" s="15">
        <f t="shared" si="4"/>
        <v>393.59999999999997</v>
      </c>
    </row>
    <row r="65" spans="1:19" x14ac:dyDescent="0.35">
      <c r="A65" t="s">
        <v>76</v>
      </c>
      <c r="B65">
        <v>2045</v>
      </c>
      <c r="C65" t="s">
        <v>78</v>
      </c>
      <c r="D65" t="s">
        <v>79</v>
      </c>
      <c r="E65" s="13">
        <f>SUMIFS(Hydrogen!$AD:$AD,Hydrogen!$Y:$Y,$D65,Hydrogen!$AB:$AB,Predev_Scenarios!$B23,Hydrogen!$AA:$AA,$A65)</f>
        <v>96000</v>
      </c>
      <c r="F65" s="14" t="s">
        <v>108</v>
      </c>
      <c r="G65" s="14">
        <f>SUMIFS(Hydrogen!$AC:$AC,Hydrogen!$Y:$Y,$D65,Hydrogen!$AB:$AB,Predev_Scenarios!$B65,Hydrogen!$AA:$AA,$A65)</f>
        <v>1.1520000000000001E-2</v>
      </c>
      <c r="H65" s="13" t="str">
        <f>IF(C65="Electricity",E65*SUMIFS(Electricity!S:S,Electricity!P:P,Predev_Scenarios!B65,Electricity!M:M,Predev_Scenarios!A65,Electricity!O:O,Predev_Scenarios!D65),"")</f>
        <v/>
      </c>
      <c r="I65" s="12">
        <f>SUMIFS(Hydrogen!AK:AK,Hydrogen!$AA:$AA,Predev_Scenarios!$A65,Hydrogen!$Y:$Y,Predev_Scenarios!$D65,Hydrogen!$AB:$AB,Predev_Scenarios!$B65,Hydrogen!$Z:$Z,Predev_Scenarios!$C65)</f>
        <v>-69.410544054153561</v>
      </c>
      <c r="J65" s="12">
        <f>SUMIFS(Hydrogen!AL:AL,Hydrogen!$AA:$AA,Predev_Scenarios!$A65,Hydrogen!$Y:$Y,Predev_Scenarios!$D65,Hydrogen!$AB:$AB,Predev_Scenarios!$B65,Hydrogen!$Z:$Z,Predev_Scenarios!$C65)</f>
        <v>-48.881088108307125</v>
      </c>
      <c r="K65" s="12">
        <f>SUMIFS(Hydrogen!AM:AM,Hydrogen!$AA:$AA,Predev_Scenarios!$A65,Hydrogen!$Y:$Y,Predev_Scenarios!$D65,Hydrogen!$AB:$AB,Predev_Scenarios!$B65,Hydrogen!$Z:$Z,Predev_Scenarios!$C65)</f>
        <v>-89.94</v>
      </c>
      <c r="L65" s="63">
        <f t="shared" si="1"/>
        <v>0.79960946750384909</v>
      </c>
      <c r="M65" s="63">
        <f t="shared" si="2"/>
        <v>0.56311013500769813</v>
      </c>
      <c r="N65" s="63">
        <f t="shared" si="3"/>
        <v>1.0361088000000001</v>
      </c>
      <c r="O65" s="30">
        <f>IF(OR(LEFT($D65,5)="Solar",$D65="Wind"),INDEX(Land_Use[AVG],MATCH(LEFT($D65,5),Land_Use[Tech],0)),0)*$E65</f>
        <v>0</v>
      </c>
      <c r="P65" s="30">
        <f>IF(OR(LEFT($D65,5)="Solar",$D65="Wind"),INDEX(Land_Use[MIN],MATCH(LEFT($D65,5),Land_Use[Tech],0)),0)*$E65</f>
        <v>0</v>
      </c>
      <c r="Q65" s="30">
        <f>IF(OR(LEFT($D65,5)="Solar",$D65="Wind"),INDEX(Land_Use[MAX],MATCH(LEFT($D65,5),Land_Use[Tech],0)),0)*$E65</f>
        <v>0</v>
      </c>
      <c r="R65" s="31">
        <f>IFERROR(INDEX(WaterUseH2[Average Direct Water Consumption (Gal/ kg h2)],MATCH(LEFT(D65,3),WaterUseH2[Key],0)),0)</f>
        <v>4.0999999999999996</v>
      </c>
      <c r="S65" s="15">
        <f t="shared" si="4"/>
        <v>393.59999999999997</v>
      </c>
    </row>
    <row r="66" spans="1:19" x14ac:dyDescent="0.35">
      <c r="A66" t="s">
        <v>107</v>
      </c>
      <c r="B66">
        <v>2025</v>
      </c>
      <c r="C66" t="s">
        <v>78</v>
      </c>
      <c r="D66" t="s">
        <v>79</v>
      </c>
      <c r="E66" s="13">
        <f>SUMIFS(Hydrogen!$AD:$AD,Hydrogen!$Y:$Y,$D66,Hydrogen!$AB:$AB,Predev_Scenarios!$B24,Hydrogen!$AA:$AA,$A66)</f>
        <v>0</v>
      </c>
      <c r="F66" s="14" t="s">
        <v>108</v>
      </c>
      <c r="G66" s="14">
        <f>SUMIFS(Hydrogen!$AC:$AC,Hydrogen!$Y:$Y,$D66,Hydrogen!$AB:$AB,Predev_Scenarios!$B66,Hydrogen!$AA:$AA,$A66)</f>
        <v>0</v>
      </c>
      <c r="H66" s="13" t="str">
        <f>IF(C66="Electricity",E66*SUMIFS(Electricity!S:S,Electricity!P:P,Predev_Scenarios!B66,Electricity!M:M,Predev_Scenarios!A66,Electricity!O:O,Predev_Scenarios!D66),"")</f>
        <v/>
      </c>
      <c r="I66" s="12">
        <f>SUMIFS(Hydrogen!AK:AK,Hydrogen!$AA:$AA,Predev_Scenarios!$A66,Hydrogen!$Y:$Y,Predev_Scenarios!$D66,Hydrogen!$AB:$AB,Predev_Scenarios!$B66,Hydrogen!$Z:$Z,Predev_Scenarios!$C66)</f>
        <v>-88.849553682831996</v>
      </c>
      <c r="J66" s="12">
        <f>SUMIFS(Hydrogen!AL:AL,Hydrogen!$AA:$AA,Predev_Scenarios!$A66,Hydrogen!$Y:$Y,Predev_Scenarios!$D66,Hydrogen!$AB:$AB,Predev_Scenarios!$B66,Hydrogen!$Z:$Z,Predev_Scenarios!$C66)</f>
        <v>-87.759107365663994</v>
      </c>
      <c r="K66" s="12">
        <f>SUMIFS(Hydrogen!AM:AM,Hydrogen!$AA:$AA,Predev_Scenarios!$A66,Hydrogen!$Y:$Y,Predev_Scenarios!$D66,Hydrogen!$AB:$AB,Predev_Scenarios!$B66,Hydrogen!$Z:$Z,Predev_Scenarios!$C66)</f>
        <v>-89.94</v>
      </c>
      <c r="L66" s="63">
        <f t="shared" si="1"/>
        <v>0</v>
      </c>
      <c r="M66" s="63">
        <f t="shared" si="2"/>
        <v>0</v>
      </c>
      <c r="N66" s="63">
        <f t="shared" si="3"/>
        <v>0</v>
      </c>
      <c r="O66" s="30">
        <f>IF(OR(LEFT($D66,5)="Solar",$D66="Wind"),INDEX(Land_Use[AVG],MATCH(LEFT($D66,5),Land_Use[Tech],0)),0)*$E66</f>
        <v>0</v>
      </c>
      <c r="P66" s="30">
        <f>IF(OR(LEFT($D66,5)="Solar",$D66="Wind"),INDEX(Land_Use[MIN],MATCH(LEFT($D66,5),Land_Use[Tech],0)),0)*$E66</f>
        <v>0</v>
      </c>
      <c r="Q66" s="30">
        <f>IF(OR(LEFT($D66,5)="Solar",$D66="Wind"),INDEX(Land_Use[MAX],MATCH(LEFT($D66,5),Land_Use[Tech],0)),0)*$E66</f>
        <v>0</v>
      </c>
      <c r="R66" s="31">
        <f>IFERROR(INDEX(WaterUseH2[Average Direct Water Consumption (Gal/ kg h2)],MATCH(LEFT(D66,3),WaterUseH2[Key],0)),0)</f>
        <v>4.0999999999999996</v>
      </c>
      <c r="S66" s="15">
        <f t="shared" si="4"/>
        <v>0</v>
      </c>
    </row>
    <row r="67" spans="1:19" x14ac:dyDescent="0.35">
      <c r="A67" t="s">
        <v>107</v>
      </c>
      <c r="B67">
        <v>2026</v>
      </c>
      <c r="C67" t="s">
        <v>78</v>
      </c>
      <c r="D67" t="s">
        <v>79</v>
      </c>
      <c r="E67" s="13">
        <f>SUMIFS(Hydrogen!$AD:$AD,Hydrogen!$Y:$Y,$D67,Hydrogen!$AB:$AB,Predev_Scenarios!$B25,Hydrogen!$AA:$AA,$A67)</f>
        <v>0</v>
      </c>
      <c r="F67" s="14" t="s">
        <v>108</v>
      </c>
      <c r="G67" s="14">
        <f>SUMIFS(Hydrogen!$AC:$AC,Hydrogen!$Y:$Y,$D67,Hydrogen!$AB:$AB,Predev_Scenarios!$B67,Hydrogen!$AA:$AA,$A67)</f>
        <v>0</v>
      </c>
      <c r="H67" s="13" t="str">
        <f>IF(C67="Electricity",E67*SUMIFS(Electricity!S:S,Electricity!P:P,Predev_Scenarios!B67,Electricity!M:M,Predev_Scenarios!A67,Electricity!O:O,Predev_Scenarios!D67),"")</f>
        <v/>
      </c>
      <c r="I67" s="12">
        <f>SUMIFS(Hydrogen!AK:AK,Hydrogen!$AA:$AA,Predev_Scenarios!$A67,Hydrogen!$Y:$Y,Predev_Scenarios!$D67,Hydrogen!$AB:$AB,Predev_Scenarios!$B67,Hydrogen!$Z:$Z,Predev_Scenarios!$C67)</f>
        <v>-88.490787443158112</v>
      </c>
      <c r="J67" s="12">
        <f>SUMIFS(Hydrogen!AL:AL,Hydrogen!$AA:$AA,Predev_Scenarios!$A67,Hydrogen!$Y:$Y,Predev_Scenarios!$D67,Hydrogen!$AB:$AB,Predev_Scenarios!$B67,Hydrogen!$Z:$Z,Predev_Scenarios!$C67)</f>
        <v>-87.041574886316226</v>
      </c>
      <c r="K67" s="12">
        <f>SUMIFS(Hydrogen!AM:AM,Hydrogen!$AA:$AA,Predev_Scenarios!$A67,Hydrogen!$Y:$Y,Predev_Scenarios!$D67,Hydrogen!$AB:$AB,Predev_Scenarios!$B67,Hydrogen!$Z:$Z,Predev_Scenarios!$C67)</f>
        <v>-89.94</v>
      </c>
      <c r="L67" s="63">
        <f t="shared" si="1"/>
        <v>0</v>
      </c>
      <c r="M67" s="63">
        <f t="shared" si="2"/>
        <v>0</v>
      </c>
      <c r="N67" s="63">
        <f t="shared" si="3"/>
        <v>0</v>
      </c>
      <c r="O67" s="30">
        <f>IF(OR(LEFT($D67,5)="Solar",$D67="Wind"),INDEX(Land_Use[AVG],MATCH(LEFT($D67,5),Land_Use[Tech],0)),0)*$E67</f>
        <v>0</v>
      </c>
      <c r="P67" s="30">
        <f>IF(OR(LEFT($D67,5)="Solar",$D67="Wind"),INDEX(Land_Use[MIN],MATCH(LEFT($D67,5),Land_Use[Tech],0)),0)*$E67</f>
        <v>0</v>
      </c>
      <c r="Q67" s="30">
        <f>IF(OR(LEFT($D67,5)="Solar",$D67="Wind"),INDEX(Land_Use[MAX],MATCH(LEFT($D67,5),Land_Use[Tech],0)),0)*$E67</f>
        <v>0</v>
      </c>
      <c r="R67" s="31">
        <f>IFERROR(INDEX(WaterUseH2[Average Direct Water Consumption (Gal/ kg h2)],MATCH(LEFT(D67,3),WaterUseH2[Key],0)),0)</f>
        <v>4.0999999999999996</v>
      </c>
      <c r="S67" s="15">
        <f t="shared" si="4"/>
        <v>0</v>
      </c>
    </row>
    <row r="68" spans="1:19" x14ac:dyDescent="0.35">
      <c r="A68" t="s">
        <v>107</v>
      </c>
      <c r="B68">
        <v>2027</v>
      </c>
      <c r="C68" t="s">
        <v>78</v>
      </c>
      <c r="D68" t="s">
        <v>79</v>
      </c>
      <c r="E68" s="13">
        <f>SUMIFS(Hydrogen!$AD:$AD,Hydrogen!$Y:$Y,$D68,Hydrogen!$AB:$AB,Predev_Scenarios!$B26,Hydrogen!$AA:$AA,$A68)</f>
        <v>0</v>
      </c>
      <c r="F68" s="14" t="s">
        <v>108</v>
      </c>
      <c r="G68" s="14">
        <f>SUMIFS(Hydrogen!$AC:$AC,Hydrogen!$Y:$Y,$D68,Hydrogen!$AB:$AB,Predev_Scenarios!$B68,Hydrogen!$AA:$AA,$A68)</f>
        <v>0</v>
      </c>
      <c r="H68" s="13" t="str">
        <f>IF(C68="Electricity",E68*SUMIFS(Electricity!S:S,Electricity!P:P,Predev_Scenarios!B68,Electricity!M:M,Predev_Scenarios!A68,Electricity!O:O,Predev_Scenarios!D68),"")</f>
        <v/>
      </c>
      <c r="I68" s="12">
        <f>SUMIFS(Hydrogen!AK:AK,Hydrogen!$AA:$AA,Predev_Scenarios!$A68,Hydrogen!$Y:$Y,Predev_Scenarios!$D68,Hydrogen!$AB:$AB,Predev_Scenarios!$B68,Hydrogen!$Z:$Z,Predev_Scenarios!$C68)</f>
        <v>-88.052436921360083</v>
      </c>
      <c r="J68" s="12">
        <f>SUMIFS(Hydrogen!AL:AL,Hydrogen!$AA:$AA,Predev_Scenarios!$A68,Hydrogen!$Y:$Y,Predev_Scenarios!$D68,Hydrogen!$AB:$AB,Predev_Scenarios!$B68,Hydrogen!$Z:$Z,Predev_Scenarios!$C68)</f>
        <v>-86.164873842720169</v>
      </c>
      <c r="K68" s="12">
        <f>SUMIFS(Hydrogen!AM:AM,Hydrogen!$AA:$AA,Predev_Scenarios!$A68,Hydrogen!$Y:$Y,Predev_Scenarios!$D68,Hydrogen!$AB:$AB,Predev_Scenarios!$B68,Hydrogen!$Z:$Z,Predev_Scenarios!$C68)</f>
        <v>-89.94</v>
      </c>
      <c r="L68" s="63">
        <f t="shared" ref="L68:L131" si="5">IF($C68="Electricity",$H68/1000000000000,$G68)*I68*-1</f>
        <v>0</v>
      </c>
      <c r="M68" s="63">
        <f t="shared" ref="M68:M131" si="6">IF($C68="Electricity",$H68/1000000000000,$G68)*J68*-1</f>
        <v>0</v>
      </c>
      <c r="N68" s="63">
        <f t="shared" ref="N68:N131" si="7">IF($C68="Electricity",$H68/1000000000000,$G68)*K68*-1</f>
        <v>0</v>
      </c>
      <c r="O68" s="30">
        <f>IF(OR(LEFT($D68,5)="Solar",$D68="Wind"),INDEX(Land_Use[AVG],MATCH(LEFT($D68,5),Land_Use[Tech],0)),0)*$E68</f>
        <v>0</v>
      </c>
      <c r="P68" s="30">
        <f>IF(OR(LEFT($D68,5)="Solar",$D68="Wind"),INDEX(Land_Use[MIN],MATCH(LEFT($D68,5),Land_Use[Tech],0)),0)*$E68</f>
        <v>0</v>
      </c>
      <c r="Q68" s="30">
        <f>IF(OR(LEFT($D68,5)="Solar",$D68="Wind"),INDEX(Land_Use[MAX],MATCH(LEFT($D68,5),Land_Use[Tech],0)),0)*$E68</f>
        <v>0</v>
      </c>
      <c r="R68" s="31">
        <f>IFERROR(INDEX(WaterUseH2[Average Direct Water Consumption (Gal/ kg h2)],MATCH(LEFT(D68,3),WaterUseH2[Key],0)),0)</f>
        <v>4.0999999999999996</v>
      </c>
      <c r="S68" s="15">
        <f t="shared" ref="S68:S131" si="8">E68*R68*1000/1000000</f>
        <v>0</v>
      </c>
    </row>
    <row r="69" spans="1:19" x14ac:dyDescent="0.35">
      <c r="A69" t="s">
        <v>107</v>
      </c>
      <c r="B69">
        <v>2028</v>
      </c>
      <c r="C69" t="s">
        <v>78</v>
      </c>
      <c r="D69" t="s">
        <v>79</v>
      </c>
      <c r="E69" s="13">
        <f>SUMIFS(Hydrogen!$AD:$AD,Hydrogen!$Y:$Y,$D69,Hydrogen!$AB:$AB,Predev_Scenarios!$B27,Hydrogen!$AA:$AA,$A69)</f>
        <v>0</v>
      </c>
      <c r="F69" s="14" t="s">
        <v>108</v>
      </c>
      <c r="G69" s="14">
        <f>SUMIFS(Hydrogen!$AC:$AC,Hydrogen!$Y:$Y,$D69,Hydrogen!$AB:$AB,Predev_Scenarios!$B69,Hydrogen!$AA:$AA,$A69)</f>
        <v>0</v>
      </c>
      <c r="H69" s="13" t="str">
        <f>IF(C69="Electricity",E69*SUMIFS(Electricity!S:S,Electricity!P:P,Predev_Scenarios!B69,Electricity!M:M,Predev_Scenarios!A69,Electricity!O:O,Predev_Scenarios!D69),"")</f>
        <v/>
      </c>
      <c r="I69" s="12">
        <f>SUMIFS(Hydrogen!AK:AK,Hydrogen!$AA:$AA,Predev_Scenarios!$A69,Hydrogen!$Y:$Y,Predev_Scenarios!$D69,Hydrogen!$AB:$AB,Predev_Scenarios!$B69,Hydrogen!$Z:$Z,Predev_Scenarios!$C69)</f>
        <v>-87.578874094271839</v>
      </c>
      <c r="J69" s="12">
        <f>SUMIFS(Hydrogen!AL:AL,Hydrogen!$AA:$AA,Predev_Scenarios!$A69,Hydrogen!$Y:$Y,Predev_Scenarios!$D69,Hydrogen!$AB:$AB,Predev_Scenarios!$B69,Hydrogen!$Z:$Z,Predev_Scenarios!$C69)</f>
        <v>-85.217748188543695</v>
      </c>
      <c r="K69" s="12">
        <f>SUMIFS(Hydrogen!AM:AM,Hydrogen!$AA:$AA,Predev_Scenarios!$A69,Hydrogen!$Y:$Y,Predev_Scenarios!$D69,Hydrogen!$AB:$AB,Predev_Scenarios!$B69,Hydrogen!$Z:$Z,Predev_Scenarios!$C69)</f>
        <v>-89.94</v>
      </c>
      <c r="L69" s="63">
        <f t="shared" si="5"/>
        <v>0</v>
      </c>
      <c r="M69" s="63">
        <f t="shared" si="6"/>
        <v>0</v>
      </c>
      <c r="N69" s="63">
        <f t="shared" si="7"/>
        <v>0</v>
      </c>
      <c r="O69" s="30">
        <f>IF(OR(LEFT($D69,5)="Solar",$D69="Wind"),INDEX(Land_Use[AVG],MATCH(LEFT($D69,5),Land_Use[Tech],0)),0)*$E69</f>
        <v>0</v>
      </c>
      <c r="P69" s="30">
        <f>IF(OR(LEFT($D69,5)="Solar",$D69="Wind"),INDEX(Land_Use[MIN],MATCH(LEFT($D69,5),Land_Use[Tech],0)),0)*$E69</f>
        <v>0</v>
      </c>
      <c r="Q69" s="30">
        <f>IF(OR(LEFT($D69,5)="Solar",$D69="Wind"),INDEX(Land_Use[MAX],MATCH(LEFT($D69,5),Land_Use[Tech],0)),0)*$E69</f>
        <v>0</v>
      </c>
      <c r="R69" s="31">
        <f>IFERROR(INDEX(WaterUseH2[Average Direct Water Consumption (Gal/ kg h2)],MATCH(LEFT(D69,3),WaterUseH2[Key],0)),0)</f>
        <v>4.0999999999999996</v>
      </c>
      <c r="S69" s="15">
        <f t="shared" si="8"/>
        <v>0</v>
      </c>
    </row>
    <row r="70" spans="1:19" x14ac:dyDescent="0.35">
      <c r="A70" t="s">
        <v>107</v>
      </c>
      <c r="B70">
        <v>2029</v>
      </c>
      <c r="C70" t="s">
        <v>78</v>
      </c>
      <c r="D70" t="s">
        <v>79</v>
      </c>
      <c r="E70" s="13">
        <f>SUMIFS(Hydrogen!$AD:$AD,Hydrogen!$Y:$Y,$D70,Hydrogen!$AB:$AB,Predev_Scenarios!$B28,Hydrogen!$AA:$AA,$A70)</f>
        <v>0</v>
      </c>
      <c r="F70" s="14" t="s">
        <v>108</v>
      </c>
      <c r="G70" s="14">
        <f>SUMIFS(Hydrogen!$AC:$AC,Hydrogen!$Y:$Y,$D70,Hydrogen!$AB:$AB,Predev_Scenarios!$B70,Hydrogen!$AA:$AA,$A70)</f>
        <v>0</v>
      </c>
      <c r="H70" s="13" t="str">
        <f>IF(C70="Electricity",E70*SUMIFS(Electricity!S:S,Electricity!P:P,Predev_Scenarios!B70,Electricity!M:M,Predev_Scenarios!A70,Electricity!O:O,Predev_Scenarios!D70),"")</f>
        <v/>
      </c>
      <c r="I70" s="12">
        <f>SUMIFS(Hydrogen!AK:AK,Hydrogen!$AA:$AA,Predev_Scenarios!$A70,Hydrogen!$Y:$Y,Predev_Scenarios!$D70,Hydrogen!$AB:$AB,Predev_Scenarios!$B70,Hydrogen!$Z:$Z,Predev_Scenarios!$C70)</f>
        <v>-87.034867879479833</v>
      </c>
      <c r="J70" s="12">
        <f>SUMIFS(Hydrogen!AL:AL,Hydrogen!$AA:$AA,Predev_Scenarios!$A70,Hydrogen!$Y:$Y,Predev_Scenarios!$D70,Hydrogen!$AB:$AB,Predev_Scenarios!$B70,Hydrogen!$Z:$Z,Predev_Scenarios!$C70)</f>
        <v>-84.129735758959683</v>
      </c>
      <c r="K70" s="12">
        <f>SUMIFS(Hydrogen!AM:AM,Hydrogen!$AA:$AA,Predev_Scenarios!$A70,Hydrogen!$Y:$Y,Predev_Scenarios!$D70,Hydrogen!$AB:$AB,Predev_Scenarios!$B70,Hydrogen!$Z:$Z,Predev_Scenarios!$C70)</f>
        <v>-89.94</v>
      </c>
      <c r="L70" s="63">
        <f t="shared" si="5"/>
        <v>0</v>
      </c>
      <c r="M70" s="63">
        <f t="shared" si="6"/>
        <v>0</v>
      </c>
      <c r="N70" s="63">
        <f t="shared" si="7"/>
        <v>0</v>
      </c>
      <c r="O70" s="30">
        <f>IF(OR(LEFT($D70,5)="Solar",$D70="Wind"),INDEX(Land_Use[AVG],MATCH(LEFT($D70,5),Land_Use[Tech],0)),0)*$E70</f>
        <v>0</v>
      </c>
      <c r="P70" s="30">
        <f>IF(OR(LEFT($D70,5)="Solar",$D70="Wind"),INDEX(Land_Use[MIN],MATCH(LEFT($D70,5),Land_Use[Tech],0)),0)*$E70</f>
        <v>0</v>
      </c>
      <c r="Q70" s="30">
        <f>IF(OR(LEFT($D70,5)="Solar",$D70="Wind"),INDEX(Land_Use[MAX],MATCH(LEFT($D70,5),Land_Use[Tech],0)),0)*$E70</f>
        <v>0</v>
      </c>
      <c r="R70" s="31">
        <f>IFERROR(INDEX(WaterUseH2[Average Direct Water Consumption (Gal/ kg h2)],MATCH(LEFT(D70,3),WaterUseH2[Key],0)),0)</f>
        <v>4.0999999999999996</v>
      </c>
      <c r="S70" s="15">
        <f t="shared" si="8"/>
        <v>0</v>
      </c>
    </row>
    <row r="71" spans="1:19" x14ac:dyDescent="0.35">
      <c r="A71" t="s">
        <v>107</v>
      </c>
      <c r="B71">
        <v>2030</v>
      </c>
      <c r="C71" t="s">
        <v>78</v>
      </c>
      <c r="D71" t="s">
        <v>79</v>
      </c>
      <c r="E71" s="13">
        <f>SUMIFS(Hydrogen!$AD:$AD,Hydrogen!$Y:$Y,$D71,Hydrogen!$AB:$AB,Predev_Scenarios!$B29,Hydrogen!$AA:$AA,$A71)</f>
        <v>26666.666666666668</v>
      </c>
      <c r="F71" s="14" t="s">
        <v>108</v>
      </c>
      <c r="G71" s="14">
        <f>SUMIFS(Hydrogen!$AC:$AC,Hydrogen!$Y:$Y,$D71,Hydrogen!$AB:$AB,Predev_Scenarios!$B71,Hydrogen!$AA:$AA,$A71)</f>
        <v>3.2000000000000002E-3</v>
      </c>
      <c r="H71" s="13" t="str">
        <f>IF(C71="Electricity",E71*SUMIFS(Electricity!S:S,Electricity!P:P,Predev_Scenarios!B71,Electricity!M:M,Predev_Scenarios!A71,Electricity!O:O,Predev_Scenarios!D71),"")</f>
        <v/>
      </c>
      <c r="I71" s="12">
        <f>SUMIFS(Hydrogen!AK:AK,Hydrogen!$AA:$AA,Predev_Scenarios!$A71,Hydrogen!$Y:$Y,Predev_Scenarios!$D71,Hydrogen!$AB:$AB,Predev_Scenarios!$B71,Hydrogen!$Z:$Z,Predev_Scenarios!$C71)</f>
        <v>-86.41461434749688</v>
      </c>
      <c r="J71" s="12">
        <f>SUMIFS(Hydrogen!AL:AL,Hydrogen!$AA:$AA,Predev_Scenarios!$A71,Hydrogen!$Y:$Y,Predev_Scenarios!$D71,Hydrogen!$AB:$AB,Predev_Scenarios!$B71,Hydrogen!$Z:$Z,Predev_Scenarios!$C71)</f>
        <v>-82.889228694993761</v>
      </c>
      <c r="K71" s="12">
        <f>SUMIFS(Hydrogen!AM:AM,Hydrogen!$AA:$AA,Predev_Scenarios!$A71,Hydrogen!$Y:$Y,Predev_Scenarios!$D71,Hydrogen!$AB:$AB,Predev_Scenarios!$B71,Hydrogen!$Z:$Z,Predev_Scenarios!$C71)</f>
        <v>-89.94</v>
      </c>
      <c r="L71" s="63">
        <f t="shared" si="5"/>
        <v>0.27652676591199005</v>
      </c>
      <c r="M71" s="63">
        <f t="shared" si="6"/>
        <v>0.26524553182398003</v>
      </c>
      <c r="N71" s="63">
        <f t="shared" si="7"/>
        <v>0.28780800000000001</v>
      </c>
      <c r="O71" s="30">
        <f>IF(OR(LEFT($D71,5)="Solar",$D71="Wind"),INDEX(Land_Use[AVG],MATCH(LEFT($D71,5),Land_Use[Tech],0)),0)*$E71</f>
        <v>0</v>
      </c>
      <c r="P71" s="30">
        <f>IF(OR(LEFT($D71,5)="Solar",$D71="Wind"),INDEX(Land_Use[MIN],MATCH(LEFT($D71,5),Land_Use[Tech],0)),0)*$E71</f>
        <v>0</v>
      </c>
      <c r="Q71" s="30">
        <f>IF(OR(LEFT($D71,5)="Solar",$D71="Wind"),INDEX(Land_Use[MAX],MATCH(LEFT($D71,5),Land_Use[Tech],0)),0)*$E71</f>
        <v>0</v>
      </c>
      <c r="R71" s="31">
        <f>IFERROR(INDEX(WaterUseH2[Average Direct Water Consumption (Gal/ kg h2)],MATCH(LEFT(D71,3),WaterUseH2[Key],0)),0)</f>
        <v>4.0999999999999996</v>
      </c>
      <c r="S71" s="15">
        <f t="shared" si="8"/>
        <v>109.33333333333333</v>
      </c>
    </row>
    <row r="72" spans="1:19" x14ac:dyDescent="0.35">
      <c r="A72" t="s">
        <v>107</v>
      </c>
      <c r="B72">
        <v>2031</v>
      </c>
      <c r="C72" t="s">
        <v>78</v>
      </c>
      <c r="D72" t="s">
        <v>79</v>
      </c>
      <c r="E72" s="13">
        <f>SUMIFS(Hydrogen!$AD:$AD,Hydrogen!$Y:$Y,$D72,Hydrogen!$AB:$AB,Predev_Scenarios!$B30,Hydrogen!$AA:$AA,$A72)</f>
        <v>211555.55555555466</v>
      </c>
      <c r="F72" s="14" t="s">
        <v>108</v>
      </c>
      <c r="G72" s="14">
        <f>SUMIFS(Hydrogen!$AC:$AC,Hydrogen!$Y:$Y,$D72,Hydrogen!$AB:$AB,Predev_Scenarios!$B72,Hydrogen!$AA:$AA,$A72)</f>
        <v>2.5386666666666557E-2</v>
      </c>
      <c r="H72" s="13" t="str">
        <f>IF(C72="Electricity",E72*SUMIFS(Electricity!S:S,Electricity!P:P,Predev_Scenarios!B72,Electricity!M:M,Predev_Scenarios!A72,Electricity!O:O,Predev_Scenarios!D72),"")</f>
        <v/>
      </c>
      <c r="I72" s="12">
        <f>SUMIFS(Hydrogen!AK:AK,Hydrogen!$AA:$AA,Predev_Scenarios!$A72,Hydrogen!$Y:$Y,Predev_Scenarios!$D72,Hydrogen!$AB:$AB,Predev_Scenarios!$B72,Hydrogen!$Z:$Z,Predev_Scenarios!$C72)</f>
        <v>-85.709877469537048</v>
      </c>
      <c r="J72" s="12">
        <f>SUMIFS(Hydrogen!AL:AL,Hydrogen!$AA:$AA,Predev_Scenarios!$A72,Hydrogen!$Y:$Y,Predev_Scenarios!$D72,Hydrogen!$AB:$AB,Predev_Scenarios!$B72,Hydrogen!$Z:$Z,Predev_Scenarios!$C72)</f>
        <v>-81.479754939074112</v>
      </c>
      <c r="K72" s="12">
        <f>SUMIFS(Hydrogen!AM:AM,Hydrogen!$AA:$AA,Predev_Scenarios!$A72,Hydrogen!$Y:$Y,Predev_Scenarios!$D72,Hydrogen!$AB:$AB,Predev_Scenarios!$B72,Hydrogen!$Z:$Z,Predev_Scenarios!$C72)</f>
        <v>-89.94</v>
      </c>
      <c r="L72" s="63">
        <f t="shared" si="5"/>
        <v>2.175888089359971</v>
      </c>
      <c r="M72" s="63">
        <f t="shared" si="6"/>
        <v>2.0684993787199524</v>
      </c>
      <c r="N72" s="63">
        <f t="shared" si="7"/>
        <v>2.2832767999999901</v>
      </c>
      <c r="O72" s="30">
        <f>IF(OR(LEFT($D72,5)="Solar",$D72="Wind"),INDEX(Land_Use[AVG],MATCH(LEFT($D72,5),Land_Use[Tech],0)),0)*$E72</f>
        <v>0</v>
      </c>
      <c r="P72" s="30">
        <f>IF(OR(LEFT($D72,5)="Solar",$D72="Wind"),INDEX(Land_Use[MIN],MATCH(LEFT($D72,5),Land_Use[Tech],0)),0)*$E72</f>
        <v>0</v>
      </c>
      <c r="Q72" s="30">
        <f>IF(OR(LEFT($D72,5)="Solar",$D72="Wind"),INDEX(Land_Use[MAX],MATCH(LEFT($D72,5),Land_Use[Tech],0)),0)*$E72</f>
        <v>0</v>
      </c>
      <c r="R72" s="31">
        <f>IFERROR(INDEX(WaterUseH2[Average Direct Water Consumption (Gal/ kg h2)],MATCH(LEFT(D72,3),WaterUseH2[Key],0)),0)</f>
        <v>4.0999999999999996</v>
      </c>
      <c r="S72" s="15">
        <f t="shared" si="8"/>
        <v>867.37777777777399</v>
      </c>
    </row>
    <row r="73" spans="1:19" x14ac:dyDescent="0.35">
      <c r="A73" t="s">
        <v>107</v>
      </c>
      <c r="B73">
        <v>2032</v>
      </c>
      <c r="C73" t="s">
        <v>78</v>
      </c>
      <c r="D73" t="s">
        <v>79</v>
      </c>
      <c r="E73" s="13">
        <f>SUMIFS(Hydrogen!$AD:$AD,Hydrogen!$Y:$Y,$D73,Hydrogen!$AB:$AB,Predev_Scenarios!$B31,Hydrogen!$AA:$AA,$A73)</f>
        <v>396444.44444444397</v>
      </c>
      <c r="F73" s="14" t="s">
        <v>108</v>
      </c>
      <c r="G73" s="14">
        <f>SUMIFS(Hydrogen!$AC:$AC,Hydrogen!$Y:$Y,$D73,Hydrogen!$AB:$AB,Predev_Scenarios!$B73,Hydrogen!$AA:$AA,$A73)</f>
        <v>4.757333333333328E-2</v>
      </c>
      <c r="H73" s="13" t="str">
        <f>IF(C73="Electricity",E73*SUMIFS(Electricity!S:S,Electricity!P:P,Predev_Scenarios!B73,Electricity!M:M,Predev_Scenarios!A73,Electricity!O:O,Predev_Scenarios!D73),"")</f>
        <v/>
      </c>
      <c r="I73" s="12">
        <f>SUMIFS(Hydrogen!AK:AK,Hydrogen!$AA:$AA,Predev_Scenarios!$A73,Hydrogen!$Y:$Y,Predev_Scenarios!$D73,Hydrogen!$AB:$AB,Predev_Scenarios!$B73,Hydrogen!$Z:$Z,Predev_Scenarios!$C73)</f>
        <v>-84.921212950513535</v>
      </c>
      <c r="J73" s="12">
        <f>SUMIFS(Hydrogen!AL:AL,Hydrogen!$AA:$AA,Predev_Scenarios!$A73,Hydrogen!$Y:$Y,Predev_Scenarios!$D73,Hydrogen!$AB:$AB,Predev_Scenarios!$B73,Hydrogen!$Z:$Z,Predev_Scenarios!$C73)</f>
        <v>-79.902425901027058</v>
      </c>
      <c r="K73" s="12">
        <f>SUMIFS(Hydrogen!AM:AM,Hydrogen!$AA:$AA,Predev_Scenarios!$A73,Hydrogen!$Y:$Y,Predev_Scenarios!$D73,Hydrogen!$AB:$AB,Predev_Scenarios!$B73,Hydrogen!$Z:$Z,Predev_Scenarios!$C73)</f>
        <v>-89.94</v>
      </c>
      <c r="L73" s="63">
        <f t="shared" si="5"/>
        <v>4.0399851707657595</v>
      </c>
      <c r="M73" s="63">
        <f t="shared" si="6"/>
        <v>3.8012247415315228</v>
      </c>
      <c r="N73" s="63">
        <f t="shared" si="7"/>
        <v>4.2787455999999953</v>
      </c>
      <c r="O73" s="30">
        <f>IF(OR(LEFT($D73,5)="Solar",$D73="Wind"),INDEX(Land_Use[AVG],MATCH(LEFT($D73,5),Land_Use[Tech],0)),0)*$E73</f>
        <v>0</v>
      </c>
      <c r="P73" s="30">
        <f>IF(OR(LEFT($D73,5)="Solar",$D73="Wind"),INDEX(Land_Use[MIN],MATCH(LEFT($D73,5),Land_Use[Tech],0)),0)*$E73</f>
        <v>0</v>
      </c>
      <c r="Q73" s="30">
        <f>IF(OR(LEFT($D73,5)="Solar",$D73="Wind"),INDEX(Land_Use[MAX],MATCH(LEFT($D73,5),Land_Use[Tech],0)),0)*$E73</f>
        <v>0</v>
      </c>
      <c r="R73" s="31">
        <f>IFERROR(INDEX(WaterUseH2[Average Direct Water Consumption (Gal/ kg h2)],MATCH(LEFT(D73,3),WaterUseH2[Key],0)),0)</f>
        <v>4.0999999999999996</v>
      </c>
      <c r="S73" s="15">
        <f t="shared" si="8"/>
        <v>1625.4222222222202</v>
      </c>
    </row>
    <row r="74" spans="1:19" x14ac:dyDescent="0.35">
      <c r="A74" t="s">
        <v>107</v>
      </c>
      <c r="B74">
        <v>2033</v>
      </c>
      <c r="C74" t="s">
        <v>78</v>
      </c>
      <c r="D74" t="s">
        <v>79</v>
      </c>
      <c r="E74" s="13">
        <f>SUMIFS(Hydrogen!$AD:$AD,Hydrogen!$Y:$Y,$D74,Hydrogen!$AB:$AB,Predev_Scenarios!$B32,Hydrogen!$AA:$AA,$A74)</f>
        <v>581333.33333333337</v>
      </c>
      <c r="F74" s="14" t="s">
        <v>108</v>
      </c>
      <c r="G74" s="14">
        <f>SUMIFS(Hydrogen!$AC:$AC,Hydrogen!$Y:$Y,$D74,Hydrogen!$AB:$AB,Predev_Scenarios!$B74,Hydrogen!$AA:$AA,$A74)</f>
        <v>6.9760000000000003E-2</v>
      </c>
      <c r="H74" s="13" t="str">
        <f>IF(C74="Electricity",E74*SUMIFS(Electricity!S:S,Electricity!P:P,Predev_Scenarios!B74,Electricity!M:M,Predev_Scenarios!A74,Electricity!O:O,Predev_Scenarios!D74),"")</f>
        <v/>
      </c>
      <c r="I74" s="12">
        <f>SUMIFS(Hydrogen!AK:AK,Hydrogen!$AA:$AA,Predev_Scenarios!$A74,Hydrogen!$Y:$Y,Predev_Scenarios!$D74,Hydrogen!$AB:$AB,Predev_Scenarios!$B74,Hydrogen!$Z:$Z,Predev_Scenarios!$C74)</f>
        <v>-84.015495952097837</v>
      </c>
      <c r="J74" s="12">
        <f>SUMIFS(Hydrogen!AL:AL,Hydrogen!$AA:$AA,Predev_Scenarios!$A74,Hydrogen!$Y:$Y,Predev_Scenarios!$D74,Hydrogen!$AB:$AB,Predev_Scenarios!$B74,Hydrogen!$Z:$Z,Predev_Scenarios!$C74)</f>
        <v>-78.09099190419569</v>
      </c>
      <c r="K74" s="12">
        <f>SUMIFS(Hydrogen!AM:AM,Hydrogen!$AA:$AA,Predev_Scenarios!$A74,Hydrogen!$Y:$Y,Predev_Scenarios!$D74,Hydrogen!$AB:$AB,Predev_Scenarios!$B74,Hydrogen!$Z:$Z,Predev_Scenarios!$C74)</f>
        <v>-89.94</v>
      </c>
      <c r="L74" s="63">
        <f t="shared" si="5"/>
        <v>5.8609209976183454</v>
      </c>
      <c r="M74" s="63">
        <f t="shared" si="6"/>
        <v>5.4476275952366917</v>
      </c>
      <c r="N74" s="63">
        <f t="shared" si="7"/>
        <v>6.2742144</v>
      </c>
      <c r="O74" s="30">
        <f>IF(OR(LEFT($D74,5)="Solar",$D74="Wind"),INDEX(Land_Use[AVG],MATCH(LEFT($D74,5),Land_Use[Tech],0)),0)*$E74</f>
        <v>0</v>
      </c>
      <c r="P74" s="30">
        <f>IF(OR(LEFT($D74,5)="Solar",$D74="Wind"),INDEX(Land_Use[MIN],MATCH(LEFT($D74,5),Land_Use[Tech],0)),0)*$E74</f>
        <v>0</v>
      </c>
      <c r="Q74" s="30">
        <f>IF(OR(LEFT($D74,5)="Solar",$D74="Wind"),INDEX(Land_Use[MAX],MATCH(LEFT($D74,5),Land_Use[Tech],0)),0)*$E74</f>
        <v>0</v>
      </c>
      <c r="R74" s="31">
        <f>IFERROR(INDEX(WaterUseH2[Average Direct Water Consumption (Gal/ kg h2)],MATCH(LEFT(D74,3),WaterUseH2[Key],0)),0)</f>
        <v>4.0999999999999996</v>
      </c>
      <c r="S74" s="15">
        <f t="shared" si="8"/>
        <v>2383.4666666666667</v>
      </c>
    </row>
    <row r="75" spans="1:19" x14ac:dyDescent="0.35">
      <c r="A75" t="s">
        <v>107</v>
      </c>
      <c r="B75">
        <v>2034</v>
      </c>
      <c r="C75" t="s">
        <v>78</v>
      </c>
      <c r="D75" t="s">
        <v>79</v>
      </c>
      <c r="E75" s="13">
        <f>SUMIFS(Hydrogen!$AD:$AD,Hydrogen!$Y:$Y,$D75,Hydrogen!$AB:$AB,Predev_Scenarios!$B33,Hydrogen!$AA:$AA,$A75)</f>
        <v>766222.22222222132</v>
      </c>
      <c r="F75" s="14" t="s">
        <v>108</v>
      </c>
      <c r="G75" s="14">
        <f>SUMIFS(Hydrogen!$AC:$AC,Hydrogen!$Y:$Y,$D75,Hydrogen!$AB:$AB,Predev_Scenarios!$B75,Hydrogen!$AA:$AA,$A75)</f>
        <v>9.1946666666666566E-2</v>
      </c>
      <c r="H75" s="13" t="str">
        <f>IF(C75="Electricity",E75*SUMIFS(Electricity!S:S,Electricity!P:P,Predev_Scenarios!B75,Electricity!M:M,Predev_Scenarios!A75,Electricity!O:O,Predev_Scenarios!D75),"")</f>
        <v/>
      </c>
      <c r="I75" s="12">
        <f>SUMIFS(Hydrogen!AK:AK,Hydrogen!$AA:$AA,Predev_Scenarios!$A75,Hydrogen!$Y:$Y,Predev_Scenarios!$D75,Hydrogen!$AB:$AB,Predev_Scenarios!$B75,Hydrogen!$Z:$Z,Predev_Scenarios!$C75)</f>
        <v>-83.005198320512307</v>
      </c>
      <c r="J75" s="12">
        <f>SUMIFS(Hydrogen!AL:AL,Hydrogen!$AA:$AA,Predev_Scenarios!$A75,Hydrogen!$Y:$Y,Predev_Scenarios!$D75,Hydrogen!$AB:$AB,Predev_Scenarios!$B75,Hydrogen!$Z:$Z,Predev_Scenarios!$C75)</f>
        <v>-76.070396641024615</v>
      </c>
      <c r="K75" s="12">
        <f>SUMIFS(Hydrogen!AM:AM,Hydrogen!$AA:$AA,Predev_Scenarios!$A75,Hydrogen!$Y:$Y,Predev_Scenarios!$D75,Hydrogen!$AB:$AB,Predev_Scenarios!$B75,Hydrogen!$Z:$Z,Predev_Scenarios!$C75)</f>
        <v>-89.94</v>
      </c>
      <c r="L75" s="63">
        <f t="shared" si="5"/>
        <v>7.6320513015766966</v>
      </c>
      <c r="M75" s="63">
        <f t="shared" si="6"/>
        <v>6.9944194031534019</v>
      </c>
      <c r="N75" s="63">
        <f t="shared" si="7"/>
        <v>8.2696831999999905</v>
      </c>
      <c r="O75" s="30">
        <f>IF(OR(LEFT($D75,5)="Solar",$D75="Wind"),INDEX(Land_Use[AVG],MATCH(LEFT($D75,5),Land_Use[Tech],0)),0)*$E75</f>
        <v>0</v>
      </c>
      <c r="P75" s="30">
        <f>IF(OR(LEFT($D75,5)="Solar",$D75="Wind"),INDEX(Land_Use[MIN],MATCH(LEFT($D75,5),Land_Use[Tech],0)),0)*$E75</f>
        <v>0</v>
      </c>
      <c r="Q75" s="30">
        <f>IF(OR(LEFT($D75,5)="Solar",$D75="Wind"),INDEX(Land_Use[MAX],MATCH(LEFT($D75,5),Land_Use[Tech],0)),0)*$E75</f>
        <v>0</v>
      </c>
      <c r="R75" s="31">
        <f>IFERROR(INDEX(WaterUseH2[Average Direct Water Consumption (Gal/ kg h2)],MATCH(LEFT(D75,3),WaterUseH2[Key],0)),0)</f>
        <v>4.0999999999999996</v>
      </c>
      <c r="S75" s="15">
        <f t="shared" si="8"/>
        <v>3141.5111111111073</v>
      </c>
    </row>
    <row r="76" spans="1:19" x14ac:dyDescent="0.35">
      <c r="A76" t="s">
        <v>107</v>
      </c>
      <c r="B76">
        <v>2035</v>
      </c>
      <c r="C76" t="s">
        <v>78</v>
      </c>
      <c r="D76" t="s">
        <v>79</v>
      </c>
      <c r="E76" s="13">
        <f>SUMIFS(Hydrogen!$AD:$AD,Hydrogen!$Y:$Y,$D76,Hydrogen!$AB:$AB,Predev_Scenarios!$B34,Hydrogen!$AA:$AA,$A76)</f>
        <v>951111.11111111077</v>
      </c>
      <c r="F76" s="14" t="s">
        <v>108</v>
      </c>
      <c r="G76" s="14">
        <f>SUMIFS(Hydrogen!$AC:$AC,Hydrogen!$Y:$Y,$D76,Hydrogen!$AB:$AB,Predev_Scenarios!$B76,Hydrogen!$AA:$AA,$A76)</f>
        <v>0.1141333333333333</v>
      </c>
      <c r="H76" s="13" t="str">
        <f>IF(C76="Electricity",E76*SUMIFS(Electricity!S:S,Electricity!P:P,Predev_Scenarios!B76,Electricity!M:M,Predev_Scenarios!A76,Electricity!O:O,Predev_Scenarios!D76),"")</f>
        <v/>
      </c>
      <c r="I76" s="12">
        <f>SUMIFS(Hydrogen!AK:AK,Hydrogen!$AA:$AA,Predev_Scenarios!$A76,Hydrogen!$Y:$Y,Predev_Scenarios!$D76,Hydrogen!$AB:$AB,Predev_Scenarios!$B76,Hydrogen!$Z:$Z,Predev_Scenarios!$C76)</f>
        <v>-81.851658919879185</v>
      </c>
      <c r="J76" s="12">
        <f>SUMIFS(Hydrogen!AL:AL,Hydrogen!$AA:$AA,Predev_Scenarios!$A76,Hydrogen!$Y:$Y,Predev_Scenarios!$D76,Hydrogen!$AB:$AB,Predev_Scenarios!$B76,Hydrogen!$Z:$Z,Predev_Scenarios!$C76)</f>
        <v>-73.763317839758358</v>
      </c>
      <c r="K76" s="12">
        <f>SUMIFS(Hydrogen!AM:AM,Hydrogen!$AA:$AA,Predev_Scenarios!$A76,Hydrogen!$Y:$Y,Predev_Scenarios!$D76,Hydrogen!$AB:$AB,Predev_Scenarios!$B76,Hydrogen!$Z:$Z,Predev_Scenarios!$C76)</f>
        <v>-89.94</v>
      </c>
      <c r="L76" s="63">
        <f t="shared" si="5"/>
        <v>9.3420026713888742</v>
      </c>
      <c r="M76" s="63">
        <f t="shared" si="6"/>
        <v>8.4188533427777514</v>
      </c>
      <c r="N76" s="63">
        <f t="shared" si="7"/>
        <v>10.265151999999997</v>
      </c>
      <c r="O76" s="30">
        <f>IF(OR(LEFT($D76,5)="Solar",$D76="Wind"),INDEX(Land_Use[AVG],MATCH(LEFT($D76,5),Land_Use[Tech],0)),0)*$E76</f>
        <v>0</v>
      </c>
      <c r="P76" s="30">
        <f>IF(OR(LEFT($D76,5)="Solar",$D76="Wind"),INDEX(Land_Use[MIN],MATCH(LEFT($D76,5),Land_Use[Tech],0)),0)*$E76</f>
        <v>0</v>
      </c>
      <c r="Q76" s="30">
        <f>IF(OR(LEFT($D76,5)="Solar",$D76="Wind"),INDEX(Land_Use[MAX],MATCH(LEFT($D76,5),Land_Use[Tech],0)),0)*$E76</f>
        <v>0</v>
      </c>
      <c r="R76" s="31">
        <f>IFERROR(INDEX(WaterUseH2[Average Direct Water Consumption (Gal/ kg h2)],MATCH(LEFT(D76,3),WaterUseH2[Key],0)),0)</f>
        <v>4.0999999999999996</v>
      </c>
      <c r="S76" s="15">
        <f t="shared" si="8"/>
        <v>3899.5555555555534</v>
      </c>
    </row>
    <row r="77" spans="1:19" x14ac:dyDescent="0.35">
      <c r="A77" t="s">
        <v>107</v>
      </c>
      <c r="B77">
        <v>2036</v>
      </c>
      <c r="C77" t="s">
        <v>78</v>
      </c>
      <c r="D77" t="s">
        <v>79</v>
      </c>
      <c r="E77" s="13">
        <f>SUMIFS(Hydrogen!$AD:$AD,Hydrogen!$Y:$Y,$D77,Hydrogen!$AB:$AB,Predev_Scenarios!$B35,Hydrogen!$AA:$AA,$A77)</f>
        <v>1136000</v>
      </c>
      <c r="F77" s="14" t="s">
        <v>108</v>
      </c>
      <c r="G77" s="14">
        <f>SUMIFS(Hydrogen!$AC:$AC,Hydrogen!$Y:$Y,$D77,Hydrogen!$AB:$AB,Predev_Scenarios!$B77,Hydrogen!$AA:$AA,$A77)</f>
        <v>0.13632</v>
      </c>
      <c r="H77" s="13" t="str">
        <f>IF(C77="Electricity",E77*SUMIFS(Electricity!S:S,Electricity!P:P,Predev_Scenarios!B77,Electricity!M:M,Predev_Scenarios!A77,Electricity!O:O,Predev_Scenarios!D77),"")</f>
        <v/>
      </c>
      <c r="I77" s="12">
        <f>SUMIFS(Hydrogen!AK:AK,Hydrogen!$AA:$AA,Predev_Scenarios!$A77,Hydrogen!$Y:$Y,Predev_Scenarios!$D77,Hydrogen!$AB:$AB,Predev_Scenarios!$B77,Hydrogen!$Z:$Z,Predev_Scenarios!$C77)</f>
        <v>-80.61437315283149</v>
      </c>
      <c r="J77" s="12">
        <f>SUMIFS(Hydrogen!AL:AL,Hydrogen!$AA:$AA,Predev_Scenarios!$A77,Hydrogen!$Y:$Y,Predev_Scenarios!$D77,Hydrogen!$AB:$AB,Predev_Scenarios!$B77,Hydrogen!$Z:$Z,Predev_Scenarios!$C77)</f>
        <v>-71.288746305662997</v>
      </c>
      <c r="K77" s="12">
        <f>SUMIFS(Hydrogen!AM:AM,Hydrogen!$AA:$AA,Predev_Scenarios!$A77,Hydrogen!$Y:$Y,Predev_Scenarios!$D77,Hydrogen!$AB:$AB,Predev_Scenarios!$B77,Hydrogen!$Z:$Z,Predev_Scenarios!$C77)</f>
        <v>-89.94</v>
      </c>
      <c r="L77" s="63">
        <f t="shared" si="5"/>
        <v>10.989351348193988</v>
      </c>
      <c r="M77" s="63">
        <f t="shared" si="6"/>
        <v>9.7180818963879787</v>
      </c>
      <c r="N77" s="63">
        <f t="shared" si="7"/>
        <v>12.2606208</v>
      </c>
      <c r="O77" s="30">
        <f>IF(OR(LEFT($D77,5)="Solar",$D77="Wind"),INDEX(Land_Use[AVG],MATCH(LEFT($D77,5),Land_Use[Tech],0)),0)*$E77</f>
        <v>0</v>
      </c>
      <c r="P77" s="30">
        <f>IF(OR(LEFT($D77,5)="Solar",$D77="Wind"),INDEX(Land_Use[MIN],MATCH(LEFT($D77,5),Land_Use[Tech],0)),0)*$E77</f>
        <v>0</v>
      </c>
      <c r="Q77" s="30">
        <f>IF(OR(LEFT($D77,5)="Solar",$D77="Wind"),INDEX(Land_Use[MAX],MATCH(LEFT($D77,5),Land_Use[Tech],0)),0)*$E77</f>
        <v>0</v>
      </c>
      <c r="R77" s="31">
        <f>IFERROR(INDEX(WaterUseH2[Average Direct Water Consumption (Gal/ kg h2)],MATCH(LEFT(D77,3),WaterUseH2[Key],0)),0)</f>
        <v>4.0999999999999996</v>
      </c>
      <c r="S77" s="15">
        <f t="shared" si="8"/>
        <v>4657.6000000000004</v>
      </c>
    </row>
    <row r="78" spans="1:19" x14ac:dyDescent="0.35">
      <c r="A78" t="s">
        <v>107</v>
      </c>
      <c r="B78">
        <v>2037</v>
      </c>
      <c r="C78" t="s">
        <v>78</v>
      </c>
      <c r="D78" t="s">
        <v>79</v>
      </c>
      <c r="E78" s="13">
        <f>SUMIFS(Hydrogen!$AD:$AD,Hydrogen!$Y:$Y,$D78,Hydrogen!$AB:$AB,Predev_Scenarios!$B36,Hydrogen!$AA:$AA,$A78)</f>
        <v>1320888.8888888878</v>
      </c>
      <c r="F78" s="14" t="s">
        <v>108</v>
      </c>
      <c r="G78" s="14">
        <f>SUMIFS(Hydrogen!$AC:$AC,Hydrogen!$Y:$Y,$D78,Hydrogen!$AB:$AB,Predev_Scenarios!$B78,Hydrogen!$AA:$AA,$A78)</f>
        <v>0.15850666666666655</v>
      </c>
      <c r="H78" s="13" t="str">
        <f>IF(C78="Electricity",E78*SUMIFS(Electricity!S:S,Electricity!P:P,Predev_Scenarios!B78,Electricity!M:M,Predev_Scenarios!A78,Electricity!O:O,Predev_Scenarios!D78),"")</f>
        <v/>
      </c>
      <c r="I78" s="12">
        <f>SUMIFS(Hydrogen!AK:AK,Hydrogen!$AA:$AA,Predev_Scenarios!$A78,Hydrogen!$Y:$Y,Predev_Scenarios!$D78,Hydrogen!$AB:$AB,Predev_Scenarios!$B78,Hydrogen!$Z:$Z,Predev_Scenarios!$C78)</f>
        <v>-79.335883938555213</v>
      </c>
      <c r="J78" s="12">
        <f>SUMIFS(Hydrogen!AL:AL,Hydrogen!$AA:$AA,Predev_Scenarios!$A78,Hydrogen!$Y:$Y,Predev_Scenarios!$D78,Hydrogen!$AB:$AB,Predev_Scenarios!$B78,Hydrogen!$Z:$Z,Predev_Scenarios!$C78)</f>
        <v>-68.731767877110443</v>
      </c>
      <c r="K78" s="12">
        <f>SUMIFS(Hydrogen!AM:AM,Hydrogen!$AA:$AA,Predev_Scenarios!$A78,Hydrogen!$Y:$Y,Predev_Scenarios!$D78,Hydrogen!$AB:$AB,Predev_Scenarios!$B78,Hydrogen!$Z:$Z,Predev_Scenarios!$C78)</f>
        <v>-89.94</v>
      </c>
      <c r="L78" s="63">
        <f t="shared" si="5"/>
        <v>12.575266510153915</v>
      </c>
      <c r="M78" s="63">
        <f t="shared" si="6"/>
        <v>10.894443420307844</v>
      </c>
      <c r="N78" s="63">
        <f t="shared" si="7"/>
        <v>14.256089599999989</v>
      </c>
      <c r="O78" s="30">
        <f>IF(OR(LEFT($D78,5)="Solar",$D78="Wind"),INDEX(Land_Use[AVG],MATCH(LEFT($D78,5),Land_Use[Tech],0)),0)*$E78</f>
        <v>0</v>
      </c>
      <c r="P78" s="30">
        <f>IF(OR(LEFT($D78,5)="Solar",$D78="Wind"),INDEX(Land_Use[MIN],MATCH(LEFT($D78,5),Land_Use[Tech],0)),0)*$E78</f>
        <v>0</v>
      </c>
      <c r="Q78" s="30">
        <f>IF(OR(LEFT($D78,5)="Solar",$D78="Wind"),INDEX(Land_Use[MAX],MATCH(LEFT($D78,5),Land_Use[Tech],0)),0)*$E78</f>
        <v>0</v>
      </c>
      <c r="R78" s="31">
        <f>IFERROR(INDEX(WaterUseH2[Average Direct Water Consumption (Gal/ kg h2)],MATCH(LEFT(D78,3),WaterUseH2[Key],0)),0)</f>
        <v>4.0999999999999996</v>
      </c>
      <c r="S78" s="15">
        <f t="shared" si="8"/>
        <v>5415.6444444444387</v>
      </c>
    </row>
    <row r="79" spans="1:19" x14ac:dyDescent="0.35">
      <c r="A79" t="s">
        <v>107</v>
      </c>
      <c r="B79">
        <v>2038</v>
      </c>
      <c r="C79" t="s">
        <v>78</v>
      </c>
      <c r="D79" t="s">
        <v>79</v>
      </c>
      <c r="E79" s="13">
        <f>SUMIFS(Hydrogen!$AD:$AD,Hydrogen!$Y:$Y,$D79,Hydrogen!$AB:$AB,Predev_Scenarios!$B37,Hydrogen!$AA:$AA,$A79)</f>
        <v>1505777.7777777736</v>
      </c>
      <c r="F79" s="14" t="s">
        <v>108</v>
      </c>
      <c r="G79" s="14">
        <f>SUMIFS(Hydrogen!$AC:$AC,Hydrogen!$Y:$Y,$D79,Hydrogen!$AB:$AB,Predev_Scenarios!$B79,Hydrogen!$AA:$AA,$A79)</f>
        <v>0.18069333333333282</v>
      </c>
      <c r="H79" s="13" t="str">
        <f>IF(C79="Electricity",E79*SUMIFS(Electricity!S:S,Electricity!P:P,Predev_Scenarios!B79,Electricity!M:M,Predev_Scenarios!A79,Electricity!O:O,Predev_Scenarios!D79),"")</f>
        <v/>
      </c>
      <c r="I79" s="12">
        <f>SUMIFS(Hydrogen!AK:AK,Hydrogen!$AA:$AA,Predev_Scenarios!$A79,Hydrogen!$Y:$Y,Predev_Scenarios!$D79,Hydrogen!$AB:$AB,Predev_Scenarios!$B79,Hydrogen!$Z:$Z,Predev_Scenarios!$C79)</f>
        <v>-78.06454718759943</v>
      </c>
      <c r="J79" s="12">
        <f>SUMIFS(Hydrogen!AL:AL,Hydrogen!$AA:$AA,Predev_Scenarios!$A79,Hydrogen!$Y:$Y,Predev_Scenarios!$D79,Hydrogen!$AB:$AB,Predev_Scenarios!$B79,Hydrogen!$Z:$Z,Predev_Scenarios!$C79)</f>
        <v>-66.189094375198863</v>
      </c>
      <c r="K79" s="12">
        <f>SUMIFS(Hydrogen!AM:AM,Hydrogen!$AA:$AA,Predev_Scenarios!$A79,Hydrogen!$Y:$Y,Predev_Scenarios!$D79,Hydrogen!$AB:$AB,Predev_Scenarios!$B79,Hydrogen!$Z:$Z,Predev_Scenarios!$C79)</f>
        <v>-89.94</v>
      </c>
      <c r="L79" s="63">
        <f t="shared" si="5"/>
        <v>14.105743246484593</v>
      </c>
      <c r="M79" s="63">
        <f t="shared" si="6"/>
        <v>11.959928092969232</v>
      </c>
      <c r="N79" s="63">
        <f t="shared" si="7"/>
        <v>16.251558399999954</v>
      </c>
      <c r="O79" s="30">
        <f>IF(OR(LEFT($D79,5)="Solar",$D79="Wind"),INDEX(Land_Use[AVG],MATCH(LEFT($D79,5),Land_Use[Tech],0)),0)*$E79</f>
        <v>0</v>
      </c>
      <c r="P79" s="30">
        <f>IF(OR(LEFT($D79,5)="Solar",$D79="Wind"),INDEX(Land_Use[MIN],MATCH(LEFT($D79,5),Land_Use[Tech],0)),0)*$E79</f>
        <v>0</v>
      </c>
      <c r="Q79" s="30">
        <f>IF(OR(LEFT($D79,5)="Solar",$D79="Wind"),INDEX(Land_Use[MAX],MATCH(LEFT($D79,5),Land_Use[Tech],0)),0)*$E79</f>
        <v>0</v>
      </c>
      <c r="R79" s="31">
        <f>IFERROR(INDEX(WaterUseH2[Average Direct Water Consumption (Gal/ kg h2)],MATCH(LEFT(D79,3),WaterUseH2[Key],0)),0)</f>
        <v>4.0999999999999996</v>
      </c>
      <c r="S79" s="15">
        <f t="shared" si="8"/>
        <v>6173.6888888888716</v>
      </c>
    </row>
    <row r="80" spans="1:19" x14ac:dyDescent="0.35">
      <c r="A80" t="s">
        <v>107</v>
      </c>
      <c r="B80">
        <v>2039</v>
      </c>
      <c r="C80" t="s">
        <v>78</v>
      </c>
      <c r="D80" t="s">
        <v>79</v>
      </c>
      <c r="E80" s="13">
        <f>SUMIFS(Hydrogen!$AD:$AD,Hydrogen!$Y:$Y,$D80,Hydrogen!$AB:$AB,Predev_Scenarios!$B38,Hydrogen!$AA:$AA,$A80)</f>
        <v>1690666.6666666667</v>
      </c>
      <c r="F80" s="14" t="s">
        <v>108</v>
      </c>
      <c r="G80" s="14">
        <f>SUMIFS(Hydrogen!$AC:$AC,Hydrogen!$Y:$Y,$D80,Hydrogen!$AB:$AB,Predev_Scenarios!$B80,Hydrogen!$AA:$AA,$A80)</f>
        <v>0.20288</v>
      </c>
      <c r="H80" s="13" t="str">
        <f>IF(C80="Electricity",E80*SUMIFS(Electricity!S:S,Electricity!P:P,Predev_Scenarios!B80,Electricity!M:M,Predev_Scenarios!A80,Electricity!O:O,Predev_Scenarios!D80),"")</f>
        <v/>
      </c>
      <c r="I80" s="12">
        <f>SUMIFS(Hydrogen!AK:AK,Hydrogen!$AA:$AA,Predev_Scenarios!$A80,Hydrogen!$Y:$Y,Predev_Scenarios!$D80,Hydrogen!$AB:$AB,Predev_Scenarios!$B80,Hydrogen!$Z:$Z,Predev_Scenarios!$C80)</f>
        <v>-76.763478799936607</v>
      </c>
      <c r="J80" s="12">
        <f>SUMIFS(Hydrogen!AL:AL,Hydrogen!$AA:$AA,Predev_Scenarios!$A80,Hydrogen!$Y:$Y,Predev_Scenarios!$D80,Hydrogen!$AB:$AB,Predev_Scenarios!$B80,Hydrogen!$Z:$Z,Predev_Scenarios!$C80)</f>
        <v>-63.586957599873223</v>
      </c>
      <c r="K80" s="12">
        <f>SUMIFS(Hydrogen!AM:AM,Hydrogen!$AA:$AA,Predev_Scenarios!$A80,Hydrogen!$Y:$Y,Predev_Scenarios!$D80,Hydrogen!$AB:$AB,Predev_Scenarios!$B80,Hydrogen!$Z:$Z,Predev_Scenarios!$C80)</f>
        <v>-89.94</v>
      </c>
      <c r="L80" s="63">
        <f t="shared" si="5"/>
        <v>15.57377457893114</v>
      </c>
      <c r="M80" s="63">
        <f t="shared" si="6"/>
        <v>12.90052195786228</v>
      </c>
      <c r="N80" s="63">
        <f t="shared" si="7"/>
        <v>18.247027200000002</v>
      </c>
      <c r="O80" s="30">
        <f>IF(OR(LEFT($D80,5)="Solar",$D80="Wind"),INDEX(Land_Use[AVG],MATCH(LEFT($D80,5),Land_Use[Tech],0)),0)*$E80</f>
        <v>0</v>
      </c>
      <c r="P80" s="30">
        <f>IF(OR(LEFT($D80,5)="Solar",$D80="Wind"),INDEX(Land_Use[MIN],MATCH(LEFT($D80,5),Land_Use[Tech],0)),0)*$E80</f>
        <v>0</v>
      </c>
      <c r="Q80" s="30">
        <f>IF(OR(LEFT($D80,5)="Solar",$D80="Wind"),INDEX(Land_Use[MAX],MATCH(LEFT($D80,5),Land_Use[Tech],0)),0)*$E80</f>
        <v>0</v>
      </c>
      <c r="R80" s="31">
        <f>IFERROR(INDEX(WaterUseH2[Average Direct Water Consumption (Gal/ kg h2)],MATCH(LEFT(D80,3),WaterUseH2[Key],0)),0)</f>
        <v>4.0999999999999996</v>
      </c>
      <c r="S80" s="15">
        <f t="shared" si="8"/>
        <v>6931.7333333333327</v>
      </c>
    </row>
    <row r="81" spans="1:19" x14ac:dyDescent="0.35">
      <c r="A81" t="s">
        <v>107</v>
      </c>
      <c r="B81">
        <v>2040</v>
      </c>
      <c r="C81" t="s">
        <v>78</v>
      </c>
      <c r="D81" t="s">
        <v>79</v>
      </c>
      <c r="E81" s="13">
        <f>SUMIFS(Hydrogen!$AD:$AD,Hydrogen!$Y:$Y,$D81,Hydrogen!$AB:$AB,Predev_Scenarios!$B39,Hydrogen!$AA:$AA,$A81)</f>
        <v>1875555.5555555467</v>
      </c>
      <c r="F81" s="14" t="s">
        <v>108</v>
      </c>
      <c r="G81" s="14">
        <f>SUMIFS(Hydrogen!$AC:$AC,Hydrogen!$Y:$Y,$D81,Hydrogen!$AB:$AB,Predev_Scenarios!$B81,Hydrogen!$AA:$AA,$A81)</f>
        <v>0.22506666666666561</v>
      </c>
      <c r="H81" s="13" t="str">
        <f>IF(C81="Electricity",E81*SUMIFS(Electricity!S:S,Electricity!P:P,Predev_Scenarios!B81,Electricity!M:M,Predev_Scenarios!A81,Electricity!O:O,Predev_Scenarios!D81),"")</f>
        <v/>
      </c>
      <c r="I81" s="12">
        <f>SUMIFS(Hydrogen!AK:AK,Hydrogen!$AA:$AA,Predev_Scenarios!$A81,Hydrogen!$Y:$Y,Predev_Scenarios!$D81,Hydrogen!$AB:$AB,Predev_Scenarios!$B81,Hydrogen!$Z:$Z,Predev_Scenarios!$C81)</f>
        <v>-75.441275707781514</v>
      </c>
      <c r="J81" s="12">
        <f>SUMIFS(Hydrogen!AL:AL,Hydrogen!$AA:$AA,Predev_Scenarios!$A81,Hydrogen!$Y:$Y,Predev_Scenarios!$D81,Hydrogen!$AB:$AB,Predev_Scenarios!$B81,Hydrogen!$Z:$Z,Predev_Scenarios!$C81)</f>
        <v>-60.942551415563038</v>
      </c>
      <c r="K81" s="12">
        <f>SUMIFS(Hydrogen!AM:AM,Hydrogen!$AA:$AA,Predev_Scenarios!$A81,Hydrogen!$Y:$Y,Predev_Scenarios!$D81,Hydrogen!$AB:$AB,Predev_Scenarios!$B81,Hydrogen!$Z:$Z,Predev_Scenarios!$C81)</f>
        <v>-89.94</v>
      </c>
      <c r="L81" s="63">
        <f t="shared" si="5"/>
        <v>16.979316452631281</v>
      </c>
      <c r="M81" s="63">
        <f t="shared" si="6"/>
        <v>13.716136905262656</v>
      </c>
      <c r="N81" s="63">
        <f t="shared" si="7"/>
        <v>20.242495999999903</v>
      </c>
      <c r="O81" s="30">
        <f>IF(OR(LEFT($D81,5)="Solar",$D81="Wind"),INDEX(Land_Use[AVG],MATCH(LEFT($D81,5),Land_Use[Tech],0)),0)*$E81</f>
        <v>0</v>
      </c>
      <c r="P81" s="30">
        <f>IF(OR(LEFT($D81,5)="Solar",$D81="Wind"),INDEX(Land_Use[MIN],MATCH(LEFT($D81,5),Land_Use[Tech],0)),0)*$E81</f>
        <v>0</v>
      </c>
      <c r="Q81" s="30">
        <f>IF(OR(LEFT($D81,5)="Solar",$D81="Wind"),INDEX(Land_Use[MAX],MATCH(LEFT($D81,5),Land_Use[Tech],0)),0)*$E81</f>
        <v>0</v>
      </c>
      <c r="R81" s="31">
        <f>IFERROR(INDEX(WaterUseH2[Average Direct Water Consumption (Gal/ kg h2)],MATCH(LEFT(D81,3),WaterUseH2[Key],0)),0)</f>
        <v>4.0999999999999996</v>
      </c>
      <c r="S81" s="15">
        <f t="shared" si="8"/>
        <v>7689.7777777777401</v>
      </c>
    </row>
    <row r="82" spans="1:19" x14ac:dyDescent="0.35">
      <c r="A82" t="s">
        <v>107</v>
      </c>
      <c r="B82">
        <v>2041</v>
      </c>
      <c r="C82" t="s">
        <v>78</v>
      </c>
      <c r="D82" t="s">
        <v>79</v>
      </c>
      <c r="E82" s="13">
        <f>SUMIFS(Hydrogen!$AD:$AD,Hydrogen!$Y:$Y,$D82,Hydrogen!$AB:$AB,Predev_Scenarios!$B40,Hydrogen!$AA:$AA,$A82)</f>
        <v>2060444.4444444396</v>
      </c>
      <c r="F82" s="14" t="s">
        <v>108</v>
      </c>
      <c r="G82" s="14">
        <f>SUMIFS(Hydrogen!$AC:$AC,Hydrogen!$Y:$Y,$D82,Hydrogen!$AB:$AB,Predev_Scenarios!$B82,Hydrogen!$AA:$AA,$A82)</f>
        <v>0.24725333333333277</v>
      </c>
      <c r="H82" s="13" t="str">
        <f>IF(C82="Electricity",E82*SUMIFS(Electricity!S:S,Electricity!P:P,Predev_Scenarios!B82,Electricity!M:M,Predev_Scenarios!A82,Electricity!O:O,Predev_Scenarios!D82),"")</f>
        <v/>
      </c>
      <c r="I82" s="12">
        <f>SUMIFS(Hydrogen!AK:AK,Hydrogen!$AA:$AA,Predev_Scenarios!$A82,Hydrogen!$Y:$Y,Predev_Scenarios!$D82,Hydrogen!$AB:$AB,Predev_Scenarios!$B82,Hydrogen!$Z:$Z,Predev_Scenarios!$C82)</f>
        <v>-74.127245588482751</v>
      </c>
      <c r="J82" s="12">
        <f>SUMIFS(Hydrogen!AL:AL,Hydrogen!$AA:$AA,Predev_Scenarios!$A82,Hydrogen!$Y:$Y,Predev_Scenarios!$D82,Hydrogen!$AB:$AB,Predev_Scenarios!$B82,Hydrogen!$Z:$Z,Predev_Scenarios!$C82)</f>
        <v>-58.314491176965511</v>
      </c>
      <c r="K82" s="12">
        <f>SUMIFS(Hydrogen!AM:AM,Hydrogen!$AA:$AA,Predev_Scenarios!$A82,Hydrogen!$Y:$Y,Predev_Scenarios!$D82,Hydrogen!$AB:$AB,Predev_Scenarios!$B82,Hydrogen!$Z:$Z,Predev_Scenarios!$C82)</f>
        <v>-89.94</v>
      </c>
      <c r="L82" s="63">
        <f t="shared" si="5"/>
        <v>18.328208562570946</v>
      </c>
      <c r="M82" s="63">
        <f t="shared" si="6"/>
        <v>14.418452325141946</v>
      </c>
      <c r="N82" s="63">
        <f t="shared" si="7"/>
        <v>22.237964799999947</v>
      </c>
      <c r="O82" s="30">
        <f>IF(OR(LEFT($D82,5)="Solar",$D82="Wind"),INDEX(Land_Use[AVG],MATCH(LEFT($D82,5),Land_Use[Tech],0)),0)*$E82</f>
        <v>0</v>
      </c>
      <c r="P82" s="30">
        <f>IF(OR(LEFT($D82,5)="Solar",$D82="Wind"),INDEX(Land_Use[MIN],MATCH(LEFT($D82,5),Land_Use[Tech],0)),0)*$E82</f>
        <v>0</v>
      </c>
      <c r="Q82" s="30">
        <f>IF(OR(LEFT($D82,5)="Solar",$D82="Wind"),INDEX(Land_Use[MAX],MATCH(LEFT($D82,5),Land_Use[Tech],0)),0)*$E82</f>
        <v>0</v>
      </c>
      <c r="R82" s="31">
        <f>IFERROR(INDEX(WaterUseH2[Average Direct Water Consumption (Gal/ kg h2)],MATCH(LEFT(D82,3),WaterUseH2[Key],0)),0)</f>
        <v>4.0999999999999996</v>
      </c>
      <c r="S82" s="15">
        <f t="shared" si="8"/>
        <v>8447.8222222222012</v>
      </c>
    </row>
    <row r="83" spans="1:19" x14ac:dyDescent="0.35">
      <c r="A83" t="s">
        <v>107</v>
      </c>
      <c r="B83">
        <v>2042</v>
      </c>
      <c r="C83" t="s">
        <v>78</v>
      </c>
      <c r="D83" t="s">
        <v>79</v>
      </c>
      <c r="E83" s="13">
        <f>SUMIFS(Hydrogen!$AD:$AD,Hydrogen!$Y:$Y,$D83,Hydrogen!$AB:$AB,Predev_Scenarios!$B41,Hydrogen!$AA:$AA,$A83)</f>
        <v>2245333.3333333335</v>
      </c>
      <c r="F83" s="14" t="s">
        <v>108</v>
      </c>
      <c r="G83" s="14">
        <f>SUMIFS(Hydrogen!$AC:$AC,Hydrogen!$Y:$Y,$D83,Hydrogen!$AB:$AB,Predev_Scenarios!$B83,Hydrogen!$AA:$AA,$A83)</f>
        <v>0.26944000000000001</v>
      </c>
      <c r="H83" s="13" t="str">
        <f>IF(C83="Electricity",E83*SUMIFS(Electricity!S:S,Electricity!P:P,Predev_Scenarios!B83,Electricity!M:M,Predev_Scenarios!A83,Electricity!O:O,Predev_Scenarios!D83),"")</f>
        <v/>
      </c>
      <c r="I83" s="12">
        <f>SUMIFS(Hydrogen!AK:AK,Hydrogen!$AA:$AA,Predev_Scenarios!$A83,Hydrogen!$Y:$Y,Predev_Scenarios!$D83,Hydrogen!$AB:$AB,Predev_Scenarios!$B83,Hydrogen!$Z:$Z,Predev_Scenarios!$C83)</f>
        <v>-72.85430635778954</v>
      </c>
      <c r="J83" s="12">
        <f>SUMIFS(Hydrogen!AL:AL,Hydrogen!$AA:$AA,Predev_Scenarios!$A83,Hydrogen!$Y:$Y,Predev_Scenarios!$D83,Hydrogen!$AB:$AB,Predev_Scenarios!$B83,Hydrogen!$Z:$Z,Predev_Scenarios!$C83)</f>
        <v>-55.768612715579074</v>
      </c>
      <c r="K83" s="12">
        <f>SUMIFS(Hydrogen!AM:AM,Hydrogen!$AA:$AA,Predev_Scenarios!$A83,Hydrogen!$Y:$Y,Predev_Scenarios!$D83,Hydrogen!$AB:$AB,Predev_Scenarios!$B83,Hydrogen!$Z:$Z,Predev_Scenarios!$C83)</f>
        <v>-89.94</v>
      </c>
      <c r="L83" s="63">
        <f t="shared" si="5"/>
        <v>19.629864305042815</v>
      </c>
      <c r="M83" s="63">
        <f t="shared" si="6"/>
        <v>15.026295010085626</v>
      </c>
      <c r="N83" s="63">
        <f t="shared" si="7"/>
        <v>24.233433600000001</v>
      </c>
      <c r="O83" s="30">
        <f>IF(OR(LEFT($D83,5)="Solar",$D83="Wind"),INDEX(Land_Use[AVG],MATCH(LEFT($D83,5),Land_Use[Tech],0)),0)*$E83</f>
        <v>0</v>
      </c>
      <c r="P83" s="30">
        <f>IF(OR(LEFT($D83,5)="Solar",$D83="Wind"),INDEX(Land_Use[MIN],MATCH(LEFT($D83,5),Land_Use[Tech],0)),0)*$E83</f>
        <v>0</v>
      </c>
      <c r="Q83" s="30">
        <f>IF(OR(LEFT($D83,5)="Solar",$D83="Wind"),INDEX(Land_Use[MAX],MATCH(LEFT($D83,5),Land_Use[Tech],0)),0)*$E83</f>
        <v>0</v>
      </c>
      <c r="R83" s="31">
        <f>IFERROR(INDEX(WaterUseH2[Average Direct Water Consumption (Gal/ kg h2)],MATCH(LEFT(D83,3),WaterUseH2[Key],0)),0)</f>
        <v>4.0999999999999996</v>
      </c>
      <c r="S83" s="15">
        <f t="shared" si="8"/>
        <v>9205.8666666666668</v>
      </c>
    </row>
    <row r="84" spans="1:19" x14ac:dyDescent="0.35">
      <c r="A84" t="s">
        <v>107</v>
      </c>
      <c r="B84">
        <v>2043</v>
      </c>
      <c r="C84" t="s">
        <v>78</v>
      </c>
      <c r="D84" t="s">
        <v>79</v>
      </c>
      <c r="E84" s="13">
        <f>SUMIFS(Hydrogen!$AD:$AD,Hydrogen!$Y:$Y,$D84,Hydrogen!$AB:$AB,Predev_Scenarios!$B42,Hydrogen!$AA:$AA,$A84)</f>
        <v>2430222.2222222132</v>
      </c>
      <c r="F84" s="14" t="s">
        <v>108</v>
      </c>
      <c r="G84" s="14">
        <f>SUMIFS(Hydrogen!$AC:$AC,Hydrogen!$Y:$Y,$D84,Hydrogen!$AB:$AB,Predev_Scenarios!$B84,Hydrogen!$AA:$AA,$A84)</f>
        <v>0.29162666666666559</v>
      </c>
      <c r="H84" s="13" t="str">
        <f>IF(C84="Electricity",E84*SUMIFS(Electricity!S:S,Electricity!P:P,Predev_Scenarios!B84,Electricity!M:M,Predev_Scenarios!A84,Electricity!O:O,Predev_Scenarios!D84),"")</f>
        <v/>
      </c>
      <c r="I84" s="12">
        <f>SUMIFS(Hydrogen!AK:AK,Hydrogen!$AA:$AA,Predev_Scenarios!$A84,Hydrogen!$Y:$Y,Predev_Scenarios!$D84,Hydrogen!$AB:$AB,Predev_Scenarios!$B84,Hydrogen!$Z:$Z,Predev_Scenarios!$C84)</f>
        <v>-71.632704261559752</v>
      </c>
      <c r="J84" s="12">
        <f>SUMIFS(Hydrogen!AL:AL,Hydrogen!$AA:$AA,Predev_Scenarios!$A84,Hydrogen!$Y:$Y,Predev_Scenarios!$D84,Hydrogen!$AB:$AB,Predev_Scenarios!$B84,Hydrogen!$Z:$Z,Predev_Scenarios!$C84)</f>
        <v>-53.325408523119506</v>
      </c>
      <c r="K84" s="12">
        <f>SUMIFS(Hydrogen!AM:AM,Hydrogen!$AA:$AA,Predev_Scenarios!$A84,Hydrogen!$Y:$Y,Predev_Scenarios!$D84,Hydrogen!$AB:$AB,Predev_Scenarios!$B84,Hydrogen!$Z:$Z,Predev_Scenarios!$C84)</f>
        <v>-89.94</v>
      </c>
      <c r="L84" s="63">
        <f t="shared" si="5"/>
        <v>20.890006768117722</v>
      </c>
      <c r="M84" s="63">
        <f t="shared" si="6"/>
        <v>15.551111136235541</v>
      </c>
      <c r="N84" s="63">
        <f t="shared" si="7"/>
        <v>26.228902399999903</v>
      </c>
      <c r="O84" s="30">
        <f>IF(OR(LEFT($D84,5)="Solar",$D84="Wind"),INDEX(Land_Use[AVG],MATCH(LEFT($D84,5),Land_Use[Tech],0)),0)*$E84</f>
        <v>0</v>
      </c>
      <c r="P84" s="30">
        <f>IF(OR(LEFT($D84,5)="Solar",$D84="Wind"),INDEX(Land_Use[MIN],MATCH(LEFT($D84,5),Land_Use[Tech],0)),0)*$E84</f>
        <v>0</v>
      </c>
      <c r="Q84" s="30">
        <f>IF(OR(LEFT($D84,5)="Solar",$D84="Wind"),INDEX(Land_Use[MAX],MATCH(LEFT($D84,5),Land_Use[Tech],0)),0)*$E84</f>
        <v>0</v>
      </c>
      <c r="R84" s="31">
        <f>IFERROR(INDEX(WaterUseH2[Average Direct Water Consumption (Gal/ kg h2)],MATCH(LEFT(D84,3),WaterUseH2[Key],0)),0)</f>
        <v>4.0999999999999996</v>
      </c>
      <c r="S84" s="15">
        <f t="shared" si="8"/>
        <v>9963.9111111110724</v>
      </c>
    </row>
    <row r="85" spans="1:19" x14ac:dyDescent="0.35">
      <c r="A85" t="s">
        <v>107</v>
      </c>
      <c r="B85">
        <v>2044</v>
      </c>
      <c r="C85" t="s">
        <v>78</v>
      </c>
      <c r="D85" t="s">
        <v>79</v>
      </c>
      <c r="E85" s="13">
        <f>SUMIFS(Hydrogen!$AD:$AD,Hydrogen!$Y:$Y,$D85,Hydrogen!$AB:$AB,Predev_Scenarios!$B43,Hydrogen!$AA:$AA,$A85)</f>
        <v>2615111.1111111064</v>
      </c>
      <c r="F85" s="14" t="s">
        <v>108</v>
      </c>
      <c r="G85" s="14">
        <f>SUMIFS(Hydrogen!$AC:$AC,Hydrogen!$Y:$Y,$D85,Hydrogen!$AB:$AB,Predev_Scenarios!$B85,Hydrogen!$AA:$AA,$A85)</f>
        <v>0.31381333333333278</v>
      </c>
      <c r="H85" s="13" t="str">
        <f>IF(C85="Electricity",E85*SUMIFS(Electricity!S:S,Electricity!P:P,Predev_Scenarios!B85,Electricity!M:M,Predev_Scenarios!A85,Electricity!O:O,Predev_Scenarios!D85),"")</f>
        <v/>
      </c>
      <c r="I85" s="12">
        <f>SUMIFS(Hydrogen!AK:AK,Hydrogen!$AA:$AA,Predev_Scenarios!$A85,Hydrogen!$Y:$Y,Predev_Scenarios!$D85,Hydrogen!$AB:$AB,Predev_Scenarios!$B85,Hydrogen!$Z:$Z,Predev_Scenarios!$C85)</f>
        <v>-70.480181196488871</v>
      </c>
      <c r="J85" s="12">
        <f>SUMIFS(Hydrogen!AL:AL,Hydrogen!$AA:$AA,Predev_Scenarios!$A85,Hydrogen!$Y:$Y,Predev_Scenarios!$D85,Hydrogen!$AB:$AB,Predev_Scenarios!$B85,Hydrogen!$Z:$Z,Predev_Scenarios!$C85)</f>
        <v>-51.020362392977738</v>
      </c>
      <c r="K85" s="12">
        <f>SUMIFS(Hydrogen!AM:AM,Hydrogen!$AA:$AA,Predev_Scenarios!$A85,Hydrogen!$Y:$Y,Predev_Scenarios!$D85,Hydrogen!$AB:$AB,Predev_Scenarios!$B85,Hydrogen!$Z:$Z,Predev_Scenarios!$C85)</f>
        <v>-89.94</v>
      </c>
      <c r="L85" s="63">
        <f t="shared" si="5"/>
        <v>22.117620595207455</v>
      </c>
      <c r="M85" s="63">
        <f t="shared" si="6"/>
        <v>16.01086999041496</v>
      </c>
      <c r="N85" s="63">
        <f t="shared" si="7"/>
        <v>28.22437119999995</v>
      </c>
      <c r="O85" s="30">
        <f>IF(OR(LEFT($D85,5)="Solar",$D85="Wind"),INDEX(Land_Use[AVG],MATCH(LEFT($D85,5),Land_Use[Tech],0)),0)*$E85</f>
        <v>0</v>
      </c>
      <c r="P85" s="30">
        <f>IF(OR(LEFT($D85,5)="Solar",$D85="Wind"),INDEX(Land_Use[MIN],MATCH(LEFT($D85,5),Land_Use[Tech],0)),0)*$E85</f>
        <v>0</v>
      </c>
      <c r="Q85" s="30">
        <f>IF(OR(LEFT($D85,5)="Solar",$D85="Wind"),INDEX(Land_Use[MAX],MATCH(LEFT($D85,5),Land_Use[Tech],0)),0)*$E85</f>
        <v>0</v>
      </c>
      <c r="R85" s="31">
        <f>IFERROR(INDEX(WaterUseH2[Average Direct Water Consumption (Gal/ kg h2)],MATCH(LEFT(D85,3),WaterUseH2[Key],0)),0)</f>
        <v>4.0999999999999996</v>
      </c>
      <c r="S85" s="15">
        <f t="shared" si="8"/>
        <v>10721.955555555536</v>
      </c>
    </row>
    <row r="86" spans="1:19" x14ac:dyDescent="0.35">
      <c r="A86" t="s">
        <v>107</v>
      </c>
      <c r="B86">
        <v>2045</v>
      </c>
      <c r="C86" t="s">
        <v>78</v>
      </c>
      <c r="D86" t="s">
        <v>79</v>
      </c>
      <c r="E86" s="13">
        <f>SUMIFS(Hydrogen!$AD:$AD,Hydrogen!$Y:$Y,$D86,Hydrogen!$AB:$AB,Predev_Scenarios!$B44,Hydrogen!$AA:$AA,$A86)</f>
        <v>2799999.9999999995</v>
      </c>
      <c r="F86" s="14" t="s">
        <v>108</v>
      </c>
      <c r="G86" s="14">
        <f>SUMIFS(Hydrogen!$AC:$AC,Hydrogen!$Y:$Y,$D86,Hydrogen!$AB:$AB,Predev_Scenarios!$B86,Hydrogen!$AA:$AA,$A86)</f>
        <v>0.33599999999999997</v>
      </c>
      <c r="H86" s="13" t="str">
        <f>IF(C86="Electricity",E86*SUMIFS(Electricity!S:S,Electricity!P:P,Predev_Scenarios!B86,Electricity!M:M,Predev_Scenarios!A86,Electricity!O:O,Predev_Scenarios!D86),"")</f>
        <v/>
      </c>
      <c r="I86" s="12">
        <f>SUMIFS(Hydrogen!AK:AK,Hydrogen!$AA:$AA,Predev_Scenarios!$A86,Hydrogen!$Y:$Y,Predev_Scenarios!$D86,Hydrogen!$AB:$AB,Predev_Scenarios!$B86,Hydrogen!$Z:$Z,Predev_Scenarios!$C86)</f>
        <v>-69.410544054153561</v>
      </c>
      <c r="J86" s="12">
        <f>SUMIFS(Hydrogen!AL:AL,Hydrogen!$AA:$AA,Predev_Scenarios!$A86,Hydrogen!$Y:$Y,Predev_Scenarios!$D86,Hydrogen!$AB:$AB,Predev_Scenarios!$B86,Hydrogen!$Z:$Z,Predev_Scenarios!$C86)</f>
        <v>-48.881088108307125</v>
      </c>
      <c r="K86" s="12">
        <f>SUMIFS(Hydrogen!AM:AM,Hydrogen!$AA:$AA,Predev_Scenarios!$A86,Hydrogen!$Y:$Y,Predev_Scenarios!$D86,Hydrogen!$AB:$AB,Predev_Scenarios!$B86,Hydrogen!$Z:$Z,Predev_Scenarios!$C86)</f>
        <v>-89.94</v>
      </c>
      <c r="L86" s="63">
        <f t="shared" si="5"/>
        <v>23.321942802195593</v>
      </c>
      <c r="M86" s="63">
        <f t="shared" si="6"/>
        <v>16.424045604391193</v>
      </c>
      <c r="N86" s="63">
        <f t="shared" si="7"/>
        <v>30.219839999999998</v>
      </c>
      <c r="O86" s="30">
        <f>IF(OR(LEFT($D86,5)="Solar",$D86="Wind"),INDEX(Land_Use[AVG],MATCH(LEFT($D86,5),Land_Use[Tech],0)),0)*$E86</f>
        <v>0</v>
      </c>
      <c r="P86" s="30">
        <f>IF(OR(LEFT($D86,5)="Solar",$D86="Wind"),INDEX(Land_Use[MIN],MATCH(LEFT($D86,5),Land_Use[Tech],0)),0)*$E86</f>
        <v>0</v>
      </c>
      <c r="Q86" s="30">
        <f>IF(OR(LEFT($D86,5)="Solar",$D86="Wind"),INDEX(Land_Use[MAX],MATCH(LEFT($D86,5),Land_Use[Tech],0)),0)*$E86</f>
        <v>0</v>
      </c>
      <c r="R86" s="31">
        <f>IFERROR(INDEX(WaterUseH2[Average Direct Water Consumption (Gal/ kg h2)],MATCH(LEFT(D86,3),WaterUseH2[Key],0)),0)</f>
        <v>4.0999999999999996</v>
      </c>
      <c r="S86" s="15">
        <f t="shared" si="8"/>
        <v>11479.999999999996</v>
      </c>
    </row>
    <row r="87" spans="1:19" x14ac:dyDescent="0.35">
      <c r="A87" t="s">
        <v>76</v>
      </c>
      <c r="B87">
        <v>2025</v>
      </c>
      <c r="C87" t="s">
        <v>78</v>
      </c>
      <c r="D87" t="s">
        <v>97</v>
      </c>
      <c r="E87" s="13">
        <f>SUMIFS(Hydrogen!S:S,Hydrogen!B:B,Predev_Scenarios!B87,Hydrogen!A:A,Predev_Scenarios!A87)</f>
        <v>0</v>
      </c>
      <c r="F87" t="s">
        <v>81</v>
      </c>
      <c r="H87" s="13" t="str">
        <f>IF(C87="Electricity",E87*SUMIFS(Electricity!S:S,Electricity!P:P,Predev_Scenarios!B87,Electricity!M:M,Predev_Scenarios!A87,Electricity!O:O,Predev_Scenarios!D87),"")</f>
        <v/>
      </c>
      <c r="I87" s="12"/>
      <c r="J87" s="12"/>
      <c r="K87" s="12"/>
      <c r="L87" s="63">
        <f t="shared" si="5"/>
        <v>0</v>
      </c>
      <c r="M87" s="63">
        <f t="shared" si="6"/>
        <v>0</v>
      </c>
      <c r="N87" s="63">
        <f t="shared" si="7"/>
        <v>0</v>
      </c>
      <c r="O87" s="30">
        <f>IF(OR(LEFT($D87,5)="Solar",$D87="Wind"),INDEX(Land_Use[AVG],MATCH(LEFT($D87,5),Land_Use[Tech],0)),0)*$E87</f>
        <v>0</v>
      </c>
      <c r="P87" s="30">
        <f>IF(OR(LEFT($D87,5)="Solar",$D87="Wind"),INDEX(Land_Use[MIN],MATCH(LEFT($D87,5),Land_Use[Tech],0)),0)*$E87</f>
        <v>0</v>
      </c>
      <c r="Q87" s="30">
        <f>IF(OR(LEFT($D87,5)="Solar",$D87="Wind"),INDEX(Land_Use[MAX],MATCH(LEFT($D87,5),Land_Use[Tech],0)),0)*$E87</f>
        <v>0</v>
      </c>
      <c r="R87" s="31">
        <f>IFERROR(INDEX(WaterUseH2[Average Direct Water Consumption (Gal/ kg h2)],MATCH(LEFT(D87,3),WaterUseH2[Key],0)),0)</f>
        <v>0</v>
      </c>
      <c r="S87" s="15">
        <f t="shared" si="8"/>
        <v>0</v>
      </c>
    </row>
    <row r="88" spans="1:19" x14ac:dyDescent="0.35">
      <c r="A88" t="s">
        <v>76</v>
      </c>
      <c r="B88">
        <v>2026</v>
      </c>
      <c r="C88" t="s">
        <v>78</v>
      </c>
      <c r="D88" t="s">
        <v>97</v>
      </c>
      <c r="E88" s="13">
        <f>SUMIFS(Hydrogen!S:S,Hydrogen!B:B,Predev_Scenarios!B88,Hydrogen!A:A,Predev_Scenarios!A88)</f>
        <v>0</v>
      </c>
      <c r="F88" t="s">
        <v>81</v>
      </c>
      <c r="H88" s="13" t="str">
        <f>IF(C88="Electricity",E88*SUMIFS(Electricity!S:S,Electricity!P:P,Predev_Scenarios!B88,Electricity!M:M,Predev_Scenarios!A88,Electricity!O:O,Predev_Scenarios!D88),"")</f>
        <v/>
      </c>
      <c r="I88" s="12"/>
      <c r="J88" s="12"/>
      <c r="K88" s="12"/>
      <c r="L88" s="63">
        <f t="shared" si="5"/>
        <v>0</v>
      </c>
      <c r="M88" s="63">
        <f t="shared" si="6"/>
        <v>0</v>
      </c>
      <c r="N88" s="63">
        <f t="shared" si="7"/>
        <v>0</v>
      </c>
      <c r="O88" s="30">
        <f>IF(OR(LEFT($D88,5)="Solar",$D88="Wind"),INDEX(Land_Use[AVG],MATCH(LEFT($D88,5),Land_Use[Tech],0)),0)*$E88</f>
        <v>0</v>
      </c>
      <c r="P88" s="30">
        <f>IF(OR(LEFT($D88,5)="Solar",$D88="Wind"),INDEX(Land_Use[MIN],MATCH(LEFT($D88,5),Land_Use[Tech],0)),0)*$E88</f>
        <v>0</v>
      </c>
      <c r="Q88" s="30">
        <f>IF(OR(LEFT($D88,5)="Solar",$D88="Wind"),INDEX(Land_Use[MAX],MATCH(LEFT($D88,5),Land_Use[Tech],0)),0)*$E88</f>
        <v>0</v>
      </c>
      <c r="R88" s="31">
        <f>IFERROR(INDEX(WaterUseH2[Average Direct Water Consumption (Gal/ kg h2)],MATCH(LEFT(D88,3),WaterUseH2[Key],0)),0)</f>
        <v>0</v>
      </c>
      <c r="S88" s="15">
        <f t="shared" si="8"/>
        <v>0</v>
      </c>
    </row>
    <row r="89" spans="1:19" x14ac:dyDescent="0.35">
      <c r="A89" t="s">
        <v>76</v>
      </c>
      <c r="B89">
        <v>2027</v>
      </c>
      <c r="C89" t="s">
        <v>78</v>
      </c>
      <c r="D89" t="s">
        <v>97</v>
      </c>
      <c r="E89" s="13">
        <f>SUMIFS(Hydrogen!S:S,Hydrogen!B:B,Predev_Scenarios!B89,Hydrogen!A:A,Predev_Scenarios!A89)</f>
        <v>0</v>
      </c>
      <c r="F89" t="s">
        <v>81</v>
      </c>
      <c r="H89" s="13" t="str">
        <f>IF(C89="Electricity",E89*SUMIFS(Electricity!S:S,Electricity!P:P,Predev_Scenarios!B89,Electricity!M:M,Predev_Scenarios!A89,Electricity!O:O,Predev_Scenarios!D89),"")</f>
        <v/>
      </c>
      <c r="I89" s="12"/>
      <c r="J89" s="12"/>
      <c r="K89" s="12"/>
      <c r="L89" s="63">
        <f t="shared" si="5"/>
        <v>0</v>
      </c>
      <c r="M89" s="63">
        <f t="shared" si="6"/>
        <v>0</v>
      </c>
      <c r="N89" s="63">
        <f t="shared" si="7"/>
        <v>0</v>
      </c>
      <c r="O89" s="30">
        <f>IF(OR(LEFT($D89,5)="Solar",$D89="Wind"),INDEX(Land_Use[AVG],MATCH(LEFT($D89,5),Land_Use[Tech],0)),0)*$E89</f>
        <v>0</v>
      </c>
      <c r="P89" s="30">
        <f>IF(OR(LEFT($D89,5)="Solar",$D89="Wind"),INDEX(Land_Use[MIN],MATCH(LEFT($D89,5),Land_Use[Tech],0)),0)*$E89</f>
        <v>0</v>
      </c>
      <c r="Q89" s="30">
        <f>IF(OR(LEFT($D89,5)="Solar",$D89="Wind"),INDEX(Land_Use[MAX],MATCH(LEFT($D89,5),Land_Use[Tech],0)),0)*$E89</f>
        <v>0</v>
      </c>
      <c r="R89" s="31">
        <f>IFERROR(INDEX(WaterUseH2[Average Direct Water Consumption (Gal/ kg h2)],MATCH(LEFT(D89,3),WaterUseH2[Key],0)),0)</f>
        <v>0</v>
      </c>
      <c r="S89" s="15">
        <f t="shared" si="8"/>
        <v>0</v>
      </c>
    </row>
    <row r="90" spans="1:19" x14ac:dyDescent="0.35">
      <c r="A90" t="s">
        <v>76</v>
      </c>
      <c r="B90">
        <v>2028</v>
      </c>
      <c r="C90" t="s">
        <v>78</v>
      </c>
      <c r="D90" t="s">
        <v>97</v>
      </c>
      <c r="E90" s="13">
        <f>SUMIFS(Hydrogen!S:S,Hydrogen!B:B,Predev_Scenarios!B90,Hydrogen!A:A,Predev_Scenarios!A90)</f>
        <v>0</v>
      </c>
      <c r="F90" t="s">
        <v>81</v>
      </c>
      <c r="H90" s="13" t="str">
        <f>IF(C90="Electricity",E90*SUMIFS(Electricity!S:S,Electricity!P:P,Predev_Scenarios!B90,Electricity!M:M,Predev_Scenarios!A90,Electricity!O:O,Predev_Scenarios!D90),"")</f>
        <v/>
      </c>
      <c r="I90" s="12"/>
      <c r="J90" s="12"/>
      <c r="K90" s="12"/>
      <c r="L90" s="63">
        <f t="shared" si="5"/>
        <v>0</v>
      </c>
      <c r="M90" s="63">
        <f t="shared" si="6"/>
        <v>0</v>
      </c>
      <c r="N90" s="63">
        <f t="shared" si="7"/>
        <v>0</v>
      </c>
      <c r="O90" s="30">
        <f>IF(OR(LEFT($D90,5)="Solar",$D90="Wind"),INDEX(Land_Use[AVG],MATCH(LEFT($D90,5),Land_Use[Tech],0)),0)*$E90</f>
        <v>0</v>
      </c>
      <c r="P90" s="30">
        <f>IF(OR(LEFT($D90,5)="Solar",$D90="Wind"),INDEX(Land_Use[MIN],MATCH(LEFT($D90,5),Land_Use[Tech],0)),0)*$E90</f>
        <v>0</v>
      </c>
      <c r="Q90" s="30">
        <f>IF(OR(LEFT($D90,5)="Solar",$D90="Wind"),INDEX(Land_Use[MAX],MATCH(LEFT($D90,5),Land_Use[Tech],0)),0)*$E90</f>
        <v>0</v>
      </c>
      <c r="R90" s="31">
        <f>IFERROR(INDEX(WaterUseH2[Average Direct Water Consumption (Gal/ kg h2)],MATCH(LEFT(D90,3),WaterUseH2[Key],0)),0)</f>
        <v>0</v>
      </c>
      <c r="S90" s="15">
        <f t="shared" si="8"/>
        <v>0</v>
      </c>
    </row>
    <row r="91" spans="1:19" x14ac:dyDescent="0.35">
      <c r="A91" t="s">
        <v>76</v>
      </c>
      <c r="B91">
        <v>2029</v>
      </c>
      <c r="C91" t="s">
        <v>78</v>
      </c>
      <c r="D91" t="s">
        <v>97</v>
      </c>
      <c r="E91" s="13">
        <f>SUMIFS(Hydrogen!S:S,Hydrogen!B:B,Predev_Scenarios!B91,Hydrogen!A:A,Predev_Scenarios!A91)</f>
        <v>0</v>
      </c>
      <c r="F91" t="s">
        <v>81</v>
      </c>
      <c r="H91" s="13" t="str">
        <f>IF(C91="Electricity",E91*SUMIFS(Electricity!S:S,Electricity!P:P,Predev_Scenarios!B91,Electricity!M:M,Predev_Scenarios!A91,Electricity!O:O,Predev_Scenarios!D91),"")</f>
        <v/>
      </c>
      <c r="I91" s="12"/>
      <c r="J91" s="12"/>
      <c r="K91" s="12"/>
      <c r="L91" s="63">
        <f t="shared" si="5"/>
        <v>0</v>
      </c>
      <c r="M91" s="63">
        <f t="shared" si="6"/>
        <v>0</v>
      </c>
      <c r="N91" s="63">
        <f t="shared" si="7"/>
        <v>0</v>
      </c>
      <c r="O91" s="30">
        <f>IF(OR(LEFT($D91,5)="Solar",$D91="Wind"),INDEX(Land_Use[AVG],MATCH(LEFT($D91,5),Land_Use[Tech],0)),0)*$E91</f>
        <v>0</v>
      </c>
      <c r="P91" s="30">
        <f>IF(OR(LEFT($D91,5)="Solar",$D91="Wind"),INDEX(Land_Use[MIN],MATCH(LEFT($D91,5),Land_Use[Tech],0)),0)*$E91</f>
        <v>0</v>
      </c>
      <c r="Q91" s="30">
        <f>IF(OR(LEFT($D91,5)="Solar",$D91="Wind"),INDEX(Land_Use[MAX],MATCH(LEFT($D91,5),Land_Use[Tech],0)),0)*$E91</f>
        <v>0</v>
      </c>
      <c r="R91" s="31">
        <f>IFERROR(INDEX(WaterUseH2[Average Direct Water Consumption (Gal/ kg h2)],MATCH(LEFT(D91,3),WaterUseH2[Key],0)),0)</f>
        <v>0</v>
      </c>
      <c r="S91" s="15">
        <f t="shared" si="8"/>
        <v>0</v>
      </c>
    </row>
    <row r="92" spans="1:19" x14ac:dyDescent="0.35">
      <c r="A92" t="s">
        <v>76</v>
      </c>
      <c r="B92">
        <v>2030</v>
      </c>
      <c r="C92" t="s">
        <v>78</v>
      </c>
      <c r="D92" t="s">
        <v>97</v>
      </c>
      <c r="E92" s="13">
        <f>SUMIFS(Hydrogen!S:S,Hydrogen!B:B,Predev_Scenarios!B92,Hydrogen!A:A,Predev_Scenarios!A92)</f>
        <v>1873.9726027397262</v>
      </c>
      <c r="F92" t="s">
        <v>81</v>
      </c>
      <c r="H92" s="13" t="str">
        <f>IF(C92="Electricity",E92*SUMIFS(Electricity!S:S,Electricity!P:P,Predev_Scenarios!B92,Electricity!M:M,Predev_Scenarios!A92,Electricity!O:O,Predev_Scenarios!D92),"")</f>
        <v/>
      </c>
      <c r="I92" s="12"/>
      <c r="J92" s="12"/>
      <c r="K92" s="12"/>
      <c r="L92" s="63">
        <f t="shared" si="5"/>
        <v>0</v>
      </c>
      <c r="M92" s="63">
        <f t="shared" si="6"/>
        <v>0</v>
      </c>
      <c r="N92" s="63">
        <f t="shared" si="7"/>
        <v>0</v>
      </c>
      <c r="O92" s="30">
        <f>IF(OR(LEFT($D92,5)="Solar",$D92="Wind"),INDEX(Land_Use[AVG],MATCH(LEFT($D92,5),Land_Use[Tech],0)),0)*$E92</f>
        <v>6558.9041095890416</v>
      </c>
      <c r="P92" s="30">
        <f>IF(OR(LEFT($D92,5)="Solar",$D92="Wind"),INDEX(Land_Use[MIN],MATCH(LEFT($D92,5),Land_Use[Tech],0)),0)*$E92</f>
        <v>5247.1232876712329</v>
      </c>
      <c r="Q92" s="30">
        <f>IF(OR(LEFT($D92,5)="Solar",$D92="Wind"),INDEX(Land_Use[MAX],MATCH(LEFT($D92,5),Land_Use[Tech],0)),0)*$E92</f>
        <v>7870.6849315068503</v>
      </c>
      <c r="R92" s="31">
        <f>IFERROR(INDEX(WaterUseH2[Average Direct Water Consumption (Gal/ kg h2)],MATCH(LEFT(D92,3),WaterUseH2[Key],0)),0)</f>
        <v>0</v>
      </c>
      <c r="S92" s="15">
        <f t="shared" si="8"/>
        <v>0</v>
      </c>
    </row>
    <row r="93" spans="1:19" x14ac:dyDescent="0.35">
      <c r="A93" t="s">
        <v>76</v>
      </c>
      <c r="B93">
        <v>2031</v>
      </c>
      <c r="C93" t="s">
        <v>78</v>
      </c>
      <c r="D93" t="s">
        <v>97</v>
      </c>
      <c r="E93" s="13">
        <f>SUMIFS(Hydrogen!S:S,Hydrogen!B:B,Predev_Scenarios!B93,Hydrogen!A:A,Predev_Scenarios!A93)</f>
        <v>1873.9726027397262</v>
      </c>
      <c r="F93" t="s">
        <v>81</v>
      </c>
      <c r="H93" s="13" t="str">
        <f>IF(C93="Electricity",E93*SUMIFS(Electricity!S:S,Electricity!P:P,Predev_Scenarios!B93,Electricity!M:M,Predev_Scenarios!A93,Electricity!O:O,Predev_Scenarios!D93),"")</f>
        <v/>
      </c>
      <c r="I93" s="12"/>
      <c r="J93" s="12"/>
      <c r="K93" s="12"/>
      <c r="L93" s="63">
        <f t="shared" si="5"/>
        <v>0</v>
      </c>
      <c r="M93" s="63">
        <f t="shared" si="6"/>
        <v>0</v>
      </c>
      <c r="N93" s="63">
        <f t="shared" si="7"/>
        <v>0</v>
      </c>
      <c r="O93" s="30">
        <f>IF(OR(LEFT($D93,5)="Solar",$D93="Wind"),INDEX(Land_Use[AVG],MATCH(LEFT($D93,5),Land_Use[Tech],0)),0)*$E93</f>
        <v>6558.9041095890416</v>
      </c>
      <c r="P93" s="30">
        <f>IF(OR(LEFT($D93,5)="Solar",$D93="Wind"),INDEX(Land_Use[MIN],MATCH(LEFT($D93,5),Land_Use[Tech],0)),0)*$E93</f>
        <v>5247.1232876712329</v>
      </c>
      <c r="Q93" s="30">
        <f>IF(OR(LEFT($D93,5)="Solar",$D93="Wind"),INDEX(Land_Use[MAX],MATCH(LEFT($D93,5),Land_Use[Tech],0)),0)*$E93</f>
        <v>7870.6849315068503</v>
      </c>
      <c r="R93" s="31">
        <f>IFERROR(INDEX(WaterUseH2[Average Direct Water Consumption (Gal/ kg h2)],MATCH(LEFT(D93,3),WaterUseH2[Key],0)),0)</f>
        <v>0</v>
      </c>
      <c r="S93" s="15">
        <f t="shared" si="8"/>
        <v>0</v>
      </c>
    </row>
    <row r="94" spans="1:19" x14ac:dyDescent="0.35">
      <c r="A94" t="s">
        <v>76</v>
      </c>
      <c r="B94">
        <v>2032</v>
      </c>
      <c r="C94" t="s">
        <v>78</v>
      </c>
      <c r="D94" t="s">
        <v>97</v>
      </c>
      <c r="E94" s="13">
        <f>SUMIFS(Hydrogen!S:S,Hydrogen!B:B,Predev_Scenarios!B94,Hydrogen!A:A,Predev_Scenarios!A94)</f>
        <v>1873.9726027397262</v>
      </c>
      <c r="F94" t="s">
        <v>81</v>
      </c>
      <c r="H94" s="13" t="str">
        <f>IF(C94="Electricity",E94*SUMIFS(Electricity!S:S,Electricity!P:P,Predev_Scenarios!B94,Electricity!M:M,Predev_Scenarios!A94,Electricity!O:O,Predev_Scenarios!D94),"")</f>
        <v/>
      </c>
      <c r="I94" s="12"/>
      <c r="J94" s="12"/>
      <c r="K94" s="12"/>
      <c r="L94" s="63">
        <f t="shared" si="5"/>
        <v>0</v>
      </c>
      <c r="M94" s="63">
        <f t="shared" si="6"/>
        <v>0</v>
      </c>
      <c r="N94" s="63">
        <f t="shared" si="7"/>
        <v>0</v>
      </c>
      <c r="O94" s="30">
        <f>IF(OR(LEFT($D94,5)="Solar",$D94="Wind"),INDEX(Land_Use[AVG],MATCH(LEFT($D94,5),Land_Use[Tech],0)),0)*$E94</f>
        <v>6558.9041095890416</v>
      </c>
      <c r="P94" s="30">
        <f>IF(OR(LEFT($D94,5)="Solar",$D94="Wind"),INDEX(Land_Use[MIN],MATCH(LEFT($D94,5),Land_Use[Tech],0)),0)*$E94</f>
        <v>5247.1232876712329</v>
      </c>
      <c r="Q94" s="30">
        <f>IF(OR(LEFT($D94,5)="Solar",$D94="Wind"),INDEX(Land_Use[MAX],MATCH(LEFT($D94,5),Land_Use[Tech],0)),0)*$E94</f>
        <v>7870.6849315068503</v>
      </c>
      <c r="R94" s="31">
        <f>IFERROR(INDEX(WaterUseH2[Average Direct Water Consumption (Gal/ kg h2)],MATCH(LEFT(D94,3),WaterUseH2[Key],0)),0)</f>
        <v>0</v>
      </c>
      <c r="S94" s="15">
        <f t="shared" si="8"/>
        <v>0</v>
      </c>
    </row>
    <row r="95" spans="1:19" x14ac:dyDescent="0.35">
      <c r="A95" t="s">
        <v>76</v>
      </c>
      <c r="B95">
        <v>2033</v>
      </c>
      <c r="C95" t="s">
        <v>78</v>
      </c>
      <c r="D95" t="s">
        <v>97</v>
      </c>
      <c r="E95" s="13">
        <f>SUMIFS(Hydrogen!S:S,Hydrogen!B:B,Predev_Scenarios!B95,Hydrogen!A:A,Predev_Scenarios!A95)</f>
        <v>1873.9726027397262</v>
      </c>
      <c r="F95" t="s">
        <v>81</v>
      </c>
      <c r="H95" s="13" t="str">
        <f>IF(C95="Electricity",E95*SUMIFS(Electricity!S:S,Electricity!P:P,Predev_Scenarios!B95,Electricity!M:M,Predev_Scenarios!A95,Electricity!O:O,Predev_Scenarios!D95),"")</f>
        <v/>
      </c>
      <c r="I95" s="12"/>
      <c r="J95" s="12"/>
      <c r="K95" s="12"/>
      <c r="L95" s="63">
        <f t="shared" si="5"/>
        <v>0</v>
      </c>
      <c r="M95" s="63">
        <f t="shared" si="6"/>
        <v>0</v>
      </c>
      <c r="N95" s="63">
        <f t="shared" si="7"/>
        <v>0</v>
      </c>
      <c r="O95" s="30">
        <f>IF(OR(LEFT($D95,5)="Solar",$D95="Wind"),INDEX(Land_Use[AVG],MATCH(LEFT($D95,5),Land_Use[Tech],0)),0)*$E95</f>
        <v>6558.9041095890416</v>
      </c>
      <c r="P95" s="30">
        <f>IF(OR(LEFT($D95,5)="Solar",$D95="Wind"),INDEX(Land_Use[MIN],MATCH(LEFT($D95,5),Land_Use[Tech],0)),0)*$E95</f>
        <v>5247.1232876712329</v>
      </c>
      <c r="Q95" s="30">
        <f>IF(OR(LEFT($D95,5)="Solar",$D95="Wind"),INDEX(Land_Use[MAX],MATCH(LEFT($D95,5),Land_Use[Tech],0)),0)*$E95</f>
        <v>7870.6849315068503</v>
      </c>
      <c r="R95" s="31">
        <f>IFERROR(INDEX(WaterUseH2[Average Direct Water Consumption (Gal/ kg h2)],MATCH(LEFT(D95,3),WaterUseH2[Key],0)),0)</f>
        <v>0</v>
      </c>
      <c r="S95" s="15">
        <f t="shared" si="8"/>
        <v>0</v>
      </c>
    </row>
    <row r="96" spans="1:19" x14ac:dyDescent="0.35">
      <c r="A96" t="s">
        <v>76</v>
      </c>
      <c r="B96">
        <v>2034</v>
      </c>
      <c r="C96" t="s">
        <v>78</v>
      </c>
      <c r="D96" t="s">
        <v>97</v>
      </c>
      <c r="E96" s="13">
        <f>SUMIFS(Hydrogen!S:S,Hydrogen!B:B,Predev_Scenarios!B96,Hydrogen!A:A,Predev_Scenarios!A96)</f>
        <v>1873.9726027397262</v>
      </c>
      <c r="F96" t="s">
        <v>81</v>
      </c>
      <c r="H96" s="13" t="str">
        <f>IF(C96="Electricity",E96*SUMIFS(Electricity!S:S,Electricity!P:P,Predev_Scenarios!B96,Electricity!M:M,Predev_Scenarios!A96,Electricity!O:O,Predev_Scenarios!D96),"")</f>
        <v/>
      </c>
      <c r="I96" s="12"/>
      <c r="J96" s="12"/>
      <c r="K96" s="12"/>
      <c r="L96" s="63">
        <f t="shared" si="5"/>
        <v>0</v>
      </c>
      <c r="M96" s="63">
        <f t="shared" si="6"/>
        <v>0</v>
      </c>
      <c r="N96" s="63">
        <f t="shared" si="7"/>
        <v>0</v>
      </c>
      <c r="O96" s="30">
        <f>IF(OR(LEFT($D96,5)="Solar",$D96="Wind"),INDEX(Land_Use[AVG],MATCH(LEFT($D96,5),Land_Use[Tech],0)),0)*$E96</f>
        <v>6558.9041095890416</v>
      </c>
      <c r="P96" s="30">
        <f>IF(OR(LEFT($D96,5)="Solar",$D96="Wind"),INDEX(Land_Use[MIN],MATCH(LEFT($D96,5),Land_Use[Tech],0)),0)*$E96</f>
        <v>5247.1232876712329</v>
      </c>
      <c r="Q96" s="30">
        <f>IF(OR(LEFT($D96,5)="Solar",$D96="Wind"),INDEX(Land_Use[MAX],MATCH(LEFT($D96,5),Land_Use[Tech],0)),0)*$E96</f>
        <v>7870.6849315068503</v>
      </c>
      <c r="R96" s="31">
        <f>IFERROR(INDEX(WaterUseH2[Average Direct Water Consumption (Gal/ kg h2)],MATCH(LEFT(D96,3),WaterUseH2[Key],0)),0)</f>
        <v>0</v>
      </c>
      <c r="S96" s="15">
        <f t="shared" si="8"/>
        <v>0</v>
      </c>
    </row>
    <row r="97" spans="1:19" x14ac:dyDescent="0.35">
      <c r="A97" t="s">
        <v>76</v>
      </c>
      <c r="B97">
        <v>2035</v>
      </c>
      <c r="C97" t="s">
        <v>78</v>
      </c>
      <c r="D97" t="s">
        <v>97</v>
      </c>
      <c r="E97" s="13">
        <f>SUMIFS(Hydrogen!S:S,Hydrogen!B:B,Predev_Scenarios!B97,Hydrogen!A:A,Predev_Scenarios!A97)</f>
        <v>1873.9726027397262</v>
      </c>
      <c r="F97" t="s">
        <v>81</v>
      </c>
      <c r="H97" s="13" t="str">
        <f>IF(C97="Electricity",E97*SUMIFS(Electricity!S:S,Electricity!P:P,Predev_Scenarios!B97,Electricity!M:M,Predev_Scenarios!A97,Electricity!O:O,Predev_Scenarios!D97),"")</f>
        <v/>
      </c>
      <c r="I97" s="12"/>
      <c r="J97" s="12"/>
      <c r="K97" s="12"/>
      <c r="L97" s="63">
        <f t="shared" si="5"/>
        <v>0</v>
      </c>
      <c r="M97" s="63">
        <f t="shared" si="6"/>
        <v>0</v>
      </c>
      <c r="N97" s="63">
        <f t="shared" si="7"/>
        <v>0</v>
      </c>
      <c r="O97" s="30">
        <f>IF(OR(LEFT($D97,5)="Solar",$D97="Wind"),INDEX(Land_Use[AVG],MATCH(LEFT($D97,5),Land_Use[Tech],0)),0)*$E97</f>
        <v>6558.9041095890416</v>
      </c>
      <c r="P97" s="30">
        <f>IF(OR(LEFT($D97,5)="Solar",$D97="Wind"),INDEX(Land_Use[MIN],MATCH(LEFT($D97,5),Land_Use[Tech],0)),0)*$E97</f>
        <v>5247.1232876712329</v>
      </c>
      <c r="Q97" s="30">
        <f>IF(OR(LEFT($D97,5)="Solar",$D97="Wind"),INDEX(Land_Use[MAX],MATCH(LEFT($D97,5),Land_Use[Tech],0)),0)*$E97</f>
        <v>7870.6849315068503</v>
      </c>
      <c r="R97" s="31">
        <f>IFERROR(INDEX(WaterUseH2[Average Direct Water Consumption (Gal/ kg h2)],MATCH(LEFT(D97,3),WaterUseH2[Key],0)),0)</f>
        <v>0</v>
      </c>
      <c r="S97" s="15">
        <f t="shared" si="8"/>
        <v>0</v>
      </c>
    </row>
    <row r="98" spans="1:19" x14ac:dyDescent="0.35">
      <c r="A98" t="s">
        <v>76</v>
      </c>
      <c r="B98">
        <v>2036</v>
      </c>
      <c r="C98" t="s">
        <v>78</v>
      </c>
      <c r="D98" t="s">
        <v>97</v>
      </c>
      <c r="E98" s="13">
        <f>SUMIFS(Hydrogen!S:S,Hydrogen!B:B,Predev_Scenarios!B98,Hydrogen!A:A,Predev_Scenarios!A98)</f>
        <v>1873.9726027397262</v>
      </c>
      <c r="F98" t="s">
        <v>81</v>
      </c>
      <c r="H98" s="13" t="str">
        <f>IF(C98="Electricity",E98*SUMIFS(Electricity!S:S,Electricity!P:P,Predev_Scenarios!B98,Electricity!M:M,Predev_Scenarios!A98,Electricity!O:O,Predev_Scenarios!D98),"")</f>
        <v/>
      </c>
      <c r="I98" s="12"/>
      <c r="J98" s="12"/>
      <c r="K98" s="12"/>
      <c r="L98" s="63">
        <f t="shared" si="5"/>
        <v>0</v>
      </c>
      <c r="M98" s="63">
        <f t="shared" si="6"/>
        <v>0</v>
      </c>
      <c r="N98" s="63">
        <f t="shared" si="7"/>
        <v>0</v>
      </c>
      <c r="O98" s="30">
        <f>IF(OR(LEFT($D98,5)="Solar",$D98="Wind"),INDEX(Land_Use[AVG],MATCH(LEFT($D98,5),Land_Use[Tech],0)),0)*$E98</f>
        <v>6558.9041095890416</v>
      </c>
      <c r="P98" s="30">
        <f>IF(OR(LEFT($D98,5)="Solar",$D98="Wind"),INDEX(Land_Use[MIN],MATCH(LEFT($D98,5),Land_Use[Tech],0)),0)*$E98</f>
        <v>5247.1232876712329</v>
      </c>
      <c r="Q98" s="30">
        <f>IF(OR(LEFT($D98,5)="Solar",$D98="Wind"),INDEX(Land_Use[MAX],MATCH(LEFT($D98,5),Land_Use[Tech],0)),0)*$E98</f>
        <v>7870.6849315068503</v>
      </c>
      <c r="R98" s="31">
        <f>IFERROR(INDEX(WaterUseH2[Average Direct Water Consumption (Gal/ kg h2)],MATCH(LEFT(D98,3),WaterUseH2[Key],0)),0)</f>
        <v>0</v>
      </c>
      <c r="S98" s="15">
        <f t="shared" si="8"/>
        <v>0</v>
      </c>
    </row>
    <row r="99" spans="1:19" x14ac:dyDescent="0.35">
      <c r="A99" t="s">
        <v>76</v>
      </c>
      <c r="B99">
        <v>2037</v>
      </c>
      <c r="C99" t="s">
        <v>78</v>
      </c>
      <c r="D99" t="s">
        <v>97</v>
      </c>
      <c r="E99" s="13">
        <f>SUMIFS(Hydrogen!S:S,Hydrogen!B:B,Predev_Scenarios!B99,Hydrogen!A:A,Predev_Scenarios!A99)</f>
        <v>1873.9726027397262</v>
      </c>
      <c r="F99" t="s">
        <v>81</v>
      </c>
      <c r="H99" s="13" t="str">
        <f>IF(C99="Electricity",E99*SUMIFS(Electricity!S:S,Electricity!P:P,Predev_Scenarios!B99,Electricity!M:M,Predev_Scenarios!A99,Electricity!O:O,Predev_Scenarios!D99),"")</f>
        <v/>
      </c>
      <c r="I99" s="12"/>
      <c r="J99" s="12"/>
      <c r="K99" s="12"/>
      <c r="L99" s="63">
        <f t="shared" si="5"/>
        <v>0</v>
      </c>
      <c r="M99" s="63">
        <f t="shared" si="6"/>
        <v>0</v>
      </c>
      <c r="N99" s="63">
        <f t="shared" si="7"/>
        <v>0</v>
      </c>
      <c r="O99" s="30">
        <f>IF(OR(LEFT($D99,5)="Solar",$D99="Wind"),INDEX(Land_Use[AVG],MATCH(LEFT($D99,5),Land_Use[Tech],0)),0)*$E99</f>
        <v>6558.9041095890416</v>
      </c>
      <c r="P99" s="30">
        <f>IF(OR(LEFT($D99,5)="Solar",$D99="Wind"),INDEX(Land_Use[MIN],MATCH(LEFT($D99,5),Land_Use[Tech],0)),0)*$E99</f>
        <v>5247.1232876712329</v>
      </c>
      <c r="Q99" s="30">
        <f>IF(OR(LEFT($D99,5)="Solar",$D99="Wind"),INDEX(Land_Use[MAX],MATCH(LEFT($D99,5),Land_Use[Tech],0)),0)*$E99</f>
        <v>7870.6849315068503</v>
      </c>
      <c r="R99" s="31">
        <f>IFERROR(INDEX(WaterUseH2[Average Direct Water Consumption (Gal/ kg h2)],MATCH(LEFT(D99,3),WaterUseH2[Key],0)),0)</f>
        <v>0</v>
      </c>
      <c r="S99" s="15">
        <f t="shared" si="8"/>
        <v>0</v>
      </c>
    </row>
    <row r="100" spans="1:19" x14ac:dyDescent="0.35">
      <c r="A100" t="s">
        <v>76</v>
      </c>
      <c r="B100">
        <v>2038</v>
      </c>
      <c r="C100" t="s">
        <v>78</v>
      </c>
      <c r="D100" t="s">
        <v>97</v>
      </c>
      <c r="E100" s="13">
        <f>SUMIFS(Hydrogen!S:S,Hydrogen!B:B,Predev_Scenarios!B100,Hydrogen!A:A,Predev_Scenarios!A100)</f>
        <v>1873.9726027397262</v>
      </c>
      <c r="F100" t="s">
        <v>81</v>
      </c>
      <c r="H100" s="13" t="str">
        <f>IF(C100="Electricity",E100*SUMIFS(Electricity!S:S,Electricity!P:P,Predev_Scenarios!B100,Electricity!M:M,Predev_Scenarios!A100,Electricity!O:O,Predev_Scenarios!D100),"")</f>
        <v/>
      </c>
      <c r="I100" s="12"/>
      <c r="J100" s="12"/>
      <c r="K100" s="12"/>
      <c r="L100" s="63">
        <f t="shared" si="5"/>
        <v>0</v>
      </c>
      <c r="M100" s="63">
        <f t="shared" si="6"/>
        <v>0</v>
      </c>
      <c r="N100" s="63">
        <f t="shared" si="7"/>
        <v>0</v>
      </c>
      <c r="O100" s="30">
        <f>IF(OR(LEFT($D100,5)="Solar",$D100="Wind"),INDEX(Land_Use[AVG],MATCH(LEFT($D100,5),Land_Use[Tech],0)),0)*$E100</f>
        <v>6558.9041095890416</v>
      </c>
      <c r="P100" s="30">
        <f>IF(OR(LEFT($D100,5)="Solar",$D100="Wind"),INDEX(Land_Use[MIN],MATCH(LEFT($D100,5),Land_Use[Tech],0)),0)*$E100</f>
        <v>5247.1232876712329</v>
      </c>
      <c r="Q100" s="30">
        <f>IF(OR(LEFT($D100,5)="Solar",$D100="Wind"),INDEX(Land_Use[MAX],MATCH(LEFT($D100,5),Land_Use[Tech],0)),0)*$E100</f>
        <v>7870.6849315068503</v>
      </c>
      <c r="R100" s="31">
        <f>IFERROR(INDEX(WaterUseH2[Average Direct Water Consumption (Gal/ kg h2)],MATCH(LEFT(D100,3),WaterUseH2[Key],0)),0)</f>
        <v>0</v>
      </c>
      <c r="S100" s="15">
        <f t="shared" si="8"/>
        <v>0</v>
      </c>
    </row>
    <row r="101" spans="1:19" x14ac:dyDescent="0.35">
      <c r="A101" t="s">
        <v>76</v>
      </c>
      <c r="B101">
        <v>2039</v>
      </c>
      <c r="C101" t="s">
        <v>78</v>
      </c>
      <c r="D101" t="s">
        <v>97</v>
      </c>
      <c r="E101" s="13">
        <f>SUMIFS(Hydrogen!S:S,Hydrogen!B:B,Predev_Scenarios!B101,Hydrogen!A:A,Predev_Scenarios!A101)</f>
        <v>1873.9726027397262</v>
      </c>
      <c r="F101" t="s">
        <v>81</v>
      </c>
      <c r="H101" s="13" t="str">
        <f>IF(C101="Electricity",E101*SUMIFS(Electricity!S:S,Electricity!P:P,Predev_Scenarios!B101,Electricity!M:M,Predev_Scenarios!A101,Electricity!O:O,Predev_Scenarios!D101),"")</f>
        <v/>
      </c>
      <c r="I101" s="12"/>
      <c r="J101" s="12"/>
      <c r="K101" s="12"/>
      <c r="L101" s="63">
        <f t="shared" si="5"/>
        <v>0</v>
      </c>
      <c r="M101" s="63">
        <f t="shared" si="6"/>
        <v>0</v>
      </c>
      <c r="N101" s="63">
        <f t="shared" si="7"/>
        <v>0</v>
      </c>
      <c r="O101" s="30">
        <f>IF(OR(LEFT($D101,5)="Solar",$D101="Wind"),INDEX(Land_Use[AVG],MATCH(LEFT($D101,5),Land_Use[Tech],0)),0)*$E101</f>
        <v>6558.9041095890416</v>
      </c>
      <c r="P101" s="30">
        <f>IF(OR(LEFT($D101,5)="Solar",$D101="Wind"),INDEX(Land_Use[MIN],MATCH(LEFT($D101,5),Land_Use[Tech],0)),0)*$E101</f>
        <v>5247.1232876712329</v>
      </c>
      <c r="Q101" s="30">
        <f>IF(OR(LEFT($D101,5)="Solar",$D101="Wind"),INDEX(Land_Use[MAX],MATCH(LEFT($D101,5),Land_Use[Tech],0)),0)*$E101</f>
        <v>7870.6849315068503</v>
      </c>
      <c r="R101" s="31">
        <f>IFERROR(INDEX(WaterUseH2[Average Direct Water Consumption (Gal/ kg h2)],MATCH(LEFT(D101,3),WaterUseH2[Key],0)),0)</f>
        <v>0</v>
      </c>
      <c r="S101" s="15">
        <f t="shared" si="8"/>
        <v>0</v>
      </c>
    </row>
    <row r="102" spans="1:19" x14ac:dyDescent="0.35">
      <c r="A102" t="s">
        <v>76</v>
      </c>
      <c r="B102">
        <v>2040</v>
      </c>
      <c r="C102" t="s">
        <v>78</v>
      </c>
      <c r="D102" t="s">
        <v>97</v>
      </c>
      <c r="E102" s="13">
        <f>SUMIFS(Hydrogen!S:S,Hydrogen!B:B,Predev_Scenarios!B102,Hydrogen!A:A,Predev_Scenarios!A102)</f>
        <v>1873.9726027397262</v>
      </c>
      <c r="F102" t="s">
        <v>81</v>
      </c>
      <c r="H102" s="13" t="str">
        <f>IF(C102="Electricity",E102*SUMIFS(Electricity!S:S,Electricity!P:P,Predev_Scenarios!B102,Electricity!M:M,Predev_Scenarios!A102,Electricity!O:O,Predev_Scenarios!D102),"")</f>
        <v/>
      </c>
      <c r="I102" s="12"/>
      <c r="J102" s="12"/>
      <c r="K102" s="12"/>
      <c r="L102" s="63">
        <f t="shared" si="5"/>
        <v>0</v>
      </c>
      <c r="M102" s="63">
        <f t="shared" si="6"/>
        <v>0</v>
      </c>
      <c r="N102" s="63">
        <f t="shared" si="7"/>
        <v>0</v>
      </c>
      <c r="O102" s="30">
        <f>IF(OR(LEFT($D102,5)="Solar",$D102="Wind"),INDEX(Land_Use[AVG],MATCH(LEFT($D102,5),Land_Use[Tech],0)),0)*$E102</f>
        <v>6558.9041095890416</v>
      </c>
      <c r="P102" s="30">
        <f>IF(OR(LEFT($D102,5)="Solar",$D102="Wind"),INDEX(Land_Use[MIN],MATCH(LEFT($D102,5),Land_Use[Tech],0)),0)*$E102</f>
        <v>5247.1232876712329</v>
      </c>
      <c r="Q102" s="30">
        <f>IF(OR(LEFT($D102,5)="Solar",$D102="Wind"),INDEX(Land_Use[MAX],MATCH(LEFT($D102,5),Land_Use[Tech],0)),0)*$E102</f>
        <v>7870.6849315068503</v>
      </c>
      <c r="R102" s="31">
        <f>IFERROR(INDEX(WaterUseH2[Average Direct Water Consumption (Gal/ kg h2)],MATCH(LEFT(D102,3),WaterUseH2[Key],0)),0)</f>
        <v>0</v>
      </c>
      <c r="S102" s="15">
        <f t="shared" si="8"/>
        <v>0</v>
      </c>
    </row>
    <row r="103" spans="1:19" x14ac:dyDescent="0.35">
      <c r="A103" t="s">
        <v>76</v>
      </c>
      <c r="B103">
        <v>2041</v>
      </c>
      <c r="C103" t="s">
        <v>78</v>
      </c>
      <c r="D103" t="s">
        <v>97</v>
      </c>
      <c r="E103" s="13">
        <f>SUMIFS(Hydrogen!S:S,Hydrogen!B:B,Predev_Scenarios!B103,Hydrogen!A:A,Predev_Scenarios!A103)</f>
        <v>1873.9726027397262</v>
      </c>
      <c r="F103" t="s">
        <v>81</v>
      </c>
      <c r="H103" s="13" t="str">
        <f>IF(C103="Electricity",E103*SUMIFS(Electricity!S:S,Electricity!P:P,Predev_Scenarios!B103,Electricity!M:M,Predev_Scenarios!A103,Electricity!O:O,Predev_Scenarios!D103),"")</f>
        <v/>
      </c>
      <c r="I103" s="12"/>
      <c r="J103" s="12"/>
      <c r="K103" s="12"/>
      <c r="L103" s="63">
        <f t="shared" si="5"/>
        <v>0</v>
      </c>
      <c r="M103" s="63">
        <f t="shared" si="6"/>
        <v>0</v>
      </c>
      <c r="N103" s="63">
        <f t="shared" si="7"/>
        <v>0</v>
      </c>
      <c r="O103" s="30">
        <f>IF(OR(LEFT($D103,5)="Solar",$D103="Wind"),INDEX(Land_Use[AVG],MATCH(LEFT($D103,5),Land_Use[Tech],0)),0)*$E103</f>
        <v>6558.9041095890416</v>
      </c>
      <c r="P103" s="30">
        <f>IF(OR(LEFT($D103,5)="Solar",$D103="Wind"),INDEX(Land_Use[MIN],MATCH(LEFT($D103,5),Land_Use[Tech],0)),0)*$E103</f>
        <v>5247.1232876712329</v>
      </c>
      <c r="Q103" s="30">
        <f>IF(OR(LEFT($D103,5)="Solar",$D103="Wind"),INDEX(Land_Use[MAX],MATCH(LEFT($D103,5),Land_Use[Tech],0)),0)*$E103</f>
        <v>7870.6849315068503</v>
      </c>
      <c r="R103" s="31">
        <f>IFERROR(INDEX(WaterUseH2[Average Direct Water Consumption (Gal/ kg h2)],MATCH(LEFT(D103,3),WaterUseH2[Key],0)),0)</f>
        <v>0</v>
      </c>
      <c r="S103" s="15">
        <f t="shared" si="8"/>
        <v>0</v>
      </c>
    </row>
    <row r="104" spans="1:19" x14ac:dyDescent="0.35">
      <c r="A104" t="s">
        <v>76</v>
      </c>
      <c r="B104">
        <v>2042</v>
      </c>
      <c r="C104" t="s">
        <v>78</v>
      </c>
      <c r="D104" t="s">
        <v>97</v>
      </c>
      <c r="E104" s="13">
        <f>SUMIFS(Hydrogen!S:S,Hydrogen!B:B,Predev_Scenarios!B104,Hydrogen!A:A,Predev_Scenarios!A104)</f>
        <v>1873.9726027397262</v>
      </c>
      <c r="F104" t="s">
        <v>81</v>
      </c>
      <c r="H104" s="13" t="str">
        <f>IF(C104="Electricity",E104*SUMIFS(Electricity!S:S,Electricity!P:P,Predev_Scenarios!B104,Electricity!M:M,Predev_Scenarios!A104,Electricity!O:O,Predev_Scenarios!D104),"")</f>
        <v/>
      </c>
      <c r="I104" s="12"/>
      <c r="J104" s="12"/>
      <c r="K104" s="12"/>
      <c r="L104" s="63">
        <f t="shared" si="5"/>
        <v>0</v>
      </c>
      <c r="M104" s="63">
        <f t="shared" si="6"/>
        <v>0</v>
      </c>
      <c r="N104" s="63">
        <f t="shared" si="7"/>
        <v>0</v>
      </c>
      <c r="O104" s="30">
        <f>IF(OR(LEFT($D104,5)="Solar",$D104="Wind"),INDEX(Land_Use[AVG],MATCH(LEFT($D104,5),Land_Use[Tech],0)),0)*$E104</f>
        <v>6558.9041095890416</v>
      </c>
      <c r="P104" s="30">
        <f>IF(OR(LEFT($D104,5)="Solar",$D104="Wind"),INDEX(Land_Use[MIN],MATCH(LEFT($D104,5),Land_Use[Tech],0)),0)*$E104</f>
        <v>5247.1232876712329</v>
      </c>
      <c r="Q104" s="30">
        <f>IF(OR(LEFT($D104,5)="Solar",$D104="Wind"),INDEX(Land_Use[MAX],MATCH(LEFT($D104,5),Land_Use[Tech],0)),0)*$E104</f>
        <v>7870.6849315068503</v>
      </c>
      <c r="R104" s="31">
        <f>IFERROR(INDEX(WaterUseH2[Average Direct Water Consumption (Gal/ kg h2)],MATCH(LEFT(D104,3),WaterUseH2[Key],0)),0)</f>
        <v>0</v>
      </c>
      <c r="S104" s="15">
        <f t="shared" si="8"/>
        <v>0</v>
      </c>
    </row>
    <row r="105" spans="1:19" x14ac:dyDescent="0.35">
      <c r="A105" t="s">
        <v>76</v>
      </c>
      <c r="B105">
        <v>2043</v>
      </c>
      <c r="C105" t="s">
        <v>78</v>
      </c>
      <c r="D105" t="s">
        <v>97</v>
      </c>
      <c r="E105" s="13">
        <f>SUMIFS(Hydrogen!S:S,Hydrogen!B:B,Predev_Scenarios!B105,Hydrogen!A:A,Predev_Scenarios!A105)</f>
        <v>1873.9726027397262</v>
      </c>
      <c r="F105" t="s">
        <v>81</v>
      </c>
      <c r="H105" s="13" t="str">
        <f>IF(C105="Electricity",E105*SUMIFS(Electricity!S:S,Electricity!P:P,Predev_Scenarios!B105,Electricity!M:M,Predev_Scenarios!A105,Electricity!O:O,Predev_Scenarios!D105),"")</f>
        <v/>
      </c>
      <c r="I105" s="12"/>
      <c r="J105" s="12"/>
      <c r="K105" s="12"/>
      <c r="L105" s="63">
        <f t="shared" si="5"/>
        <v>0</v>
      </c>
      <c r="M105" s="63">
        <f t="shared" si="6"/>
        <v>0</v>
      </c>
      <c r="N105" s="63">
        <f t="shared" si="7"/>
        <v>0</v>
      </c>
      <c r="O105" s="30">
        <f>IF(OR(LEFT($D105,5)="Solar",$D105="Wind"),INDEX(Land_Use[AVG],MATCH(LEFT($D105,5),Land_Use[Tech],0)),0)*$E105</f>
        <v>6558.9041095890416</v>
      </c>
      <c r="P105" s="30">
        <f>IF(OR(LEFT($D105,5)="Solar",$D105="Wind"),INDEX(Land_Use[MIN],MATCH(LEFT($D105,5),Land_Use[Tech],0)),0)*$E105</f>
        <v>5247.1232876712329</v>
      </c>
      <c r="Q105" s="30">
        <f>IF(OR(LEFT($D105,5)="Solar",$D105="Wind"),INDEX(Land_Use[MAX],MATCH(LEFT($D105,5),Land_Use[Tech],0)),0)*$E105</f>
        <v>7870.6849315068503</v>
      </c>
      <c r="R105" s="31">
        <f>IFERROR(INDEX(WaterUseH2[Average Direct Water Consumption (Gal/ kg h2)],MATCH(LEFT(D105,3),WaterUseH2[Key],0)),0)</f>
        <v>0</v>
      </c>
      <c r="S105" s="15">
        <f t="shared" si="8"/>
        <v>0</v>
      </c>
    </row>
    <row r="106" spans="1:19" x14ac:dyDescent="0.35">
      <c r="A106" t="s">
        <v>76</v>
      </c>
      <c r="B106">
        <v>2044</v>
      </c>
      <c r="C106" t="s">
        <v>78</v>
      </c>
      <c r="D106" t="s">
        <v>97</v>
      </c>
      <c r="E106" s="13">
        <f>SUMIFS(Hydrogen!S:S,Hydrogen!B:B,Predev_Scenarios!B106,Hydrogen!A:A,Predev_Scenarios!A106)</f>
        <v>1873.9726027397262</v>
      </c>
      <c r="F106" t="s">
        <v>81</v>
      </c>
      <c r="H106" s="13" t="str">
        <f>IF(C106="Electricity",E106*SUMIFS(Electricity!S:S,Electricity!P:P,Predev_Scenarios!B106,Electricity!M:M,Predev_Scenarios!A106,Electricity!O:O,Predev_Scenarios!D106),"")</f>
        <v/>
      </c>
      <c r="I106" s="12"/>
      <c r="J106" s="12"/>
      <c r="K106" s="12"/>
      <c r="L106" s="63">
        <f t="shared" si="5"/>
        <v>0</v>
      </c>
      <c r="M106" s="63">
        <f t="shared" si="6"/>
        <v>0</v>
      </c>
      <c r="N106" s="63">
        <f t="shared" si="7"/>
        <v>0</v>
      </c>
      <c r="O106" s="30">
        <f>IF(OR(LEFT($D106,5)="Solar",$D106="Wind"),INDEX(Land_Use[AVG],MATCH(LEFT($D106,5),Land_Use[Tech],0)),0)*$E106</f>
        <v>6558.9041095890416</v>
      </c>
      <c r="P106" s="30">
        <f>IF(OR(LEFT($D106,5)="Solar",$D106="Wind"),INDEX(Land_Use[MIN],MATCH(LEFT($D106,5),Land_Use[Tech],0)),0)*$E106</f>
        <v>5247.1232876712329</v>
      </c>
      <c r="Q106" s="30">
        <f>IF(OR(LEFT($D106,5)="Solar",$D106="Wind"),INDEX(Land_Use[MAX],MATCH(LEFT($D106,5),Land_Use[Tech],0)),0)*$E106</f>
        <v>7870.6849315068503</v>
      </c>
      <c r="R106" s="31">
        <f>IFERROR(INDEX(WaterUseH2[Average Direct Water Consumption (Gal/ kg h2)],MATCH(LEFT(D106,3),WaterUseH2[Key],0)),0)</f>
        <v>0</v>
      </c>
      <c r="S106" s="15">
        <f t="shared" si="8"/>
        <v>0</v>
      </c>
    </row>
    <row r="107" spans="1:19" x14ac:dyDescent="0.35">
      <c r="A107" t="s">
        <v>76</v>
      </c>
      <c r="B107">
        <v>2045</v>
      </c>
      <c r="C107" t="s">
        <v>78</v>
      </c>
      <c r="D107" t="s">
        <v>97</v>
      </c>
      <c r="E107" s="13">
        <f>SUMIFS(Hydrogen!S:S,Hydrogen!B:B,Predev_Scenarios!B107,Hydrogen!A:A,Predev_Scenarios!A107)</f>
        <v>1873.9726027397262</v>
      </c>
      <c r="F107" t="s">
        <v>81</v>
      </c>
      <c r="H107" s="13" t="str">
        <f>IF(C107="Electricity",E107*SUMIFS(Electricity!S:S,Electricity!P:P,Predev_Scenarios!B107,Electricity!M:M,Predev_Scenarios!A107,Electricity!O:O,Predev_Scenarios!D107),"")</f>
        <v/>
      </c>
      <c r="I107" s="12"/>
      <c r="J107" s="12"/>
      <c r="K107" s="12"/>
      <c r="L107" s="63">
        <f t="shared" si="5"/>
        <v>0</v>
      </c>
      <c r="M107" s="63">
        <f t="shared" si="6"/>
        <v>0</v>
      </c>
      <c r="N107" s="63">
        <f t="shared" si="7"/>
        <v>0</v>
      </c>
      <c r="O107" s="30">
        <f>IF(OR(LEFT($D107,5)="Solar",$D107="Wind"),INDEX(Land_Use[AVG],MATCH(LEFT($D107,5),Land_Use[Tech],0)),0)*$E107</f>
        <v>6558.9041095890416</v>
      </c>
      <c r="P107" s="30">
        <f>IF(OR(LEFT($D107,5)="Solar",$D107="Wind"),INDEX(Land_Use[MIN],MATCH(LEFT($D107,5),Land_Use[Tech],0)),0)*$E107</f>
        <v>5247.1232876712329</v>
      </c>
      <c r="Q107" s="30">
        <f>IF(OR(LEFT($D107,5)="Solar",$D107="Wind"),INDEX(Land_Use[MAX],MATCH(LEFT($D107,5),Land_Use[Tech],0)),0)*$E107</f>
        <v>7870.6849315068503</v>
      </c>
      <c r="R107" s="31">
        <f>IFERROR(INDEX(WaterUseH2[Average Direct Water Consumption (Gal/ kg h2)],MATCH(LEFT(D107,3),WaterUseH2[Key],0)),0)</f>
        <v>0</v>
      </c>
      <c r="S107" s="15">
        <f t="shared" si="8"/>
        <v>0</v>
      </c>
    </row>
    <row r="108" spans="1:19" x14ac:dyDescent="0.35">
      <c r="A108" t="s">
        <v>107</v>
      </c>
      <c r="B108">
        <v>2025</v>
      </c>
      <c r="C108" t="s">
        <v>78</v>
      </c>
      <c r="D108" t="s">
        <v>97</v>
      </c>
      <c r="E108" s="13">
        <f>SUMIFS(Hydrogen!S:S,Hydrogen!B:B,Predev_Scenarios!B108,Hydrogen!A:A,Predev_Scenarios!A108)</f>
        <v>0</v>
      </c>
      <c r="F108" t="s">
        <v>81</v>
      </c>
      <c r="H108" s="13" t="str">
        <f>IF(C108="Electricity",E108*SUMIFS(Electricity!S:S,Electricity!P:P,Predev_Scenarios!B108,Electricity!M:M,Predev_Scenarios!A108,Electricity!O:O,Predev_Scenarios!D108),"")</f>
        <v/>
      </c>
      <c r="I108" s="12"/>
      <c r="J108" s="12"/>
      <c r="K108" s="12"/>
      <c r="L108" s="63">
        <f t="shared" si="5"/>
        <v>0</v>
      </c>
      <c r="M108" s="63">
        <f t="shared" si="6"/>
        <v>0</v>
      </c>
      <c r="N108" s="63">
        <f t="shared" si="7"/>
        <v>0</v>
      </c>
      <c r="O108" s="30">
        <f>IF(OR(LEFT($D108,5)="Solar",$D108="Wind"),INDEX(Land_Use[AVG],MATCH(LEFT($D108,5),Land_Use[Tech],0)),0)*$E108</f>
        <v>0</v>
      </c>
      <c r="P108" s="30">
        <f>IF(OR(LEFT($D108,5)="Solar",$D108="Wind"),INDEX(Land_Use[MIN],MATCH(LEFT($D108,5),Land_Use[Tech],0)),0)*$E108</f>
        <v>0</v>
      </c>
      <c r="Q108" s="30">
        <f>IF(OR(LEFT($D108,5)="Solar",$D108="Wind"),INDEX(Land_Use[MAX],MATCH(LEFT($D108,5),Land_Use[Tech],0)),0)*$E108</f>
        <v>0</v>
      </c>
      <c r="R108" s="31">
        <f>IFERROR(INDEX(WaterUseH2[Average Direct Water Consumption (Gal/ kg h2)],MATCH(LEFT(D108,3),WaterUseH2[Key],0)),0)</f>
        <v>0</v>
      </c>
      <c r="S108" s="15">
        <f t="shared" si="8"/>
        <v>0</v>
      </c>
    </row>
    <row r="109" spans="1:19" x14ac:dyDescent="0.35">
      <c r="A109" t="s">
        <v>107</v>
      </c>
      <c r="B109">
        <v>2026</v>
      </c>
      <c r="C109" t="s">
        <v>78</v>
      </c>
      <c r="D109" t="s">
        <v>97</v>
      </c>
      <c r="E109" s="13">
        <f>SUMIFS(Hydrogen!S:S,Hydrogen!B:B,Predev_Scenarios!B109,Hydrogen!A:A,Predev_Scenarios!A109)</f>
        <v>0</v>
      </c>
      <c r="F109" t="s">
        <v>81</v>
      </c>
      <c r="H109" s="13" t="str">
        <f>IF(C109="Electricity",E109*SUMIFS(Electricity!S:S,Electricity!P:P,Predev_Scenarios!B109,Electricity!M:M,Predev_Scenarios!A109,Electricity!O:O,Predev_Scenarios!D109),"")</f>
        <v/>
      </c>
      <c r="I109" s="12"/>
      <c r="J109" s="12"/>
      <c r="K109" s="12"/>
      <c r="L109" s="63">
        <f t="shared" si="5"/>
        <v>0</v>
      </c>
      <c r="M109" s="63">
        <f t="shared" si="6"/>
        <v>0</v>
      </c>
      <c r="N109" s="63">
        <f t="shared" si="7"/>
        <v>0</v>
      </c>
      <c r="O109" s="30">
        <f>IF(OR(LEFT($D109,5)="Solar",$D109="Wind"),INDEX(Land_Use[AVG],MATCH(LEFT($D109,5),Land_Use[Tech],0)),0)*$E109</f>
        <v>0</v>
      </c>
      <c r="P109" s="30">
        <f>IF(OR(LEFT($D109,5)="Solar",$D109="Wind"),INDEX(Land_Use[MIN],MATCH(LEFT($D109,5),Land_Use[Tech],0)),0)*$E109</f>
        <v>0</v>
      </c>
      <c r="Q109" s="30">
        <f>IF(OR(LEFT($D109,5)="Solar",$D109="Wind"),INDEX(Land_Use[MAX],MATCH(LEFT($D109,5),Land_Use[Tech],0)),0)*$E109</f>
        <v>0</v>
      </c>
      <c r="R109" s="31">
        <f>IFERROR(INDEX(WaterUseH2[Average Direct Water Consumption (Gal/ kg h2)],MATCH(LEFT(D109,3),WaterUseH2[Key],0)),0)</f>
        <v>0</v>
      </c>
      <c r="S109" s="15">
        <f t="shared" si="8"/>
        <v>0</v>
      </c>
    </row>
    <row r="110" spans="1:19" x14ac:dyDescent="0.35">
      <c r="A110" t="s">
        <v>107</v>
      </c>
      <c r="B110">
        <v>2027</v>
      </c>
      <c r="C110" t="s">
        <v>78</v>
      </c>
      <c r="D110" t="s">
        <v>97</v>
      </c>
      <c r="E110" s="13">
        <f>SUMIFS(Hydrogen!S:S,Hydrogen!B:B,Predev_Scenarios!B110,Hydrogen!A:A,Predev_Scenarios!A110)</f>
        <v>0</v>
      </c>
      <c r="F110" t="s">
        <v>81</v>
      </c>
      <c r="H110" s="13" t="str">
        <f>IF(C110="Electricity",E110*SUMIFS(Electricity!S:S,Electricity!P:P,Predev_Scenarios!B110,Electricity!M:M,Predev_Scenarios!A110,Electricity!O:O,Predev_Scenarios!D110),"")</f>
        <v/>
      </c>
      <c r="I110" s="12"/>
      <c r="J110" s="12"/>
      <c r="K110" s="12"/>
      <c r="L110" s="63">
        <f t="shared" si="5"/>
        <v>0</v>
      </c>
      <c r="M110" s="63">
        <f t="shared" si="6"/>
        <v>0</v>
      </c>
      <c r="N110" s="63">
        <f t="shared" si="7"/>
        <v>0</v>
      </c>
      <c r="O110" s="30">
        <f>IF(OR(LEFT($D110,5)="Solar",$D110="Wind"),INDEX(Land_Use[AVG],MATCH(LEFT($D110,5),Land_Use[Tech],0)),0)*$E110</f>
        <v>0</v>
      </c>
      <c r="P110" s="30">
        <f>IF(OR(LEFT($D110,5)="Solar",$D110="Wind"),INDEX(Land_Use[MIN],MATCH(LEFT($D110,5),Land_Use[Tech],0)),0)*$E110</f>
        <v>0</v>
      </c>
      <c r="Q110" s="30">
        <f>IF(OR(LEFT($D110,5)="Solar",$D110="Wind"),INDEX(Land_Use[MAX],MATCH(LEFT($D110,5),Land_Use[Tech],0)),0)*$E110</f>
        <v>0</v>
      </c>
      <c r="R110" s="31">
        <f>IFERROR(INDEX(WaterUseH2[Average Direct Water Consumption (Gal/ kg h2)],MATCH(LEFT(D110,3),WaterUseH2[Key],0)),0)</f>
        <v>0</v>
      </c>
      <c r="S110" s="15">
        <f t="shared" si="8"/>
        <v>0</v>
      </c>
    </row>
    <row r="111" spans="1:19" x14ac:dyDescent="0.35">
      <c r="A111" t="s">
        <v>107</v>
      </c>
      <c r="B111">
        <v>2028</v>
      </c>
      <c r="C111" t="s">
        <v>78</v>
      </c>
      <c r="D111" t="s">
        <v>97</v>
      </c>
      <c r="E111" s="13">
        <f>SUMIFS(Hydrogen!S:S,Hydrogen!B:B,Predev_Scenarios!B111,Hydrogen!A:A,Predev_Scenarios!A111)</f>
        <v>0</v>
      </c>
      <c r="F111" t="s">
        <v>81</v>
      </c>
      <c r="H111" s="13" t="str">
        <f>IF(C111="Electricity",E111*SUMIFS(Electricity!S:S,Electricity!P:P,Predev_Scenarios!B111,Electricity!M:M,Predev_Scenarios!A111,Electricity!O:O,Predev_Scenarios!D111),"")</f>
        <v/>
      </c>
      <c r="I111" s="12"/>
      <c r="J111" s="12"/>
      <c r="K111" s="12"/>
      <c r="L111" s="63">
        <f t="shared" si="5"/>
        <v>0</v>
      </c>
      <c r="M111" s="63">
        <f t="shared" si="6"/>
        <v>0</v>
      </c>
      <c r="N111" s="63">
        <f t="shared" si="7"/>
        <v>0</v>
      </c>
      <c r="O111" s="30">
        <f>IF(OR(LEFT($D111,5)="Solar",$D111="Wind"),INDEX(Land_Use[AVG],MATCH(LEFT($D111,5),Land_Use[Tech],0)),0)*$E111</f>
        <v>0</v>
      </c>
      <c r="P111" s="30">
        <f>IF(OR(LEFT($D111,5)="Solar",$D111="Wind"),INDEX(Land_Use[MIN],MATCH(LEFT($D111,5),Land_Use[Tech],0)),0)*$E111</f>
        <v>0</v>
      </c>
      <c r="Q111" s="30">
        <f>IF(OR(LEFT($D111,5)="Solar",$D111="Wind"),INDEX(Land_Use[MAX],MATCH(LEFT($D111,5),Land_Use[Tech],0)),0)*$E111</f>
        <v>0</v>
      </c>
      <c r="R111" s="31">
        <f>IFERROR(INDEX(WaterUseH2[Average Direct Water Consumption (Gal/ kg h2)],MATCH(LEFT(D111,3),WaterUseH2[Key],0)),0)</f>
        <v>0</v>
      </c>
      <c r="S111" s="15">
        <f t="shared" si="8"/>
        <v>0</v>
      </c>
    </row>
    <row r="112" spans="1:19" x14ac:dyDescent="0.35">
      <c r="A112" t="s">
        <v>107</v>
      </c>
      <c r="B112">
        <v>2029</v>
      </c>
      <c r="C112" t="s">
        <v>78</v>
      </c>
      <c r="D112" t="s">
        <v>97</v>
      </c>
      <c r="E112" s="13">
        <f>SUMIFS(Hydrogen!S:S,Hydrogen!B:B,Predev_Scenarios!B112,Hydrogen!A:A,Predev_Scenarios!A112)</f>
        <v>0</v>
      </c>
      <c r="F112" t="s">
        <v>81</v>
      </c>
      <c r="H112" s="13" t="str">
        <f>IF(C112="Electricity",E112*SUMIFS(Electricity!S:S,Electricity!P:P,Predev_Scenarios!B112,Electricity!M:M,Predev_Scenarios!A112,Electricity!O:O,Predev_Scenarios!D112),"")</f>
        <v/>
      </c>
      <c r="I112" s="12"/>
      <c r="J112" s="12"/>
      <c r="K112" s="12"/>
      <c r="L112" s="63">
        <f t="shared" si="5"/>
        <v>0</v>
      </c>
      <c r="M112" s="63">
        <f t="shared" si="6"/>
        <v>0</v>
      </c>
      <c r="N112" s="63">
        <f t="shared" si="7"/>
        <v>0</v>
      </c>
      <c r="O112" s="30">
        <f>IF(OR(LEFT($D112,5)="Solar",$D112="Wind"),INDEX(Land_Use[AVG],MATCH(LEFT($D112,5),Land_Use[Tech],0)),0)*$E112</f>
        <v>0</v>
      </c>
      <c r="P112" s="30">
        <f>IF(OR(LEFT($D112,5)="Solar",$D112="Wind"),INDEX(Land_Use[MIN],MATCH(LEFT($D112,5),Land_Use[Tech],0)),0)*$E112</f>
        <v>0</v>
      </c>
      <c r="Q112" s="30">
        <f>IF(OR(LEFT($D112,5)="Solar",$D112="Wind"),INDEX(Land_Use[MAX],MATCH(LEFT($D112,5),Land_Use[Tech],0)),0)*$E112</f>
        <v>0</v>
      </c>
      <c r="R112" s="31">
        <f>IFERROR(INDEX(WaterUseH2[Average Direct Water Consumption (Gal/ kg h2)],MATCH(LEFT(D112,3),WaterUseH2[Key],0)),0)</f>
        <v>0</v>
      </c>
      <c r="S112" s="15">
        <f t="shared" si="8"/>
        <v>0</v>
      </c>
    </row>
    <row r="113" spans="1:19" x14ac:dyDescent="0.35">
      <c r="A113" t="s">
        <v>107</v>
      </c>
      <c r="B113">
        <v>2030</v>
      </c>
      <c r="C113" t="s">
        <v>78</v>
      </c>
      <c r="D113" t="s">
        <v>97</v>
      </c>
      <c r="E113" s="13">
        <f>SUMIFS(Hydrogen!S:S,Hydrogen!B:B,Predev_Scenarios!B113,Hydrogen!A:A,Predev_Scenarios!A113)</f>
        <v>520.54794520547944</v>
      </c>
      <c r="F113" t="s">
        <v>81</v>
      </c>
      <c r="H113" s="13" t="str">
        <f>IF(C113="Electricity",E113*SUMIFS(Electricity!S:S,Electricity!P:P,Predev_Scenarios!B113,Electricity!M:M,Predev_Scenarios!A113,Electricity!O:O,Predev_Scenarios!D113),"")</f>
        <v/>
      </c>
      <c r="I113" s="12"/>
      <c r="J113" s="12"/>
      <c r="K113" s="12"/>
      <c r="L113" s="63">
        <f t="shared" si="5"/>
        <v>0</v>
      </c>
      <c r="M113" s="63">
        <f t="shared" si="6"/>
        <v>0</v>
      </c>
      <c r="N113" s="63">
        <f t="shared" si="7"/>
        <v>0</v>
      </c>
      <c r="O113" s="30">
        <f>IF(OR(LEFT($D113,5)="Solar",$D113="Wind"),INDEX(Land_Use[AVG],MATCH(LEFT($D113,5),Land_Use[Tech],0)),0)*$E113</f>
        <v>1821.9178082191779</v>
      </c>
      <c r="P113" s="30">
        <f>IF(OR(LEFT($D113,5)="Solar",$D113="Wind"),INDEX(Land_Use[MIN],MATCH(LEFT($D113,5),Land_Use[Tech],0)),0)*$E113</f>
        <v>1457.5342465753424</v>
      </c>
      <c r="Q113" s="30">
        <f>IF(OR(LEFT($D113,5)="Solar",$D113="Wind"),INDEX(Land_Use[MAX],MATCH(LEFT($D113,5),Land_Use[Tech],0)),0)*$E113</f>
        <v>2186.3013698630139</v>
      </c>
      <c r="R113" s="31">
        <f>IFERROR(INDEX(WaterUseH2[Average Direct Water Consumption (Gal/ kg h2)],MATCH(LEFT(D113,3),WaterUseH2[Key],0)),0)</f>
        <v>0</v>
      </c>
      <c r="S113" s="15">
        <f t="shared" si="8"/>
        <v>0</v>
      </c>
    </row>
    <row r="114" spans="1:19" x14ac:dyDescent="0.35">
      <c r="A114" t="s">
        <v>107</v>
      </c>
      <c r="B114">
        <v>2031</v>
      </c>
      <c r="C114" t="s">
        <v>78</v>
      </c>
      <c r="D114" t="s">
        <v>97</v>
      </c>
      <c r="E114" s="13">
        <f>SUMIFS(Hydrogen!S:S,Hydrogen!B:B,Predev_Scenarios!B114,Hydrogen!A:A,Predev_Scenarios!A114)</f>
        <v>4129.6803652967856</v>
      </c>
      <c r="F114" t="s">
        <v>81</v>
      </c>
      <c r="H114" s="13" t="str">
        <f>IF(C114="Electricity",E114*SUMIFS(Electricity!S:S,Electricity!P:P,Predev_Scenarios!B114,Electricity!M:M,Predev_Scenarios!A114,Electricity!O:O,Predev_Scenarios!D114),"")</f>
        <v/>
      </c>
      <c r="I114" s="12"/>
      <c r="J114" s="12"/>
      <c r="K114" s="12"/>
      <c r="L114" s="63">
        <f t="shared" si="5"/>
        <v>0</v>
      </c>
      <c r="M114" s="63">
        <f t="shared" si="6"/>
        <v>0</v>
      </c>
      <c r="N114" s="63">
        <f t="shared" si="7"/>
        <v>0</v>
      </c>
      <c r="O114" s="30">
        <f>IF(OR(LEFT($D114,5)="Solar",$D114="Wind"),INDEX(Land_Use[AVG],MATCH(LEFT($D114,5),Land_Use[Tech],0)),0)*$E114</f>
        <v>14453.881278538749</v>
      </c>
      <c r="P114" s="30">
        <f>IF(OR(LEFT($D114,5)="Solar",$D114="Wind"),INDEX(Land_Use[MIN],MATCH(LEFT($D114,5),Land_Use[Tech],0)),0)*$E114</f>
        <v>11563.105022831</v>
      </c>
      <c r="Q114" s="30">
        <f>IF(OR(LEFT($D114,5)="Solar",$D114="Wind"),INDEX(Land_Use[MAX],MATCH(LEFT($D114,5),Land_Use[Tech],0)),0)*$E114</f>
        <v>17344.6575342465</v>
      </c>
      <c r="R114" s="31">
        <f>IFERROR(INDEX(WaterUseH2[Average Direct Water Consumption (Gal/ kg h2)],MATCH(LEFT(D114,3),WaterUseH2[Key],0)),0)</f>
        <v>0</v>
      </c>
      <c r="S114" s="15">
        <f t="shared" si="8"/>
        <v>0</v>
      </c>
    </row>
    <row r="115" spans="1:19" x14ac:dyDescent="0.35">
      <c r="A115" t="s">
        <v>107</v>
      </c>
      <c r="B115">
        <v>2032</v>
      </c>
      <c r="C115" t="s">
        <v>78</v>
      </c>
      <c r="D115" t="s">
        <v>97</v>
      </c>
      <c r="E115" s="13">
        <f>SUMIFS(Hydrogen!S:S,Hydrogen!B:B,Predev_Scenarios!B115,Hydrogen!A:A,Predev_Scenarios!A115)</f>
        <v>7738.8127853881178</v>
      </c>
      <c r="F115" t="s">
        <v>81</v>
      </c>
      <c r="H115" s="13" t="str">
        <f>IF(C115="Electricity",E115*SUMIFS(Electricity!S:S,Electricity!P:P,Predev_Scenarios!B115,Electricity!M:M,Predev_Scenarios!A115,Electricity!O:O,Predev_Scenarios!D115),"")</f>
        <v/>
      </c>
      <c r="I115" s="12"/>
      <c r="J115" s="12"/>
      <c r="K115" s="12"/>
      <c r="L115" s="63">
        <f t="shared" si="5"/>
        <v>0</v>
      </c>
      <c r="M115" s="63">
        <f t="shared" si="6"/>
        <v>0</v>
      </c>
      <c r="N115" s="63">
        <f t="shared" si="7"/>
        <v>0</v>
      </c>
      <c r="O115" s="30">
        <f>IF(OR(LEFT($D115,5)="Solar",$D115="Wind"),INDEX(Land_Use[AVG],MATCH(LEFT($D115,5),Land_Use[Tech],0)),0)*$E115</f>
        <v>27085.844748858413</v>
      </c>
      <c r="P115" s="30">
        <f>IF(OR(LEFT($D115,5)="Solar",$D115="Wind"),INDEX(Land_Use[MIN],MATCH(LEFT($D115,5),Land_Use[Tech],0)),0)*$E115</f>
        <v>21668.67579908673</v>
      </c>
      <c r="Q115" s="30">
        <f>IF(OR(LEFT($D115,5)="Solar",$D115="Wind"),INDEX(Land_Use[MAX],MATCH(LEFT($D115,5),Land_Use[Tech],0)),0)*$E115</f>
        <v>32503.013698630097</v>
      </c>
      <c r="R115" s="31">
        <f>IFERROR(INDEX(WaterUseH2[Average Direct Water Consumption (Gal/ kg h2)],MATCH(LEFT(D115,3),WaterUseH2[Key],0)),0)</f>
        <v>0</v>
      </c>
      <c r="S115" s="15">
        <f t="shared" si="8"/>
        <v>0</v>
      </c>
    </row>
    <row r="116" spans="1:19" x14ac:dyDescent="0.35">
      <c r="A116" t="s">
        <v>107</v>
      </c>
      <c r="B116">
        <v>2033</v>
      </c>
      <c r="C116" t="s">
        <v>78</v>
      </c>
      <c r="D116" t="s">
        <v>97</v>
      </c>
      <c r="E116" s="13">
        <f>SUMIFS(Hydrogen!S:S,Hydrogen!B:B,Predev_Scenarios!B116,Hydrogen!A:A,Predev_Scenarios!A116)</f>
        <v>11347.945205479453</v>
      </c>
      <c r="F116" t="s">
        <v>81</v>
      </c>
      <c r="H116" s="13" t="str">
        <f>IF(C116="Electricity",E116*SUMIFS(Electricity!S:S,Electricity!P:P,Predev_Scenarios!B116,Electricity!M:M,Predev_Scenarios!A116,Electricity!O:O,Predev_Scenarios!D116),"")</f>
        <v/>
      </c>
      <c r="I116" s="12"/>
      <c r="J116" s="12"/>
      <c r="K116" s="12"/>
      <c r="L116" s="63">
        <f t="shared" si="5"/>
        <v>0</v>
      </c>
      <c r="M116" s="63">
        <f t="shared" si="6"/>
        <v>0</v>
      </c>
      <c r="N116" s="63">
        <f t="shared" si="7"/>
        <v>0</v>
      </c>
      <c r="O116" s="30">
        <f>IF(OR(LEFT($D116,5)="Solar",$D116="Wind"),INDEX(Land_Use[AVG],MATCH(LEFT($D116,5),Land_Use[Tech],0)),0)*$E116</f>
        <v>39717.808219178085</v>
      </c>
      <c r="P116" s="30">
        <f>IF(OR(LEFT($D116,5)="Solar",$D116="Wind"),INDEX(Land_Use[MIN],MATCH(LEFT($D116,5),Land_Use[Tech],0)),0)*$E116</f>
        <v>31774.246575342466</v>
      </c>
      <c r="Q116" s="30">
        <f>IF(OR(LEFT($D116,5)="Solar",$D116="Wind"),INDEX(Land_Use[MAX],MATCH(LEFT($D116,5),Land_Use[Tech],0)),0)*$E116</f>
        <v>47661.369863013701</v>
      </c>
      <c r="R116" s="31">
        <f>IFERROR(INDEX(WaterUseH2[Average Direct Water Consumption (Gal/ kg h2)],MATCH(LEFT(D116,3),WaterUseH2[Key],0)),0)</f>
        <v>0</v>
      </c>
      <c r="S116" s="15">
        <f t="shared" si="8"/>
        <v>0</v>
      </c>
    </row>
    <row r="117" spans="1:19" x14ac:dyDescent="0.35">
      <c r="A117" t="s">
        <v>107</v>
      </c>
      <c r="B117">
        <v>2034</v>
      </c>
      <c r="C117" t="s">
        <v>78</v>
      </c>
      <c r="D117" t="s">
        <v>97</v>
      </c>
      <c r="E117" s="13">
        <f>SUMIFS(Hydrogen!S:S,Hydrogen!B:B,Predev_Scenarios!B117,Hydrogen!A:A,Predev_Scenarios!A117)</f>
        <v>14957.077625570755</v>
      </c>
      <c r="F117" t="s">
        <v>81</v>
      </c>
      <c r="H117" s="13" t="str">
        <f>IF(C117="Electricity",E117*SUMIFS(Electricity!S:S,Electricity!P:P,Predev_Scenarios!B117,Electricity!M:M,Predev_Scenarios!A117,Electricity!O:O,Predev_Scenarios!D117),"")</f>
        <v/>
      </c>
      <c r="I117" s="12"/>
      <c r="J117" s="12"/>
      <c r="K117" s="12"/>
      <c r="L117" s="63">
        <f t="shared" si="5"/>
        <v>0</v>
      </c>
      <c r="M117" s="63">
        <f t="shared" si="6"/>
        <v>0</v>
      </c>
      <c r="N117" s="63">
        <f t="shared" si="7"/>
        <v>0</v>
      </c>
      <c r="O117" s="30">
        <f>IF(OR(LEFT($D117,5)="Solar",$D117="Wind"),INDEX(Land_Use[AVG],MATCH(LEFT($D117,5),Land_Use[Tech],0)),0)*$E117</f>
        <v>52349.77168949764</v>
      </c>
      <c r="P117" s="30">
        <f>IF(OR(LEFT($D117,5)="Solar",$D117="Wind"),INDEX(Land_Use[MIN],MATCH(LEFT($D117,5),Land_Use[Tech],0)),0)*$E117</f>
        <v>41879.817351598111</v>
      </c>
      <c r="Q117" s="30">
        <f>IF(OR(LEFT($D117,5)="Solar",$D117="Wind"),INDEX(Land_Use[MAX],MATCH(LEFT($D117,5),Land_Use[Tech],0)),0)*$E117</f>
        <v>62819.726027397177</v>
      </c>
      <c r="R117" s="31">
        <f>IFERROR(INDEX(WaterUseH2[Average Direct Water Consumption (Gal/ kg h2)],MATCH(LEFT(D117,3),WaterUseH2[Key],0)),0)</f>
        <v>0</v>
      </c>
      <c r="S117" s="15">
        <f t="shared" si="8"/>
        <v>0</v>
      </c>
    </row>
    <row r="118" spans="1:19" x14ac:dyDescent="0.35">
      <c r="A118" t="s">
        <v>107</v>
      </c>
      <c r="B118">
        <v>2035</v>
      </c>
      <c r="C118" t="s">
        <v>78</v>
      </c>
      <c r="D118" t="s">
        <v>97</v>
      </c>
      <c r="E118" s="13">
        <f>SUMIFS(Hydrogen!S:S,Hydrogen!B:B,Predev_Scenarios!B118,Hydrogen!A:A,Predev_Scenarios!A118)</f>
        <v>18566.210045662094</v>
      </c>
      <c r="F118" t="s">
        <v>81</v>
      </c>
      <c r="H118" s="13" t="str">
        <f>IF(C118="Electricity",E118*SUMIFS(Electricity!S:S,Electricity!P:P,Predev_Scenarios!B118,Electricity!M:M,Predev_Scenarios!A118,Electricity!O:O,Predev_Scenarios!D118),"")</f>
        <v/>
      </c>
      <c r="I118" s="12"/>
      <c r="J118" s="12"/>
      <c r="K118" s="12"/>
      <c r="L118" s="63">
        <f t="shared" si="5"/>
        <v>0</v>
      </c>
      <c r="M118" s="63">
        <f t="shared" si="6"/>
        <v>0</v>
      </c>
      <c r="N118" s="63">
        <f t="shared" si="7"/>
        <v>0</v>
      </c>
      <c r="O118" s="30">
        <f>IF(OR(LEFT($D118,5)="Solar",$D118="Wind"),INDEX(Land_Use[AVG],MATCH(LEFT($D118,5),Land_Use[Tech],0)),0)*$E118</f>
        <v>64981.735159817326</v>
      </c>
      <c r="P118" s="30">
        <f>IF(OR(LEFT($D118,5)="Solar",$D118="Wind"),INDEX(Land_Use[MIN],MATCH(LEFT($D118,5),Land_Use[Tech],0)),0)*$E118</f>
        <v>51985.388127853861</v>
      </c>
      <c r="Q118" s="30">
        <f>IF(OR(LEFT($D118,5)="Solar",$D118="Wind"),INDEX(Land_Use[MAX],MATCH(LEFT($D118,5),Land_Use[Tech],0)),0)*$E118</f>
        <v>77978.082191780792</v>
      </c>
      <c r="R118" s="31">
        <f>IFERROR(INDEX(WaterUseH2[Average Direct Water Consumption (Gal/ kg h2)],MATCH(LEFT(D118,3),WaterUseH2[Key],0)),0)</f>
        <v>0</v>
      </c>
      <c r="S118" s="15">
        <f t="shared" si="8"/>
        <v>0</v>
      </c>
    </row>
    <row r="119" spans="1:19" x14ac:dyDescent="0.35">
      <c r="A119" t="s">
        <v>107</v>
      </c>
      <c r="B119">
        <v>2036</v>
      </c>
      <c r="C119" t="s">
        <v>78</v>
      </c>
      <c r="D119" t="s">
        <v>97</v>
      </c>
      <c r="E119" s="13">
        <f>SUMIFS(Hydrogen!S:S,Hydrogen!B:B,Predev_Scenarios!B119,Hydrogen!A:A,Predev_Scenarios!A119)</f>
        <v>22175.342465753427</v>
      </c>
      <c r="F119" t="s">
        <v>81</v>
      </c>
      <c r="H119" s="13" t="str">
        <f>IF(C119="Electricity",E119*SUMIFS(Electricity!S:S,Electricity!P:P,Predev_Scenarios!B119,Electricity!M:M,Predev_Scenarios!A119,Electricity!O:O,Predev_Scenarios!D119),"")</f>
        <v/>
      </c>
      <c r="I119" s="12"/>
      <c r="J119" s="12"/>
      <c r="K119" s="12"/>
      <c r="L119" s="63">
        <f t="shared" si="5"/>
        <v>0</v>
      </c>
      <c r="M119" s="63">
        <f t="shared" si="6"/>
        <v>0</v>
      </c>
      <c r="N119" s="63">
        <f t="shared" si="7"/>
        <v>0</v>
      </c>
      <c r="O119" s="30">
        <f>IF(OR(LEFT($D119,5)="Solar",$D119="Wind"),INDEX(Land_Use[AVG],MATCH(LEFT($D119,5),Land_Use[Tech],0)),0)*$E119</f>
        <v>77613.698630136991</v>
      </c>
      <c r="P119" s="30">
        <f>IF(OR(LEFT($D119,5)="Solar",$D119="Wind"),INDEX(Land_Use[MIN],MATCH(LEFT($D119,5),Land_Use[Tech],0)),0)*$E119</f>
        <v>62090.95890410959</v>
      </c>
      <c r="Q119" s="30">
        <f>IF(OR(LEFT($D119,5)="Solar",$D119="Wind"),INDEX(Land_Use[MAX],MATCH(LEFT($D119,5),Land_Use[Tech],0)),0)*$E119</f>
        <v>93136.438356164392</v>
      </c>
      <c r="R119" s="31">
        <f>IFERROR(INDEX(WaterUseH2[Average Direct Water Consumption (Gal/ kg h2)],MATCH(LEFT(D119,3),WaterUseH2[Key],0)),0)</f>
        <v>0</v>
      </c>
      <c r="S119" s="15">
        <f t="shared" si="8"/>
        <v>0</v>
      </c>
    </row>
    <row r="120" spans="1:19" x14ac:dyDescent="0.35">
      <c r="A120" t="s">
        <v>107</v>
      </c>
      <c r="B120">
        <v>2037</v>
      </c>
      <c r="C120" t="s">
        <v>78</v>
      </c>
      <c r="D120" t="s">
        <v>97</v>
      </c>
      <c r="E120" s="13">
        <f>SUMIFS(Hydrogen!S:S,Hydrogen!B:B,Predev_Scenarios!B120,Hydrogen!A:A,Predev_Scenarios!A120)</f>
        <v>25784.474885844727</v>
      </c>
      <c r="F120" t="s">
        <v>81</v>
      </c>
      <c r="H120" s="13" t="str">
        <f>IF(C120="Electricity",E120*SUMIFS(Electricity!S:S,Electricity!P:P,Predev_Scenarios!B120,Electricity!M:M,Predev_Scenarios!A120,Electricity!O:O,Predev_Scenarios!D120),"")</f>
        <v/>
      </c>
      <c r="I120" s="12"/>
      <c r="J120" s="12"/>
      <c r="K120" s="12"/>
      <c r="L120" s="63">
        <f t="shared" si="5"/>
        <v>0</v>
      </c>
      <c r="M120" s="63">
        <f t="shared" si="6"/>
        <v>0</v>
      </c>
      <c r="N120" s="63">
        <f t="shared" si="7"/>
        <v>0</v>
      </c>
      <c r="O120" s="30">
        <f>IF(OR(LEFT($D120,5)="Solar",$D120="Wind"),INDEX(Land_Use[AVG],MATCH(LEFT($D120,5),Land_Use[Tech],0)),0)*$E120</f>
        <v>90245.662100456539</v>
      </c>
      <c r="P120" s="30">
        <f>IF(OR(LEFT($D120,5)="Solar",$D120="Wind"),INDEX(Land_Use[MIN],MATCH(LEFT($D120,5),Land_Use[Tech],0)),0)*$E120</f>
        <v>72196.529680365231</v>
      </c>
      <c r="Q120" s="30">
        <f>IF(OR(LEFT($D120,5)="Solar",$D120="Wind"),INDEX(Land_Use[MAX],MATCH(LEFT($D120,5),Land_Use[Tech],0)),0)*$E120</f>
        <v>108294.79452054786</v>
      </c>
      <c r="R120" s="31">
        <f>IFERROR(INDEX(WaterUseH2[Average Direct Water Consumption (Gal/ kg h2)],MATCH(LEFT(D120,3),WaterUseH2[Key],0)),0)</f>
        <v>0</v>
      </c>
      <c r="S120" s="15">
        <f t="shared" si="8"/>
        <v>0</v>
      </c>
    </row>
    <row r="121" spans="1:19" x14ac:dyDescent="0.35">
      <c r="A121" t="s">
        <v>107</v>
      </c>
      <c r="B121">
        <v>2038</v>
      </c>
      <c r="C121" t="s">
        <v>78</v>
      </c>
      <c r="D121" t="s">
        <v>97</v>
      </c>
      <c r="E121" s="13">
        <f>SUMIFS(Hydrogen!S:S,Hydrogen!B:B,Predev_Scenarios!B121,Hydrogen!A:A,Predev_Scenarios!A121)</f>
        <v>29393.607305935991</v>
      </c>
      <c r="F121" t="s">
        <v>81</v>
      </c>
      <c r="H121" s="13" t="str">
        <f>IF(C121="Electricity",E121*SUMIFS(Electricity!S:S,Electricity!P:P,Predev_Scenarios!B121,Electricity!M:M,Predev_Scenarios!A121,Electricity!O:O,Predev_Scenarios!D121),"")</f>
        <v/>
      </c>
      <c r="I121" s="12"/>
      <c r="J121" s="12"/>
      <c r="K121" s="12"/>
      <c r="L121" s="63">
        <f t="shared" si="5"/>
        <v>0</v>
      </c>
      <c r="M121" s="63">
        <f t="shared" si="6"/>
        <v>0</v>
      </c>
      <c r="N121" s="63">
        <f t="shared" si="7"/>
        <v>0</v>
      </c>
      <c r="O121" s="30">
        <f>IF(OR(LEFT($D121,5)="Solar",$D121="Wind"),INDEX(Land_Use[AVG],MATCH(LEFT($D121,5),Land_Use[Tech],0)),0)*$E121</f>
        <v>102877.62557077597</v>
      </c>
      <c r="P121" s="30">
        <f>IF(OR(LEFT($D121,5)="Solar",$D121="Wind"),INDEX(Land_Use[MIN],MATCH(LEFT($D121,5),Land_Use[Tech],0)),0)*$E121</f>
        <v>82302.10045662077</v>
      </c>
      <c r="Q121" s="30">
        <f>IF(OR(LEFT($D121,5)="Solar",$D121="Wind"),INDEX(Land_Use[MAX],MATCH(LEFT($D121,5),Land_Use[Tech],0)),0)*$E121</f>
        <v>123453.15068493117</v>
      </c>
      <c r="R121" s="31">
        <f>IFERROR(INDEX(WaterUseH2[Average Direct Water Consumption (Gal/ kg h2)],MATCH(LEFT(D121,3),WaterUseH2[Key],0)),0)</f>
        <v>0</v>
      </c>
      <c r="S121" s="15">
        <f t="shared" si="8"/>
        <v>0</v>
      </c>
    </row>
    <row r="122" spans="1:19" x14ac:dyDescent="0.35">
      <c r="A122" t="s">
        <v>107</v>
      </c>
      <c r="B122">
        <v>2039</v>
      </c>
      <c r="C122" t="s">
        <v>78</v>
      </c>
      <c r="D122" t="s">
        <v>97</v>
      </c>
      <c r="E122" s="13">
        <f>SUMIFS(Hydrogen!S:S,Hydrogen!B:B,Predev_Scenarios!B122,Hydrogen!A:A,Predev_Scenarios!A122)</f>
        <v>33002.739726027401</v>
      </c>
      <c r="F122" t="s">
        <v>81</v>
      </c>
      <c r="H122" s="13" t="str">
        <f>IF(C122="Electricity",E122*SUMIFS(Electricity!S:S,Electricity!P:P,Predev_Scenarios!B122,Electricity!M:M,Predev_Scenarios!A122,Electricity!O:O,Predev_Scenarios!D122),"")</f>
        <v/>
      </c>
      <c r="I122" s="12"/>
      <c r="J122" s="12"/>
      <c r="K122" s="12"/>
      <c r="L122" s="63">
        <f t="shared" si="5"/>
        <v>0</v>
      </c>
      <c r="M122" s="63">
        <f t="shared" si="6"/>
        <v>0</v>
      </c>
      <c r="N122" s="63">
        <f t="shared" si="7"/>
        <v>0</v>
      </c>
      <c r="O122" s="30">
        <f>IF(OR(LEFT($D122,5)="Solar",$D122="Wind"),INDEX(Land_Use[AVG],MATCH(LEFT($D122,5),Land_Use[Tech],0)),0)*$E122</f>
        <v>115509.5890410959</v>
      </c>
      <c r="P122" s="30">
        <f>IF(OR(LEFT($D122,5)="Solar",$D122="Wind"),INDEX(Land_Use[MIN],MATCH(LEFT($D122,5),Land_Use[Tech],0)),0)*$E122</f>
        <v>92407.671232876717</v>
      </c>
      <c r="Q122" s="30">
        <f>IF(OR(LEFT($D122,5)="Solar",$D122="Wind"),INDEX(Land_Use[MAX],MATCH(LEFT($D122,5),Land_Use[Tech],0)),0)*$E122</f>
        <v>138611.5068493151</v>
      </c>
      <c r="R122" s="31">
        <f>IFERROR(INDEX(WaterUseH2[Average Direct Water Consumption (Gal/ kg h2)],MATCH(LEFT(D122,3),WaterUseH2[Key],0)),0)</f>
        <v>0</v>
      </c>
      <c r="S122" s="15">
        <f t="shared" si="8"/>
        <v>0</v>
      </c>
    </row>
    <row r="123" spans="1:19" x14ac:dyDescent="0.35">
      <c r="A123" t="s">
        <v>107</v>
      </c>
      <c r="B123">
        <v>2040</v>
      </c>
      <c r="C123" t="s">
        <v>78</v>
      </c>
      <c r="D123" t="s">
        <v>97</v>
      </c>
      <c r="E123" s="13">
        <f>SUMIFS(Hydrogen!S:S,Hydrogen!B:B,Predev_Scenarios!B123,Hydrogen!A:A,Predev_Scenarios!A123)</f>
        <v>36611.872146118549</v>
      </c>
      <c r="F123" t="s">
        <v>81</v>
      </c>
      <c r="H123" s="13" t="str">
        <f>IF(C123="Electricity",E123*SUMIFS(Electricity!S:S,Electricity!P:P,Predev_Scenarios!B123,Electricity!M:M,Predev_Scenarios!A123,Electricity!O:O,Predev_Scenarios!D123),"")</f>
        <v/>
      </c>
      <c r="I123" s="12"/>
      <c r="J123" s="12"/>
      <c r="K123" s="12"/>
      <c r="L123" s="63">
        <f t="shared" si="5"/>
        <v>0</v>
      </c>
      <c r="M123" s="63">
        <f t="shared" si="6"/>
        <v>0</v>
      </c>
      <c r="N123" s="63">
        <f t="shared" si="7"/>
        <v>0</v>
      </c>
      <c r="O123" s="30">
        <f>IF(OR(LEFT($D123,5)="Solar",$D123="Wind"),INDEX(Land_Use[AVG],MATCH(LEFT($D123,5),Land_Use[Tech],0)),0)*$E123</f>
        <v>128141.55251141492</v>
      </c>
      <c r="P123" s="30">
        <f>IF(OR(LEFT($D123,5)="Solar",$D123="Wind"),INDEX(Land_Use[MIN],MATCH(LEFT($D123,5),Land_Use[Tech],0)),0)*$E123</f>
        <v>102513.24200913194</v>
      </c>
      <c r="Q123" s="30">
        <f>IF(OR(LEFT($D123,5)="Solar",$D123="Wind"),INDEX(Land_Use[MAX],MATCH(LEFT($D123,5),Land_Use[Tech],0)),0)*$E123</f>
        <v>153769.8630136979</v>
      </c>
      <c r="R123" s="31">
        <f>IFERROR(INDEX(WaterUseH2[Average Direct Water Consumption (Gal/ kg h2)],MATCH(LEFT(D123,3),WaterUseH2[Key],0)),0)</f>
        <v>0</v>
      </c>
      <c r="S123" s="15">
        <f t="shared" si="8"/>
        <v>0</v>
      </c>
    </row>
    <row r="124" spans="1:19" x14ac:dyDescent="0.35">
      <c r="A124" t="s">
        <v>107</v>
      </c>
      <c r="B124">
        <v>2041</v>
      </c>
      <c r="C124" t="s">
        <v>78</v>
      </c>
      <c r="D124" t="s">
        <v>97</v>
      </c>
      <c r="E124" s="13">
        <f>SUMIFS(Hydrogen!S:S,Hydrogen!B:B,Predev_Scenarios!B124,Hydrogen!A:A,Predev_Scenarios!A124)</f>
        <v>40221.004566209951</v>
      </c>
      <c r="F124" t="s">
        <v>81</v>
      </c>
      <c r="H124" s="13" t="str">
        <f>IF(C124="Electricity",E124*SUMIFS(Electricity!S:S,Electricity!P:P,Predev_Scenarios!B124,Electricity!M:M,Predev_Scenarios!A124,Electricity!O:O,Predev_Scenarios!D124),"")</f>
        <v/>
      </c>
      <c r="I124" s="12"/>
      <c r="J124" s="12"/>
      <c r="K124" s="12"/>
      <c r="L124" s="63">
        <f t="shared" si="5"/>
        <v>0</v>
      </c>
      <c r="M124" s="63">
        <f t="shared" si="6"/>
        <v>0</v>
      </c>
      <c r="N124" s="63">
        <f t="shared" si="7"/>
        <v>0</v>
      </c>
      <c r="O124" s="30">
        <f>IF(OR(LEFT($D124,5)="Solar",$D124="Wind"),INDEX(Land_Use[AVG],MATCH(LEFT($D124,5),Land_Use[Tech],0)),0)*$E124</f>
        <v>140773.51598173482</v>
      </c>
      <c r="P124" s="30">
        <f>IF(OR(LEFT($D124,5)="Solar",$D124="Wind"),INDEX(Land_Use[MIN],MATCH(LEFT($D124,5),Land_Use[Tech],0)),0)*$E124</f>
        <v>112618.81278538785</v>
      </c>
      <c r="Q124" s="30">
        <f>IF(OR(LEFT($D124,5)="Solar",$D124="Wind"),INDEX(Land_Use[MAX],MATCH(LEFT($D124,5),Land_Use[Tech],0)),0)*$E124</f>
        <v>168928.21917808181</v>
      </c>
      <c r="R124" s="31">
        <f>IFERROR(INDEX(WaterUseH2[Average Direct Water Consumption (Gal/ kg h2)],MATCH(LEFT(D124,3),WaterUseH2[Key],0)),0)</f>
        <v>0</v>
      </c>
      <c r="S124" s="15">
        <f t="shared" si="8"/>
        <v>0</v>
      </c>
    </row>
    <row r="125" spans="1:19" x14ac:dyDescent="0.35">
      <c r="A125" t="s">
        <v>107</v>
      </c>
      <c r="B125">
        <v>2042</v>
      </c>
      <c r="C125" t="s">
        <v>78</v>
      </c>
      <c r="D125" t="s">
        <v>97</v>
      </c>
      <c r="E125" s="13">
        <f>SUMIFS(Hydrogen!S:S,Hydrogen!B:B,Predev_Scenarios!B125,Hydrogen!A:A,Predev_Scenarios!A125)</f>
        <v>43830.136986301368</v>
      </c>
      <c r="F125" t="s">
        <v>81</v>
      </c>
      <c r="H125" s="13" t="str">
        <f>IF(C125="Electricity",E125*SUMIFS(Electricity!S:S,Electricity!P:P,Predev_Scenarios!B125,Electricity!M:M,Predev_Scenarios!A125,Electricity!O:O,Predev_Scenarios!D125),"")</f>
        <v/>
      </c>
      <c r="I125" s="12"/>
      <c r="J125" s="12"/>
      <c r="K125" s="12"/>
      <c r="L125" s="63">
        <f t="shared" si="5"/>
        <v>0</v>
      </c>
      <c r="M125" s="63">
        <f t="shared" si="6"/>
        <v>0</v>
      </c>
      <c r="N125" s="63">
        <f t="shared" si="7"/>
        <v>0</v>
      </c>
      <c r="O125" s="30">
        <f>IF(OR(LEFT($D125,5)="Solar",$D125="Wind"),INDEX(Land_Use[AVG],MATCH(LEFT($D125,5),Land_Use[Tech],0)),0)*$E125</f>
        <v>153405.47945205477</v>
      </c>
      <c r="P125" s="30">
        <f>IF(OR(LEFT($D125,5)="Solar",$D125="Wind"),INDEX(Land_Use[MIN],MATCH(LEFT($D125,5),Land_Use[Tech],0)),0)*$E125</f>
        <v>122724.38356164382</v>
      </c>
      <c r="Q125" s="30">
        <f>IF(OR(LEFT($D125,5)="Solar",$D125="Wind"),INDEX(Land_Use[MAX],MATCH(LEFT($D125,5),Land_Use[Tech],0)),0)*$E125</f>
        <v>184086.57534246575</v>
      </c>
      <c r="R125" s="31">
        <f>IFERROR(INDEX(WaterUseH2[Average Direct Water Consumption (Gal/ kg h2)],MATCH(LEFT(D125,3),WaterUseH2[Key],0)),0)</f>
        <v>0</v>
      </c>
      <c r="S125" s="15">
        <f t="shared" si="8"/>
        <v>0</v>
      </c>
    </row>
    <row r="126" spans="1:19" x14ac:dyDescent="0.35">
      <c r="A126" t="s">
        <v>107</v>
      </c>
      <c r="B126">
        <v>2043</v>
      </c>
      <c r="C126" t="s">
        <v>78</v>
      </c>
      <c r="D126" t="s">
        <v>97</v>
      </c>
      <c r="E126" s="13">
        <f>SUMIFS(Hydrogen!S:S,Hydrogen!B:B,Predev_Scenarios!B126,Hydrogen!A:A,Predev_Scenarios!A126)</f>
        <v>47439.269406392516</v>
      </c>
      <c r="F126" t="s">
        <v>81</v>
      </c>
      <c r="H126" s="13" t="str">
        <f>IF(C126="Electricity",E126*SUMIFS(Electricity!S:S,Electricity!P:P,Predev_Scenarios!B126,Electricity!M:M,Predev_Scenarios!A126,Electricity!O:O,Predev_Scenarios!D126),"")</f>
        <v/>
      </c>
      <c r="I126" s="12"/>
      <c r="J126" s="12"/>
      <c r="K126" s="12"/>
      <c r="L126" s="63">
        <f t="shared" si="5"/>
        <v>0</v>
      </c>
      <c r="M126" s="63">
        <f t="shared" si="6"/>
        <v>0</v>
      </c>
      <c r="N126" s="63">
        <f t="shared" si="7"/>
        <v>0</v>
      </c>
      <c r="O126" s="30">
        <f>IF(OR(LEFT($D126,5)="Solar",$D126="Wind"),INDEX(Land_Use[AVG],MATCH(LEFT($D126,5),Land_Use[Tech],0)),0)*$E126</f>
        <v>166037.4429223738</v>
      </c>
      <c r="P126" s="30">
        <f>IF(OR(LEFT($D126,5)="Solar",$D126="Wind"),INDEX(Land_Use[MIN],MATCH(LEFT($D126,5),Land_Use[Tech],0)),0)*$E126</f>
        <v>132829.95433789905</v>
      </c>
      <c r="Q126" s="30">
        <f>IF(OR(LEFT($D126,5)="Solar",$D126="Wind"),INDEX(Land_Use[MAX],MATCH(LEFT($D126,5),Land_Use[Tech],0)),0)*$E126</f>
        <v>199244.93150684857</v>
      </c>
      <c r="R126" s="31">
        <f>IFERROR(INDEX(WaterUseH2[Average Direct Water Consumption (Gal/ kg h2)],MATCH(LEFT(D126,3),WaterUseH2[Key],0)),0)</f>
        <v>0</v>
      </c>
      <c r="S126" s="15">
        <f t="shared" si="8"/>
        <v>0</v>
      </c>
    </row>
    <row r="127" spans="1:19" x14ac:dyDescent="0.35">
      <c r="A127" t="s">
        <v>107</v>
      </c>
      <c r="B127">
        <v>2044</v>
      </c>
      <c r="C127" t="s">
        <v>78</v>
      </c>
      <c r="D127" t="s">
        <v>97</v>
      </c>
      <c r="E127" s="13">
        <f>SUMIFS(Hydrogen!S:S,Hydrogen!B:B,Predev_Scenarios!B127,Hydrogen!A:A,Predev_Scenarios!A127)</f>
        <v>51048.401826483925</v>
      </c>
      <c r="F127" t="s">
        <v>81</v>
      </c>
      <c r="H127" s="13" t="str">
        <f>IF(C127="Electricity",E127*SUMIFS(Electricity!S:S,Electricity!P:P,Predev_Scenarios!B127,Electricity!M:M,Predev_Scenarios!A127,Electricity!O:O,Predev_Scenarios!D127),"")</f>
        <v/>
      </c>
      <c r="I127" s="12"/>
      <c r="J127" s="12"/>
      <c r="K127" s="12"/>
      <c r="L127" s="63">
        <f t="shared" si="5"/>
        <v>0</v>
      </c>
      <c r="M127" s="63">
        <f t="shared" si="6"/>
        <v>0</v>
      </c>
      <c r="N127" s="63">
        <f t="shared" si="7"/>
        <v>0</v>
      </c>
      <c r="O127" s="30">
        <f>IF(OR(LEFT($D127,5)="Solar",$D127="Wind"),INDEX(Land_Use[AVG],MATCH(LEFT($D127,5),Land_Use[Tech],0)),0)*$E127</f>
        <v>178669.40639269375</v>
      </c>
      <c r="P127" s="30">
        <f>IF(OR(LEFT($D127,5)="Solar",$D127="Wind"),INDEX(Land_Use[MIN],MATCH(LEFT($D127,5),Land_Use[Tech],0)),0)*$E127</f>
        <v>142935.52511415497</v>
      </c>
      <c r="Q127" s="30">
        <f>IF(OR(LEFT($D127,5)="Solar",$D127="Wind"),INDEX(Land_Use[MAX],MATCH(LEFT($D127,5),Land_Use[Tech],0)),0)*$E127</f>
        <v>214403.28767123251</v>
      </c>
      <c r="R127" s="31">
        <f>IFERROR(INDEX(WaterUseH2[Average Direct Water Consumption (Gal/ kg h2)],MATCH(LEFT(D127,3),WaterUseH2[Key],0)),0)</f>
        <v>0</v>
      </c>
      <c r="S127" s="15">
        <f t="shared" si="8"/>
        <v>0</v>
      </c>
    </row>
    <row r="128" spans="1:19" x14ac:dyDescent="0.35">
      <c r="A128" t="s">
        <v>107</v>
      </c>
      <c r="B128">
        <v>2045</v>
      </c>
      <c r="C128" t="s">
        <v>78</v>
      </c>
      <c r="D128" t="s">
        <v>97</v>
      </c>
      <c r="E128" s="13">
        <f>SUMIFS(Hydrogen!S:S,Hydrogen!B:B,Predev_Scenarios!B128,Hydrogen!A:A,Predev_Scenarios!A128)</f>
        <v>54657.534246575335</v>
      </c>
      <c r="F128" t="s">
        <v>81</v>
      </c>
      <c r="H128" s="13" t="str">
        <f>IF(C128="Electricity",E128*SUMIFS(Electricity!S:S,Electricity!P:P,Predev_Scenarios!B128,Electricity!M:M,Predev_Scenarios!A128,Electricity!O:O,Predev_Scenarios!D128),"")</f>
        <v/>
      </c>
      <c r="I128" s="12"/>
      <c r="J128" s="12"/>
      <c r="K128" s="12"/>
      <c r="L128" s="63">
        <f t="shared" si="5"/>
        <v>0</v>
      </c>
      <c r="M128" s="63">
        <f t="shared" si="6"/>
        <v>0</v>
      </c>
      <c r="N128" s="63">
        <f t="shared" si="7"/>
        <v>0</v>
      </c>
      <c r="O128" s="30">
        <f>IF(OR(LEFT($D128,5)="Solar",$D128="Wind"),INDEX(Land_Use[AVG],MATCH(LEFT($D128,5),Land_Use[Tech],0)),0)*$E128</f>
        <v>191301.36986301368</v>
      </c>
      <c r="P128" s="30">
        <f>IF(OR(LEFT($D128,5)="Solar",$D128="Wind"),INDEX(Land_Use[MIN],MATCH(LEFT($D128,5),Land_Use[Tech],0)),0)*$E128</f>
        <v>153041.09589041091</v>
      </c>
      <c r="Q128" s="30">
        <f>IF(OR(LEFT($D128,5)="Solar",$D128="Wind"),INDEX(Land_Use[MAX],MATCH(LEFT($D128,5),Land_Use[Tech],0)),0)*$E128</f>
        <v>229561.64383561641</v>
      </c>
      <c r="R128" s="31">
        <f>IFERROR(INDEX(WaterUseH2[Average Direct Water Consumption (Gal/ kg h2)],MATCH(LEFT(D128,3),WaterUseH2[Key],0)),0)</f>
        <v>0</v>
      </c>
      <c r="S128" s="15">
        <f t="shared" si="8"/>
        <v>0</v>
      </c>
    </row>
    <row r="129" spans="1:19" x14ac:dyDescent="0.35">
      <c r="A129" t="s">
        <v>76</v>
      </c>
      <c r="B129">
        <v>2025</v>
      </c>
      <c r="C129" t="s">
        <v>41</v>
      </c>
      <c r="D129" t="s">
        <v>80</v>
      </c>
      <c r="E129" s="12">
        <f>SUMIFS(Electricity!$R:$R,Electricity!$P:$P,$B129,Electricity!$O:$O,$D129,Electricity!$M:$M,$A129)</f>
        <v>1170.8813598627298</v>
      </c>
      <c r="F129" t="s">
        <v>81</v>
      </c>
      <c r="G129" s="31">
        <f>H129/Assumptions!$B$23/1000000000000</f>
        <v>9.6692808164245657E-3</v>
      </c>
      <c r="H129" s="13">
        <f>IF(C129="Electricity",E129*SUMIFS(Electricity!S:S,Electricity!P:P,Predev_Scenarios!B129,Electricity!M:M,Predev_Scenarios!A129,Electricity!O:O,Predev_Scenarios!D129),"")</f>
        <v>2686043.7240469647</v>
      </c>
      <c r="I129" s="59">
        <f>SUMIFS(Electricity!U:U,Electricity!$M:$M,Predev_Scenarios!$A129,Electricity!$P:$P,Predev_Scenarios!$B129,Electricity!$O:$O,Predev_Scenarios!$D129)*-1</f>
        <v>0.14403038200000001</v>
      </c>
      <c r="J129" s="59">
        <f>SUMIFS(Electricity!V:V,Electricity!$M:$M,Predev_Scenarios!$A129,Electricity!$P:$P,Predev_Scenarios!$B129,Electricity!$O:$O,Predev_Scenarios!$D129)*-1</f>
        <v>0.13205013099999999</v>
      </c>
      <c r="K129" s="59">
        <f>SUMIFS(Electricity!W:W,Electricity!$M:$M,Predev_Scenarios!$A129,Electricity!$P:$P,Predev_Scenarios!$B129,Electricity!$O:$O,Predev_Scenarios!$D129)*-1</f>
        <v>0.15601063200000001</v>
      </c>
      <c r="L129" s="63">
        <f t="shared" si="5"/>
        <v>-3.8687190364318694E-7</v>
      </c>
      <c r="M129" s="63">
        <f t="shared" si="6"/>
        <v>-3.5469242563212948E-7</v>
      </c>
      <c r="N129" s="63">
        <f t="shared" si="7"/>
        <v>-4.1905137896820059E-7</v>
      </c>
      <c r="O129" s="30">
        <f>IF(OR(LEFT($D129,5)="Solar",$D129="Wind"),INDEX(Land_Use[AVG],MATCH(LEFT($D129,5),Land_Use[Tech],0)),0)*$E129</f>
        <v>4098.0847595195546</v>
      </c>
      <c r="P129" s="30">
        <f>IF(OR(LEFT($D129,5)="Solar",$D129="Wind"),INDEX(Land_Use[MIN],MATCH(LEFT($D129,5),Land_Use[Tech],0)),0)*$E129</f>
        <v>3278.4678076156433</v>
      </c>
      <c r="Q129" s="30">
        <f>IF(OR(LEFT($D129,5)="Solar",$D129="Wind"),INDEX(Land_Use[MAX],MATCH(LEFT($D129,5),Land_Use[Tech],0)),0)*$E129</f>
        <v>4917.7017114234659</v>
      </c>
      <c r="R129" s="31">
        <f>IFERROR(INDEX(WaterUseH2[Average Direct Water Consumption (Gal/ kg h2)],MATCH(LEFT(D129,3),WaterUseH2[Key],0)),0)</f>
        <v>0</v>
      </c>
      <c r="S129" s="15">
        <f t="shared" si="8"/>
        <v>0</v>
      </c>
    </row>
    <row r="130" spans="1:19" x14ac:dyDescent="0.35">
      <c r="A130" t="s">
        <v>76</v>
      </c>
      <c r="B130">
        <v>2026</v>
      </c>
      <c r="C130" t="s">
        <v>41</v>
      </c>
      <c r="D130" t="s">
        <v>80</v>
      </c>
      <c r="E130" s="12">
        <f>SUMIFS(Electricity!$R:$R,Electricity!$P:$P,$B130,Electricity!$O:$O,$D130,Electricity!$M:$M,$A130)</f>
        <v>2341.7627197254601</v>
      </c>
      <c r="F130" t="s">
        <v>81</v>
      </c>
      <c r="G130" s="31">
        <f>H130/Assumptions!$B$23/1000000000000</f>
        <v>1.8884396053910499E-2</v>
      </c>
      <c r="H130" s="13">
        <f>IF(C130="Electricity",E130*SUMIFS(Electricity!S:S,Electricity!P:P,Predev_Scenarios!B130,Electricity!M:M,Predev_Scenarios!A130,Electricity!O:O,Predev_Scenarios!D130),"")</f>
        <v>5245924.124663081</v>
      </c>
      <c r="I130" s="59">
        <f>SUMIFS(Electricity!U:U,Electricity!$M:$M,Predev_Scenarios!$A130,Electricity!$P:$P,Predev_Scenarios!$B130,Electricity!$O:$O,Predev_Scenarios!$D130)*-1</f>
        <v>0.13980645780000001</v>
      </c>
      <c r="J130" s="59">
        <f>SUMIFS(Electricity!V:V,Electricity!$M:$M,Predev_Scenarios!$A130,Electricity!$P:$P,Predev_Scenarios!$B130,Electricity!$O:$O,Predev_Scenarios!$D130)*-1</f>
        <v>0.12689236385</v>
      </c>
      <c r="K130" s="59">
        <f>SUMIFS(Electricity!W:W,Electricity!$M:$M,Predev_Scenarios!$A130,Electricity!$P:$P,Predev_Scenarios!$B130,Electricity!$O:$O,Predev_Scenarios!$D130)*-1</f>
        <v>0.15272055075000002</v>
      </c>
      <c r="L130" s="63">
        <f t="shared" si="5"/>
        <v>-7.3341406975671101E-7</v>
      </c>
      <c r="M130" s="63">
        <f t="shared" si="6"/>
        <v>-6.6566771275624045E-7</v>
      </c>
      <c r="N130" s="63">
        <f t="shared" si="7"/>
        <v>-8.0116042151125749E-7</v>
      </c>
      <c r="O130" s="30">
        <f>IF(OR(LEFT($D130,5)="Solar",$D130="Wind"),INDEX(Land_Use[AVG],MATCH(LEFT($D130,5),Land_Use[Tech],0)),0)*$E130</f>
        <v>8196.169519039111</v>
      </c>
      <c r="P130" s="30">
        <f>IF(OR(LEFT($D130,5)="Solar",$D130="Wind"),INDEX(Land_Use[MIN],MATCH(LEFT($D130,5),Land_Use[Tech],0)),0)*$E130</f>
        <v>6556.9356152312876</v>
      </c>
      <c r="Q130" s="30">
        <f>IF(OR(LEFT($D130,5)="Solar",$D130="Wind"),INDEX(Land_Use[MAX],MATCH(LEFT($D130,5),Land_Use[Tech],0)),0)*$E130</f>
        <v>9835.4034228469336</v>
      </c>
      <c r="R130" s="31">
        <f>IFERROR(INDEX(WaterUseH2[Average Direct Water Consumption (Gal/ kg h2)],MATCH(LEFT(D130,3),WaterUseH2[Key],0)),0)</f>
        <v>0</v>
      </c>
      <c r="S130" s="15">
        <f t="shared" si="8"/>
        <v>0</v>
      </c>
    </row>
    <row r="131" spans="1:19" x14ac:dyDescent="0.35">
      <c r="A131" t="s">
        <v>76</v>
      </c>
      <c r="B131">
        <v>2027</v>
      </c>
      <c r="C131" t="s">
        <v>41</v>
      </c>
      <c r="D131" t="s">
        <v>80</v>
      </c>
      <c r="E131" s="12">
        <f>SUMIFS(Electricity!$R:$R,Electricity!$P:$P,$B131,Electricity!$O:$O,$D131,Electricity!$M:$M,$A131)</f>
        <v>3512.6440795881904</v>
      </c>
      <c r="F131" t="s">
        <v>81</v>
      </c>
      <c r="G131" s="31">
        <f>H131/Assumptions!$B$23/1000000000000</f>
        <v>2.7645345712457806E-2</v>
      </c>
      <c r="H131" s="13">
        <f>IF(C131="Electricity",E131*SUMIFS(Electricity!S:S,Electricity!P:P,Predev_Scenarios!B131,Electricity!M:M,Predev_Scenarios!A131,Electricity!O:O,Predev_Scenarios!D131),"")</f>
        <v>7679641.2018483495</v>
      </c>
      <c r="I131" s="59">
        <f>SUMIFS(Electricity!U:U,Electricity!$M:$M,Predev_Scenarios!$A131,Electricity!$P:$P,Predev_Scenarios!$B131,Electricity!$O:$O,Predev_Scenarios!$D131)*-1</f>
        <v>0.1355825336</v>
      </c>
      <c r="J131" s="59">
        <f>SUMIFS(Electricity!V:V,Electricity!$M:$M,Predev_Scenarios!$A131,Electricity!$P:$P,Predev_Scenarios!$B131,Electricity!$O:$O,Predev_Scenarios!$D131)*-1</f>
        <v>0.1217345967</v>
      </c>
      <c r="K131" s="59">
        <f>SUMIFS(Electricity!W:W,Electricity!$M:$M,Predev_Scenarios!$A131,Electricity!$P:$P,Predev_Scenarios!$B131,Electricity!$O:$O,Predev_Scenarios!$D131)*-1</f>
        <v>0.14943046950000002</v>
      </c>
      <c r="L131" s="63">
        <f t="shared" si="5"/>
        <v>-1.0412252112855483E-6</v>
      </c>
      <c r="M131" s="63">
        <f t="shared" si="6"/>
        <v>-9.3487802450771223E-7</v>
      </c>
      <c r="N131" s="63">
        <f t="shared" si="7"/>
        <v>-1.1475723903837434E-6</v>
      </c>
      <c r="O131" s="30">
        <f>IF(OR(LEFT($D131,5)="Solar",$D131="Wind"),INDEX(Land_Use[AVG],MATCH(LEFT($D131,5),Land_Use[Tech],0)),0)*$E131</f>
        <v>12294.254278558667</v>
      </c>
      <c r="P131" s="30">
        <f>IF(OR(LEFT($D131,5)="Solar",$D131="Wind"),INDEX(Land_Use[MIN],MATCH(LEFT($D131,5),Land_Use[Tech],0)),0)*$E131</f>
        <v>9835.4034228469318</v>
      </c>
      <c r="Q131" s="30">
        <f>IF(OR(LEFT($D131,5)="Solar",$D131="Wind"),INDEX(Land_Use[MAX],MATCH(LEFT($D131,5),Land_Use[Tech],0)),0)*$E131</f>
        <v>14753.1051342704</v>
      </c>
      <c r="R131" s="31">
        <f>IFERROR(INDEX(WaterUseH2[Average Direct Water Consumption (Gal/ kg h2)],MATCH(LEFT(D131,3),WaterUseH2[Key],0)),0)</f>
        <v>0</v>
      </c>
      <c r="S131" s="15">
        <f t="shared" si="8"/>
        <v>0</v>
      </c>
    </row>
    <row r="132" spans="1:19" x14ac:dyDescent="0.35">
      <c r="A132" t="s">
        <v>76</v>
      </c>
      <c r="B132">
        <v>2028</v>
      </c>
      <c r="C132" t="s">
        <v>41</v>
      </c>
      <c r="D132" t="s">
        <v>80</v>
      </c>
      <c r="E132" s="12">
        <f>SUMIFS(Electricity!$R:$R,Electricity!$P:$P,$B132,Electricity!$O:$O,$D132,Electricity!$M:$M,$A132)</f>
        <v>4683.5254394509193</v>
      </c>
      <c r="F132" t="s">
        <v>81</v>
      </c>
      <c r="G132" s="31">
        <f>H132/Assumptions!$B$23/1000000000000</f>
        <v>3.595212979206646E-2</v>
      </c>
      <c r="H132" s="13">
        <f>IF(C132="Electricity",E132*SUMIFS(Electricity!S:S,Electricity!P:P,Predev_Scenarios!B132,Electricity!M:M,Predev_Scenarios!A132,Electricity!O:O,Predev_Scenarios!D132),"")</f>
        <v>9987194.9556027651</v>
      </c>
      <c r="I132" s="59">
        <f>SUMIFS(Electricity!U:U,Electricity!$M:$M,Predev_Scenarios!$A132,Electricity!$P:$P,Predev_Scenarios!$B132,Electricity!$O:$O,Predev_Scenarios!$D132)*-1</f>
        <v>0.13135860939999999</v>
      </c>
      <c r="J132" s="59">
        <f>SUMIFS(Electricity!V:V,Electricity!$M:$M,Predev_Scenarios!$A132,Electricity!$P:$P,Predev_Scenarios!$B132,Electricity!$O:$O,Predev_Scenarios!$D132)*-1</f>
        <v>0.11657682955000001</v>
      </c>
      <c r="K132" s="59">
        <f>SUMIFS(Electricity!W:W,Electricity!$M:$M,Predev_Scenarios!$A132,Electricity!$P:$P,Predev_Scenarios!$B132,Electricity!$O:$O,Predev_Scenarios!$D132)*-1</f>
        <v>0.14614038825000003</v>
      </c>
      <c r="L132" s="63">
        <f t="shared" ref="L132:L195" si="9">IF($C132="Electricity",$H132/1000000000000,$G132)*I132*-1</f>
        <v>-1.3119040411746739E-6</v>
      </c>
      <c r="M132" s="63">
        <f t="shared" ref="M132:M195" si="10">IF($C132="Electricity",$H132/1000000000000,$G132)*J132*-1</f>
        <v>-1.1642755240219235E-6</v>
      </c>
      <c r="N132" s="63">
        <f t="shared" ref="N132:N195" si="11">IF($C132="Electricity",$H132/1000000000000,$G132)*K132*-1</f>
        <v>-1.4595325483402299E-6</v>
      </c>
      <c r="O132" s="30">
        <f>IF(OR(LEFT($D132,5)="Solar",$D132="Wind"),INDEX(Land_Use[AVG],MATCH(LEFT($D132,5),Land_Use[Tech],0)),0)*$E132</f>
        <v>16392.339038078218</v>
      </c>
      <c r="P132" s="30">
        <f>IF(OR(LEFT($D132,5)="Solar",$D132="Wind"),INDEX(Land_Use[MIN],MATCH(LEFT($D132,5),Land_Use[Tech],0)),0)*$E132</f>
        <v>13113.871230462573</v>
      </c>
      <c r="Q132" s="30">
        <f>IF(OR(LEFT($D132,5)="Solar",$D132="Wind"),INDEX(Land_Use[MAX],MATCH(LEFT($D132,5),Land_Use[Tech],0)),0)*$E132</f>
        <v>19670.806845693864</v>
      </c>
      <c r="R132" s="31">
        <f>IFERROR(INDEX(WaterUseH2[Average Direct Water Consumption (Gal/ kg h2)],MATCH(LEFT(D132,3),WaterUseH2[Key],0)),0)</f>
        <v>0</v>
      </c>
      <c r="S132" s="15">
        <f t="shared" ref="S132:S195" si="12">E132*R132*1000/1000000</f>
        <v>0</v>
      </c>
    </row>
    <row r="133" spans="1:19" x14ac:dyDescent="0.35">
      <c r="A133" t="s">
        <v>76</v>
      </c>
      <c r="B133">
        <v>2029</v>
      </c>
      <c r="C133" t="s">
        <v>41</v>
      </c>
      <c r="D133" t="s">
        <v>80</v>
      </c>
      <c r="E133" s="12">
        <f>SUMIFS(Electricity!$R:$R,Electricity!$P:$P,$B133,Electricity!$O:$O,$D133,Electricity!$M:$M,$A133)</f>
        <v>5854.4067993136505</v>
      </c>
      <c r="F133" t="s">
        <v>81</v>
      </c>
      <c r="G133" s="31">
        <f>H133/Assumptions!$B$23/1000000000000</f>
        <v>4.3804748292736506E-2</v>
      </c>
      <c r="H133" s="13">
        <f>IF(C133="Electricity",E133*SUMIFS(Electricity!S:S,Electricity!P:P,Predev_Scenarios!B133,Electricity!M:M,Predev_Scenarios!A133,Electricity!O:O,Predev_Scenarios!D133),"")</f>
        <v>12168585.385926338</v>
      </c>
      <c r="I133" s="59">
        <f>SUMIFS(Electricity!U:U,Electricity!$M:$M,Predev_Scenarios!$A133,Electricity!$P:$P,Predev_Scenarios!$B133,Electricity!$O:$O,Predev_Scenarios!$D133)*-1</f>
        <v>0.12713468519999999</v>
      </c>
      <c r="J133" s="59">
        <f>SUMIFS(Electricity!V:V,Electricity!$M:$M,Predev_Scenarios!$A133,Electricity!$P:$P,Predev_Scenarios!$B133,Electricity!$O:$O,Predev_Scenarios!$D133)*-1</f>
        <v>0.11141906240000002</v>
      </c>
      <c r="K133" s="59">
        <f>SUMIFS(Electricity!W:W,Electricity!$M:$M,Predev_Scenarios!$A133,Electricity!$P:$P,Predev_Scenarios!$B133,Electricity!$O:$O,Predev_Scenarios!$D133)*-1</f>
        <v>0.14285030700000004</v>
      </c>
      <c r="L133" s="63">
        <f t="shared" si="9"/>
        <v>-1.5470492723690654E-6</v>
      </c>
      <c r="M133" s="63">
        <f t="shared" si="10"/>
        <v>-1.3558123744342549E-6</v>
      </c>
      <c r="N133" s="63">
        <f t="shared" si="11"/>
        <v>-1.7382861581352914E-6</v>
      </c>
      <c r="O133" s="30">
        <f>IF(OR(LEFT($D133,5)="Solar",$D133="Wind"),INDEX(Land_Use[AVG],MATCH(LEFT($D133,5),Land_Use[Tech],0)),0)*$E133</f>
        <v>20490.423797597778</v>
      </c>
      <c r="P133" s="30">
        <f>IF(OR(LEFT($D133,5)="Solar",$D133="Wind"),INDEX(Land_Use[MIN],MATCH(LEFT($D133,5),Land_Use[Tech],0)),0)*$E133</f>
        <v>16392.339038078222</v>
      </c>
      <c r="Q133" s="30">
        <f>IF(OR(LEFT($D133,5)="Solar",$D133="Wind"),INDEX(Land_Use[MAX],MATCH(LEFT($D133,5),Land_Use[Tech],0)),0)*$E133</f>
        <v>24588.508557117333</v>
      </c>
      <c r="R133" s="31">
        <f>IFERROR(INDEX(WaterUseH2[Average Direct Water Consumption (Gal/ kg h2)],MATCH(LEFT(D133,3),WaterUseH2[Key],0)),0)</f>
        <v>0</v>
      </c>
      <c r="S133" s="15">
        <f t="shared" si="12"/>
        <v>0</v>
      </c>
    </row>
    <row r="134" spans="1:19" x14ac:dyDescent="0.35">
      <c r="A134" t="s">
        <v>76</v>
      </c>
      <c r="B134">
        <v>2030</v>
      </c>
      <c r="C134" t="s">
        <v>41</v>
      </c>
      <c r="D134" t="s">
        <v>80</v>
      </c>
      <c r="E134" s="12">
        <f>SUMIFS(Electricity!$R:$R,Electricity!$P:$P,$B134,Electricity!$O:$O,$D134,Electricity!$M:$M,$A134)</f>
        <v>7025.2881591763798</v>
      </c>
      <c r="F134" t="s">
        <v>81</v>
      </c>
      <c r="G134" s="31">
        <f>H134/Assumptions!$B$23/1000000000000</f>
        <v>5.1203201214467899E-2</v>
      </c>
      <c r="H134" s="13">
        <f>IF(C134="Electricity",E134*SUMIFS(Electricity!S:S,Electricity!P:P,Predev_Scenarios!B134,Electricity!M:M,Predev_Scenarios!A134,Electricity!O:O,Predev_Scenarios!D134),"")</f>
        <v>14223812.492819058</v>
      </c>
      <c r="I134" s="59">
        <f>SUMIFS(Electricity!U:U,Electricity!$M:$M,Predev_Scenarios!$A134,Electricity!$P:$P,Predev_Scenarios!$B134,Electricity!$O:$O,Predev_Scenarios!$D134)*-1</f>
        <v>0.12291076099999998</v>
      </c>
      <c r="J134" s="59">
        <f>SUMIFS(Electricity!V:V,Electricity!$M:$M,Predev_Scenarios!$A134,Electricity!$P:$P,Predev_Scenarios!$B134,Electricity!$O:$O,Predev_Scenarios!$D134)*-1</f>
        <v>0.10626129525000003</v>
      </c>
      <c r="K134" s="59">
        <f>SUMIFS(Electricity!W:W,Electricity!$M:$M,Predev_Scenarios!$A134,Electricity!$P:$P,Predev_Scenarios!$B134,Electricity!$O:$O,Predev_Scenarios!$D134)*-1</f>
        <v>0.13956022575000004</v>
      </c>
      <c r="L134" s="63">
        <f t="shared" si="9"/>
        <v>-1.7482596178136971E-6</v>
      </c>
      <c r="M134" s="63">
        <f t="shared" si="10"/>
        <v>-1.5114407388800848E-6</v>
      </c>
      <c r="N134" s="63">
        <f t="shared" si="11"/>
        <v>-1.9850784825234985E-6</v>
      </c>
      <c r="O134" s="30">
        <f>IF(OR(LEFT($D134,5)="Solar",$D134="Wind"),INDEX(Land_Use[AVG],MATCH(LEFT($D134,5),Land_Use[Tech],0)),0)*$E134</f>
        <v>24588.508557117329</v>
      </c>
      <c r="P134" s="30">
        <f>IF(OR(LEFT($D134,5)="Solar",$D134="Wind"),INDEX(Land_Use[MIN],MATCH(LEFT($D134,5),Land_Use[Tech],0)),0)*$E134</f>
        <v>19670.806845693864</v>
      </c>
      <c r="Q134" s="30">
        <f>IF(OR(LEFT($D134,5)="Solar",$D134="Wind"),INDEX(Land_Use[MAX],MATCH(LEFT($D134,5),Land_Use[Tech],0)),0)*$E134</f>
        <v>29506.210268540795</v>
      </c>
      <c r="R134" s="31">
        <f>IFERROR(INDEX(WaterUseH2[Average Direct Water Consumption (Gal/ kg h2)],MATCH(LEFT(D134,3),WaterUseH2[Key],0)),0)</f>
        <v>0</v>
      </c>
      <c r="S134" s="15">
        <f t="shared" si="12"/>
        <v>0</v>
      </c>
    </row>
    <row r="135" spans="1:19" x14ac:dyDescent="0.35">
      <c r="A135" t="s">
        <v>76</v>
      </c>
      <c r="B135">
        <v>2031</v>
      </c>
      <c r="C135" t="s">
        <v>41</v>
      </c>
      <c r="D135" t="s">
        <v>80</v>
      </c>
      <c r="E135" s="12">
        <f>SUMIFS(Electricity!$R:$R,Electricity!$P:$P,$B135,Electricity!$O:$O,$D135,Electricity!$M:$M,$A135)</f>
        <v>8196.1695190391092</v>
      </c>
      <c r="F135" t="s">
        <v>81</v>
      </c>
      <c r="G135" s="31">
        <f>H135/Assumptions!$B$23/1000000000000</f>
        <v>5.8147488557260658E-2</v>
      </c>
      <c r="H135" s="13">
        <f>IF(C135="Electricity",E135*SUMIFS(Electricity!S:S,Electricity!P:P,Predev_Scenarios!B135,Electricity!M:M,Predev_Scenarios!A135,Electricity!O:O,Predev_Scenarios!D135),"")</f>
        <v>16152876.27628093</v>
      </c>
      <c r="I135" s="59">
        <f>SUMIFS(Electricity!U:U,Electricity!$M:$M,Predev_Scenarios!$A135,Electricity!$P:$P,Predev_Scenarios!$B135,Electricity!$O:$O,Predev_Scenarios!$D135)*-1</f>
        <v>0.11868683679999997</v>
      </c>
      <c r="J135" s="59">
        <f>SUMIFS(Electricity!V:V,Electricity!$M:$M,Predev_Scenarios!$A135,Electricity!$P:$P,Predev_Scenarios!$B135,Electricity!$O:$O,Predev_Scenarios!$D135)*-1</f>
        <v>0.10110352810000003</v>
      </c>
      <c r="K135" s="59">
        <f>SUMIFS(Electricity!W:W,Electricity!$M:$M,Predev_Scenarios!$A135,Electricity!$P:$P,Predev_Scenarios!$B135,Electricity!$O:$O,Predev_Scenarios!$D135)*-1</f>
        <v>0.13627014450000005</v>
      </c>
      <c r="L135" s="63">
        <f t="shared" si="9"/>
        <v>-1.9171337904535461E-6</v>
      </c>
      <c r="M135" s="63">
        <f t="shared" si="10"/>
        <v>-1.6331127804947931E-6</v>
      </c>
      <c r="N135" s="63">
        <f t="shared" si="11"/>
        <v>-2.2011547842594251E-6</v>
      </c>
      <c r="O135" s="30">
        <f>IF(OR(LEFT($D135,5)="Solar",$D135="Wind"),INDEX(Land_Use[AVG],MATCH(LEFT($D135,5),Land_Use[Tech],0)),0)*$E135</f>
        <v>28686.593316636881</v>
      </c>
      <c r="P135" s="30">
        <f>IF(OR(LEFT($D135,5)="Solar",$D135="Wind"),INDEX(Land_Use[MIN],MATCH(LEFT($D135,5),Land_Use[Tech],0)),0)*$E135</f>
        <v>22949.274653309505</v>
      </c>
      <c r="Q135" s="30">
        <f>IF(OR(LEFT($D135,5)="Solar",$D135="Wind"),INDEX(Land_Use[MAX],MATCH(LEFT($D135,5),Land_Use[Tech],0)),0)*$E135</f>
        <v>34423.911979964258</v>
      </c>
      <c r="R135" s="31">
        <f>IFERROR(INDEX(WaterUseH2[Average Direct Water Consumption (Gal/ kg h2)],MATCH(LEFT(D135,3),WaterUseH2[Key],0)),0)</f>
        <v>0</v>
      </c>
      <c r="S135" s="15">
        <f t="shared" si="12"/>
        <v>0</v>
      </c>
    </row>
    <row r="136" spans="1:19" x14ac:dyDescent="0.35">
      <c r="A136" t="s">
        <v>76</v>
      </c>
      <c r="B136">
        <v>2032</v>
      </c>
      <c r="C136" t="s">
        <v>41</v>
      </c>
      <c r="D136" t="s">
        <v>80</v>
      </c>
      <c r="E136" s="12">
        <f>SUMIFS(Electricity!$R:$R,Electricity!$P:$P,$B136,Electricity!$O:$O,$D136,Electricity!$M:$M,$A136)</f>
        <v>9367.0508789018404</v>
      </c>
      <c r="F136" t="s">
        <v>81</v>
      </c>
      <c r="G136" s="31">
        <f>H136/Assumptions!$B$23/1000000000000</f>
        <v>6.46376103211148E-2</v>
      </c>
      <c r="H136" s="13">
        <f>IF(C136="Electricity",E136*SUMIFS(Electricity!S:S,Electricity!P:P,Predev_Scenarios!B136,Electricity!M:M,Predev_Scenarios!A136,Electricity!O:O,Predev_Scenarios!D136),"")</f>
        <v>17955776.736311957</v>
      </c>
      <c r="I136" s="59">
        <f>SUMIFS(Electricity!U:U,Electricity!$M:$M,Predev_Scenarios!$A136,Electricity!$P:$P,Predev_Scenarios!$B136,Electricity!$O:$O,Predev_Scenarios!$D136)*-1</f>
        <v>0.11446291259999997</v>
      </c>
      <c r="J136" s="59">
        <f>SUMIFS(Electricity!V:V,Electricity!$M:$M,Predev_Scenarios!$A136,Electricity!$P:$P,Predev_Scenarios!$B136,Electricity!$O:$O,Predev_Scenarios!$D136)*-1</f>
        <v>9.5945760950000042E-2</v>
      </c>
      <c r="K136" s="59">
        <f>SUMIFS(Electricity!W:W,Electricity!$M:$M,Predev_Scenarios!$A136,Electricity!$P:$P,Predev_Scenarios!$B136,Electricity!$O:$O,Predev_Scenarios!$D136)*-1</f>
        <v>0.13298006325000006</v>
      </c>
      <c r="L136" s="63">
        <f t="shared" si="9"/>
        <v>-2.0552705032335883E-6</v>
      </c>
      <c r="M136" s="63">
        <f t="shared" si="10"/>
        <v>-1.7227806624137591E-6</v>
      </c>
      <c r="N136" s="63">
        <f t="shared" si="11"/>
        <v>-2.3877603260976435E-6</v>
      </c>
      <c r="O136" s="30">
        <f>IF(OR(LEFT($D136,5)="Solar",$D136="Wind"),INDEX(Land_Use[AVG],MATCH(LEFT($D136,5),Land_Use[Tech],0)),0)*$E136</f>
        <v>32784.678076156444</v>
      </c>
      <c r="P136" s="30">
        <f>IF(OR(LEFT($D136,5)="Solar",$D136="Wind"),INDEX(Land_Use[MIN],MATCH(LEFT($D136,5),Land_Use[Tech],0)),0)*$E136</f>
        <v>26227.74246092515</v>
      </c>
      <c r="Q136" s="30">
        <f>IF(OR(LEFT($D136,5)="Solar",$D136="Wind"),INDEX(Land_Use[MAX],MATCH(LEFT($D136,5),Land_Use[Tech],0)),0)*$E136</f>
        <v>39341.613691387734</v>
      </c>
      <c r="R136" s="31">
        <f>IFERROR(INDEX(WaterUseH2[Average Direct Water Consumption (Gal/ kg h2)],MATCH(LEFT(D136,3),WaterUseH2[Key],0)),0)</f>
        <v>0</v>
      </c>
      <c r="S136" s="15">
        <f t="shared" si="12"/>
        <v>0</v>
      </c>
    </row>
    <row r="137" spans="1:19" x14ac:dyDescent="0.35">
      <c r="A137" t="s">
        <v>76</v>
      </c>
      <c r="B137">
        <v>2033</v>
      </c>
      <c r="C137" t="s">
        <v>41</v>
      </c>
      <c r="D137" t="s">
        <v>80</v>
      </c>
      <c r="E137" s="12">
        <f>SUMIFS(Electricity!$R:$R,Electricity!$P:$P,$B137,Electricity!$O:$O,$D137,Electricity!$M:$M,$A137)</f>
        <v>10537.93223876457</v>
      </c>
      <c r="F137" t="s">
        <v>81</v>
      </c>
      <c r="G137" s="31">
        <f>H137/Assumptions!$B$23/1000000000000</f>
        <v>7.0673566506030308E-2</v>
      </c>
      <c r="H137" s="13">
        <f>IF(C137="Electricity",E137*SUMIFS(Electricity!S:S,Electricity!P:P,Predev_Scenarios!B137,Electricity!M:M,Predev_Scenarios!A137,Electricity!O:O,Predev_Scenarios!D137),"")</f>
        <v>19632513.872912135</v>
      </c>
      <c r="I137" s="59">
        <f>SUMIFS(Electricity!U:U,Electricity!$M:$M,Predev_Scenarios!$A137,Electricity!$P:$P,Predev_Scenarios!$B137,Electricity!$O:$O,Predev_Scenarios!$D137)*-1</f>
        <v>0.11023898839999996</v>
      </c>
      <c r="J137" s="59">
        <f>SUMIFS(Electricity!V:V,Electricity!$M:$M,Predev_Scenarios!$A137,Electricity!$P:$P,Predev_Scenarios!$B137,Electricity!$O:$O,Predev_Scenarios!$D137)*-1</f>
        <v>9.078799380000005E-2</v>
      </c>
      <c r="K137" s="59">
        <f>SUMIFS(Electricity!W:W,Electricity!$M:$M,Predev_Scenarios!$A137,Electricity!$P:$P,Predev_Scenarios!$B137,Electricity!$O:$O,Predev_Scenarios!$D137)*-1</f>
        <v>0.12968998200000006</v>
      </c>
      <c r="L137" s="63">
        <f t="shared" si="9"/>
        <v>-2.1642684690987992E-6</v>
      </c>
      <c r="M137" s="63">
        <f t="shared" si="10"/>
        <v>-1.7823965477723619E-6</v>
      </c>
      <c r="N137" s="63">
        <f t="shared" si="11"/>
        <v>-2.5461403707927265E-6</v>
      </c>
      <c r="O137" s="30">
        <f>IF(OR(LEFT($D137,5)="Solar",$D137="Wind"),INDEX(Land_Use[AVG],MATCH(LEFT($D137,5),Land_Use[Tech],0)),0)*$E137</f>
        <v>36882.762835675996</v>
      </c>
      <c r="P137" s="30">
        <f>IF(OR(LEFT($D137,5)="Solar",$D137="Wind"),INDEX(Land_Use[MIN],MATCH(LEFT($D137,5),Land_Use[Tech],0)),0)*$E137</f>
        <v>29506.210268540792</v>
      </c>
      <c r="Q137" s="30">
        <f>IF(OR(LEFT($D137,5)="Solar",$D137="Wind"),INDEX(Land_Use[MAX],MATCH(LEFT($D137,5),Land_Use[Tech],0)),0)*$E137</f>
        <v>44259.315402811197</v>
      </c>
      <c r="R137" s="31">
        <f>IFERROR(INDEX(WaterUseH2[Average Direct Water Consumption (Gal/ kg h2)],MATCH(LEFT(D137,3),WaterUseH2[Key],0)),0)</f>
        <v>0</v>
      </c>
      <c r="S137" s="15">
        <f t="shared" si="12"/>
        <v>0</v>
      </c>
    </row>
    <row r="138" spans="1:19" x14ac:dyDescent="0.35">
      <c r="A138" t="s">
        <v>76</v>
      </c>
      <c r="B138">
        <v>2034</v>
      </c>
      <c r="C138" t="s">
        <v>41</v>
      </c>
      <c r="D138" t="s">
        <v>80</v>
      </c>
      <c r="E138" s="12">
        <f>SUMIFS(Electricity!$R:$R,Electricity!$P:$P,$B138,Electricity!$O:$O,$D138,Electricity!$M:$M,$A138)</f>
        <v>11708.813598627299</v>
      </c>
      <c r="F138" t="s">
        <v>81</v>
      </c>
      <c r="G138" s="31">
        <f>H138/Assumptions!$B$23/1000000000000</f>
        <v>7.6255357112007177E-2</v>
      </c>
      <c r="H138" s="13">
        <f>IF(C138="Electricity",E138*SUMIFS(Electricity!S:S,Electricity!P:P,Predev_Scenarios!B138,Electricity!M:M,Predev_Scenarios!A138,Electricity!O:O,Predev_Scenarios!D138),"")</f>
        <v>21183087.686081462</v>
      </c>
      <c r="I138" s="59">
        <f>SUMIFS(Electricity!U:U,Electricity!$M:$M,Predev_Scenarios!$A138,Electricity!$P:$P,Predev_Scenarios!$B138,Electricity!$O:$O,Predev_Scenarios!$D138)*-1</f>
        <v>0.10601506419999995</v>
      </c>
      <c r="J138" s="59">
        <f>SUMIFS(Electricity!V:V,Electricity!$M:$M,Predev_Scenarios!$A138,Electricity!$P:$P,Predev_Scenarios!$B138,Electricity!$O:$O,Predev_Scenarios!$D138)*-1</f>
        <v>8.5630226650000058E-2</v>
      </c>
      <c r="K138" s="59">
        <f>SUMIFS(Electricity!W:W,Electricity!$M:$M,Predev_Scenarios!$A138,Electricity!$P:$P,Predev_Scenarios!$B138,Electricity!$O:$O,Predev_Scenarios!$D138)*-1</f>
        <v>0.12639990075000007</v>
      </c>
      <c r="L138" s="63">
        <f t="shared" si="9"/>
        <v>-2.2457264009941545E-6</v>
      </c>
      <c r="M138" s="63">
        <f t="shared" si="10"/>
        <v>-1.813912599705981E-6</v>
      </c>
      <c r="N138" s="63">
        <f t="shared" si="11"/>
        <v>-2.6775401810992457E-6</v>
      </c>
      <c r="O138" s="30">
        <f>IF(OR(LEFT($D138,5)="Solar",$D138="Wind"),INDEX(Land_Use[AVG],MATCH(LEFT($D138,5),Land_Use[Tech],0)),0)*$E138</f>
        <v>40980.847595195548</v>
      </c>
      <c r="P138" s="30">
        <f>IF(OR(LEFT($D138,5)="Solar",$D138="Wind"),INDEX(Land_Use[MIN],MATCH(LEFT($D138,5),Land_Use[Tech],0)),0)*$E138</f>
        <v>32784.678076156437</v>
      </c>
      <c r="Q138" s="30">
        <f>IF(OR(LEFT($D138,5)="Solar",$D138="Wind"),INDEX(Land_Use[MAX],MATCH(LEFT($D138,5),Land_Use[Tech],0)),0)*$E138</f>
        <v>49177.017114234659</v>
      </c>
      <c r="R138" s="31">
        <f>IFERROR(INDEX(WaterUseH2[Average Direct Water Consumption (Gal/ kg h2)],MATCH(LEFT(D138,3),WaterUseH2[Key],0)),0)</f>
        <v>0</v>
      </c>
      <c r="S138" s="15">
        <f t="shared" si="12"/>
        <v>0</v>
      </c>
    </row>
    <row r="139" spans="1:19" x14ac:dyDescent="0.35">
      <c r="A139" t="s">
        <v>76</v>
      </c>
      <c r="B139">
        <v>2035</v>
      </c>
      <c r="C139" t="s">
        <v>41</v>
      </c>
      <c r="D139" t="s">
        <v>80</v>
      </c>
      <c r="E139" s="12">
        <f>SUMIFS(Electricity!$R:$R,Electricity!$P:$P,$B139,Electricity!$O:$O,$D139,Electricity!$M:$M,$A139)</f>
        <v>12879.69495849003</v>
      </c>
      <c r="F139" t="s">
        <v>81</v>
      </c>
      <c r="G139" s="31">
        <f>H139/Assumptions!$B$23/1000000000000</f>
        <v>8.1382982139045421E-2</v>
      </c>
      <c r="H139" s="13">
        <f>IF(C139="Electricity",E139*SUMIFS(Electricity!S:S,Electricity!P:P,Predev_Scenarios!B139,Electricity!M:M,Predev_Scenarios!A139,Electricity!O:O,Predev_Scenarios!D139),"")</f>
        <v>22607498.175819945</v>
      </c>
      <c r="I139" s="59">
        <f>SUMIFS(Electricity!U:U,Electricity!$M:$M,Predev_Scenarios!$A139,Electricity!$P:$P,Predev_Scenarios!$B139,Electricity!$O:$O,Predev_Scenarios!$D139)*-1</f>
        <v>0.10179113999999995</v>
      </c>
      <c r="J139" s="59">
        <f>SUMIFS(Electricity!V:V,Electricity!$M:$M,Predev_Scenarios!$A139,Electricity!$P:$P,Predev_Scenarios!$B139,Electricity!$O:$O,Predev_Scenarios!$D139)*-1</f>
        <v>8.0472459500000065E-2</v>
      </c>
      <c r="K139" s="59">
        <f>SUMIFS(Electricity!W:W,Electricity!$M:$M,Predev_Scenarios!$A139,Electricity!$P:$P,Predev_Scenarios!$B139,Electricity!$O:$O,Predev_Scenarios!$D139)*-1</f>
        <v>0.12310981950000006</v>
      </c>
      <c r="L139" s="63">
        <f t="shared" si="9"/>
        <v>-2.3012430118646313E-6</v>
      </c>
      <c r="M139" s="63">
        <f t="shared" si="10"/>
        <v>-1.819280981349996E-6</v>
      </c>
      <c r="N139" s="63">
        <f t="shared" si="11"/>
        <v>-2.7832050197717741E-6</v>
      </c>
      <c r="O139" s="30">
        <f>IF(OR(LEFT($D139,5)="Solar",$D139="Wind"),INDEX(Land_Use[AVG],MATCH(LEFT($D139,5),Land_Use[Tech],0)),0)*$E139</f>
        <v>45078.932354715107</v>
      </c>
      <c r="P139" s="30">
        <f>IF(OR(LEFT($D139,5)="Solar",$D139="Wind"),INDEX(Land_Use[MIN],MATCH(LEFT($D139,5),Land_Use[Tech],0)),0)*$E139</f>
        <v>36063.145883772086</v>
      </c>
      <c r="Q139" s="30">
        <f>IF(OR(LEFT($D139,5)="Solar",$D139="Wind"),INDEX(Land_Use[MAX],MATCH(LEFT($D139,5),Land_Use[Tech],0)),0)*$E139</f>
        <v>54094.718825658128</v>
      </c>
      <c r="R139" s="31">
        <f>IFERROR(INDEX(WaterUseH2[Average Direct Water Consumption (Gal/ kg h2)],MATCH(LEFT(D139,3),WaterUseH2[Key],0)),0)</f>
        <v>0</v>
      </c>
      <c r="S139" s="15">
        <f t="shared" si="12"/>
        <v>0</v>
      </c>
    </row>
    <row r="140" spans="1:19" x14ac:dyDescent="0.35">
      <c r="A140" t="s">
        <v>76</v>
      </c>
      <c r="B140">
        <v>2036</v>
      </c>
      <c r="C140" t="s">
        <v>41</v>
      </c>
      <c r="D140" t="s">
        <v>80</v>
      </c>
      <c r="E140" s="12">
        <f>SUMIFS(Electricity!$R:$R,Electricity!$P:$P,$B140,Electricity!$O:$O,$D140,Electricity!$M:$M,$A140)</f>
        <v>12879.69495849003</v>
      </c>
      <c r="F140" t="s">
        <v>81</v>
      </c>
      <c r="G140" s="31">
        <f>H140/Assumptions!$B$23/1000000000000</f>
        <v>7.8885071454882952E-2</v>
      </c>
      <c r="H140" s="13">
        <f>IF(C140="Electricity",E140*SUMIFS(Electricity!S:S,Electricity!P:P,Predev_Scenarios!B140,Electricity!M:M,Predev_Scenarios!A140,Electricity!O:O,Predev_Scenarios!D140),"")</f>
        <v>21913599.896950278</v>
      </c>
      <c r="I140" s="59">
        <f>SUMIFS(Electricity!U:U,Electricity!$M:$M,Predev_Scenarios!$A140,Electricity!$P:$P,Predev_Scenarios!$B140,Electricity!$O:$O,Predev_Scenarios!$D140)*-1</f>
        <v>9.756721579999994E-2</v>
      </c>
      <c r="J140" s="59">
        <f>SUMIFS(Electricity!V:V,Electricity!$M:$M,Predev_Scenarios!$A140,Electricity!$P:$P,Predev_Scenarios!$B140,Electricity!$O:$O,Predev_Scenarios!$D140)*-1</f>
        <v>7.5314692350000073E-2</v>
      </c>
      <c r="K140" s="59">
        <f>SUMIFS(Electricity!W:W,Electricity!$M:$M,Predev_Scenarios!$A140,Electricity!$P:$P,Predev_Scenarios!$B140,Electricity!$O:$O,Predev_Scenarios!$D140)*-1</f>
        <v>0.11981973825000006</v>
      </c>
      <c r="L140" s="63">
        <f t="shared" si="9"/>
        <v>-2.1380489301006046E-6</v>
      </c>
      <c r="M140" s="63">
        <f t="shared" si="10"/>
        <v>-1.6504160345198036E-6</v>
      </c>
      <c r="N140" s="63">
        <f t="shared" si="11"/>
        <v>-2.6256818037678107E-6</v>
      </c>
      <c r="O140" s="30">
        <f>IF(OR(LEFT($D140,5)="Solar",$D140="Wind"),INDEX(Land_Use[AVG],MATCH(LEFT($D140,5),Land_Use[Tech],0)),0)*$E140</f>
        <v>45078.932354715107</v>
      </c>
      <c r="P140" s="30">
        <f>IF(OR(LEFT($D140,5)="Solar",$D140="Wind"),INDEX(Land_Use[MIN],MATCH(LEFT($D140,5),Land_Use[Tech],0)),0)*$E140</f>
        <v>36063.145883772086</v>
      </c>
      <c r="Q140" s="30">
        <f>IF(OR(LEFT($D140,5)="Solar",$D140="Wind"),INDEX(Land_Use[MAX],MATCH(LEFT($D140,5),Land_Use[Tech],0)),0)*$E140</f>
        <v>54094.718825658128</v>
      </c>
      <c r="R140" s="31">
        <f>IFERROR(INDEX(WaterUseH2[Average Direct Water Consumption (Gal/ kg h2)],MATCH(LEFT(D140,3),WaterUseH2[Key],0)),0)</f>
        <v>0</v>
      </c>
      <c r="S140" s="15">
        <f t="shared" si="12"/>
        <v>0</v>
      </c>
    </row>
    <row r="141" spans="1:19" x14ac:dyDescent="0.35">
      <c r="A141" t="s">
        <v>76</v>
      </c>
      <c r="B141">
        <v>2037</v>
      </c>
      <c r="C141" t="s">
        <v>41</v>
      </c>
      <c r="D141" t="s">
        <v>80</v>
      </c>
      <c r="E141" s="12">
        <f>SUMIFS(Electricity!$R:$R,Electricity!$P:$P,$B141,Electricity!$O:$O,$D141,Electricity!$M:$M,$A141)</f>
        <v>12879.69495849003</v>
      </c>
      <c r="F141" t="s">
        <v>81</v>
      </c>
      <c r="G141" s="31">
        <f>H141/Assumptions!$B$23/1000000000000</f>
        <v>7.6387160770720455E-2</v>
      </c>
      <c r="H141" s="13">
        <f>IF(C141="Electricity",E141*SUMIFS(Electricity!S:S,Electricity!P:P,Predev_Scenarios!B141,Electricity!M:M,Predev_Scenarios!A141,Electricity!O:O,Predev_Scenarios!D141),"")</f>
        <v>21219701.618080612</v>
      </c>
      <c r="I141" s="59">
        <f>SUMIFS(Electricity!U:U,Electricity!$M:$M,Predev_Scenarios!$A141,Electricity!$P:$P,Predev_Scenarios!$B141,Electricity!$O:$O,Predev_Scenarios!$D141)*-1</f>
        <v>9.3343291599999934E-2</v>
      </c>
      <c r="J141" s="59">
        <f>SUMIFS(Electricity!V:V,Electricity!$M:$M,Predev_Scenarios!$A141,Electricity!$P:$P,Predev_Scenarios!$B141,Electricity!$O:$O,Predev_Scenarios!$D141)*-1</f>
        <v>7.0156925200000081E-2</v>
      </c>
      <c r="K141" s="59">
        <f>SUMIFS(Electricity!W:W,Electricity!$M:$M,Predev_Scenarios!$A141,Electricity!$P:$P,Predev_Scenarios!$B141,Electricity!$O:$O,Predev_Scenarios!$D141)*-1</f>
        <v>0.11652965700000005</v>
      </c>
      <c r="L141" s="63">
        <f t="shared" si="9"/>
        <v>-1.9807167958014888E-6</v>
      </c>
      <c r="M141" s="63">
        <f t="shared" si="10"/>
        <v>-1.4887090191860021E-6</v>
      </c>
      <c r="N141" s="63">
        <f t="shared" si="11"/>
        <v>-2.4727245511972798E-6</v>
      </c>
      <c r="O141" s="30">
        <f>IF(OR(LEFT($D141,5)="Solar",$D141="Wind"),INDEX(Land_Use[AVG],MATCH(LEFT($D141,5),Land_Use[Tech],0)),0)*$E141</f>
        <v>45078.932354715107</v>
      </c>
      <c r="P141" s="30">
        <f>IF(OR(LEFT($D141,5)="Solar",$D141="Wind"),INDEX(Land_Use[MIN],MATCH(LEFT($D141,5),Land_Use[Tech],0)),0)*$E141</f>
        <v>36063.145883772086</v>
      </c>
      <c r="Q141" s="30">
        <f>IF(OR(LEFT($D141,5)="Solar",$D141="Wind"),INDEX(Land_Use[MAX],MATCH(LEFT($D141,5),Land_Use[Tech],0)),0)*$E141</f>
        <v>54094.718825658128</v>
      </c>
      <c r="R141" s="31">
        <f>IFERROR(INDEX(WaterUseH2[Average Direct Water Consumption (Gal/ kg h2)],MATCH(LEFT(D141,3),WaterUseH2[Key],0)),0)</f>
        <v>0</v>
      </c>
      <c r="S141" s="15">
        <f t="shared" si="12"/>
        <v>0</v>
      </c>
    </row>
    <row r="142" spans="1:19" x14ac:dyDescent="0.35">
      <c r="A142" t="s">
        <v>76</v>
      </c>
      <c r="B142">
        <v>2038</v>
      </c>
      <c r="C142" t="s">
        <v>41</v>
      </c>
      <c r="D142" t="s">
        <v>80</v>
      </c>
      <c r="E142" s="12">
        <f>SUMIFS(Electricity!$R:$R,Electricity!$P:$P,$B142,Electricity!$O:$O,$D142,Electricity!$M:$M,$A142)</f>
        <v>12879.69495849003</v>
      </c>
      <c r="F142" t="s">
        <v>81</v>
      </c>
      <c r="G142" s="31">
        <f>H142/Assumptions!$B$23/1000000000000</f>
        <v>7.3889250086557987E-2</v>
      </c>
      <c r="H142" s="13">
        <f>IF(C142="Electricity",E142*SUMIFS(Electricity!S:S,Electricity!P:P,Predev_Scenarios!B142,Electricity!M:M,Predev_Scenarios!A142,Electricity!O:O,Predev_Scenarios!D142),"")</f>
        <v>20525803.339210946</v>
      </c>
      <c r="I142" s="59">
        <f>SUMIFS(Electricity!U:U,Electricity!$M:$M,Predev_Scenarios!$A142,Electricity!$P:$P,Predev_Scenarios!$B142,Electricity!$O:$O,Predev_Scenarios!$D142)*-1</f>
        <v>8.9119367399999927E-2</v>
      </c>
      <c r="J142" s="59">
        <f>SUMIFS(Electricity!V:V,Electricity!$M:$M,Predev_Scenarios!$A142,Electricity!$P:$P,Predev_Scenarios!$B142,Electricity!$O:$O,Predev_Scenarios!$D142)*-1</f>
        <v>6.4999158050000089E-2</v>
      </c>
      <c r="K142" s="59">
        <f>SUMIFS(Electricity!W:W,Electricity!$M:$M,Predev_Scenarios!$A142,Electricity!$P:$P,Predev_Scenarios!$B142,Electricity!$O:$O,Predev_Scenarios!$D142)*-1</f>
        <v>0.11323957575000004</v>
      </c>
      <c r="L142" s="63">
        <f t="shared" si="9"/>
        <v>-1.8292466089672857E-6</v>
      </c>
      <c r="M142" s="63">
        <f t="shared" si="10"/>
        <v>-1.3341599353485919E-6</v>
      </c>
      <c r="N142" s="63">
        <f t="shared" si="11"/>
        <v>-2.3243332620601818E-6</v>
      </c>
      <c r="O142" s="30">
        <f>IF(OR(LEFT($D142,5)="Solar",$D142="Wind"),INDEX(Land_Use[AVG],MATCH(LEFT($D142,5),Land_Use[Tech],0)),0)*$E142</f>
        <v>45078.932354715107</v>
      </c>
      <c r="P142" s="30">
        <f>IF(OR(LEFT($D142,5)="Solar",$D142="Wind"),INDEX(Land_Use[MIN],MATCH(LEFT($D142,5),Land_Use[Tech],0)),0)*$E142</f>
        <v>36063.145883772086</v>
      </c>
      <c r="Q142" s="30">
        <f>IF(OR(LEFT($D142,5)="Solar",$D142="Wind"),INDEX(Land_Use[MAX],MATCH(LEFT($D142,5),Land_Use[Tech],0)),0)*$E142</f>
        <v>54094.718825658128</v>
      </c>
      <c r="R142" s="31">
        <f>IFERROR(INDEX(WaterUseH2[Average Direct Water Consumption (Gal/ kg h2)],MATCH(LEFT(D142,3),WaterUseH2[Key],0)),0)</f>
        <v>0</v>
      </c>
      <c r="S142" s="15">
        <f t="shared" si="12"/>
        <v>0</v>
      </c>
    </row>
    <row r="143" spans="1:19" x14ac:dyDescent="0.35">
      <c r="A143" t="s">
        <v>76</v>
      </c>
      <c r="B143">
        <v>2039</v>
      </c>
      <c r="C143" t="s">
        <v>41</v>
      </c>
      <c r="D143" t="s">
        <v>80</v>
      </c>
      <c r="E143" s="12">
        <f>SUMIFS(Electricity!$R:$R,Electricity!$P:$P,$B143,Electricity!$O:$O,$D143,Electricity!$M:$M,$A143)</f>
        <v>12879.69495849003</v>
      </c>
      <c r="F143" t="s">
        <v>81</v>
      </c>
      <c r="G143" s="31">
        <f>H143/Assumptions!$B$23/1000000000000</f>
        <v>7.1391339402395504E-2</v>
      </c>
      <c r="H143" s="13">
        <f>IF(C143="Electricity",E143*SUMIFS(Electricity!S:S,Electricity!P:P,Predev_Scenarios!B143,Electricity!M:M,Predev_Scenarios!A143,Electricity!O:O,Predev_Scenarios!D143),"")</f>
        <v>19831905.06034128</v>
      </c>
      <c r="I143" s="59">
        <f>SUMIFS(Electricity!U:U,Electricity!$M:$M,Predev_Scenarios!$A143,Electricity!$P:$P,Predev_Scenarios!$B143,Electricity!$O:$O,Predev_Scenarios!$D143)*-1</f>
        <v>8.489544319999992E-2</v>
      </c>
      <c r="J143" s="59">
        <f>SUMIFS(Electricity!V:V,Electricity!$M:$M,Predev_Scenarios!$A143,Electricity!$P:$P,Predev_Scenarios!$B143,Electricity!$O:$O,Predev_Scenarios!$D143)*-1</f>
        <v>5.984139090000009E-2</v>
      </c>
      <c r="K143" s="59">
        <f>SUMIFS(Electricity!W:W,Electricity!$M:$M,Predev_Scenarios!$A143,Electricity!$P:$P,Predev_Scenarios!$B143,Electricity!$O:$O,Predev_Scenarios!$D143)*-1</f>
        <v>0.10994949450000004</v>
      </c>
      <c r="L143" s="63">
        <f t="shared" si="9"/>
        <v>-1.6836383695979943E-6</v>
      </c>
      <c r="M143" s="63">
        <f t="shared" si="10"/>
        <v>-1.1867687830075724E-6</v>
      </c>
      <c r="N143" s="63">
        <f t="shared" si="11"/>
        <v>-2.1805079363565167E-6</v>
      </c>
      <c r="O143" s="30">
        <f>IF(OR(LEFT($D143,5)="Solar",$D143="Wind"),INDEX(Land_Use[AVG],MATCH(LEFT($D143,5),Land_Use[Tech],0)),0)*$E143</f>
        <v>45078.932354715107</v>
      </c>
      <c r="P143" s="30">
        <f>IF(OR(LEFT($D143,5)="Solar",$D143="Wind"),INDEX(Land_Use[MIN],MATCH(LEFT($D143,5),Land_Use[Tech],0)),0)*$E143</f>
        <v>36063.145883772086</v>
      </c>
      <c r="Q143" s="30">
        <f>IF(OR(LEFT($D143,5)="Solar",$D143="Wind"),INDEX(Land_Use[MAX],MATCH(LEFT($D143,5),Land_Use[Tech],0)),0)*$E143</f>
        <v>54094.718825658128</v>
      </c>
      <c r="R143" s="31">
        <f>IFERROR(INDEX(WaterUseH2[Average Direct Water Consumption (Gal/ kg h2)],MATCH(LEFT(D143,3),WaterUseH2[Key],0)),0)</f>
        <v>0</v>
      </c>
      <c r="S143" s="15">
        <f t="shared" si="12"/>
        <v>0</v>
      </c>
    </row>
    <row r="144" spans="1:19" x14ac:dyDescent="0.35">
      <c r="A144" t="s">
        <v>76</v>
      </c>
      <c r="B144">
        <v>2040</v>
      </c>
      <c r="C144" t="s">
        <v>41</v>
      </c>
      <c r="D144" t="s">
        <v>80</v>
      </c>
      <c r="E144" s="12">
        <f>SUMIFS(Electricity!$R:$R,Electricity!$P:$P,$B144,Electricity!$O:$O,$D144,Electricity!$M:$M,$A144)</f>
        <v>12879.69495849003</v>
      </c>
      <c r="F144" t="s">
        <v>81</v>
      </c>
      <c r="G144" s="31">
        <f>H144/Assumptions!$B$23/1000000000000</f>
        <v>6.8893428718233035E-2</v>
      </c>
      <c r="H144" s="13">
        <f>IF(C144="Electricity",E144*SUMIFS(Electricity!S:S,Electricity!P:P,Predev_Scenarios!B144,Electricity!M:M,Predev_Scenarios!A144,Electricity!O:O,Predev_Scenarios!D144),"")</f>
        <v>19138006.781471618</v>
      </c>
      <c r="I144" s="59">
        <f>SUMIFS(Electricity!U:U,Electricity!$M:$M,Predev_Scenarios!$A144,Electricity!$P:$P,Predev_Scenarios!$B144,Electricity!$O:$O,Predev_Scenarios!$D144)*-1</f>
        <v>8.0671518999999914E-2</v>
      </c>
      <c r="J144" s="59">
        <f>SUMIFS(Electricity!V:V,Electricity!$M:$M,Predev_Scenarios!$A144,Electricity!$P:$P,Predev_Scenarios!$B144,Electricity!$O:$O,Predev_Scenarios!$D144)*-1</f>
        <v>5.468362375000009E-2</v>
      </c>
      <c r="K144" s="59">
        <f>SUMIFS(Electricity!W:W,Electricity!$M:$M,Predev_Scenarios!$A144,Electricity!$P:$P,Predev_Scenarios!$B144,Electricity!$O:$O,Predev_Scenarios!$D144)*-1</f>
        <v>0.10665941325000003</v>
      </c>
      <c r="L144" s="63">
        <f t="shared" si="9"/>
        <v>-1.5438920776936146E-6</v>
      </c>
      <c r="M144" s="63">
        <f t="shared" si="10"/>
        <v>-1.046535562162944E-6</v>
      </c>
      <c r="N144" s="63">
        <f t="shared" si="11"/>
        <v>-2.0412485740862841E-6</v>
      </c>
      <c r="O144" s="30">
        <f>IF(OR(LEFT($D144,5)="Solar",$D144="Wind"),INDEX(Land_Use[AVG],MATCH(LEFT($D144,5),Land_Use[Tech],0)),0)*$E144</f>
        <v>45078.932354715107</v>
      </c>
      <c r="P144" s="30">
        <f>IF(OR(LEFT($D144,5)="Solar",$D144="Wind"),INDEX(Land_Use[MIN],MATCH(LEFT($D144,5),Land_Use[Tech],0)),0)*$E144</f>
        <v>36063.145883772086</v>
      </c>
      <c r="Q144" s="30">
        <f>IF(OR(LEFT($D144,5)="Solar",$D144="Wind"),INDEX(Land_Use[MAX],MATCH(LEFT($D144,5),Land_Use[Tech],0)),0)*$E144</f>
        <v>54094.718825658128</v>
      </c>
      <c r="R144" s="31">
        <f>IFERROR(INDEX(WaterUseH2[Average Direct Water Consumption (Gal/ kg h2)],MATCH(LEFT(D144,3),WaterUseH2[Key],0)),0)</f>
        <v>0</v>
      </c>
      <c r="S144" s="15">
        <f t="shared" si="12"/>
        <v>0</v>
      </c>
    </row>
    <row r="145" spans="1:19" x14ac:dyDescent="0.35">
      <c r="A145" t="s">
        <v>76</v>
      </c>
      <c r="B145">
        <v>2041</v>
      </c>
      <c r="C145" t="s">
        <v>41</v>
      </c>
      <c r="D145" t="s">
        <v>80</v>
      </c>
      <c r="E145" s="12">
        <f>SUMIFS(Electricity!$R:$R,Electricity!$P:$P,$B145,Electricity!$O:$O,$D145,Electricity!$M:$M,$A145)</f>
        <v>12879.69495849003</v>
      </c>
      <c r="F145" t="s">
        <v>81</v>
      </c>
      <c r="G145" s="31">
        <f>H145/Assumptions!$B$23/1000000000000</f>
        <v>6.6395518034070553E-2</v>
      </c>
      <c r="H145" s="13">
        <f>IF(C145="Electricity",E145*SUMIFS(Electricity!S:S,Electricity!P:P,Predev_Scenarios!B145,Electricity!M:M,Predev_Scenarios!A145,Electricity!O:O,Predev_Scenarios!D145),"")</f>
        <v>18444108.502601951</v>
      </c>
      <c r="I145" s="59">
        <f>SUMIFS(Electricity!U:U,Electricity!$M:$M,Predev_Scenarios!$A145,Electricity!$P:$P,Predev_Scenarios!$B145,Electricity!$O:$O,Predev_Scenarios!$D145)*-1</f>
        <v>7.6447594799999907E-2</v>
      </c>
      <c r="J145" s="59">
        <f>SUMIFS(Electricity!V:V,Electricity!$M:$M,Predev_Scenarios!$A145,Electricity!$P:$P,Predev_Scenarios!$B145,Electricity!$O:$O,Predev_Scenarios!$D145)*-1</f>
        <v>4.9525856600000091E-2</v>
      </c>
      <c r="K145" s="59">
        <f>SUMIFS(Electricity!W:W,Electricity!$M:$M,Predev_Scenarios!$A145,Electricity!$P:$P,Predev_Scenarios!$B145,Electricity!$O:$O,Predev_Scenarios!$D145)*-1</f>
        <v>0.10336933200000002</v>
      </c>
      <c r="L145" s="63">
        <f t="shared" si="9"/>
        <v>-1.410007733254147E-6</v>
      </c>
      <c r="M145" s="63">
        <f t="shared" si="10"/>
        <v>-9.1346027281470668E-7</v>
      </c>
      <c r="N145" s="63">
        <f t="shared" si="11"/>
        <v>-1.9065551752494845E-6</v>
      </c>
      <c r="O145" s="30">
        <f>IF(OR(LEFT($D145,5)="Solar",$D145="Wind"),INDEX(Land_Use[AVG],MATCH(LEFT($D145,5),Land_Use[Tech],0)),0)*$E145</f>
        <v>45078.932354715107</v>
      </c>
      <c r="P145" s="30">
        <f>IF(OR(LEFT($D145,5)="Solar",$D145="Wind"),INDEX(Land_Use[MIN],MATCH(LEFT($D145,5),Land_Use[Tech],0)),0)*$E145</f>
        <v>36063.145883772086</v>
      </c>
      <c r="Q145" s="30">
        <f>IF(OR(LEFT($D145,5)="Solar",$D145="Wind"),INDEX(Land_Use[MAX],MATCH(LEFT($D145,5),Land_Use[Tech],0)),0)*$E145</f>
        <v>54094.718825658128</v>
      </c>
      <c r="R145" s="31">
        <f>IFERROR(INDEX(WaterUseH2[Average Direct Water Consumption (Gal/ kg h2)],MATCH(LEFT(D145,3),WaterUseH2[Key],0)),0)</f>
        <v>0</v>
      </c>
      <c r="S145" s="15">
        <f t="shared" si="12"/>
        <v>0</v>
      </c>
    </row>
    <row r="146" spans="1:19" x14ac:dyDescent="0.35">
      <c r="A146" t="s">
        <v>76</v>
      </c>
      <c r="B146">
        <v>2042</v>
      </c>
      <c r="C146" t="s">
        <v>41</v>
      </c>
      <c r="D146" t="s">
        <v>80</v>
      </c>
      <c r="E146" s="12">
        <f>SUMIFS(Electricity!$R:$R,Electricity!$P:$P,$B146,Electricity!$O:$O,$D146,Electricity!$M:$M,$A146)</f>
        <v>12879.69495849003</v>
      </c>
      <c r="F146" t="s">
        <v>81</v>
      </c>
      <c r="G146" s="31">
        <f>H146/Assumptions!$B$23/1000000000000</f>
        <v>6.3897607349908084E-2</v>
      </c>
      <c r="H146" s="13">
        <f>IF(C146="Electricity",E146*SUMIFS(Electricity!S:S,Electricity!P:P,Predev_Scenarios!B146,Electricity!M:M,Predev_Scenarios!A146,Electricity!O:O,Predev_Scenarios!D146),"")</f>
        <v>17750210.223732285</v>
      </c>
      <c r="I146" s="59">
        <f>SUMIFS(Electricity!U:U,Electricity!$M:$M,Predev_Scenarios!$A146,Electricity!$P:$P,Predev_Scenarios!$B146,Electricity!$O:$O,Predev_Scenarios!$D146)*-1</f>
        <v>7.2223670599999901E-2</v>
      </c>
      <c r="J146" s="59">
        <f>SUMIFS(Electricity!V:V,Electricity!$M:$M,Predev_Scenarios!$A146,Electricity!$P:$P,Predev_Scenarios!$B146,Electricity!$O:$O,Predev_Scenarios!$D146)*-1</f>
        <v>4.4368089450000092E-2</v>
      </c>
      <c r="K146" s="59">
        <f>SUMIFS(Electricity!W:W,Electricity!$M:$M,Predev_Scenarios!$A146,Electricity!$P:$P,Predev_Scenarios!$B146,Electricity!$O:$O,Predev_Scenarios!$D146)*-1</f>
        <v>0.10007925075000002</v>
      </c>
      <c r="L146" s="63">
        <f t="shared" si="9"/>
        <v>-1.2819853362795911E-6</v>
      </c>
      <c r="M146" s="63">
        <f t="shared" si="10"/>
        <v>-7.8754291496286026E-7</v>
      </c>
      <c r="N146" s="63">
        <f t="shared" si="11"/>
        <v>-1.7764277398461173E-6</v>
      </c>
      <c r="O146" s="30">
        <f>IF(OR(LEFT($D146,5)="Solar",$D146="Wind"),INDEX(Land_Use[AVG],MATCH(LEFT($D146,5),Land_Use[Tech],0)),0)*$E146</f>
        <v>45078.932354715107</v>
      </c>
      <c r="P146" s="30">
        <f>IF(OR(LEFT($D146,5)="Solar",$D146="Wind"),INDEX(Land_Use[MIN],MATCH(LEFT($D146,5),Land_Use[Tech],0)),0)*$E146</f>
        <v>36063.145883772086</v>
      </c>
      <c r="Q146" s="30">
        <f>IF(OR(LEFT($D146,5)="Solar",$D146="Wind"),INDEX(Land_Use[MAX],MATCH(LEFT($D146,5),Land_Use[Tech],0)),0)*$E146</f>
        <v>54094.718825658128</v>
      </c>
      <c r="R146" s="31">
        <f>IFERROR(INDEX(WaterUseH2[Average Direct Water Consumption (Gal/ kg h2)],MATCH(LEFT(D146,3),WaterUseH2[Key],0)),0)</f>
        <v>0</v>
      </c>
      <c r="S146" s="15">
        <f t="shared" si="12"/>
        <v>0</v>
      </c>
    </row>
    <row r="147" spans="1:19" x14ac:dyDescent="0.35">
      <c r="A147" t="s">
        <v>76</v>
      </c>
      <c r="B147">
        <v>2043</v>
      </c>
      <c r="C147" t="s">
        <v>41</v>
      </c>
      <c r="D147" t="s">
        <v>80</v>
      </c>
      <c r="E147" s="12">
        <f>SUMIFS(Electricity!$R:$R,Electricity!$P:$P,$B147,Electricity!$O:$O,$D147,Electricity!$M:$M,$A147)</f>
        <v>12879.69495849003</v>
      </c>
      <c r="F147" t="s">
        <v>81</v>
      </c>
      <c r="G147" s="31">
        <f>H147/Assumptions!$B$23/1000000000000</f>
        <v>6.1399696665745601E-2</v>
      </c>
      <c r="H147" s="13">
        <f>IF(C147="Electricity",E147*SUMIFS(Electricity!S:S,Electricity!P:P,Predev_Scenarios!B147,Electricity!M:M,Predev_Scenarios!A147,Electricity!O:O,Predev_Scenarios!D147),"")</f>
        <v>17056311.944862619</v>
      </c>
      <c r="I147" s="59">
        <f>SUMIFS(Electricity!U:U,Electricity!$M:$M,Predev_Scenarios!$A147,Electricity!$P:$P,Predev_Scenarios!$B147,Electricity!$O:$O,Predev_Scenarios!$D147)*-1</f>
        <v>6.7999746399999894E-2</v>
      </c>
      <c r="J147" s="59">
        <f>SUMIFS(Electricity!V:V,Electricity!$M:$M,Predev_Scenarios!$A147,Electricity!$P:$P,Predev_Scenarios!$B147,Electricity!$O:$O,Predev_Scenarios!$D147)*-1</f>
        <v>3.9210322300000093E-2</v>
      </c>
      <c r="K147" s="59">
        <f>SUMIFS(Electricity!W:W,Electricity!$M:$M,Predev_Scenarios!$A147,Electricity!$P:$P,Predev_Scenarios!$B147,Electricity!$O:$O,Predev_Scenarios!$D147)*-1</f>
        <v>9.6789169500000008E-2</v>
      </c>
      <c r="L147" s="63">
        <f t="shared" si="9"/>
        <v>-1.159824886769947E-6</v>
      </c>
      <c r="M147" s="63">
        <f t="shared" si="10"/>
        <v>-6.6878348860740466E-7</v>
      </c>
      <c r="N147" s="63">
        <f t="shared" si="11"/>
        <v>-1.6508662678761828E-6</v>
      </c>
      <c r="O147" s="30">
        <f>IF(OR(LEFT($D147,5)="Solar",$D147="Wind"),INDEX(Land_Use[AVG],MATCH(LEFT($D147,5),Land_Use[Tech],0)),0)*$E147</f>
        <v>45078.932354715107</v>
      </c>
      <c r="P147" s="30">
        <f>IF(OR(LEFT($D147,5)="Solar",$D147="Wind"),INDEX(Land_Use[MIN],MATCH(LEFT($D147,5),Land_Use[Tech],0)),0)*$E147</f>
        <v>36063.145883772086</v>
      </c>
      <c r="Q147" s="30">
        <f>IF(OR(LEFT($D147,5)="Solar",$D147="Wind"),INDEX(Land_Use[MAX],MATCH(LEFT($D147,5),Land_Use[Tech],0)),0)*$E147</f>
        <v>54094.718825658128</v>
      </c>
      <c r="R147" s="31">
        <f>IFERROR(INDEX(WaterUseH2[Average Direct Water Consumption (Gal/ kg h2)],MATCH(LEFT(D147,3),WaterUseH2[Key],0)),0)</f>
        <v>0</v>
      </c>
      <c r="S147" s="15">
        <f t="shared" si="12"/>
        <v>0</v>
      </c>
    </row>
    <row r="148" spans="1:19" x14ac:dyDescent="0.35">
      <c r="A148" t="s">
        <v>76</v>
      </c>
      <c r="B148">
        <v>2044</v>
      </c>
      <c r="C148" t="s">
        <v>41</v>
      </c>
      <c r="D148" t="s">
        <v>80</v>
      </c>
      <c r="E148" s="12">
        <f>SUMIFS(Electricity!$R:$R,Electricity!$P:$P,$B148,Electricity!$O:$O,$D148,Electricity!$M:$M,$A148)</f>
        <v>12879.69495849003</v>
      </c>
      <c r="F148" t="s">
        <v>81</v>
      </c>
      <c r="G148" s="31">
        <f>H148/Assumptions!$B$23/1000000000000</f>
        <v>5.8901785981583125E-2</v>
      </c>
      <c r="H148" s="13">
        <f>IF(C148="Electricity",E148*SUMIFS(Electricity!S:S,Electricity!P:P,Predev_Scenarios!B148,Electricity!M:M,Predev_Scenarios!A148,Electricity!O:O,Predev_Scenarios!D148),"")</f>
        <v>16362413.665992953</v>
      </c>
      <c r="I148" s="59">
        <f>SUMIFS(Electricity!U:U,Electricity!$M:$M,Predev_Scenarios!$A148,Electricity!$P:$P,Predev_Scenarios!$B148,Electricity!$O:$O,Predev_Scenarios!$D148)*-1</f>
        <v>6.3775822199999888E-2</v>
      </c>
      <c r="J148" s="59">
        <f>SUMIFS(Electricity!V:V,Electricity!$M:$M,Predev_Scenarios!$A148,Electricity!$P:$P,Predev_Scenarios!$B148,Electricity!$O:$O,Predev_Scenarios!$D148)*-1</f>
        <v>3.4052555150000094E-2</v>
      </c>
      <c r="K148" s="59">
        <f>SUMIFS(Electricity!W:W,Electricity!$M:$M,Predev_Scenarios!$A148,Electricity!$P:$P,Predev_Scenarios!$B148,Electricity!$O:$O,Predev_Scenarios!$D148)*-1</f>
        <v>9.3499088250000001E-2</v>
      </c>
      <c r="L148" s="63">
        <f t="shared" si="9"/>
        <v>-1.0435263847252148E-6</v>
      </c>
      <c r="M148" s="63">
        <f t="shared" si="10"/>
        <v>-5.5718199374834021E-7</v>
      </c>
      <c r="N148" s="63">
        <f t="shared" si="11"/>
        <v>-1.5298707593396813E-6</v>
      </c>
      <c r="O148" s="30">
        <f>IF(OR(LEFT($D148,5)="Solar",$D148="Wind"),INDEX(Land_Use[AVG],MATCH(LEFT($D148,5),Land_Use[Tech],0)),0)*$E148</f>
        <v>45078.932354715107</v>
      </c>
      <c r="P148" s="30">
        <f>IF(OR(LEFT($D148,5)="Solar",$D148="Wind"),INDEX(Land_Use[MIN],MATCH(LEFT($D148,5),Land_Use[Tech],0)),0)*$E148</f>
        <v>36063.145883772086</v>
      </c>
      <c r="Q148" s="30">
        <f>IF(OR(LEFT($D148,5)="Solar",$D148="Wind"),INDEX(Land_Use[MAX],MATCH(LEFT($D148,5),Land_Use[Tech],0)),0)*$E148</f>
        <v>54094.718825658128</v>
      </c>
      <c r="R148" s="31">
        <f>IFERROR(INDEX(WaterUseH2[Average Direct Water Consumption (Gal/ kg h2)],MATCH(LEFT(D148,3),WaterUseH2[Key],0)),0)</f>
        <v>0</v>
      </c>
      <c r="S148" s="15">
        <f t="shared" si="12"/>
        <v>0</v>
      </c>
    </row>
    <row r="149" spans="1:19" x14ac:dyDescent="0.35">
      <c r="A149" t="s">
        <v>76</v>
      </c>
      <c r="B149">
        <v>2045</v>
      </c>
      <c r="C149" t="s">
        <v>41</v>
      </c>
      <c r="D149" t="s">
        <v>80</v>
      </c>
      <c r="E149" s="12">
        <f>SUMIFS(Electricity!$R:$R,Electricity!$P:$P,$B149,Electricity!$O:$O,$D149,Electricity!$M:$M,$A149)</f>
        <v>12879.69495849003</v>
      </c>
      <c r="F149" t="s">
        <v>81</v>
      </c>
      <c r="G149" s="31">
        <f>H149/Assumptions!$B$23/1000000000000</f>
        <v>5.6403875297420636E-2</v>
      </c>
      <c r="H149" s="13">
        <f>IF(C149="Electricity",E149*SUMIFS(Electricity!S:S,Electricity!P:P,Predev_Scenarios!B149,Electricity!M:M,Predev_Scenarios!A149,Electricity!O:O,Predev_Scenarios!D149),"")</f>
        <v>15668515.387123287</v>
      </c>
      <c r="I149" s="59">
        <f>SUMIFS(Electricity!U:U,Electricity!$M:$M,Predev_Scenarios!$A149,Electricity!$P:$P,Predev_Scenarios!$B149,Electricity!$O:$O,Predev_Scenarios!$D149)*-1</f>
        <v>5.9551897999999888E-2</v>
      </c>
      <c r="J149" s="59">
        <f>SUMIFS(Electricity!V:V,Electricity!$M:$M,Predev_Scenarios!$A149,Electricity!$P:$P,Predev_Scenarios!$B149,Electricity!$O:$O,Predev_Scenarios!$D149)*-1</f>
        <v>2.8894788000000095E-2</v>
      </c>
      <c r="K149" s="59">
        <f>SUMIFS(Electricity!W:W,Electricity!$M:$M,Predev_Scenarios!$A149,Electricity!$P:$P,Predev_Scenarios!$B149,Electricity!$O:$O,Predev_Scenarios!$D149)*-1</f>
        <v>9.0209006999999994E-2</v>
      </c>
      <c r="L149" s="63">
        <f t="shared" si="9"/>
        <v>-9.3308983014539486E-7</v>
      </c>
      <c r="M149" s="63">
        <f t="shared" si="10"/>
        <v>-4.5273843038566684E-7</v>
      </c>
      <c r="N149" s="63">
        <f t="shared" si="11"/>
        <v>-1.4134412142366124E-6</v>
      </c>
      <c r="O149" s="30">
        <f>IF(OR(LEFT($D149,5)="Solar",$D149="Wind"),INDEX(Land_Use[AVG],MATCH(LEFT($D149,5),Land_Use[Tech],0)),0)*$E149</f>
        <v>45078.932354715107</v>
      </c>
      <c r="P149" s="30">
        <f>IF(OR(LEFT($D149,5)="Solar",$D149="Wind"),INDEX(Land_Use[MIN],MATCH(LEFT($D149,5),Land_Use[Tech],0)),0)*$E149</f>
        <v>36063.145883772086</v>
      </c>
      <c r="Q149" s="30">
        <f>IF(OR(LEFT($D149,5)="Solar",$D149="Wind"),INDEX(Land_Use[MAX],MATCH(LEFT($D149,5),Land_Use[Tech],0)),0)*$E149</f>
        <v>54094.718825658128</v>
      </c>
      <c r="R149" s="31">
        <f>IFERROR(INDEX(WaterUseH2[Average Direct Water Consumption (Gal/ kg h2)],MATCH(LEFT(D149,3),WaterUseH2[Key],0)),0)</f>
        <v>0</v>
      </c>
      <c r="S149" s="15">
        <f t="shared" si="12"/>
        <v>0</v>
      </c>
    </row>
    <row r="150" spans="1:19" x14ac:dyDescent="0.35">
      <c r="A150" t="s">
        <v>107</v>
      </c>
      <c r="B150">
        <v>2025</v>
      </c>
      <c r="C150" t="s">
        <v>41</v>
      </c>
      <c r="D150" t="s">
        <v>80</v>
      </c>
      <c r="E150" s="12">
        <f>SUMIFS(Electricity!$R:$R,Electricity!$P:$P,$B150,Electricity!$O:$O,$D150,Electricity!$M:$M,$A150)</f>
        <v>1170.8813598627298</v>
      </c>
      <c r="F150" t="s">
        <v>81</v>
      </c>
      <c r="G150" s="31">
        <f>H150/Assumptions!$B$23/1000000000000</f>
        <v>9.6692808164245657E-3</v>
      </c>
      <c r="H150" s="13">
        <f>IF(C150="Electricity",E150*SUMIFS(Electricity!S:S,Electricity!P:P,Predev_Scenarios!B150,Electricity!M:M,Predev_Scenarios!A150,Electricity!O:O,Predev_Scenarios!D150),"")</f>
        <v>2686043.7240469647</v>
      </c>
      <c r="I150" s="59">
        <f>SUMIFS(Electricity!U:U,Electricity!$M:$M,Predev_Scenarios!$A150,Electricity!$P:$P,Predev_Scenarios!$B150,Electricity!$O:$O,Predev_Scenarios!$D150)*-1</f>
        <v>0.14403038200000001</v>
      </c>
      <c r="J150" s="59">
        <f>SUMIFS(Electricity!V:V,Electricity!$M:$M,Predev_Scenarios!$A150,Electricity!$P:$P,Predev_Scenarios!$B150,Electricity!$O:$O,Predev_Scenarios!$D150)*-1</f>
        <v>0.13205013099999999</v>
      </c>
      <c r="K150" s="59">
        <f>SUMIFS(Electricity!W:W,Electricity!$M:$M,Predev_Scenarios!$A150,Electricity!$P:$P,Predev_Scenarios!$B150,Electricity!$O:$O,Predev_Scenarios!$D150)*-1</f>
        <v>0.15601063200000001</v>
      </c>
      <c r="L150" s="63">
        <f t="shared" si="9"/>
        <v>-3.8687190364318694E-7</v>
      </c>
      <c r="M150" s="63">
        <f t="shared" si="10"/>
        <v>-3.5469242563212948E-7</v>
      </c>
      <c r="N150" s="63">
        <f t="shared" si="11"/>
        <v>-4.1905137896820059E-7</v>
      </c>
      <c r="O150" s="30">
        <f>IF(OR(LEFT($D150,5)="Solar",$D150="Wind"),INDEX(Land_Use[AVG],MATCH(LEFT($D150,5),Land_Use[Tech],0)),0)*$E150</f>
        <v>4098.0847595195546</v>
      </c>
      <c r="P150" s="30">
        <f>IF(OR(LEFT($D150,5)="Solar",$D150="Wind"),INDEX(Land_Use[MIN],MATCH(LEFT($D150,5),Land_Use[Tech],0)),0)*$E150</f>
        <v>3278.4678076156433</v>
      </c>
      <c r="Q150" s="30">
        <f>IF(OR(LEFT($D150,5)="Solar",$D150="Wind"),INDEX(Land_Use[MAX],MATCH(LEFT($D150,5),Land_Use[Tech],0)),0)*$E150</f>
        <v>4917.7017114234659</v>
      </c>
      <c r="R150" s="31">
        <f>IFERROR(INDEX(WaterUseH2[Average Direct Water Consumption (Gal/ kg h2)],MATCH(LEFT(D150,3),WaterUseH2[Key],0)),0)</f>
        <v>0</v>
      </c>
      <c r="S150" s="15">
        <f t="shared" si="12"/>
        <v>0</v>
      </c>
    </row>
    <row r="151" spans="1:19" x14ac:dyDescent="0.35">
      <c r="A151" t="s">
        <v>107</v>
      </c>
      <c r="B151">
        <v>2026</v>
      </c>
      <c r="C151" t="s">
        <v>41</v>
      </c>
      <c r="D151" t="s">
        <v>80</v>
      </c>
      <c r="E151" s="12">
        <f>SUMIFS(Electricity!$R:$R,Electricity!$P:$P,$B151,Electricity!$O:$O,$D151,Electricity!$M:$M,$A151)</f>
        <v>2341.7627197254601</v>
      </c>
      <c r="F151" t="s">
        <v>81</v>
      </c>
      <c r="G151" s="31">
        <f>H151/Assumptions!$B$23/1000000000000</f>
        <v>1.8884396053910499E-2</v>
      </c>
      <c r="H151" s="13">
        <f>IF(C151="Electricity",E151*SUMIFS(Electricity!S:S,Electricity!P:P,Predev_Scenarios!B151,Electricity!M:M,Predev_Scenarios!A151,Electricity!O:O,Predev_Scenarios!D151),"")</f>
        <v>5245924.124663081</v>
      </c>
      <c r="I151" s="59">
        <f>SUMIFS(Electricity!U:U,Electricity!$M:$M,Predev_Scenarios!$A151,Electricity!$P:$P,Predev_Scenarios!$B151,Electricity!$O:$O,Predev_Scenarios!$D151)*-1</f>
        <v>0.13980645780000001</v>
      </c>
      <c r="J151" s="59">
        <f>SUMIFS(Electricity!V:V,Electricity!$M:$M,Predev_Scenarios!$A151,Electricity!$P:$P,Predev_Scenarios!$B151,Electricity!$O:$O,Predev_Scenarios!$D151)*-1</f>
        <v>0.12689236385</v>
      </c>
      <c r="K151" s="59">
        <f>SUMIFS(Electricity!W:W,Electricity!$M:$M,Predev_Scenarios!$A151,Electricity!$P:$P,Predev_Scenarios!$B151,Electricity!$O:$O,Predev_Scenarios!$D151)*-1</f>
        <v>0.15272055075000002</v>
      </c>
      <c r="L151" s="63">
        <f t="shared" si="9"/>
        <v>-7.3341406975671101E-7</v>
      </c>
      <c r="M151" s="63">
        <f t="shared" si="10"/>
        <v>-6.6566771275624045E-7</v>
      </c>
      <c r="N151" s="63">
        <f t="shared" si="11"/>
        <v>-8.0116042151125749E-7</v>
      </c>
      <c r="O151" s="30">
        <f>IF(OR(LEFT($D151,5)="Solar",$D151="Wind"),INDEX(Land_Use[AVG],MATCH(LEFT($D151,5),Land_Use[Tech],0)),0)*$E151</f>
        <v>8196.169519039111</v>
      </c>
      <c r="P151" s="30">
        <f>IF(OR(LEFT($D151,5)="Solar",$D151="Wind"),INDEX(Land_Use[MIN],MATCH(LEFT($D151,5),Land_Use[Tech],0)),0)*$E151</f>
        <v>6556.9356152312876</v>
      </c>
      <c r="Q151" s="30">
        <f>IF(OR(LEFT($D151,5)="Solar",$D151="Wind"),INDEX(Land_Use[MAX],MATCH(LEFT($D151,5),Land_Use[Tech],0)),0)*$E151</f>
        <v>9835.4034228469336</v>
      </c>
      <c r="R151" s="31">
        <f>IFERROR(INDEX(WaterUseH2[Average Direct Water Consumption (Gal/ kg h2)],MATCH(LEFT(D151,3),WaterUseH2[Key],0)),0)</f>
        <v>0</v>
      </c>
      <c r="S151" s="15">
        <f t="shared" si="12"/>
        <v>0</v>
      </c>
    </row>
    <row r="152" spans="1:19" x14ac:dyDescent="0.35">
      <c r="A152" t="s">
        <v>107</v>
      </c>
      <c r="B152">
        <v>2027</v>
      </c>
      <c r="C152" t="s">
        <v>41</v>
      </c>
      <c r="D152" t="s">
        <v>80</v>
      </c>
      <c r="E152" s="12">
        <f>SUMIFS(Electricity!$R:$R,Electricity!$P:$P,$B152,Electricity!$O:$O,$D152,Electricity!$M:$M,$A152)</f>
        <v>3512.6440795881904</v>
      </c>
      <c r="F152" t="s">
        <v>81</v>
      </c>
      <c r="G152" s="31">
        <f>H152/Assumptions!$B$23/1000000000000</f>
        <v>2.7645345712457806E-2</v>
      </c>
      <c r="H152" s="13">
        <f>IF(C152="Electricity",E152*SUMIFS(Electricity!S:S,Electricity!P:P,Predev_Scenarios!B152,Electricity!M:M,Predev_Scenarios!A152,Electricity!O:O,Predev_Scenarios!D152),"")</f>
        <v>7679641.2018483495</v>
      </c>
      <c r="I152" s="59">
        <f>SUMIFS(Electricity!U:U,Electricity!$M:$M,Predev_Scenarios!$A152,Electricity!$P:$P,Predev_Scenarios!$B152,Electricity!$O:$O,Predev_Scenarios!$D152)*-1</f>
        <v>0.1355825336</v>
      </c>
      <c r="J152" s="59">
        <f>SUMIFS(Electricity!V:V,Electricity!$M:$M,Predev_Scenarios!$A152,Electricity!$P:$P,Predev_Scenarios!$B152,Electricity!$O:$O,Predev_Scenarios!$D152)*-1</f>
        <v>0.1217345967</v>
      </c>
      <c r="K152" s="59">
        <f>SUMIFS(Electricity!W:W,Electricity!$M:$M,Predev_Scenarios!$A152,Electricity!$P:$P,Predev_Scenarios!$B152,Electricity!$O:$O,Predev_Scenarios!$D152)*-1</f>
        <v>0.14943046950000002</v>
      </c>
      <c r="L152" s="63">
        <f t="shared" si="9"/>
        <v>-1.0412252112855483E-6</v>
      </c>
      <c r="M152" s="63">
        <f t="shared" si="10"/>
        <v>-9.3487802450771223E-7</v>
      </c>
      <c r="N152" s="63">
        <f t="shared" si="11"/>
        <v>-1.1475723903837434E-6</v>
      </c>
      <c r="O152" s="30">
        <f>IF(OR(LEFT($D152,5)="Solar",$D152="Wind"),INDEX(Land_Use[AVG],MATCH(LEFT($D152,5),Land_Use[Tech],0)),0)*$E152</f>
        <v>12294.254278558667</v>
      </c>
      <c r="P152" s="30">
        <f>IF(OR(LEFT($D152,5)="Solar",$D152="Wind"),INDEX(Land_Use[MIN],MATCH(LEFT($D152,5),Land_Use[Tech],0)),0)*$E152</f>
        <v>9835.4034228469318</v>
      </c>
      <c r="Q152" s="30">
        <f>IF(OR(LEFT($D152,5)="Solar",$D152="Wind"),INDEX(Land_Use[MAX],MATCH(LEFT($D152,5),Land_Use[Tech],0)),0)*$E152</f>
        <v>14753.1051342704</v>
      </c>
      <c r="R152" s="31">
        <f>IFERROR(INDEX(WaterUseH2[Average Direct Water Consumption (Gal/ kg h2)],MATCH(LEFT(D152,3),WaterUseH2[Key],0)),0)</f>
        <v>0</v>
      </c>
      <c r="S152" s="15">
        <f t="shared" si="12"/>
        <v>0</v>
      </c>
    </row>
    <row r="153" spans="1:19" x14ac:dyDescent="0.35">
      <c r="A153" t="s">
        <v>107</v>
      </c>
      <c r="B153">
        <v>2028</v>
      </c>
      <c r="C153" t="s">
        <v>41</v>
      </c>
      <c r="D153" t="s">
        <v>80</v>
      </c>
      <c r="E153" s="12">
        <f>SUMIFS(Electricity!$R:$R,Electricity!$P:$P,$B153,Electricity!$O:$O,$D153,Electricity!$M:$M,$A153)</f>
        <v>4683.5254394509193</v>
      </c>
      <c r="F153" t="s">
        <v>81</v>
      </c>
      <c r="G153" s="31">
        <f>H153/Assumptions!$B$23/1000000000000</f>
        <v>3.595212979206646E-2</v>
      </c>
      <c r="H153" s="13">
        <f>IF(C153="Electricity",E153*SUMIFS(Electricity!S:S,Electricity!P:P,Predev_Scenarios!B153,Electricity!M:M,Predev_Scenarios!A153,Electricity!O:O,Predev_Scenarios!D153),"")</f>
        <v>9987194.9556027651</v>
      </c>
      <c r="I153" s="59">
        <f>SUMIFS(Electricity!U:U,Electricity!$M:$M,Predev_Scenarios!$A153,Electricity!$P:$P,Predev_Scenarios!$B153,Electricity!$O:$O,Predev_Scenarios!$D153)*-1</f>
        <v>0.13135860939999999</v>
      </c>
      <c r="J153" s="59">
        <f>SUMIFS(Electricity!V:V,Electricity!$M:$M,Predev_Scenarios!$A153,Electricity!$P:$P,Predev_Scenarios!$B153,Electricity!$O:$O,Predev_Scenarios!$D153)*-1</f>
        <v>0.11657682955000001</v>
      </c>
      <c r="K153" s="59">
        <f>SUMIFS(Electricity!W:W,Electricity!$M:$M,Predev_Scenarios!$A153,Electricity!$P:$P,Predev_Scenarios!$B153,Electricity!$O:$O,Predev_Scenarios!$D153)*-1</f>
        <v>0.14614038825000003</v>
      </c>
      <c r="L153" s="63">
        <f t="shared" si="9"/>
        <v>-1.3119040411746739E-6</v>
      </c>
      <c r="M153" s="63">
        <f t="shared" si="10"/>
        <v>-1.1642755240219235E-6</v>
      </c>
      <c r="N153" s="63">
        <f t="shared" si="11"/>
        <v>-1.4595325483402299E-6</v>
      </c>
      <c r="O153" s="30">
        <f>IF(OR(LEFT($D153,5)="Solar",$D153="Wind"),INDEX(Land_Use[AVG],MATCH(LEFT($D153,5),Land_Use[Tech],0)),0)*$E153</f>
        <v>16392.339038078218</v>
      </c>
      <c r="P153" s="30">
        <f>IF(OR(LEFT($D153,5)="Solar",$D153="Wind"),INDEX(Land_Use[MIN],MATCH(LEFT($D153,5),Land_Use[Tech],0)),0)*$E153</f>
        <v>13113.871230462573</v>
      </c>
      <c r="Q153" s="30">
        <f>IF(OR(LEFT($D153,5)="Solar",$D153="Wind"),INDEX(Land_Use[MAX],MATCH(LEFT($D153,5),Land_Use[Tech],0)),0)*$E153</f>
        <v>19670.806845693864</v>
      </c>
      <c r="R153" s="31">
        <f>IFERROR(INDEX(WaterUseH2[Average Direct Water Consumption (Gal/ kg h2)],MATCH(LEFT(D153,3),WaterUseH2[Key],0)),0)</f>
        <v>0</v>
      </c>
      <c r="S153" s="15">
        <f t="shared" si="12"/>
        <v>0</v>
      </c>
    </row>
    <row r="154" spans="1:19" x14ac:dyDescent="0.35">
      <c r="A154" t="s">
        <v>107</v>
      </c>
      <c r="B154">
        <v>2029</v>
      </c>
      <c r="C154" t="s">
        <v>41</v>
      </c>
      <c r="D154" t="s">
        <v>80</v>
      </c>
      <c r="E154" s="12">
        <f>SUMIFS(Electricity!$R:$R,Electricity!$P:$P,$B154,Electricity!$O:$O,$D154,Electricity!$M:$M,$A154)</f>
        <v>5854.4067993136505</v>
      </c>
      <c r="F154" t="s">
        <v>81</v>
      </c>
      <c r="G154" s="31">
        <f>H154/Assumptions!$B$23/1000000000000</f>
        <v>4.3804748292736506E-2</v>
      </c>
      <c r="H154" s="13">
        <f>IF(C154="Electricity",E154*SUMIFS(Electricity!S:S,Electricity!P:P,Predev_Scenarios!B154,Electricity!M:M,Predev_Scenarios!A154,Electricity!O:O,Predev_Scenarios!D154),"")</f>
        <v>12168585.385926338</v>
      </c>
      <c r="I154" s="59">
        <f>SUMIFS(Electricity!U:U,Electricity!$M:$M,Predev_Scenarios!$A154,Electricity!$P:$P,Predev_Scenarios!$B154,Electricity!$O:$O,Predev_Scenarios!$D154)*-1</f>
        <v>0.12713468519999999</v>
      </c>
      <c r="J154" s="59">
        <f>SUMIFS(Electricity!V:V,Electricity!$M:$M,Predev_Scenarios!$A154,Electricity!$P:$P,Predev_Scenarios!$B154,Electricity!$O:$O,Predev_Scenarios!$D154)*-1</f>
        <v>0.11141906240000002</v>
      </c>
      <c r="K154" s="59">
        <f>SUMIFS(Electricity!W:W,Electricity!$M:$M,Predev_Scenarios!$A154,Electricity!$P:$P,Predev_Scenarios!$B154,Electricity!$O:$O,Predev_Scenarios!$D154)*-1</f>
        <v>0.14285030700000004</v>
      </c>
      <c r="L154" s="63">
        <f t="shared" si="9"/>
        <v>-1.5470492723690654E-6</v>
      </c>
      <c r="M154" s="63">
        <f t="shared" si="10"/>
        <v>-1.3558123744342549E-6</v>
      </c>
      <c r="N154" s="63">
        <f t="shared" si="11"/>
        <v>-1.7382861581352914E-6</v>
      </c>
      <c r="O154" s="30">
        <f>IF(OR(LEFT($D154,5)="Solar",$D154="Wind"),INDEX(Land_Use[AVG],MATCH(LEFT($D154,5),Land_Use[Tech],0)),0)*$E154</f>
        <v>20490.423797597778</v>
      </c>
      <c r="P154" s="30">
        <f>IF(OR(LEFT($D154,5)="Solar",$D154="Wind"),INDEX(Land_Use[MIN],MATCH(LEFT($D154,5),Land_Use[Tech],0)),0)*$E154</f>
        <v>16392.339038078222</v>
      </c>
      <c r="Q154" s="30">
        <f>IF(OR(LEFT($D154,5)="Solar",$D154="Wind"),INDEX(Land_Use[MAX],MATCH(LEFT($D154,5),Land_Use[Tech],0)),0)*$E154</f>
        <v>24588.508557117333</v>
      </c>
      <c r="R154" s="31">
        <f>IFERROR(INDEX(WaterUseH2[Average Direct Water Consumption (Gal/ kg h2)],MATCH(LEFT(D154,3),WaterUseH2[Key],0)),0)</f>
        <v>0</v>
      </c>
      <c r="S154" s="15">
        <f t="shared" si="12"/>
        <v>0</v>
      </c>
    </row>
    <row r="155" spans="1:19" x14ac:dyDescent="0.35">
      <c r="A155" t="s">
        <v>107</v>
      </c>
      <c r="B155">
        <v>2030</v>
      </c>
      <c r="C155" t="s">
        <v>41</v>
      </c>
      <c r="D155" t="s">
        <v>80</v>
      </c>
      <c r="E155" s="12">
        <f>SUMIFS(Electricity!$R:$R,Electricity!$P:$P,$B155,Electricity!$O:$O,$D155,Electricity!$M:$M,$A155)</f>
        <v>7025.2881591763798</v>
      </c>
      <c r="F155" t="s">
        <v>81</v>
      </c>
      <c r="G155" s="31">
        <f>H155/Assumptions!$B$23/1000000000000</f>
        <v>5.1203201214467899E-2</v>
      </c>
      <c r="H155" s="13">
        <f>IF(C155="Electricity",E155*SUMIFS(Electricity!S:S,Electricity!P:P,Predev_Scenarios!B155,Electricity!M:M,Predev_Scenarios!A155,Electricity!O:O,Predev_Scenarios!D155),"")</f>
        <v>14223812.492819058</v>
      </c>
      <c r="I155" s="59">
        <f>SUMIFS(Electricity!U:U,Electricity!$M:$M,Predev_Scenarios!$A155,Electricity!$P:$P,Predev_Scenarios!$B155,Electricity!$O:$O,Predev_Scenarios!$D155)*-1</f>
        <v>0.12291076099999998</v>
      </c>
      <c r="J155" s="59">
        <f>SUMIFS(Electricity!V:V,Electricity!$M:$M,Predev_Scenarios!$A155,Electricity!$P:$P,Predev_Scenarios!$B155,Electricity!$O:$O,Predev_Scenarios!$D155)*-1</f>
        <v>0.10626129525000003</v>
      </c>
      <c r="K155" s="59">
        <f>SUMIFS(Electricity!W:W,Electricity!$M:$M,Predev_Scenarios!$A155,Electricity!$P:$P,Predev_Scenarios!$B155,Electricity!$O:$O,Predev_Scenarios!$D155)*-1</f>
        <v>0.13956022575000004</v>
      </c>
      <c r="L155" s="63">
        <f t="shared" si="9"/>
        <v>-1.7482596178136971E-6</v>
      </c>
      <c r="M155" s="63">
        <f t="shared" si="10"/>
        <v>-1.5114407388800848E-6</v>
      </c>
      <c r="N155" s="63">
        <f t="shared" si="11"/>
        <v>-1.9850784825234985E-6</v>
      </c>
      <c r="O155" s="30">
        <f>IF(OR(LEFT($D155,5)="Solar",$D155="Wind"),INDEX(Land_Use[AVG],MATCH(LEFT($D155,5),Land_Use[Tech],0)),0)*$E155</f>
        <v>24588.508557117329</v>
      </c>
      <c r="P155" s="30">
        <f>IF(OR(LEFT($D155,5)="Solar",$D155="Wind"),INDEX(Land_Use[MIN],MATCH(LEFT($D155,5),Land_Use[Tech],0)),0)*$E155</f>
        <v>19670.806845693864</v>
      </c>
      <c r="Q155" s="30">
        <f>IF(OR(LEFT($D155,5)="Solar",$D155="Wind"),INDEX(Land_Use[MAX],MATCH(LEFT($D155,5),Land_Use[Tech],0)),0)*$E155</f>
        <v>29506.210268540795</v>
      </c>
      <c r="R155" s="31">
        <f>IFERROR(INDEX(WaterUseH2[Average Direct Water Consumption (Gal/ kg h2)],MATCH(LEFT(D155,3),WaterUseH2[Key],0)),0)</f>
        <v>0</v>
      </c>
      <c r="S155" s="15">
        <f t="shared" si="12"/>
        <v>0</v>
      </c>
    </row>
    <row r="156" spans="1:19" x14ac:dyDescent="0.35">
      <c r="A156" t="s">
        <v>107</v>
      </c>
      <c r="B156">
        <v>2031</v>
      </c>
      <c r="C156" t="s">
        <v>41</v>
      </c>
      <c r="D156" t="s">
        <v>80</v>
      </c>
      <c r="E156" s="12">
        <f>SUMIFS(Electricity!$R:$R,Electricity!$P:$P,$B156,Electricity!$O:$O,$D156,Electricity!$M:$M,$A156)</f>
        <v>8196.1695190391092</v>
      </c>
      <c r="F156" t="s">
        <v>81</v>
      </c>
      <c r="G156" s="31">
        <f>H156/Assumptions!$B$23/1000000000000</f>
        <v>5.8147488557260658E-2</v>
      </c>
      <c r="H156" s="13">
        <f>IF(C156="Electricity",E156*SUMIFS(Electricity!S:S,Electricity!P:P,Predev_Scenarios!B156,Electricity!M:M,Predev_Scenarios!A156,Electricity!O:O,Predev_Scenarios!D156),"")</f>
        <v>16152876.27628093</v>
      </c>
      <c r="I156" s="59">
        <f>SUMIFS(Electricity!U:U,Electricity!$M:$M,Predev_Scenarios!$A156,Electricity!$P:$P,Predev_Scenarios!$B156,Electricity!$O:$O,Predev_Scenarios!$D156)*-1</f>
        <v>0.11868683679999997</v>
      </c>
      <c r="J156" s="59">
        <f>SUMIFS(Electricity!V:V,Electricity!$M:$M,Predev_Scenarios!$A156,Electricity!$P:$P,Predev_Scenarios!$B156,Electricity!$O:$O,Predev_Scenarios!$D156)*-1</f>
        <v>0.10110352810000003</v>
      </c>
      <c r="K156" s="59">
        <f>SUMIFS(Electricity!W:W,Electricity!$M:$M,Predev_Scenarios!$A156,Electricity!$P:$P,Predev_Scenarios!$B156,Electricity!$O:$O,Predev_Scenarios!$D156)*-1</f>
        <v>0.13627014450000005</v>
      </c>
      <c r="L156" s="63">
        <f t="shared" si="9"/>
        <v>-1.9171337904535461E-6</v>
      </c>
      <c r="M156" s="63">
        <f t="shared" si="10"/>
        <v>-1.6331127804947931E-6</v>
      </c>
      <c r="N156" s="63">
        <f t="shared" si="11"/>
        <v>-2.2011547842594251E-6</v>
      </c>
      <c r="O156" s="30">
        <f>IF(OR(LEFT($D156,5)="Solar",$D156="Wind"),INDEX(Land_Use[AVG],MATCH(LEFT($D156,5),Land_Use[Tech],0)),0)*$E156</f>
        <v>28686.593316636881</v>
      </c>
      <c r="P156" s="30">
        <f>IF(OR(LEFT($D156,5)="Solar",$D156="Wind"),INDEX(Land_Use[MIN],MATCH(LEFT($D156,5),Land_Use[Tech],0)),0)*$E156</f>
        <v>22949.274653309505</v>
      </c>
      <c r="Q156" s="30">
        <f>IF(OR(LEFT($D156,5)="Solar",$D156="Wind"),INDEX(Land_Use[MAX],MATCH(LEFT($D156,5),Land_Use[Tech],0)),0)*$E156</f>
        <v>34423.911979964258</v>
      </c>
      <c r="R156" s="31">
        <f>IFERROR(INDEX(WaterUseH2[Average Direct Water Consumption (Gal/ kg h2)],MATCH(LEFT(D156,3),WaterUseH2[Key],0)),0)</f>
        <v>0</v>
      </c>
      <c r="S156" s="15">
        <f t="shared" si="12"/>
        <v>0</v>
      </c>
    </row>
    <row r="157" spans="1:19" x14ac:dyDescent="0.35">
      <c r="A157" t="s">
        <v>107</v>
      </c>
      <c r="B157">
        <v>2032</v>
      </c>
      <c r="C157" t="s">
        <v>41</v>
      </c>
      <c r="D157" t="s">
        <v>80</v>
      </c>
      <c r="E157" s="12">
        <f>SUMIFS(Electricity!$R:$R,Electricity!$P:$P,$B157,Electricity!$O:$O,$D157,Electricity!$M:$M,$A157)</f>
        <v>9367.0508789018404</v>
      </c>
      <c r="F157" t="s">
        <v>81</v>
      </c>
      <c r="G157" s="31">
        <f>H157/Assumptions!$B$23/1000000000000</f>
        <v>6.46376103211148E-2</v>
      </c>
      <c r="H157" s="13">
        <f>IF(C157="Electricity",E157*SUMIFS(Electricity!S:S,Electricity!P:P,Predev_Scenarios!B157,Electricity!M:M,Predev_Scenarios!A157,Electricity!O:O,Predev_Scenarios!D157),"")</f>
        <v>17955776.736311957</v>
      </c>
      <c r="I157" s="59">
        <f>SUMIFS(Electricity!U:U,Electricity!$M:$M,Predev_Scenarios!$A157,Electricity!$P:$P,Predev_Scenarios!$B157,Electricity!$O:$O,Predev_Scenarios!$D157)*-1</f>
        <v>0.11446291259999997</v>
      </c>
      <c r="J157" s="59">
        <f>SUMIFS(Electricity!V:V,Electricity!$M:$M,Predev_Scenarios!$A157,Electricity!$P:$P,Predev_Scenarios!$B157,Electricity!$O:$O,Predev_Scenarios!$D157)*-1</f>
        <v>9.5945760950000042E-2</v>
      </c>
      <c r="K157" s="59">
        <f>SUMIFS(Electricity!W:W,Electricity!$M:$M,Predev_Scenarios!$A157,Electricity!$P:$P,Predev_Scenarios!$B157,Electricity!$O:$O,Predev_Scenarios!$D157)*-1</f>
        <v>0.13298006325000006</v>
      </c>
      <c r="L157" s="63">
        <f t="shared" si="9"/>
        <v>-2.0552705032335883E-6</v>
      </c>
      <c r="M157" s="63">
        <f t="shared" si="10"/>
        <v>-1.7227806624137591E-6</v>
      </c>
      <c r="N157" s="63">
        <f t="shared" si="11"/>
        <v>-2.3877603260976435E-6</v>
      </c>
      <c r="O157" s="30">
        <f>IF(OR(LEFT($D157,5)="Solar",$D157="Wind"),INDEX(Land_Use[AVG],MATCH(LEFT($D157,5),Land_Use[Tech],0)),0)*$E157</f>
        <v>32784.678076156444</v>
      </c>
      <c r="P157" s="30">
        <f>IF(OR(LEFT($D157,5)="Solar",$D157="Wind"),INDEX(Land_Use[MIN],MATCH(LEFT($D157,5),Land_Use[Tech],0)),0)*$E157</f>
        <v>26227.74246092515</v>
      </c>
      <c r="Q157" s="30">
        <f>IF(OR(LEFT($D157,5)="Solar",$D157="Wind"),INDEX(Land_Use[MAX],MATCH(LEFT($D157,5),Land_Use[Tech],0)),0)*$E157</f>
        <v>39341.613691387734</v>
      </c>
      <c r="R157" s="31">
        <f>IFERROR(INDEX(WaterUseH2[Average Direct Water Consumption (Gal/ kg h2)],MATCH(LEFT(D157,3),WaterUseH2[Key],0)),0)</f>
        <v>0</v>
      </c>
      <c r="S157" s="15">
        <f t="shared" si="12"/>
        <v>0</v>
      </c>
    </row>
    <row r="158" spans="1:19" x14ac:dyDescent="0.35">
      <c r="A158" t="s">
        <v>107</v>
      </c>
      <c r="B158">
        <v>2033</v>
      </c>
      <c r="C158" t="s">
        <v>41</v>
      </c>
      <c r="D158" t="s">
        <v>80</v>
      </c>
      <c r="E158" s="12">
        <f>SUMIFS(Electricity!$R:$R,Electricity!$P:$P,$B158,Electricity!$O:$O,$D158,Electricity!$M:$M,$A158)</f>
        <v>10537.93223876457</v>
      </c>
      <c r="F158" t="s">
        <v>81</v>
      </c>
      <c r="G158" s="31">
        <f>H158/Assumptions!$B$23/1000000000000</f>
        <v>7.0673566506030308E-2</v>
      </c>
      <c r="H158" s="13">
        <f>IF(C158="Electricity",E158*SUMIFS(Electricity!S:S,Electricity!P:P,Predev_Scenarios!B158,Electricity!M:M,Predev_Scenarios!A158,Electricity!O:O,Predev_Scenarios!D158),"")</f>
        <v>19632513.872912135</v>
      </c>
      <c r="I158" s="59">
        <f>SUMIFS(Electricity!U:U,Electricity!$M:$M,Predev_Scenarios!$A158,Electricity!$P:$P,Predev_Scenarios!$B158,Electricity!$O:$O,Predev_Scenarios!$D158)*-1</f>
        <v>0.11023898839999996</v>
      </c>
      <c r="J158" s="59">
        <f>SUMIFS(Electricity!V:V,Electricity!$M:$M,Predev_Scenarios!$A158,Electricity!$P:$P,Predev_Scenarios!$B158,Electricity!$O:$O,Predev_Scenarios!$D158)*-1</f>
        <v>9.078799380000005E-2</v>
      </c>
      <c r="K158" s="59">
        <f>SUMIFS(Electricity!W:W,Electricity!$M:$M,Predev_Scenarios!$A158,Electricity!$P:$P,Predev_Scenarios!$B158,Electricity!$O:$O,Predev_Scenarios!$D158)*-1</f>
        <v>0.12968998200000006</v>
      </c>
      <c r="L158" s="63">
        <f t="shared" si="9"/>
        <v>-2.1642684690987992E-6</v>
      </c>
      <c r="M158" s="63">
        <f t="shared" si="10"/>
        <v>-1.7823965477723619E-6</v>
      </c>
      <c r="N158" s="63">
        <f t="shared" si="11"/>
        <v>-2.5461403707927265E-6</v>
      </c>
      <c r="O158" s="30">
        <f>IF(OR(LEFT($D158,5)="Solar",$D158="Wind"),INDEX(Land_Use[AVG],MATCH(LEFT($D158,5),Land_Use[Tech],0)),0)*$E158</f>
        <v>36882.762835675996</v>
      </c>
      <c r="P158" s="30">
        <f>IF(OR(LEFT($D158,5)="Solar",$D158="Wind"),INDEX(Land_Use[MIN],MATCH(LEFT($D158,5),Land_Use[Tech],0)),0)*$E158</f>
        <v>29506.210268540792</v>
      </c>
      <c r="Q158" s="30">
        <f>IF(OR(LEFT($D158,5)="Solar",$D158="Wind"),INDEX(Land_Use[MAX],MATCH(LEFT($D158,5),Land_Use[Tech],0)),0)*$E158</f>
        <v>44259.315402811197</v>
      </c>
      <c r="R158" s="31">
        <f>IFERROR(INDEX(WaterUseH2[Average Direct Water Consumption (Gal/ kg h2)],MATCH(LEFT(D158,3),WaterUseH2[Key],0)),0)</f>
        <v>0</v>
      </c>
      <c r="S158" s="15">
        <f t="shared" si="12"/>
        <v>0</v>
      </c>
    </row>
    <row r="159" spans="1:19" x14ac:dyDescent="0.35">
      <c r="A159" t="s">
        <v>107</v>
      </c>
      <c r="B159">
        <v>2034</v>
      </c>
      <c r="C159" t="s">
        <v>41</v>
      </c>
      <c r="D159" t="s">
        <v>80</v>
      </c>
      <c r="E159" s="12">
        <f>SUMIFS(Electricity!$R:$R,Electricity!$P:$P,$B159,Electricity!$O:$O,$D159,Electricity!$M:$M,$A159)</f>
        <v>11708.813598627299</v>
      </c>
      <c r="F159" t="s">
        <v>81</v>
      </c>
      <c r="G159" s="31">
        <f>H159/Assumptions!$B$23/1000000000000</f>
        <v>7.6255357112007177E-2</v>
      </c>
      <c r="H159" s="13">
        <f>IF(C159="Electricity",E159*SUMIFS(Electricity!S:S,Electricity!P:P,Predev_Scenarios!B159,Electricity!M:M,Predev_Scenarios!A159,Electricity!O:O,Predev_Scenarios!D159),"")</f>
        <v>21183087.686081462</v>
      </c>
      <c r="I159" s="59">
        <f>SUMIFS(Electricity!U:U,Electricity!$M:$M,Predev_Scenarios!$A159,Electricity!$P:$P,Predev_Scenarios!$B159,Electricity!$O:$O,Predev_Scenarios!$D159)*-1</f>
        <v>0.10601506419999995</v>
      </c>
      <c r="J159" s="59">
        <f>SUMIFS(Electricity!V:V,Electricity!$M:$M,Predev_Scenarios!$A159,Electricity!$P:$P,Predev_Scenarios!$B159,Electricity!$O:$O,Predev_Scenarios!$D159)*-1</f>
        <v>8.5630226650000058E-2</v>
      </c>
      <c r="K159" s="59">
        <f>SUMIFS(Electricity!W:W,Electricity!$M:$M,Predev_Scenarios!$A159,Electricity!$P:$P,Predev_Scenarios!$B159,Electricity!$O:$O,Predev_Scenarios!$D159)*-1</f>
        <v>0.12639990075000007</v>
      </c>
      <c r="L159" s="63">
        <f t="shared" si="9"/>
        <v>-2.2457264009941545E-6</v>
      </c>
      <c r="M159" s="63">
        <f t="shared" si="10"/>
        <v>-1.813912599705981E-6</v>
      </c>
      <c r="N159" s="63">
        <f t="shared" si="11"/>
        <v>-2.6775401810992457E-6</v>
      </c>
      <c r="O159" s="30">
        <f>IF(OR(LEFT($D159,5)="Solar",$D159="Wind"),INDEX(Land_Use[AVG],MATCH(LEFT($D159,5),Land_Use[Tech],0)),0)*$E159</f>
        <v>40980.847595195548</v>
      </c>
      <c r="P159" s="30">
        <f>IF(OR(LEFT($D159,5)="Solar",$D159="Wind"),INDEX(Land_Use[MIN],MATCH(LEFT($D159,5),Land_Use[Tech],0)),0)*$E159</f>
        <v>32784.678076156437</v>
      </c>
      <c r="Q159" s="30">
        <f>IF(OR(LEFT($D159,5)="Solar",$D159="Wind"),INDEX(Land_Use[MAX],MATCH(LEFT($D159,5),Land_Use[Tech],0)),0)*$E159</f>
        <v>49177.017114234659</v>
      </c>
      <c r="R159" s="31">
        <f>IFERROR(INDEX(WaterUseH2[Average Direct Water Consumption (Gal/ kg h2)],MATCH(LEFT(D159,3),WaterUseH2[Key],0)),0)</f>
        <v>0</v>
      </c>
      <c r="S159" s="15">
        <f t="shared" si="12"/>
        <v>0</v>
      </c>
    </row>
    <row r="160" spans="1:19" x14ac:dyDescent="0.35">
      <c r="A160" t="s">
        <v>107</v>
      </c>
      <c r="B160">
        <v>2035</v>
      </c>
      <c r="C160" t="s">
        <v>41</v>
      </c>
      <c r="D160" t="s">
        <v>80</v>
      </c>
      <c r="E160" s="12">
        <f>SUMIFS(Electricity!$R:$R,Electricity!$P:$P,$B160,Electricity!$O:$O,$D160,Electricity!$M:$M,$A160)</f>
        <v>12879.69495849003</v>
      </c>
      <c r="F160" t="s">
        <v>81</v>
      </c>
      <c r="G160" s="31">
        <f>H160/Assumptions!$B$23/1000000000000</f>
        <v>8.1382982139045421E-2</v>
      </c>
      <c r="H160" s="13">
        <f>IF(C160="Electricity",E160*SUMIFS(Electricity!S:S,Electricity!P:P,Predev_Scenarios!B160,Electricity!M:M,Predev_Scenarios!A160,Electricity!O:O,Predev_Scenarios!D160),"")</f>
        <v>22607498.175819945</v>
      </c>
      <c r="I160" s="59">
        <f>SUMIFS(Electricity!U:U,Electricity!$M:$M,Predev_Scenarios!$A160,Electricity!$P:$P,Predev_Scenarios!$B160,Electricity!$O:$O,Predev_Scenarios!$D160)*-1</f>
        <v>0.10179113999999995</v>
      </c>
      <c r="J160" s="59">
        <f>SUMIFS(Electricity!V:V,Electricity!$M:$M,Predev_Scenarios!$A160,Electricity!$P:$P,Predev_Scenarios!$B160,Electricity!$O:$O,Predev_Scenarios!$D160)*-1</f>
        <v>8.0472459500000065E-2</v>
      </c>
      <c r="K160" s="59">
        <f>SUMIFS(Electricity!W:W,Electricity!$M:$M,Predev_Scenarios!$A160,Electricity!$P:$P,Predev_Scenarios!$B160,Electricity!$O:$O,Predev_Scenarios!$D160)*-1</f>
        <v>0.12310981950000006</v>
      </c>
      <c r="L160" s="63">
        <f t="shared" si="9"/>
        <v>-2.3012430118646313E-6</v>
      </c>
      <c r="M160" s="63">
        <f t="shared" si="10"/>
        <v>-1.819280981349996E-6</v>
      </c>
      <c r="N160" s="63">
        <f t="shared" si="11"/>
        <v>-2.7832050197717741E-6</v>
      </c>
      <c r="O160" s="30">
        <f>IF(OR(LEFT($D160,5)="Solar",$D160="Wind"),INDEX(Land_Use[AVG],MATCH(LEFT($D160,5),Land_Use[Tech],0)),0)*$E160</f>
        <v>45078.932354715107</v>
      </c>
      <c r="P160" s="30">
        <f>IF(OR(LEFT($D160,5)="Solar",$D160="Wind"),INDEX(Land_Use[MIN],MATCH(LEFT($D160,5),Land_Use[Tech],0)),0)*$E160</f>
        <v>36063.145883772086</v>
      </c>
      <c r="Q160" s="30">
        <f>IF(OR(LEFT($D160,5)="Solar",$D160="Wind"),INDEX(Land_Use[MAX],MATCH(LEFT($D160,5),Land_Use[Tech],0)),0)*$E160</f>
        <v>54094.718825658128</v>
      </c>
      <c r="R160" s="31">
        <f>IFERROR(INDEX(WaterUseH2[Average Direct Water Consumption (Gal/ kg h2)],MATCH(LEFT(D160,3),WaterUseH2[Key],0)),0)</f>
        <v>0</v>
      </c>
      <c r="S160" s="15">
        <f t="shared" si="12"/>
        <v>0</v>
      </c>
    </row>
    <row r="161" spans="1:19" x14ac:dyDescent="0.35">
      <c r="A161" t="s">
        <v>107</v>
      </c>
      <c r="B161">
        <v>2036</v>
      </c>
      <c r="C161" t="s">
        <v>41</v>
      </c>
      <c r="D161" t="s">
        <v>80</v>
      </c>
      <c r="E161" s="12">
        <f>SUMIFS(Electricity!$R:$R,Electricity!$P:$P,$B161,Electricity!$O:$O,$D161,Electricity!$M:$M,$A161)</f>
        <v>14050.576318352762</v>
      </c>
      <c r="F161" t="s">
        <v>81</v>
      </c>
      <c r="G161" s="31">
        <f>H161/Assumptions!$B$23/1000000000000</f>
        <v>8.6056441587145038E-2</v>
      </c>
      <c r="H161" s="13">
        <f>IF(C161="Electricity",E161*SUMIFS(Electricity!S:S,Electricity!P:P,Predev_Scenarios!B161,Electricity!M:M,Predev_Scenarios!A161,Electricity!O:O,Predev_Scenarios!D161),"")</f>
        <v>23905745.34212758</v>
      </c>
      <c r="I161" s="59">
        <f>SUMIFS(Electricity!U:U,Electricity!$M:$M,Predev_Scenarios!$A161,Electricity!$P:$P,Predev_Scenarios!$B161,Electricity!$O:$O,Predev_Scenarios!$D161)*-1</f>
        <v>9.756721579999994E-2</v>
      </c>
      <c r="J161" s="59">
        <f>SUMIFS(Electricity!V:V,Electricity!$M:$M,Predev_Scenarios!$A161,Electricity!$P:$P,Predev_Scenarios!$B161,Electricity!$O:$O,Predev_Scenarios!$D161)*-1</f>
        <v>7.5314692350000073E-2</v>
      </c>
      <c r="K161" s="59">
        <f>SUMIFS(Electricity!W:W,Electricity!$M:$M,Predev_Scenarios!$A161,Electricity!$P:$P,Predev_Scenarios!$B161,Electricity!$O:$O,Predev_Scenarios!$D161)*-1</f>
        <v>0.11981973825000006</v>
      </c>
      <c r="L161" s="63">
        <f t="shared" si="9"/>
        <v>-2.332417014655205E-6</v>
      </c>
      <c r="M161" s="63">
        <f t="shared" si="10"/>
        <v>-1.8004538558397861E-6</v>
      </c>
      <c r="N161" s="63">
        <f t="shared" si="11"/>
        <v>-2.8643801495648849E-6</v>
      </c>
      <c r="O161" s="30">
        <f>IF(OR(LEFT($D161,5)="Solar",$D161="Wind"),INDEX(Land_Use[AVG],MATCH(LEFT($D161,5),Land_Use[Tech],0)),0)*$E161</f>
        <v>49177.017114234666</v>
      </c>
      <c r="P161" s="30">
        <f>IF(OR(LEFT($D161,5)="Solar",$D161="Wind"),INDEX(Land_Use[MIN],MATCH(LEFT($D161,5),Land_Use[Tech],0)),0)*$E161</f>
        <v>39341.613691387727</v>
      </c>
      <c r="Q161" s="30">
        <f>IF(OR(LEFT($D161,5)="Solar",$D161="Wind"),INDEX(Land_Use[MAX],MATCH(LEFT($D161,5),Land_Use[Tech],0)),0)*$E161</f>
        <v>59012.420537081598</v>
      </c>
      <c r="R161" s="31">
        <f>IFERROR(INDEX(WaterUseH2[Average Direct Water Consumption (Gal/ kg h2)],MATCH(LEFT(D161,3),WaterUseH2[Key],0)),0)</f>
        <v>0</v>
      </c>
      <c r="S161" s="15">
        <f t="shared" si="12"/>
        <v>0</v>
      </c>
    </row>
    <row r="162" spans="1:19" x14ac:dyDescent="0.35">
      <c r="A162" t="s">
        <v>107</v>
      </c>
      <c r="B162">
        <v>2037</v>
      </c>
      <c r="C162" t="s">
        <v>41</v>
      </c>
      <c r="D162" t="s">
        <v>80</v>
      </c>
      <c r="E162" s="12">
        <f>SUMIFS(Electricity!$R:$R,Electricity!$P:$P,$B162,Electricity!$O:$O,$D162,Electricity!$M:$M,$A162)</f>
        <v>15221.457678215489</v>
      </c>
      <c r="F162" t="s">
        <v>81</v>
      </c>
      <c r="G162" s="31">
        <f>H162/Assumptions!$B$23/1000000000000</f>
        <v>9.0275735456306003E-2</v>
      </c>
      <c r="H162" s="13">
        <f>IF(C162="Electricity",E162*SUMIFS(Electricity!S:S,Electricity!P:P,Predev_Scenarios!B162,Electricity!M:M,Predev_Scenarios!A162,Electricity!O:O,Predev_Scenarios!D162),"")</f>
        <v>25077829.185004357</v>
      </c>
      <c r="I162" s="59">
        <f>SUMIFS(Electricity!U:U,Electricity!$M:$M,Predev_Scenarios!$A162,Electricity!$P:$P,Predev_Scenarios!$B162,Electricity!$O:$O,Predev_Scenarios!$D162)*-1</f>
        <v>9.3343291599999934E-2</v>
      </c>
      <c r="J162" s="59">
        <f>SUMIFS(Electricity!V:V,Electricity!$M:$M,Predev_Scenarios!$A162,Electricity!$P:$P,Predev_Scenarios!$B162,Electricity!$O:$O,Predev_Scenarios!$D162)*-1</f>
        <v>7.0156925200000081E-2</v>
      </c>
      <c r="K162" s="59">
        <f>SUMIFS(Electricity!W:W,Electricity!$M:$M,Predev_Scenarios!$A162,Electricity!$P:$P,Predev_Scenarios!$B162,Electricity!$O:$O,Predev_Scenarios!$D162)*-1</f>
        <v>0.11652965700000005</v>
      </c>
      <c r="L162" s="63">
        <f t="shared" si="9"/>
        <v>-2.3408471223108502E-6</v>
      </c>
      <c r="M162" s="63">
        <f t="shared" si="10"/>
        <v>-1.7593833863107297E-6</v>
      </c>
      <c r="N162" s="63">
        <f t="shared" si="11"/>
        <v>-2.9223108332331485E-6</v>
      </c>
      <c r="O162" s="30">
        <f>IF(OR(LEFT($D162,5)="Solar",$D162="Wind"),INDEX(Land_Use[AVG],MATCH(LEFT($D162,5),Land_Use[Tech],0)),0)*$E162</f>
        <v>53275.101873754211</v>
      </c>
      <c r="P162" s="30">
        <f>IF(OR(LEFT($D162,5)="Solar",$D162="Wind"),INDEX(Land_Use[MIN],MATCH(LEFT($D162,5),Land_Use[Tech],0)),0)*$E162</f>
        <v>42620.081499003369</v>
      </c>
      <c r="Q162" s="30">
        <f>IF(OR(LEFT($D162,5)="Solar",$D162="Wind"),INDEX(Land_Use[MAX],MATCH(LEFT($D162,5),Land_Use[Tech],0)),0)*$E162</f>
        <v>63930.12224850506</v>
      </c>
      <c r="R162" s="31">
        <f>IFERROR(INDEX(WaterUseH2[Average Direct Water Consumption (Gal/ kg h2)],MATCH(LEFT(D162,3),WaterUseH2[Key],0)),0)</f>
        <v>0</v>
      </c>
      <c r="S162" s="15">
        <f t="shared" si="12"/>
        <v>0</v>
      </c>
    </row>
    <row r="163" spans="1:19" x14ac:dyDescent="0.35">
      <c r="A163" t="s">
        <v>107</v>
      </c>
      <c r="B163">
        <v>2038</v>
      </c>
      <c r="C163" t="s">
        <v>41</v>
      </c>
      <c r="D163" t="s">
        <v>80</v>
      </c>
      <c r="E163" s="12">
        <f>SUMIFS(Electricity!$R:$R,Electricity!$P:$P,$B163,Electricity!$O:$O,$D163,Electricity!$M:$M,$A163)</f>
        <v>16392.339038078222</v>
      </c>
      <c r="F163" t="s">
        <v>81</v>
      </c>
      <c r="G163" s="31">
        <f>H163/Assumptions!$B$23/1000000000000</f>
        <v>9.4040863746528355E-2</v>
      </c>
      <c r="H163" s="13">
        <f>IF(C163="Electricity",E163*SUMIFS(Electricity!S:S,Electricity!P:P,Predev_Scenarios!B163,Electricity!M:M,Predev_Scenarios!A163,Electricity!O:O,Predev_Scenarios!D163),"")</f>
        <v>26123749.704450298</v>
      </c>
      <c r="I163" s="59">
        <f>SUMIFS(Electricity!U:U,Electricity!$M:$M,Predev_Scenarios!$A163,Electricity!$P:$P,Predev_Scenarios!$B163,Electricity!$O:$O,Predev_Scenarios!$D163)*-1</f>
        <v>8.9119367399999927E-2</v>
      </c>
      <c r="J163" s="59">
        <f>SUMIFS(Electricity!V:V,Electricity!$M:$M,Predev_Scenarios!$A163,Electricity!$P:$P,Predev_Scenarios!$B163,Electricity!$O:$O,Predev_Scenarios!$D163)*-1</f>
        <v>6.4999158050000089E-2</v>
      </c>
      <c r="K163" s="59">
        <f>SUMIFS(Electricity!W:W,Electricity!$M:$M,Predev_Scenarios!$A163,Electricity!$P:$P,Predev_Scenarios!$B163,Electricity!$O:$O,Predev_Scenarios!$D163)*-1</f>
        <v>0.11323957575000004</v>
      </c>
      <c r="L163" s="63">
        <f t="shared" si="9"/>
        <v>-2.3281320477765455E-6</v>
      </c>
      <c r="M163" s="63">
        <f t="shared" si="10"/>
        <v>-1.698021735898208E-6</v>
      </c>
      <c r="N163" s="63">
        <f t="shared" si="11"/>
        <v>-2.9582423335311409E-6</v>
      </c>
      <c r="O163" s="30">
        <f>IF(OR(LEFT($D163,5)="Solar",$D163="Wind"),INDEX(Land_Use[AVG],MATCH(LEFT($D163,5),Land_Use[Tech],0)),0)*$E163</f>
        <v>57373.186633273777</v>
      </c>
      <c r="P163" s="30">
        <f>IF(OR(LEFT($D163,5)="Solar",$D163="Wind"),INDEX(Land_Use[MIN],MATCH(LEFT($D163,5),Land_Use[Tech],0)),0)*$E163</f>
        <v>45898.549306619017</v>
      </c>
      <c r="Q163" s="30">
        <f>IF(OR(LEFT($D163,5)="Solar",$D163="Wind"),INDEX(Land_Use[MAX],MATCH(LEFT($D163,5),Land_Use[Tech],0)),0)*$E163</f>
        <v>68847.82395992853</v>
      </c>
      <c r="R163" s="31">
        <f>IFERROR(INDEX(WaterUseH2[Average Direct Water Consumption (Gal/ kg h2)],MATCH(LEFT(D163,3),WaterUseH2[Key],0)),0)</f>
        <v>0</v>
      </c>
      <c r="S163" s="15">
        <f t="shared" si="12"/>
        <v>0</v>
      </c>
    </row>
    <row r="164" spans="1:19" x14ac:dyDescent="0.35">
      <c r="A164" t="s">
        <v>107</v>
      </c>
      <c r="B164">
        <v>2039</v>
      </c>
      <c r="C164" t="s">
        <v>41</v>
      </c>
      <c r="D164" t="s">
        <v>80</v>
      </c>
      <c r="E164" s="12">
        <f>SUMIFS(Electricity!$R:$R,Electricity!$P:$P,$B164,Electricity!$O:$O,$D164,Electricity!$M:$M,$A164)</f>
        <v>17563.220397940953</v>
      </c>
      <c r="F164" t="s">
        <v>81</v>
      </c>
      <c r="G164" s="31">
        <f>H164/Assumptions!$B$23/1000000000000</f>
        <v>9.7351826457812068E-2</v>
      </c>
      <c r="H164" s="13">
        <f>IF(C164="Electricity",E164*SUMIFS(Electricity!S:S,Electricity!P:P,Predev_Scenarios!B164,Electricity!M:M,Predev_Scenarios!A164,Electricity!O:O,Predev_Scenarios!D164),"")</f>
        <v>27043506.900465388</v>
      </c>
      <c r="I164" s="59">
        <f>SUMIFS(Electricity!U:U,Electricity!$M:$M,Predev_Scenarios!$A164,Electricity!$P:$P,Predev_Scenarios!$B164,Electricity!$O:$O,Predev_Scenarios!$D164)*-1</f>
        <v>8.489544319999992E-2</v>
      </c>
      <c r="J164" s="59">
        <f>SUMIFS(Electricity!V:V,Electricity!$M:$M,Predev_Scenarios!$A164,Electricity!$P:$P,Predev_Scenarios!$B164,Electricity!$O:$O,Predev_Scenarios!$D164)*-1</f>
        <v>5.984139090000009E-2</v>
      </c>
      <c r="K164" s="59">
        <f>SUMIFS(Electricity!W:W,Electricity!$M:$M,Predev_Scenarios!$A164,Electricity!$P:$P,Predev_Scenarios!$B164,Electricity!$O:$O,Predev_Scenarios!$D164)*-1</f>
        <v>0.10994949450000004</v>
      </c>
      <c r="L164" s="63">
        <f t="shared" si="9"/>
        <v>-2.295870503997265E-6</v>
      </c>
      <c r="M164" s="63">
        <f t="shared" si="10"/>
        <v>-1.6183210677375992E-6</v>
      </c>
      <c r="N164" s="63">
        <f t="shared" si="11"/>
        <v>-2.9734199132134323E-6</v>
      </c>
      <c r="O164" s="30">
        <f>IF(OR(LEFT($D164,5)="Solar",$D164="Wind"),INDEX(Land_Use[AVG],MATCH(LEFT($D164,5),Land_Use[Tech],0)),0)*$E164</f>
        <v>61471.271392793336</v>
      </c>
      <c r="P164" s="30">
        <f>IF(OR(LEFT($D164,5)="Solar",$D164="Wind"),INDEX(Land_Use[MIN],MATCH(LEFT($D164,5),Land_Use[Tech],0)),0)*$E164</f>
        <v>49177.017114234666</v>
      </c>
      <c r="Q164" s="30">
        <f>IF(OR(LEFT($D164,5)="Solar",$D164="Wind"),INDEX(Land_Use[MAX],MATCH(LEFT($D164,5),Land_Use[Tech],0)),0)*$E164</f>
        <v>73765.525671352007</v>
      </c>
      <c r="R164" s="31">
        <f>IFERROR(INDEX(WaterUseH2[Average Direct Water Consumption (Gal/ kg h2)],MATCH(LEFT(D164,3),WaterUseH2[Key],0)),0)</f>
        <v>0</v>
      </c>
      <c r="S164" s="15">
        <f t="shared" si="12"/>
        <v>0</v>
      </c>
    </row>
    <row r="165" spans="1:19" x14ac:dyDescent="0.35">
      <c r="A165" t="s">
        <v>107</v>
      </c>
      <c r="B165">
        <v>2040</v>
      </c>
      <c r="C165" t="s">
        <v>41</v>
      </c>
      <c r="D165" t="s">
        <v>80</v>
      </c>
      <c r="E165" s="12">
        <f>SUMIFS(Electricity!$R:$R,Electricity!$P:$P,$B165,Electricity!$O:$O,$D165,Electricity!$M:$M,$A165)</f>
        <v>18734.101757803681</v>
      </c>
      <c r="F165" t="s">
        <v>81</v>
      </c>
      <c r="G165" s="31">
        <f>H165/Assumptions!$B$23/1000000000000</f>
        <v>0.10020862359015713</v>
      </c>
      <c r="H165" s="13">
        <f>IF(C165="Electricity",E165*SUMIFS(Electricity!S:S,Electricity!P:P,Predev_Scenarios!B165,Electricity!M:M,Predev_Scenarios!A165,Electricity!O:O,Predev_Scenarios!D165),"")</f>
        <v>27837100.773049623</v>
      </c>
      <c r="I165" s="59">
        <f>SUMIFS(Electricity!U:U,Electricity!$M:$M,Predev_Scenarios!$A165,Electricity!$P:$P,Predev_Scenarios!$B165,Electricity!$O:$O,Predev_Scenarios!$D165)*-1</f>
        <v>8.0671518999999914E-2</v>
      </c>
      <c r="J165" s="59">
        <f>SUMIFS(Electricity!V:V,Electricity!$M:$M,Predev_Scenarios!$A165,Electricity!$P:$P,Predev_Scenarios!$B165,Electricity!$O:$O,Predev_Scenarios!$D165)*-1</f>
        <v>5.468362375000009E-2</v>
      </c>
      <c r="K165" s="59">
        <f>SUMIFS(Electricity!W:W,Electricity!$M:$M,Predev_Scenarios!$A165,Electricity!$P:$P,Predev_Scenarios!$B165,Electricity!$O:$O,Predev_Scenarios!$D165)*-1</f>
        <v>0.10665941325000003</v>
      </c>
      <c r="L165" s="63">
        <f t="shared" si="9"/>
        <v>-2.245661203917985E-6</v>
      </c>
      <c r="M165" s="63">
        <f t="shared" si="10"/>
        <v>-1.5222335449642821E-6</v>
      </c>
      <c r="N165" s="63">
        <f t="shared" si="11"/>
        <v>-2.9690888350345949E-6</v>
      </c>
      <c r="O165" s="30">
        <f>IF(OR(LEFT($D165,5)="Solar",$D165="Wind"),INDEX(Land_Use[AVG],MATCH(LEFT($D165,5),Land_Use[Tech],0)),0)*$E165</f>
        <v>65569.356152312888</v>
      </c>
      <c r="P165" s="30">
        <f>IF(OR(LEFT($D165,5)="Solar",$D165="Wind"),INDEX(Land_Use[MIN],MATCH(LEFT($D165,5),Land_Use[Tech],0)),0)*$E165</f>
        <v>52455.4849218503</v>
      </c>
      <c r="Q165" s="30">
        <f>IF(OR(LEFT($D165,5)="Solar",$D165="Wind"),INDEX(Land_Use[MAX],MATCH(LEFT($D165,5),Land_Use[Tech],0)),0)*$E165</f>
        <v>78683.227382775469</v>
      </c>
      <c r="R165" s="31">
        <f>IFERROR(INDEX(WaterUseH2[Average Direct Water Consumption (Gal/ kg h2)],MATCH(LEFT(D165,3),WaterUseH2[Key],0)),0)</f>
        <v>0</v>
      </c>
      <c r="S165" s="15">
        <f t="shared" si="12"/>
        <v>0</v>
      </c>
    </row>
    <row r="166" spans="1:19" x14ac:dyDescent="0.35">
      <c r="A166" t="s">
        <v>107</v>
      </c>
      <c r="B166">
        <v>2041</v>
      </c>
      <c r="C166" t="s">
        <v>41</v>
      </c>
      <c r="D166" t="s">
        <v>80</v>
      </c>
      <c r="E166" s="12">
        <f>SUMIFS(Electricity!$R:$R,Electricity!$P:$P,$B166,Electricity!$O:$O,$D166,Electricity!$M:$M,$A166)</f>
        <v>19904.983117666412</v>
      </c>
      <c r="F166" t="s">
        <v>81</v>
      </c>
      <c r="G166" s="31">
        <f>H166/Assumptions!$B$23/1000000000000</f>
        <v>0.10261125514356359</v>
      </c>
      <c r="H166" s="13">
        <f>IF(C166="Electricity",E166*SUMIFS(Electricity!S:S,Electricity!P:P,Predev_Scenarios!B166,Electricity!M:M,Predev_Scenarios!A166,Electricity!O:O,Predev_Scenarios!D166),"")</f>
        <v>28504531.322203014</v>
      </c>
      <c r="I166" s="59">
        <f>SUMIFS(Electricity!U:U,Electricity!$M:$M,Predev_Scenarios!$A166,Electricity!$P:$P,Predev_Scenarios!$B166,Electricity!$O:$O,Predev_Scenarios!$D166)*-1</f>
        <v>7.6447594799999907E-2</v>
      </c>
      <c r="J166" s="59">
        <f>SUMIFS(Electricity!V:V,Electricity!$M:$M,Predev_Scenarios!$A166,Electricity!$P:$P,Predev_Scenarios!$B166,Electricity!$O:$O,Predev_Scenarios!$D166)*-1</f>
        <v>4.9525856600000091E-2</v>
      </c>
      <c r="K166" s="59">
        <f>SUMIFS(Electricity!W:W,Electricity!$M:$M,Predev_Scenarios!$A166,Electricity!$P:$P,Predev_Scenarios!$B166,Electricity!$O:$O,Predev_Scenarios!$D166)*-1</f>
        <v>0.10336933200000002</v>
      </c>
      <c r="L166" s="63">
        <f t="shared" si="9"/>
        <v>-2.1791028604836815E-6</v>
      </c>
      <c r="M166" s="63">
        <f t="shared" si="10"/>
        <v>-1.4117113307136375E-6</v>
      </c>
      <c r="N166" s="63">
        <f t="shared" si="11"/>
        <v>-2.946494361749203E-6</v>
      </c>
      <c r="O166" s="30">
        <f>IF(OR(LEFT($D166,5)="Solar",$D166="Wind"),INDEX(Land_Use[AVG],MATCH(LEFT($D166,5),Land_Use[Tech],0)),0)*$E166</f>
        <v>69667.44091183244</v>
      </c>
      <c r="P166" s="30">
        <f>IF(OR(LEFT($D166,5)="Solar",$D166="Wind"),INDEX(Land_Use[MIN],MATCH(LEFT($D166,5),Land_Use[Tech],0)),0)*$E166</f>
        <v>55733.952729465949</v>
      </c>
      <c r="Q166" s="30">
        <f>IF(OR(LEFT($D166,5)="Solar",$D166="Wind"),INDEX(Land_Use[MAX],MATCH(LEFT($D166,5),Land_Use[Tech],0)),0)*$E166</f>
        <v>83600.929094198931</v>
      </c>
      <c r="R166" s="31">
        <f>IFERROR(INDEX(WaterUseH2[Average Direct Water Consumption (Gal/ kg h2)],MATCH(LEFT(D166,3),WaterUseH2[Key],0)),0)</f>
        <v>0</v>
      </c>
      <c r="S166" s="15">
        <f t="shared" si="12"/>
        <v>0</v>
      </c>
    </row>
    <row r="167" spans="1:19" x14ac:dyDescent="0.35">
      <c r="A167" t="s">
        <v>107</v>
      </c>
      <c r="B167">
        <v>2042</v>
      </c>
      <c r="C167" t="s">
        <v>41</v>
      </c>
      <c r="D167" t="s">
        <v>80</v>
      </c>
      <c r="E167" s="12">
        <f>SUMIFS(Electricity!$R:$R,Electricity!$P:$P,$B167,Electricity!$O:$O,$D167,Electricity!$M:$M,$A167)</f>
        <v>21075.864477529143</v>
      </c>
      <c r="F167" t="s">
        <v>81</v>
      </c>
      <c r="G167" s="31">
        <f>H167/Assumptions!$B$23/1000000000000</f>
        <v>0.1045597211180314</v>
      </c>
      <c r="H167" s="13">
        <f>IF(C167="Electricity",E167*SUMIFS(Electricity!S:S,Electricity!P:P,Predev_Scenarios!B167,Electricity!M:M,Predev_Scenarios!A167,Electricity!O:O,Predev_Scenarios!D167),"")</f>
        <v>29045798.547925558</v>
      </c>
      <c r="I167" s="59">
        <f>SUMIFS(Electricity!U:U,Electricity!$M:$M,Predev_Scenarios!$A167,Electricity!$P:$P,Predev_Scenarios!$B167,Electricity!$O:$O,Predev_Scenarios!$D167)*-1</f>
        <v>7.2223670599999901E-2</v>
      </c>
      <c r="J167" s="59">
        <f>SUMIFS(Electricity!V:V,Electricity!$M:$M,Predev_Scenarios!$A167,Electricity!$P:$P,Predev_Scenarios!$B167,Electricity!$O:$O,Predev_Scenarios!$D167)*-1</f>
        <v>4.4368089450000092E-2</v>
      </c>
      <c r="K167" s="59">
        <f>SUMIFS(Electricity!W:W,Electricity!$M:$M,Predev_Scenarios!$A167,Electricity!$P:$P,Predev_Scenarios!$B167,Electricity!$O:$O,Predev_Scenarios!$D167)*-1</f>
        <v>0.10007925075000002</v>
      </c>
      <c r="L167" s="63">
        <f t="shared" si="9"/>
        <v>-2.0977941866393311E-6</v>
      </c>
      <c r="M167" s="63">
        <f t="shared" si="10"/>
        <v>-1.288706588121044E-6</v>
      </c>
      <c r="N167" s="63">
        <f t="shared" si="11"/>
        <v>-2.9068817561118282E-6</v>
      </c>
      <c r="O167" s="30">
        <f>IF(OR(LEFT($D167,5)="Solar",$D167="Wind"),INDEX(Land_Use[AVG],MATCH(LEFT($D167,5),Land_Use[Tech],0)),0)*$E167</f>
        <v>73765.525671352007</v>
      </c>
      <c r="P167" s="30">
        <f>IF(OR(LEFT($D167,5)="Solar",$D167="Wind"),INDEX(Land_Use[MIN],MATCH(LEFT($D167,5),Land_Use[Tech],0)),0)*$E167</f>
        <v>59012.420537081598</v>
      </c>
      <c r="Q167" s="30">
        <f>IF(OR(LEFT($D167,5)="Solar",$D167="Wind"),INDEX(Land_Use[MAX],MATCH(LEFT($D167,5),Land_Use[Tech],0)),0)*$E167</f>
        <v>88518.630805622408</v>
      </c>
      <c r="R167" s="31">
        <f>IFERROR(INDEX(WaterUseH2[Average Direct Water Consumption (Gal/ kg h2)],MATCH(LEFT(D167,3),WaterUseH2[Key],0)),0)</f>
        <v>0</v>
      </c>
      <c r="S167" s="15">
        <f t="shared" si="12"/>
        <v>0</v>
      </c>
    </row>
    <row r="168" spans="1:19" x14ac:dyDescent="0.35">
      <c r="A168" t="s">
        <v>107</v>
      </c>
      <c r="B168">
        <v>2043</v>
      </c>
      <c r="C168" t="s">
        <v>41</v>
      </c>
      <c r="D168" t="s">
        <v>80</v>
      </c>
      <c r="E168" s="12">
        <f>SUMIFS(Electricity!$R:$R,Electricity!$P:$P,$B168,Electricity!$O:$O,$D168,Electricity!$M:$M,$A168)</f>
        <v>22246.745837391871</v>
      </c>
      <c r="F168" t="s">
        <v>81</v>
      </c>
      <c r="G168" s="31">
        <f>H168/Assumptions!$B$23/1000000000000</f>
        <v>0.10605402151356058</v>
      </c>
      <c r="H168" s="13">
        <f>IF(C168="Electricity",E168*SUMIFS(Electricity!S:S,Electricity!P:P,Predev_Scenarios!B168,Electricity!M:M,Predev_Scenarios!A168,Electricity!O:O,Predev_Scenarios!D168),"")</f>
        <v>29460902.450217251</v>
      </c>
      <c r="I168" s="59">
        <f>SUMIFS(Electricity!U:U,Electricity!$M:$M,Predev_Scenarios!$A168,Electricity!$P:$P,Predev_Scenarios!$B168,Electricity!$O:$O,Predev_Scenarios!$D168)*-1</f>
        <v>6.7999746399999894E-2</v>
      </c>
      <c r="J168" s="59">
        <f>SUMIFS(Electricity!V:V,Electricity!$M:$M,Predev_Scenarios!$A168,Electricity!$P:$P,Predev_Scenarios!$B168,Electricity!$O:$O,Predev_Scenarios!$D168)*-1</f>
        <v>3.9210322300000093E-2</v>
      </c>
      <c r="K168" s="59">
        <f>SUMIFS(Electricity!W:W,Electricity!$M:$M,Predev_Scenarios!$A168,Electricity!$P:$P,Predev_Scenarios!$B168,Electricity!$O:$O,Predev_Scenarios!$D168)*-1</f>
        <v>9.6789169500000008E-2</v>
      </c>
      <c r="L168" s="63">
        <f t="shared" si="9"/>
        <v>-2.0033338953299085E-6</v>
      </c>
      <c r="M168" s="63">
        <f t="shared" si="10"/>
        <v>-1.1551714803218808E-6</v>
      </c>
      <c r="N168" s="63">
        <f t="shared" si="11"/>
        <v>-2.8514962808770427E-6</v>
      </c>
      <c r="O168" s="30">
        <f>IF(OR(LEFT($D168,5)="Solar",$D168="Wind"),INDEX(Land_Use[AVG],MATCH(LEFT($D168,5),Land_Use[Tech],0)),0)*$E168</f>
        <v>77863.610430871544</v>
      </c>
      <c r="P168" s="30">
        <f>IF(OR(LEFT($D168,5)="Solar",$D168="Wind"),INDEX(Land_Use[MIN],MATCH(LEFT($D168,5),Land_Use[Tech],0)),0)*$E168</f>
        <v>62290.888344697232</v>
      </c>
      <c r="Q168" s="30">
        <f>IF(OR(LEFT($D168,5)="Solar",$D168="Wind"),INDEX(Land_Use[MAX],MATCH(LEFT($D168,5),Land_Use[Tech],0)),0)*$E168</f>
        <v>93436.332517045856</v>
      </c>
      <c r="R168" s="31">
        <f>IFERROR(INDEX(WaterUseH2[Average Direct Water Consumption (Gal/ kg h2)],MATCH(LEFT(D168,3),WaterUseH2[Key],0)),0)</f>
        <v>0</v>
      </c>
      <c r="S168" s="15">
        <f t="shared" si="12"/>
        <v>0</v>
      </c>
    </row>
    <row r="169" spans="1:19" x14ac:dyDescent="0.35">
      <c r="A169" t="s">
        <v>107</v>
      </c>
      <c r="B169">
        <v>2044</v>
      </c>
      <c r="C169" t="s">
        <v>41</v>
      </c>
      <c r="D169" t="s">
        <v>80</v>
      </c>
      <c r="E169" s="12">
        <f>SUMIFS(Electricity!$R:$R,Electricity!$P:$P,$B169,Electricity!$O:$O,$D169,Electricity!$M:$M,$A169)</f>
        <v>23417.627197254602</v>
      </c>
      <c r="F169" t="s">
        <v>81</v>
      </c>
      <c r="G169" s="31">
        <f>H169/Assumptions!$B$23/1000000000000</f>
        <v>0.10709415633015112</v>
      </c>
      <c r="H169" s="13">
        <f>IF(C169="Electricity",E169*SUMIFS(Electricity!S:S,Electricity!P:P,Predev_Scenarios!B169,Electricity!M:M,Predev_Scenarios!A169,Electricity!O:O,Predev_Scenarios!D169),"")</f>
        <v>29749843.029078096</v>
      </c>
      <c r="I169" s="59">
        <f>SUMIFS(Electricity!U:U,Electricity!$M:$M,Predev_Scenarios!$A169,Electricity!$P:$P,Predev_Scenarios!$B169,Electricity!$O:$O,Predev_Scenarios!$D169)*-1</f>
        <v>6.3775822199999888E-2</v>
      </c>
      <c r="J169" s="59">
        <f>SUMIFS(Electricity!V:V,Electricity!$M:$M,Predev_Scenarios!$A169,Electricity!$P:$P,Predev_Scenarios!$B169,Electricity!$O:$O,Predev_Scenarios!$D169)*-1</f>
        <v>3.4052555150000094E-2</v>
      </c>
      <c r="K169" s="59">
        <f>SUMIFS(Electricity!W:W,Electricity!$M:$M,Predev_Scenarios!$A169,Electricity!$P:$P,Predev_Scenarios!$B169,Electricity!$O:$O,Predev_Scenarios!$D169)*-1</f>
        <v>9.3499088250000001E-2</v>
      </c>
      <c r="L169" s="63">
        <f t="shared" si="9"/>
        <v>-1.8973206995003909E-6</v>
      </c>
      <c r="M169" s="63">
        <f t="shared" si="10"/>
        <v>-1.0130581704515278E-6</v>
      </c>
      <c r="N169" s="63">
        <f t="shared" si="11"/>
        <v>-2.7815831987994204E-6</v>
      </c>
      <c r="O169" s="30">
        <f>IF(OR(LEFT($D169,5)="Solar",$D169="Wind"),INDEX(Land_Use[AVG],MATCH(LEFT($D169,5),Land_Use[Tech],0)),0)*$E169</f>
        <v>81961.69519039111</v>
      </c>
      <c r="P169" s="30">
        <f>IF(OR(LEFT($D169,5)="Solar",$D169="Wind"),INDEX(Land_Use[MIN],MATCH(LEFT($D169,5),Land_Use[Tech],0)),0)*$E169</f>
        <v>65569.356152312888</v>
      </c>
      <c r="Q169" s="30">
        <f>IF(OR(LEFT($D169,5)="Solar",$D169="Wind"),INDEX(Land_Use[MAX],MATCH(LEFT($D169,5),Land_Use[Tech],0)),0)*$E169</f>
        <v>98354.034228469332</v>
      </c>
      <c r="R169" s="31">
        <f>IFERROR(INDEX(WaterUseH2[Average Direct Water Consumption (Gal/ kg h2)],MATCH(LEFT(D169,3),WaterUseH2[Key],0)),0)</f>
        <v>0</v>
      </c>
      <c r="S169" s="15">
        <f t="shared" si="12"/>
        <v>0</v>
      </c>
    </row>
    <row r="170" spans="1:19" x14ac:dyDescent="0.35">
      <c r="A170" t="s">
        <v>107</v>
      </c>
      <c r="B170">
        <v>2045</v>
      </c>
      <c r="C170" t="s">
        <v>41</v>
      </c>
      <c r="D170" t="s">
        <v>80</v>
      </c>
      <c r="E170" s="12">
        <f>SUMIFS(Electricity!$R:$R,Electricity!$P:$P,$B170,Electricity!$O:$O,$D170,Electricity!$M:$M,$A170)</f>
        <v>24588.508557117333</v>
      </c>
      <c r="F170" t="s">
        <v>81</v>
      </c>
      <c r="G170" s="31">
        <f>H170/Assumptions!$B$23/1000000000000</f>
        <v>0.10768012556780306</v>
      </c>
      <c r="H170" s="13">
        <f>IF(C170="Electricity",E170*SUMIFS(Electricity!S:S,Electricity!P:P,Predev_Scenarios!B170,Electricity!M:M,Predev_Scenarios!A170,Electricity!O:O,Predev_Scenarios!D170),"")</f>
        <v>29912620.284508094</v>
      </c>
      <c r="I170" s="59">
        <f>SUMIFS(Electricity!U:U,Electricity!$M:$M,Predev_Scenarios!$A170,Electricity!$P:$P,Predev_Scenarios!$B170,Electricity!$O:$O,Predev_Scenarios!$D170)*-1</f>
        <v>5.9551897999999888E-2</v>
      </c>
      <c r="J170" s="59">
        <f>SUMIFS(Electricity!V:V,Electricity!$M:$M,Predev_Scenarios!$A170,Electricity!$P:$P,Predev_Scenarios!$B170,Electricity!$O:$O,Predev_Scenarios!$D170)*-1</f>
        <v>2.8894788000000095E-2</v>
      </c>
      <c r="K170" s="59">
        <f>SUMIFS(Electricity!W:W,Electricity!$M:$M,Predev_Scenarios!$A170,Electricity!$P:$P,Predev_Scenarios!$B170,Electricity!$O:$O,Predev_Scenarios!$D170)*-1</f>
        <v>9.0209006999999994E-2</v>
      </c>
      <c r="L170" s="63">
        <f t="shared" si="9"/>
        <v>-1.7813533120957537E-6</v>
      </c>
      <c r="M170" s="63">
        <f t="shared" si="10"/>
        <v>-8.6431882164536394E-7</v>
      </c>
      <c r="N170" s="63">
        <f t="shared" si="11"/>
        <v>-2.6983877726335323E-6</v>
      </c>
      <c r="O170" s="30">
        <f>IF(OR(LEFT($D170,5)="Solar",$D170="Wind"),INDEX(Land_Use[AVG],MATCH(LEFT($D170,5),Land_Use[Tech],0)),0)*$E170</f>
        <v>86059.779949910662</v>
      </c>
      <c r="P170" s="30">
        <f>IF(OR(LEFT($D170,5)="Solar",$D170="Wind"),INDEX(Land_Use[MIN],MATCH(LEFT($D170,5),Land_Use[Tech],0)),0)*$E170</f>
        <v>68847.82395992853</v>
      </c>
      <c r="Q170" s="30">
        <f>IF(OR(LEFT($D170,5)="Solar",$D170="Wind"),INDEX(Land_Use[MAX],MATCH(LEFT($D170,5),Land_Use[Tech],0)),0)*$E170</f>
        <v>103271.73593989281</v>
      </c>
      <c r="R170" s="31">
        <f>IFERROR(INDEX(WaterUseH2[Average Direct Water Consumption (Gal/ kg h2)],MATCH(LEFT(D170,3),WaterUseH2[Key],0)),0)</f>
        <v>0</v>
      </c>
      <c r="S170" s="15">
        <f t="shared" si="12"/>
        <v>0</v>
      </c>
    </row>
    <row r="171" spans="1:19" x14ac:dyDescent="0.35">
      <c r="A171" t="s">
        <v>76</v>
      </c>
      <c r="B171">
        <v>2025</v>
      </c>
      <c r="C171" t="s">
        <v>41</v>
      </c>
      <c r="D171" t="s">
        <v>83</v>
      </c>
      <c r="E171" s="12">
        <f>SUMIFS(Electricity!$R:$R,Electricity!$P:$P,$B171,Electricity!$O:$O,$D171,Electricity!$M:$M,$A171)</f>
        <v>99.380000000000024</v>
      </c>
      <c r="F171" t="s">
        <v>81</v>
      </c>
      <c r="G171" s="31">
        <f>H171/Assumptions!$B$23/1000000000000</f>
        <v>8.9538072693043087E-4</v>
      </c>
      <c r="H171" s="13">
        <f>IF(C171="Electricity",E171*SUMIFS(Electricity!S:S,Electricity!P:P,Predev_Scenarios!B171,Electricity!M:M,Predev_Scenarios!A171,Electricity!O:O,Predev_Scenarios!D171),"")</f>
        <v>248729.1276222762</v>
      </c>
      <c r="I171" s="59">
        <f>SUMIFS(Electricity!U:U,Electricity!$M:$M,Predev_Scenarios!$A171,Electricity!$P:$P,Predev_Scenarios!$B171,Electricity!$O:$O,Predev_Scenarios!$D171)*-1</f>
        <v>0.14403038200000001</v>
      </c>
      <c r="J171" s="59">
        <f>SUMIFS(Electricity!V:V,Electricity!$M:$M,Predev_Scenarios!$A171,Electricity!$P:$P,Predev_Scenarios!$B171,Electricity!$O:$O,Predev_Scenarios!$D171)*-1</f>
        <v>0.13205013099999999</v>
      </c>
      <c r="K171" s="59">
        <f>SUMIFS(Electricity!W:W,Electricity!$M:$M,Predev_Scenarios!$A171,Electricity!$P:$P,Predev_Scenarios!$B171,Electricity!$O:$O,Predev_Scenarios!$D171)*-1</f>
        <v>0.15601063200000001</v>
      </c>
      <c r="L171" s="63">
        <f t="shared" si="9"/>
        <v>-3.5824551265963194E-8</v>
      </c>
      <c r="M171" s="63">
        <f t="shared" si="10"/>
        <v>-3.2844713886037284E-8</v>
      </c>
      <c r="N171" s="63">
        <f t="shared" si="11"/>
        <v>-3.8804388397159964E-8</v>
      </c>
      <c r="O171" s="30">
        <f>IF(OR(LEFT($D171,5)="Solar",$D171="Wind"),INDEX(Land_Use[AVG],MATCH(LEFT($D171,5),Land_Use[Tech],0)),0)*$E171</f>
        <v>248.45000000000005</v>
      </c>
      <c r="P171" s="30">
        <f>IF(OR(LEFT($D171,5)="Solar",$D171="Wind"),INDEX(Land_Use[MIN],MATCH(LEFT($D171,5),Land_Use[Tech],0)),0)*$E171</f>
        <v>79.504000000000019</v>
      </c>
      <c r="Q171" s="30">
        <f>IF(OR(LEFT($D171,5)="Solar",$D171="Wind"),INDEX(Land_Use[MAX],MATCH(LEFT($D171,5),Land_Use[Tech],0)),0)*$E171</f>
        <v>417.39600000000013</v>
      </c>
      <c r="R171" s="31">
        <f>IFERROR(INDEX(WaterUseH2[Average Direct Water Consumption (Gal/ kg h2)],MATCH(LEFT(D171,3),WaterUseH2[Key],0)),0)</f>
        <v>0</v>
      </c>
      <c r="S171" s="15">
        <f t="shared" si="12"/>
        <v>0</v>
      </c>
    </row>
    <row r="172" spans="1:19" x14ac:dyDescent="0.35">
      <c r="A172" t="s">
        <v>76</v>
      </c>
      <c r="B172">
        <v>2026</v>
      </c>
      <c r="C172" t="s">
        <v>41</v>
      </c>
      <c r="D172" t="s">
        <v>83</v>
      </c>
      <c r="E172" s="12">
        <f>SUMIFS(Electricity!$R:$R,Electricity!$P:$P,$B172,Electricity!$O:$O,$D172,Electricity!$M:$M,$A172)</f>
        <v>212.33</v>
      </c>
      <c r="F172" t="s">
        <v>81</v>
      </c>
      <c r="G172" s="31">
        <f>H172/Assumptions!$B$23/1000000000000</f>
        <v>1.8977038613584051E-3</v>
      </c>
      <c r="H172" s="13">
        <f>IF(C172="Electricity",E172*SUMIFS(Electricity!S:S,Electricity!P:P,Predev_Scenarios!B172,Electricity!M:M,Predev_Scenarios!A172,Electricity!O:O,Predev_Scenarios!D172),"")</f>
        <v>527165.94374247186</v>
      </c>
      <c r="I172" s="59">
        <f>SUMIFS(Electricity!U:U,Electricity!$M:$M,Predev_Scenarios!$A172,Electricity!$P:$P,Predev_Scenarios!$B172,Electricity!$O:$O,Predev_Scenarios!$D172)*-1</f>
        <v>0.13980645780000001</v>
      </c>
      <c r="J172" s="59">
        <f>SUMIFS(Electricity!V:V,Electricity!$M:$M,Predev_Scenarios!$A172,Electricity!$P:$P,Predev_Scenarios!$B172,Electricity!$O:$O,Predev_Scenarios!$D172)*-1</f>
        <v>0.12689236385</v>
      </c>
      <c r="K172" s="59">
        <f>SUMIFS(Electricity!W:W,Electricity!$M:$M,Predev_Scenarios!$A172,Electricity!$P:$P,Predev_Scenarios!$B172,Electricity!$O:$O,Predev_Scenarios!$D172)*-1</f>
        <v>0.15272055075000002</v>
      </c>
      <c r="L172" s="63">
        <f t="shared" si="9"/>
        <v>-7.3701203267429068E-8</v>
      </c>
      <c r="M172" s="63">
        <f t="shared" si="10"/>
        <v>-6.6893332742698369E-8</v>
      </c>
      <c r="N172" s="63">
        <f t="shared" si="11"/>
        <v>-8.0509073264993831E-8</v>
      </c>
      <c r="O172" s="30">
        <f>IF(OR(LEFT($D172,5)="Solar",$D172="Wind"),INDEX(Land_Use[AVG],MATCH(LEFT($D172,5),Land_Use[Tech],0)),0)*$E172</f>
        <v>530.82500000000005</v>
      </c>
      <c r="P172" s="30">
        <f>IF(OR(LEFT($D172,5)="Solar",$D172="Wind"),INDEX(Land_Use[MIN],MATCH(LEFT($D172,5),Land_Use[Tech],0)),0)*$E172</f>
        <v>169.86400000000003</v>
      </c>
      <c r="Q172" s="30">
        <f>IF(OR(LEFT($D172,5)="Solar",$D172="Wind"),INDEX(Land_Use[MAX],MATCH(LEFT($D172,5),Land_Use[Tech],0)),0)*$E172</f>
        <v>891.78600000000006</v>
      </c>
      <c r="R172" s="31">
        <f>IFERROR(INDEX(WaterUseH2[Average Direct Water Consumption (Gal/ kg h2)],MATCH(LEFT(D172,3),WaterUseH2[Key],0)),0)</f>
        <v>0</v>
      </c>
      <c r="S172" s="15">
        <f t="shared" si="12"/>
        <v>0</v>
      </c>
    </row>
    <row r="173" spans="1:19" x14ac:dyDescent="0.35">
      <c r="A173" t="s">
        <v>76</v>
      </c>
      <c r="B173">
        <v>2027</v>
      </c>
      <c r="C173" t="s">
        <v>41</v>
      </c>
      <c r="D173" t="s">
        <v>83</v>
      </c>
      <c r="E173" s="12">
        <f>SUMIFS(Electricity!$R:$R,Electricity!$P:$P,$B173,Electricity!$O:$O,$D173,Electricity!$M:$M,$A173)</f>
        <v>325.27999999999997</v>
      </c>
      <c r="F173" t="s">
        <v>81</v>
      </c>
      <c r="G173" s="31">
        <f>H173/Assumptions!$B$23/1000000000000</f>
        <v>2.8837291970365362E-3</v>
      </c>
      <c r="H173" s="13">
        <f>IF(C173="Electricity",E173*SUMIFS(Electricity!S:S,Electricity!P:P,Predev_Scenarios!B173,Electricity!M:M,Predev_Scenarios!A173,Electricity!O:O,Predev_Scenarios!D173),"")</f>
        <v>801075.37040331529</v>
      </c>
      <c r="I173" s="59">
        <f>SUMIFS(Electricity!U:U,Electricity!$M:$M,Predev_Scenarios!$A173,Electricity!$P:$P,Predev_Scenarios!$B173,Electricity!$O:$O,Predev_Scenarios!$D173)*-1</f>
        <v>0.1355825336</v>
      </c>
      <c r="J173" s="59">
        <f>SUMIFS(Electricity!V:V,Electricity!$M:$M,Predev_Scenarios!$A173,Electricity!$P:$P,Predev_Scenarios!$B173,Electricity!$O:$O,Predev_Scenarios!$D173)*-1</f>
        <v>0.1217345967</v>
      </c>
      <c r="K173" s="59">
        <f>SUMIFS(Electricity!W:W,Electricity!$M:$M,Predev_Scenarios!$A173,Electricity!$P:$P,Predev_Scenarios!$B173,Electricity!$O:$O,Predev_Scenarios!$D173)*-1</f>
        <v>0.14943046950000002</v>
      </c>
      <c r="L173" s="63">
        <f t="shared" si="9"/>
        <v>-1.0861182832383994E-7</v>
      </c>
      <c r="M173" s="63">
        <f t="shared" si="10"/>
        <v>-9.7518587142350715E-8</v>
      </c>
      <c r="N173" s="63">
        <f t="shared" si="11"/>
        <v>-1.1970506870425383E-7</v>
      </c>
      <c r="O173" s="30">
        <f>IF(OR(LEFT($D173,5)="Solar",$D173="Wind"),INDEX(Land_Use[AVG],MATCH(LEFT($D173,5),Land_Use[Tech],0)),0)*$E173</f>
        <v>813.19999999999993</v>
      </c>
      <c r="P173" s="30">
        <f>IF(OR(LEFT($D173,5)="Solar",$D173="Wind"),INDEX(Land_Use[MIN],MATCH(LEFT($D173,5),Land_Use[Tech],0)),0)*$E173</f>
        <v>260.22399999999999</v>
      </c>
      <c r="Q173" s="30">
        <f>IF(OR(LEFT($D173,5)="Solar",$D173="Wind"),INDEX(Land_Use[MAX],MATCH(LEFT($D173,5),Land_Use[Tech],0)),0)*$E173</f>
        <v>1366.1759999999999</v>
      </c>
      <c r="R173" s="31">
        <f>IFERROR(INDEX(WaterUseH2[Average Direct Water Consumption (Gal/ kg h2)],MATCH(LEFT(D173,3),WaterUseH2[Key],0)),0)</f>
        <v>0</v>
      </c>
      <c r="S173" s="15">
        <f t="shared" si="12"/>
        <v>0</v>
      </c>
    </row>
    <row r="174" spans="1:19" x14ac:dyDescent="0.35">
      <c r="A174" t="s">
        <v>76</v>
      </c>
      <c r="B174">
        <v>2028</v>
      </c>
      <c r="C174" t="s">
        <v>41</v>
      </c>
      <c r="D174" t="s">
        <v>83</v>
      </c>
      <c r="E174" s="12">
        <f>SUMIFS(Electricity!$R:$R,Electricity!$P:$P,$B174,Electricity!$O:$O,$D174,Electricity!$M:$M,$A174)</f>
        <v>438.23</v>
      </c>
      <c r="F174" t="s">
        <v>81</v>
      </c>
      <c r="G174" s="31">
        <f>H174/Assumptions!$B$23/1000000000000</f>
        <v>3.8534567339648246E-3</v>
      </c>
      <c r="H174" s="13">
        <f>IF(C174="Electricity",E174*SUMIFS(Electricity!S:S,Electricity!P:P,Predev_Scenarios!B174,Electricity!M:M,Predev_Scenarios!A174,Electricity!O:O,Predev_Scenarios!D174),"")</f>
        <v>1070457.4076048068</v>
      </c>
      <c r="I174" s="59">
        <f>SUMIFS(Electricity!U:U,Electricity!$M:$M,Predev_Scenarios!$A174,Electricity!$P:$P,Predev_Scenarios!$B174,Electricity!$O:$O,Predev_Scenarios!$D174)*-1</f>
        <v>0.13135860939999999</v>
      </c>
      <c r="J174" s="59">
        <f>SUMIFS(Electricity!V:V,Electricity!$M:$M,Predev_Scenarios!$A174,Electricity!$P:$P,Predev_Scenarios!$B174,Electricity!$O:$O,Predev_Scenarios!$D174)*-1</f>
        <v>0.11657682955000001</v>
      </c>
      <c r="K174" s="59">
        <f>SUMIFS(Electricity!W:W,Electricity!$M:$M,Predev_Scenarios!$A174,Electricity!$P:$P,Predev_Scenarios!$B174,Electricity!$O:$O,Predev_Scenarios!$D174)*-1</f>
        <v>0.14614038825000003</v>
      </c>
      <c r="L174" s="63">
        <f t="shared" si="9"/>
        <v>-1.4061379648489642E-7</v>
      </c>
      <c r="M174" s="63">
        <f t="shared" si="10"/>
        <v>-1.2479053074688044E-7</v>
      </c>
      <c r="N174" s="63">
        <f t="shared" si="11"/>
        <v>-1.5643706115245502E-7</v>
      </c>
      <c r="O174" s="30">
        <f>IF(OR(LEFT($D174,5)="Solar",$D174="Wind"),INDEX(Land_Use[AVG],MATCH(LEFT($D174,5),Land_Use[Tech],0)),0)*$E174</f>
        <v>1095.575</v>
      </c>
      <c r="P174" s="30">
        <f>IF(OR(LEFT($D174,5)="Solar",$D174="Wind"),INDEX(Land_Use[MIN],MATCH(LEFT($D174,5),Land_Use[Tech],0)),0)*$E174</f>
        <v>350.58400000000006</v>
      </c>
      <c r="Q174" s="30">
        <f>IF(OR(LEFT($D174,5)="Solar",$D174="Wind"),INDEX(Land_Use[MAX],MATCH(LEFT($D174,5),Land_Use[Tech],0)),0)*$E174</f>
        <v>1840.5660000000003</v>
      </c>
      <c r="R174" s="31">
        <f>IFERROR(INDEX(WaterUseH2[Average Direct Water Consumption (Gal/ kg h2)],MATCH(LEFT(D174,3),WaterUseH2[Key],0)),0)</f>
        <v>0</v>
      </c>
      <c r="S174" s="15">
        <f t="shared" si="12"/>
        <v>0</v>
      </c>
    </row>
    <row r="175" spans="1:19" x14ac:dyDescent="0.35">
      <c r="A175" t="s">
        <v>76</v>
      </c>
      <c r="B175">
        <v>2029</v>
      </c>
      <c r="C175" t="s">
        <v>41</v>
      </c>
      <c r="D175" t="s">
        <v>83</v>
      </c>
      <c r="E175" s="12">
        <f>SUMIFS(Electricity!$R:$R,Electricity!$P:$P,$B175,Electricity!$O:$O,$D175,Electricity!$M:$M,$A175)</f>
        <v>551.17999999999995</v>
      </c>
      <c r="F175" t="s">
        <v>81</v>
      </c>
      <c r="G175" s="31">
        <f>H175/Assumptions!$B$23/1000000000000</f>
        <v>4.8068864721432687E-3</v>
      </c>
      <c r="H175" s="13">
        <f>IF(C175="Electricity",E175*SUMIFS(Electricity!S:S,Electricity!P:P,Predev_Scenarios!B175,Electricity!M:M,Predev_Scenarios!A175,Electricity!O:O,Predev_Scenarios!D175),"")</f>
        <v>1335312.0553469458</v>
      </c>
      <c r="I175" s="59">
        <f>SUMIFS(Electricity!U:U,Electricity!$M:$M,Predev_Scenarios!$A175,Electricity!$P:$P,Predev_Scenarios!$B175,Electricity!$O:$O,Predev_Scenarios!$D175)*-1</f>
        <v>0.12713468519999999</v>
      </c>
      <c r="J175" s="59">
        <f>SUMIFS(Electricity!V:V,Electricity!$M:$M,Predev_Scenarios!$A175,Electricity!$P:$P,Predev_Scenarios!$B175,Electricity!$O:$O,Predev_Scenarios!$D175)*-1</f>
        <v>0.11141906240000002</v>
      </c>
      <c r="K175" s="59">
        <f>SUMIFS(Electricity!W:W,Electricity!$M:$M,Predev_Scenarios!$A175,Electricity!$P:$P,Predev_Scenarios!$B175,Electricity!$O:$O,Predev_Scenarios!$D175)*-1</f>
        <v>0.14285030700000004</v>
      </c>
      <c r="L175" s="63">
        <f t="shared" si="9"/>
        <v>-1.697644778002989E-7</v>
      </c>
      <c r="M175" s="63">
        <f t="shared" si="10"/>
        <v>-1.4877921721817362E-7</v>
      </c>
      <c r="N175" s="63">
        <f t="shared" si="11"/>
        <v>-1.9074973704711225E-7</v>
      </c>
      <c r="O175" s="30">
        <f>IF(OR(LEFT($D175,5)="Solar",$D175="Wind"),INDEX(Land_Use[AVG],MATCH(LEFT($D175,5),Land_Use[Tech],0)),0)*$E175</f>
        <v>1377.9499999999998</v>
      </c>
      <c r="P175" s="30">
        <f>IF(OR(LEFT($D175,5)="Solar",$D175="Wind"),INDEX(Land_Use[MIN],MATCH(LEFT($D175,5),Land_Use[Tech],0)),0)*$E175</f>
        <v>440.94399999999996</v>
      </c>
      <c r="Q175" s="30">
        <f>IF(OR(LEFT($D175,5)="Solar",$D175="Wind"),INDEX(Land_Use[MAX],MATCH(LEFT($D175,5),Land_Use[Tech],0)),0)*$E175</f>
        <v>2314.9559999999997</v>
      </c>
      <c r="R175" s="31">
        <f>IFERROR(INDEX(WaterUseH2[Average Direct Water Consumption (Gal/ kg h2)],MATCH(LEFT(D175,3),WaterUseH2[Key],0)),0)</f>
        <v>0</v>
      </c>
      <c r="S175" s="15">
        <f t="shared" si="12"/>
        <v>0</v>
      </c>
    </row>
    <row r="176" spans="1:19" x14ac:dyDescent="0.35">
      <c r="A176" t="s">
        <v>76</v>
      </c>
      <c r="B176">
        <v>2030</v>
      </c>
      <c r="C176" t="s">
        <v>41</v>
      </c>
      <c r="D176" t="s">
        <v>83</v>
      </c>
      <c r="E176" s="12">
        <f>SUMIFS(Electricity!$R:$R,Electricity!$P:$P,$B176,Electricity!$O:$O,$D176,Electricity!$M:$M,$A176)</f>
        <v>664.13</v>
      </c>
      <c r="F176" t="s">
        <v>81</v>
      </c>
      <c r="G176" s="31">
        <f>H176/Assumptions!$B$23/1000000000000</f>
        <v>5.7440184115718704E-3</v>
      </c>
      <c r="H176" s="13">
        <f>IF(C176="Electricity",E176*SUMIFS(Electricity!S:S,Electricity!P:P,Predev_Scenarios!B176,Electricity!M:M,Predev_Scenarios!A176,Electricity!O:O,Predev_Scenarios!D176),"")</f>
        <v>1595639.3136297329</v>
      </c>
      <c r="I176" s="59">
        <f>SUMIFS(Electricity!U:U,Electricity!$M:$M,Predev_Scenarios!$A176,Electricity!$P:$P,Predev_Scenarios!$B176,Electricity!$O:$O,Predev_Scenarios!$D176)*-1</f>
        <v>0.12291076099999998</v>
      </c>
      <c r="J176" s="59">
        <f>SUMIFS(Electricity!V:V,Electricity!$M:$M,Predev_Scenarios!$A176,Electricity!$P:$P,Predev_Scenarios!$B176,Electricity!$O:$O,Predev_Scenarios!$D176)*-1</f>
        <v>0.10626129525000003</v>
      </c>
      <c r="K176" s="59">
        <f>SUMIFS(Electricity!W:W,Electricity!$M:$M,Predev_Scenarios!$A176,Electricity!$P:$P,Predev_Scenarios!$B176,Electricity!$O:$O,Predev_Scenarios!$D176)*-1</f>
        <v>0.13956022575000004</v>
      </c>
      <c r="L176" s="63">
        <f t="shared" si="9"/>
        <v>-1.9612124231974813E-7</v>
      </c>
      <c r="M176" s="63">
        <f t="shared" si="10"/>
        <v>-1.6955470021811645E-7</v>
      </c>
      <c r="N176" s="63">
        <f t="shared" si="11"/>
        <v>-2.2268778282574065E-7</v>
      </c>
      <c r="O176" s="30">
        <f>IF(OR(LEFT($D176,5)="Solar",$D176="Wind"),INDEX(Land_Use[AVG],MATCH(LEFT($D176,5),Land_Use[Tech],0)),0)*$E176</f>
        <v>1660.325</v>
      </c>
      <c r="P176" s="30">
        <f>IF(OR(LEFT($D176,5)="Solar",$D176="Wind"),INDEX(Land_Use[MIN],MATCH(LEFT($D176,5),Land_Use[Tech],0)),0)*$E176</f>
        <v>531.30399999999997</v>
      </c>
      <c r="Q176" s="30">
        <f>IF(OR(LEFT($D176,5)="Solar",$D176="Wind"),INDEX(Land_Use[MAX],MATCH(LEFT($D176,5),Land_Use[Tech],0)),0)*$E176</f>
        <v>2789.346</v>
      </c>
      <c r="R176" s="31">
        <f>IFERROR(INDEX(WaterUseH2[Average Direct Water Consumption (Gal/ kg h2)],MATCH(LEFT(D176,3),WaterUseH2[Key],0)),0)</f>
        <v>0</v>
      </c>
      <c r="S176" s="15">
        <f t="shared" si="12"/>
        <v>0</v>
      </c>
    </row>
    <row r="177" spans="1:19" x14ac:dyDescent="0.35">
      <c r="A177" t="s">
        <v>76</v>
      </c>
      <c r="B177">
        <v>2031</v>
      </c>
      <c r="C177" t="s">
        <v>41</v>
      </c>
      <c r="D177" t="s">
        <v>83</v>
      </c>
      <c r="E177" s="12">
        <f>SUMIFS(Electricity!$R:$R,Electricity!$P:$P,$B177,Electricity!$O:$O,$D177,Electricity!$M:$M,$A177)</f>
        <v>777.08</v>
      </c>
      <c r="F177" t="s">
        <v>81</v>
      </c>
      <c r="G177" s="31">
        <f>H177/Assumptions!$B$23/1000000000000</f>
        <v>6.6648525522506304E-3</v>
      </c>
      <c r="H177" s="13">
        <f>IF(C177="Electricity",E177*SUMIFS(Electricity!S:S,Electricity!P:P,Predev_Scenarios!B177,Electricity!M:M,Predev_Scenarios!A177,Electricity!O:O,Predev_Scenarios!D177),"")</f>
        <v>1851439.1824531679</v>
      </c>
      <c r="I177" s="59">
        <f>SUMIFS(Electricity!U:U,Electricity!$M:$M,Predev_Scenarios!$A177,Electricity!$P:$P,Predev_Scenarios!$B177,Electricity!$O:$O,Predev_Scenarios!$D177)*-1</f>
        <v>0.11868683679999997</v>
      </c>
      <c r="J177" s="59">
        <f>SUMIFS(Electricity!V:V,Electricity!$M:$M,Predev_Scenarios!$A177,Electricity!$P:$P,Predev_Scenarios!$B177,Electricity!$O:$O,Predev_Scenarios!$D177)*-1</f>
        <v>0.10110352810000003</v>
      </c>
      <c r="K177" s="59">
        <f>SUMIFS(Electricity!W:W,Electricity!$M:$M,Predev_Scenarios!$A177,Electricity!$P:$P,Predev_Scenarios!$B177,Electricity!$O:$O,Predev_Scenarios!$D177)*-1</f>
        <v>0.13627014450000005</v>
      </c>
      <c r="L177" s="63">
        <f t="shared" si="9"/>
        <v>-2.1974146009294451E-7</v>
      </c>
      <c r="M177" s="63">
        <f t="shared" si="10"/>
        <v>-1.8718703340859496E-7</v>
      </c>
      <c r="N177" s="63">
        <f t="shared" si="11"/>
        <v>-2.5229588492585513E-7</v>
      </c>
      <c r="O177" s="30">
        <f>IF(OR(LEFT($D177,5)="Solar",$D177="Wind"),INDEX(Land_Use[AVG],MATCH(LEFT($D177,5),Land_Use[Tech],0)),0)*$E177</f>
        <v>1942.7</v>
      </c>
      <c r="P177" s="30">
        <f>IF(OR(LEFT($D177,5)="Solar",$D177="Wind"),INDEX(Land_Use[MIN],MATCH(LEFT($D177,5),Land_Use[Tech],0)),0)*$E177</f>
        <v>621.6640000000001</v>
      </c>
      <c r="Q177" s="30">
        <f>IF(OR(LEFT($D177,5)="Solar",$D177="Wind"),INDEX(Land_Use[MAX],MATCH(LEFT($D177,5),Land_Use[Tech],0)),0)*$E177</f>
        <v>3263.7360000000003</v>
      </c>
      <c r="R177" s="31">
        <f>IFERROR(INDEX(WaterUseH2[Average Direct Water Consumption (Gal/ kg h2)],MATCH(LEFT(D177,3),WaterUseH2[Key],0)),0)</f>
        <v>0</v>
      </c>
      <c r="S177" s="15">
        <f t="shared" si="12"/>
        <v>0</v>
      </c>
    </row>
    <row r="178" spans="1:19" x14ac:dyDescent="0.35">
      <c r="A178" t="s">
        <v>76</v>
      </c>
      <c r="B178">
        <v>2032</v>
      </c>
      <c r="C178" t="s">
        <v>41</v>
      </c>
      <c r="D178" t="s">
        <v>83</v>
      </c>
      <c r="E178" s="12">
        <f>SUMIFS(Electricity!$R:$R,Electricity!$P:$P,$B178,Electricity!$O:$O,$D178,Electricity!$M:$M,$A178)</f>
        <v>890.03</v>
      </c>
      <c r="F178" t="s">
        <v>81</v>
      </c>
      <c r="G178" s="31">
        <f>H178/Assumptions!$B$23/1000000000000</f>
        <v>7.5693888941795445E-3</v>
      </c>
      <c r="H178" s="13">
        <f>IF(C178="Electricity",E178*SUMIFS(Electricity!S:S,Electricity!P:P,Predev_Scenarios!B178,Electricity!M:M,Predev_Scenarios!A178,Electricity!O:O,Predev_Scenarios!D178),"")</f>
        <v>2102711.6618172503</v>
      </c>
      <c r="I178" s="59">
        <f>SUMIFS(Electricity!U:U,Electricity!$M:$M,Predev_Scenarios!$A178,Electricity!$P:$P,Predev_Scenarios!$B178,Electricity!$O:$O,Predev_Scenarios!$D178)*-1</f>
        <v>0.11446291259999997</v>
      </c>
      <c r="J178" s="59">
        <f>SUMIFS(Electricity!V:V,Electricity!$M:$M,Predev_Scenarios!$A178,Electricity!$P:$P,Predev_Scenarios!$B178,Electricity!$O:$O,Predev_Scenarios!$D178)*-1</f>
        <v>9.5945760950000042E-2</v>
      </c>
      <c r="K178" s="59">
        <f>SUMIFS(Electricity!W:W,Electricity!$M:$M,Predev_Scenarios!$A178,Electricity!$P:$P,Predev_Scenarios!$B178,Electricity!$O:$O,Predev_Scenarios!$D178)*-1</f>
        <v>0.13298006325000006</v>
      </c>
      <c r="L178" s="63">
        <f t="shared" si="9"/>
        <v>-2.4068250116958862E-7</v>
      </c>
      <c r="M178" s="63">
        <f t="shared" si="10"/>
        <v>-2.0174627045149525E-7</v>
      </c>
      <c r="N178" s="63">
        <f t="shared" si="11"/>
        <v>-2.7961872978497069E-7</v>
      </c>
      <c r="O178" s="30">
        <f>IF(OR(LEFT($D178,5)="Solar",$D178="Wind"),INDEX(Land_Use[AVG],MATCH(LEFT($D178,5),Land_Use[Tech],0)),0)*$E178</f>
        <v>2225.0749999999998</v>
      </c>
      <c r="P178" s="30">
        <f>IF(OR(LEFT($D178,5)="Solar",$D178="Wind"),INDEX(Land_Use[MIN],MATCH(LEFT($D178,5),Land_Use[Tech],0)),0)*$E178</f>
        <v>712.024</v>
      </c>
      <c r="Q178" s="30">
        <f>IF(OR(LEFT($D178,5)="Solar",$D178="Wind"),INDEX(Land_Use[MAX],MATCH(LEFT($D178,5),Land_Use[Tech],0)),0)*$E178</f>
        <v>3738.1260000000002</v>
      </c>
      <c r="R178" s="31">
        <f>IFERROR(INDEX(WaterUseH2[Average Direct Water Consumption (Gal/ kg h2)],MATCH(LEFT(D178,3),WaterUseH2[Key],0)),0)</f>
        <v>0</v>
      </c>
      <c r="S178" s="15">
        <f t="shared" si="12"/>
        <v>0</v>
      </c>
    </row>
    <row r="179" spans="1:19" x14ac:dyDescent="0.35">
      <c r="A179" t="s">
        <v>76</v>
      </c>
      <c r="B179">
        <v>2033</v>
      </c>
      <c r="C179" t="s">
        <v>41</v>
      </c>
      <c r="D179" t="s">
        <v>83</v>
      </c>
      <c r="E179" s="12">
        <f>SUMIFS(Electricity!$R:$R,Electricity!$P:$P,$B179,Electricity!$O:$O,$D179,Electricity!$M:$M,$A179)</f>
        <v>1002.98</v>
      </c>
      <c r="F179" t="s">
        <v>81</v>
      </c>
      <c r="G179" s="31">
        <f>H179/Assumptions!$B$23/1000000000000</f>
        <v>8.4576274373586169E-3</v>
      </c>
      <c r="H179" s="13">
        <f>IF(C179="Electricity",E179*SUMIFS(Electricity!S:S,Electricity!P:P,Predev_Scenarios!B179,Electricity!M:M,Predev_Scenarios!A179,Electricity!O:O,Predev_Scenarios!D179),"")</f>
        <v>2349456.751721981</v>
      </c>
      <c r="I179" s="59">
        <f>SUMIFS(Electricity!U:U,Electricity!$M:$M,Predev_Scenarios!$A179,Electricity!$P:$P,Predev_Scenarios!$B179,Electricity!$O:$O,Predev_Scenarios!$D179)*-1</f>
        <v>0.11023898839999996</v>
      </c>
      <c r="J179" s="59">
        <f>SUMIFS(Electricity!V:V,Electricity!$M:$M,Predev_Scenarios!$A179,Electricity!$P:$P,Predev_Scenarios!$B179,Electricity!$O:$O,Predev_Scenarios!$D179)*-1</f>
        <v>9.078799380000005E-2</v>
      </c>
      <c r="K179" s="59">
        <f>SUMIFS(Electricity!W:W,Electricity!$M:$M,Predev_Scenarios!$A179,Electricity!$P:$P,Predev_Scenarios!$B179,Electricity!$O:$O,Predev_Scenarios!$D179)*-1</f>
        <v>0.12968998200000006</v>
      </c>
      <c r="L179" s="63">
        <f t="shared" si="9"/>
        <v>-2.5900173559938102E-7</v>
      </c>
      <c r="M179" s="63">
        <f t="shared" si="10"/>
        <v>-2.1330246500870345E-7</v>
      </c>
      <c r="N179" s="63">
        <f t="shared" si="11"/>
        <v>-3.0470100384060233E-7</v>
      </c>
      <c r="O179" s="30">
        <f>IF(OR(LEFT($D179,5)="Solar",$D179="Wind"),INDEX(Land_Use[AVG],MATCH(LEFT($D179,5),Land_Use[Tech],0)),0)*$E179</f>
        <v>2507.4499999999998</v>
      </c>
      <c r="P179" s="30">
        <f>IF(OR(LEFT($D179,5)="Solar",$D179="Wind"),INDEX(Land_Use[MIN],MATCH(LEFT($D179,5),Land_Use[Tech],0)),0)*$E179</f>
        <v>802.38400000000001</v>
      </c>
      <c r="Q179" s="30">
        <f>IF(OR(LEFT($D179,5)="Solar",$D179="Wind"),INDEX(Land_Use[MAX],MATCH(LEFT($D179,5),Land_Use[Tech],0)),0)*$E179</f>
        <v>4212.5160000000005</v>
      </c>
      <c r="R179" s="31">
        <f>IFERROR(INDEX(WaterUseH2[Average Direct Water Consumption (Gal/ kg h2)],MATCH(LEFT(D179,3),WaterUseH2[Key],0)),0)</f>
        <v>0</v>
      </c>
      <c r="S179" s="15">
        <f t="shared" si="12"/>
        <v>0</v>
      </c>
    </row>
    <row r="180" spans="1:19" x14ac:dyDescent="0.35">
      <c r="A180" t="s">
        <v>76</v>
      </c>
      <c r="B180">
        <v>2034</v>
      </c>
      <c r="C180" t="s">
        <v>41</v>
      </c>
      <c r="D180" t="s">
        <v>83</v>
      </c>
      <c r="E180" s="12">
        <f>SUMIFS(Electricity!$R:$R,Electricity!$P:$P,$B180,Electricity!$O:$O,$D180,Electricity!$M:$M,$A180)</f>
        <v>1115.93</v>
      </c>
      <c r="F180" t="s">
        <v>81</v>
      </c>
      <c r="G180" s="31">
        <f>H180/Assumptions!$B$23/1000000000000</f>
        <v>9.3295681817878468E-3</v>
      </c>
      <c r="H180" s="13">
        <f>IF(C180="Electricity",E180*SUMIFS(Electricity!S:S,Electricity!P:P,Predev_Scenarios!B180,Electricity!M:M,Predev_Scenarios!A180,Electricity!O:O,Predev_Scenarios!D180),"")</f>
        <v>2591674.4521673596</v>
      </c>
      <c r="I180" s="59">
        <f>SUMIFS(Electricity!U:U,Electricity!$M:$M,Predev_Scenarios!$A180,Electricity!$P:$P,Predev_Scenarios!$B180,Electricity!$O:$O,Predev_Scenarios!$D180)*-1</f>
        <v>0.10601506419999995</v>
      </c>
      <c r="J180" s="59">
        <f>SUMIFS(Electricity!V:V,Electricity!$M:$M,Predev_Scenarios!$A180,Electricity!$P:$P,Predev_Scenarios!$B180,Electricity!$O:$O,Predev_Scenarios!$D180)*-1</f>
        <v>8.5630226650000058E-2</v>
      </c>
      <c r="K180" s="59">
        <f>SUMIFS(Electricity!W:W,Electricity!$M:$M,Predev_Scenarios!$A180,Electricity!$P:$P,Predev_Scenarios!$B180,Electricity!$O:$O,Predev_Scenarios!$D180)*-1</f>
        <v>0.12639990075000007</v>
      </c>
      <c r="L180" s="63">
        <f t="shared" si="9"/>
        <v>-2.747565334320223E-7</v>
      </c>
      <c r="M180" s="63">
        <f t="shared" si="10"/>
        <v>-2.2192567074210573E-7</v>
      </c>
      <c r="N180" s="63">
        <f t="shared" si="11"/>
        <v>-3.2758739353026502E-7</v>
      </c>
      <c r="O180" s="30">
        <f>IF(OR(LEFT($D180,5)="Solar",$D180="Wind"),INDEX(Land_Use[AVG],MATCH(LEFT($D180,5),Land_Use[Tech],0)),0)*$E180</f>
        <v>2789.8250000000003</v>
      </c>
      <c r="P180" s="30">
        <f>IF(OR(LEFT($D180,5)="Solar",$D180="Wind"),INDEX(Land_Use[MIN],MATCH(LEFT($D180,5),Land_Use[Tech],0)),0)*$E180</f>
        <v>892.74400000000014</v>
      </c>
      <c r="Q180" s="30">
        <f>IF(OR(LEFT($D180,5)="Solar",$D180="Wind"),INDEX(Land_Use[MAX],MATCH(LEFT($D180,5),Land_Use[Tech],0)),0)*$E180</f>
        <v>4686.9060000000009</v>
      </c>
      <c r="R180" s="31">
        <f>IFERROR(INDEX(WaterUseH2[Average Direct Water Consumption (Gal/ kg h2)],MATCH(LEFT(D180,3),WaterUseH2[Key],0)),0)</f>
        <v>0</v>
      </c>
      <c r="S180" s="15">
        <f t="shared" si="12"/>
        <v>0</v>
      </c>
    </row>
    <row r="181" spans="1:19" x14ac:dyDescent="0.35">
      <c r="A181" t="s">
        <v>76</v>
      </c>
      <c r="B181">
        <v>2035</v>
      </c>
      <c r="C181" t="s">
        <v>41</v>
      </c>
      <c r="D181" t="s">
        <v>83</v>
      </c>
      <c r="E181" s="12">
        <f>SUMIFS(Electricity!$R:$R,Electricity!$P:$P,$B181,Electricity!$O:$O,$D181,Electricity!$M:$M,$A181)</f>
        <v>1228.8800000000001</v>
      </c>
      <c r="F181" t="s">
        <v>81</v>
      </c>
      <c r="G181" s="31">
        <f>H181/Assumptions!$B$23/1000000000000</f>
        <v>1.0185211127467234E-2</v>
      </c>
      <c r="H181" s="13">
        <f>IF(C181="Electricity",E181*SUMIFS(Electricity!S:S,Electricity!P:P,Predev_Scenarios!B181,Electricity!M:M,Predev_Scenarios!A181,Electricity!O:O,Predev_Scenarios!D181),"")</f>
        <v>2829364.7631533858</v>
      </c>
      <c r="I181" s="59">
        <f>SUMIFS(Electricity!U:U,Electricity!$M:$M,Predev_Scenarios!$A181,Electricity!$P:$P,Predev_Scenarios!$B181,Electricity!$O:$O,Predev_Scenarios!$D181)*-1</f>
        <v>0.10179113999999995</v>
      </c>
      <c r="J181" s="59">
        <f>SUMIFS(Electricity!V:V,Electricity!$M:$M,Predev_Scenarios!$A181,Electricity!$P:$P,Predev_Scenarios!$B181,Electricity!$O:$O,Predev_Scenarios!$D181)*-1</f>
        <v>8.0472459500000065E-2</v>
      </c>
      <c r="K181" s="59">
        <f>SUMIFS(Electricity!W:W,Electricity!$M:$M,Predev_Scenarios!$A181,Electricity!$P:$P,Predev_Scenarios!$B181,Electricity!$O:$O,Predev_Scenarios!$D181)*-1</f>
        <v>0.12310981950000006</v>
      </c>
      <c r="L181" s="63">
        <f t="shared" si="9"/>
        <v>-2.8800426471721302E-7</v>
      </c>
      <c r="M181" s="63">
        <f t="shared" si="10"/>
        <v>-2.2768594131358813E-7</v>
      </c>
      <c r="N181" s="63">
        <f t="shared" si="11"/>
        <v>-3.4832258529147377E-7</v>
      </c>
      <c r="O181" s="30">
        <f>IF(OR(LEFT($D181,5)="Solar",$D181="Wind"),INDEX(Land_Use[AVG],MATCH(LEFT($D181,5),Land_Use[Tech],0)),0)*$E181</f>
        <v>3072.2000000000003</v>
      </c>
      <c r="P181" s="30">
        <f>IF(OR(LEFT($D181,5)="Solar",$D181="Wind"),INDEX(Land_Use[MIN],MATCH(LEFT($D181,5),Land_Use[Tech],0)),0)*$E181</f>
        <v>983.10400000000016</v>
      </c>
      <c r="Q181" s="30">
        <f>IF(OR(LEFT($D181,5)="Solar",$D181="Wind"),INDEX(Land_Use[MAX],MATCH(LEFT($D181,5),Land_Use[Tech],0)),0)*$E181</f>
        <v>5161.2960000000003</v>
      </c>
      <c r="R181" s="31">
        <f>IFERROR(INDEX(WaterUseH2[Average Direct Water Consumption (Gal/ kg h2)],MATCH(LEFT(D181,3),WaterUseH2[Key],0)),0)</f>
        <v>0</v>
      </c>
      <c r="S181" s="15">
        <f t="shared" si="12"/>
        <v>0</v>
      </c>
    </row>
    <row r="182" spans="1:19" x14ac:dyDescent="0.35">
      <c r="A182" t="s">
        <v>76</v>
      </c>
      <c r="B182">
        <v>2036</v>
      </c>
      <c r="C182" t="s">
        <v>41</v>
      </c>
      <c r="D182" t="s">
        <v>83</v>
      </c>
      <c r="E182" s="12">
        <f>SUMIFS(Electricity!$R:$R,Electricity!$P:$P,$B182,Electricity!$O:$O,$D182,Electricity!$M:$M,$A182)</f>
        <v>1228.8800000000001</v>
      </c>
      <c r="F182" t="s">
        <v>81</v>
      </c>
      <c r="G182" s="31">
        <f>H182/Assumptions!$B$23/1000000000000</f>
        <v>1.0096552256605317E-2</v>
      </c>
      <c r="H182" s="13">
        <f>IF(C182="Electricity",E182*SUMIFS(Electricity!S:S,Electricity!P:P,Predev_Scenarios!B182,Electricity!M:M,Predev_Scenarios!A182,Electricity!O:O,Predev_Scenarios!D182),"")</f>
        <v>2804736.0851595448</v>
      </c>
      <c r="I182" s="59">
        <f>SUMIFS(Electricity!U:U,Electricity!$M:$M,Predev_Scenarios!$A182,Electricity!$P:$P,Predev_Scenarios!$B182,Electricity!$O:$O,Predev_Scenarios!$D182)*-1</f>
        <v>9.756721579999994E-2</v>
      </c>
      <c r="J182" s="59">
        <f>SUMIFS(Electricity!V:V,Electricity!$M:$M,Predev_Scenarios!$A182,Electricity!$P:$P,Predev_Scenarios!$B182,Electricity!$O:$O,Predev_Scenarios!$D182)*-1</f>
        <v>7.5314692350000073E-2</v>
      </c>
      <c r="K182" s="59">
        <f>SUMIFS(Electricity!W:W,Electricity!$M:$M,Predev_Scenarios!$A182,Electricity!$P:$P,Predev_Scenarios!$B182,Electricity!$O:$O,Predev_Scenarios!$D182)*-1</f>
        <v>0.11981973825000006</v>
      </c>
      <c r="L182" s="63">
        <f t="shared" si="9"/>
        <v>-2.7365029088280835E-7</v>
      </c>
      <c r="M182" s="63">
        <f t="shared" si="10"/>
        <v>-2.1123783537673472E-7</v>
      </c>
      <c r="N182" s="63">
        <f t="shared" si="11"/>
        <v>-3.3606274358414654E-7</v>
      </c>
      <c r="O182" s="30">
        <f>IF(OR(LEFT($D182,5)="Solar",$D182="Wind"),INDEX(Land_Use[AVG],MATCH(LEFT($D182,5),Land_Use[Tech],0)),0)*$E182</f>
        <v>3072.2000000000003</v>
      </c>
      <c r="P182" s="30">
        <f>IF(OR(LEFT($D182,5)="Solar",$D182="Wind"),INDEX(Land_Use[MIN],MATCH(LEFT($D182,5),Land_Use[Tech],0)),0)*$E182</f>
        <v>983.10400000000016</v>
      </c>
      <c r="Q182" s="30">
        <f>IF(OR(LEFT($D182,5)="Solar",$D182="Wind"),INDEX(Land_Use[MAX],MATCH(LEFT($D182,5),Land_Use[Tech],0)),0)*$E182</f>
        <v>5161.2960000000003</v>
      </c>
      <c r="R182" s="31">
        <f>IFERROR(INDEX(WaterUseH2[Average Direct Water Consumption (Gal/ kg h2)],MATCH(LEFT(D182,3),WaterUseH2[Key],0)),0)</f>
        <v>0</v>
      </c>
      <c r="S182" s="15">
        <f t="shared" si="12"/>
        <v>0</v>
      </c>
    </row>
    <row r="183" spans="1:19" x14ac:dyDescent="0.35">
      <c r="A183" t="s">
        <v>76</v>
      </c>
      <c r="B183">
        <v>2037</v>
      </c>
      <c r="C183" t="s">
        <v>41</v>
      </c>
      <c r="D183" t="s">
        <v>83</v>
      </c>
      <c r="E183" s="12">
        <f>SUMIFS(Electricity!$R:$R,Electricity!$P:$P,$B183,Electricity!$O:$O,$D183,Electricity!$M:$M,$A183)</f>
        <v>1228.8800000000001</v>
      </c>
      <c r="F183" t="s">
        <v>81</v>
      </c>
      <c r="G183" s="31">
        <f>H183/Assumptions!$B$23/1000000000000</f>
        <v>1.0007893385743396E-2</v>
      </c>
      <c r="H183" s="13">
        <f>IF(C183="Electricity",E183*SUMIFS(Electricity!S:S,Electricity!P:P,Predev_Scenarios!B183,Electricity!M:M,Predev_Scenarios!A183,Electricity!O:O,Predev_Scenarios!D183),"")</f>
        <v>2780107.4071657038</v>
      </c>
      <c r="I183" s="59">
        <f>SUMIFS(Electricity!U:U,Electricity!$M:$M,Predev_Scenarios!$A183,Electricity!$P:$P,Predev_Scenarios!$B183,Electricity!$O:$O,Predev_Scenarios!$D183)*-1</f>
        <v>9.3343291599999934E-2</v>
      </c>
      <c r="J183" s="59">
        <f>SUMIFS(Electricity!V:V,Electricity!$M:$M,Predev_Scenarios!$A183,Electricity!$P:$P,Predev_Scenarios!$B183,Electricity!$O:$O,Predev_Scenarios!$D183)*-1</f>
        <v>7.0156925200000081E-2</v>
      </c>
      <c r="K183" s="59">
        <f>SUMIFS(Electricity!W:W,Electricity!$M:$M,Predev_Scenarios!$A183,Electricity!$P:$P,Predev_Scenarios!$B183,Electricity!$O:$O,Predev_Scenarios!$D183)*-1</f>
        <v>0.11652965700000005</v>
      </c>
      <c r="L183" s="63">
        <f t="shared" si="9"/>
        <v>-2.5950437638638806E-7</v>
      </c>
      <c r="M183" s="63">
        <f t="shared" si="10"/>
        <v>-1.9504378741249046E-7</v>
      </c>
      <c r="N183" s="63">
        <f t="shared" si="11"/>
        <v>-3.2396496258017897E-7</v>
      </c>
      <c r="O183" s="30">
        <f>IF(OR(LEFT($D183,5)="Solar",$D183="Wind"),INDEX(Land_Use[AVG],MATCH(LEFT($D183,5),Land_Use[Tech],0)),0)*$E183</f>
        <v>3072.2000000000003</v>
      </c>
      <c r="P183" s="30">
        <f>IF(OR(LEFT($D183,5)="Solar",$D183="Wind"),INDEX(Land_Use[MIN],MATCH(LEFT($D183,5),Land_Use[Tech],0)),0)*$E183</f>
        <v>983.10400000000016</v>
      </c>
      <c r="Q183" s="30">
        <f>IF(OR(LEFT($D183,5)="Solar",$D183="Wind"),INDEX(Land_Use[MAX],MATCH(LEFT($D183,5),Land_Use[Tech],0)),0)*$E183</f>
        <v>5161.2960000000003</v>
      </c>
      <c r="R183" s="31">
        <f>IFERROR(INDEX(WaterUseH2[Average Direct Water Consumption (Gal/ kg h2)],MATCH(LEFT(D183,3),WaterUseH2[Key],0)),0)</f>
        <v>0</v>
      </c>
      <c r="S183" s="15">
        <f t="shared" si="12"/>
        <v>0</v>
      </c>
    </row>
    <row r="184" spans="1:19" x14ac:dyDescent="0.35">
      <c r="A184" t="s">
        <v>76</v>
      </c>
      <c r="B184">
        <v>2038</v>
      </c>
      <c r="C184" t="s">
        <v>41</v>
      </c>
      <c r="D184" t="s">
        <v>83</v>
      </c>
      <c r="E184" s="12">
        <f>SUMIFS(Electricity!$R:$R,Electricity!$P:$P,$B184,Electricity!$O:$O,$D184,Electricity!$M:$M,$A184)</f>
        <v>1228.8800000000001</v>
      </c>
      <c r="F184" t="s">
        <v>81</v>
      </c>
      <c r="G184" s="31">
        <f>H184/Assumptions!$B$23/1000000000000</f>
        <v>9.9192345148814785E-3</v>
      </c>
      <c r="H184" s="13">
        <f>IF(C184="Electricity",E184*SUMIFS(Electricity!S:S,Electricity!P:P,Predev_Scenarios!B184,Electricity!M:M,Predev_Scenarios!A184,Electricity!O:O,Predev_Scenarios!D184),"")</f>
        <v>2755478.7291718628</v>
      </c>
      <c r="I184" s="59">
        <f>SUMIFS(Electricity!U:U,Electricity!$M:$M,Predev_Scenarios!$A184,Electricity!$P:$P,Predev_Scenarios!$B184,Electricity!$O:$O,Predev_Scenarios!$D184)*-1</f>
        <v>8.9119367399999927E-2</v>
      </c>
      <c r="J184" s="59">
        <f>SUMIFS(Electricity!V:V,Electricity!$M:$M,Predev_Scenarios!$A184,Electricity!$P:$P,Predev_Scenarios!$B184,Electricity!$O:$O,Predev_Scenarios!$D184)*-1</f>
        <v>6.4999158050000089E-2</v>
      </c>
      <c r="K184" s="59">
        <f>SUMIFS(Electricity!W:W,Electricity!$M:$M,Predev_Scenarios!$A184,Electricity!$P:$P,Predev_Scenarios!$B184,Electricity!$O:$O,Predev_Scenarios!$D184)*-1</f>
        <v>0.11323957575000004</v>
      </c>
      <c r="L184" s="63">
        <f t="shared" si="9"/>
        <v>-2.4556652122795216E-7</v>
      </c>
      <c r="M184" s="63">
        <f t="shared" si="10"/>
        <v>-1.791037974208553E-7</v>
      </c>
      <c r="N184" s="63">
        <f t="shared" si="11"/>
        <v>-3.1202924227957103E-7</v>
      </c>
      <c r="O184" s="30">
        <f>IF(OR(LEFT($D184,5)="Solar",$D184="Wind"),INDEX(Land_Use[AVG],MATCH(LEFT($D184,5),Land_Use[Tech],0)),0)*$E184</f>
        <v>3072.2000000000003</v>
      </c>
      <c r="P184" s="30">
        <f>IF(OR(LEFT($D184,5)="Solar",$D184="Wind"),INDEX(Land_Use[MIN],MATCH(LEFT($D184,5),Land_Use[Tech],0)),0)*$E184</f>
        <v>983.10400000000016</v>
      </c>
      <c r="Q184" s="30">
        <f>IF(OR(LEFT($D184,5)="Solar",$D184="Wind"),INDEX(Land_Use[MAX],MATCH(LEFT($D184,5),Land_Use[Tech],0)),0)*$E184</f>
        <v>5161.2960000000003</v>
      </c>
      <c r="R184" s="31">
        <f>IFERROR(INDEX(WaterUseH2[Average Direct Water Consumption (Gal/ kg h2)],MATCH(LEFT(D184,3),WaterUseH2[Key],0)),0)</f>
        <v>0</v>
      </c>
      <c r="S184" s="15">
        <f t="shared" si="12"/>
        <v>0</v>
      </c>
    </row>
    <row r="185" spans="1:19" x14ac:dyDescent="0.35">
      <c r="A185" t="s">
        <v>76</v>
      </c>
      <c r="B185">
        <v>2039</v>
      </c>
      <c r="C185" t="s">
        <v>41</v>
      </c>
      <c r="D185" t="s">
        <v>83</v>
      </c>
      <c r="E185" s="12">
        <f>SUMIFS(Electricity!$R:$R,Electricity!$P:$P,$B185,Electricity!$O:$O,$D185,Electricity!$M:$M,$A185)</f>
        <v>1228.8800000000001</v>
      </c>
      <c r="F185" t="s">
        <v>81</v>
      </c>
      <c r="G185" s="31">
        <f>H185/Assumptions!$B$23/1000000000000</f>
        <v>9.830575644019561E-3</v>
      </c>
      <c r="H185" s="13">
        <f>IF(C185="Electricity",E185*SUMIFS(Electricity!S:S,Electricity!P:P,Predev_Scenarios!B185,Electricity!M:M,Predev_Scenarios!A185,Electricity!O:O,Predev_Scenarios!D185),"")</f>
        <v>2730850.0511780218</v>
      </c>
      <c r="I185" s="59">
        <f>SUMIFS(Electricity!U:U,Electricity!$M:$M,Predev_Scenarios!$A185,Electricity!$P:$P,Predev_Scenarios!$B185,Electricity!$O:$O,Predev_Scenarios!$D185)*-1</f>
        <v>8.489544319999992E-2</v>
      </c>
      <c r="J185" s="59">
        <f>SUMIFS(Electricity!V:V,Electricity!$M:$M,Predev_Scenarios!$A185,Electricity!$P:$P,Predev_Scenarios!$B185,Electricity!$O:$O,Predev_Scenarios!$D185)*-1</f>
        <v>5.984139090000009E-2</v>
      </c>
      <c r="K185" s="59">
        <f>SUMIFS(Electricity!W:W,Electricity!$M:$M,Predev_Scenarios!$A185,Electricity!$P:$P,Predev_Scenarios!$B185,Electricity!$O:$O,Predev_Scenarios!$D185)*-1</f>
        <v>0.10994949450000004</v>
      </c>
      <c r="L185" s="63">
        <f t="shared" si="9"/>
        <v>-2.3183672540750064E-7</v>
      </c>
      <c r="M185" s="63">
        <f t="shared" si="10"/>
        <v>-1.6341786540182926E-7</v>
      </c>
      <c r="N185" s="63">
        <f t="shared" si="11"/>
        <v>-3.0025558268232276E-7</v>
      </c>
      <c r="O185" s="30">
        <f>IF(OR(LEFT($D185,5)="Solar",$D185="Wind"),INDEX(Land_Use[AVG],MATCH(LEFT($D185,5),Land_Use[Tech],0)),0)*$E185</f>
        <v>3072.2000000000003</v>
      </c>
      <c r="P185" s="30">
        <f>IF(OR(LEFT($D185,5)="Solar",$D185="Wind"),INDEX(Land_Use[MIN],MATCH(LEFT($D185,5),Land_Use[Tech],0)),0)*$E185</f>
        <v>983.10400000000016</v>
      </c>
      <c r="Q185" s="30">
        <f>IF(OR(LEFT($D185,5)="Solar",$D185="Wind"),INDEX(Land_Use[MAX],MATCH(LEFT($D185,5),Land_Use[Tech],0)),0)*$E185</f>
        <v>5161.2960000000003</v>
      </c>
      <c r="R185" s="31">
        <f>IFERROR(INDEX(WaterUseH2[Average Direct Water Consumption (Gal/ kg h2)],MATCH(LEFT(D185,3),WaterUseH2[Key],0)),0)</f>
        <v>0</v>
      </c>
      <c r="S185" s="15">
        <f t="shared" si="12"/>
        <v>0</v>
      </c>
    </row>
    <row r="186" spans="1:19" x14ac:dyDescent="0.35">
      <c r="A186" t="s">
        <v>76</v>
      </c>
      <c r="B186">
        <v>2040</v>
      </c>
      <c r="C186" t="s">
        <v>41</v>
      </c>
      <c r="D186" t="s">
        <v>83</v>
      </c>
      <c r="E186" s="12">
        <f>SUMIFS(Electricity!$R:$R,Electricity!$P:$P,$B186,Electricity!$O:$O,$D186,Electricity!$M:$M,$A186)</f>
        <v>1228.8800000000001</v>
      </c>
      <c r="F186" t="s">
        <v>81</v>
      </c>
      <c r="G186" s="31">
        <f>H186/Assumptions!$B$23/1000000000000</f>
        <v>9.7419167731576436E-3</v>
      </c>
      <c r="H186" s="13">
        <f>IF(C186="Electricity",E186*SUMIFS(Electricity!S:S,Electricity!P:P,Predev_Scenarios!B186,Electricity!M:M,Predev_Scenarios!A186,Electricity!O:O,Predev_Scenarios!D186),"")</f>
        <v>2706221.3731841808</v>
      </c>
      <c r="I186" s="59">
        <f>SUMIFS(Electricity!U:U,Electricity!$M:$M,Predev_Scenarios!$A186,Electricity!$P:$P,Predev_Scenarios!$B186,Electricity!$O:$O,Predev_Scenarios!$D186)*-1</f>
        <v>8.0671518999999914E-2</v>
      </c>
      <c r="J186" s="59">
        <f>SUMIFS(Electricity!V:V,Electricity!$M:$M,Predev_Scenarios!$A186,Electricity!$P:$P,Predev_Scenarios!$B186,Electricity!$O:$O,Predev_Scenarios!$D186)*-1</f>
        <v>5.468362375000009E-2</v>
      </c>
      <c r="K186" s="59">
        <f>SUMIFS(Electricity!W:W,Electricity!$M:$M,Predev_Scenarios!$A186,Electricity!$P:$P,Predev_Scenarios!$B186,Electricity!$O:$O,Predev_Scenarios!$D186)*-1</f>
        <v>0.10665941325000003</v>
      </c>
      <c r="L186" s="63">
        <f t="shared" si="9"/>
        <v>-2.183149889250335E-7</v>
      </c>
      <c r="M186" s="63">
        <f t="shared" si="10"/>
        <v>-1.4798599135541233E-7</v>
      </c>
      <c r="N186" s="63">
        <f t="shared" si="11"/>
        <v>-2.8864398378843411E-7</v>
      </c>
      <c r="O186" s="30">
        <f>IF(OR(LEFT($D186,5)="Solar",$D186="Wind"),INDEX(Land_Use[AVG],MATCH(LEFT($D186,5),Land_Use[Tech],0)),0)*$E186</f>
        <v>3072.2000000000003</v>
      </c>
      <c r="P186" s="30">
        <f>IF(OR(LEFT($D186,5)="Solar",$D186="Wind"),INDEX(Land_Use[MIN],MATCH(LEFT($D186,5),Land_Use[Tech],0)),0)*$E186</f>
        <v>983.10400000000016</v>
      </c>
      <c r="Q186" s="30">
        <f>IF(OR(LEFT($D186,5)="Solar",$D186="Wind"),INDEX(Land_Use[MAX],MATCH(LEFT($D186,5),Land_Use[Tech],0)),0)*$E186</f>
        <v>5161.2960000000003</v>
      </c>
      <c r="R186" s="31">
        <f>IFERROR(INDEX(WaterUseH2[Average Direct Water Consumption (Gal/ kg h2)],MATCH(LEFT(D186,3),WaterUseH2[Key],0)),0)</f>
        <v>0</v>
      </c>
      <c r="S186" s="15">
        <f t="shared" si="12"/>
        <v>0</v>
      </c>
    </row>
    <row r="187" spans="1:19" x14ac:dyDescent="0.35">
      <c r="A187" t="s">
        <v>76</v>
      </c>
      <c r="B187">
        <v>2041</v>
      </c>
      <c r="C187" t="s">
        <v>41</v>
      </c>
      <c r="D187" t="s">
        <v>83</v>
      </c>
      <c r="E187" s="12">
        <f>SUMIFS(Electricity!$R:$R,Electricity!$P:$P,$B187,Electricity!$O:$O,$D187,Electricity!$M:$M,$A187)</f>
        <v>1228.8800000000001</v>
      </c>
      <c r="F187" t="s">
        <v>81</v>
      </c>
      <c r="G187" s="31">
        <f>H187/Assumptions!$B$23/1000000000000</f>
        <v>9.6532579022957261E-3</v>
      </c>
      <c r="H187" s="13">
        <f>IF(C187="Electricity",E187*SUMIFS(Electricity!S:S,Electricity!P:P,Predev_Scenarios!B187,Electricity!M:M,Predev_Scenarios!A187,Electricity!O:O,Predev_Scenarios!D187),"")</f>
        <v>2681592.6951903398</v>
      </c>
      <c r="I187" s="59">
        <f>SUMIFS(Electricity!U:U,Electricity!$M:$M,Predev_Scenarios!$A187,Electricity!$P:$P,Predev_Scenarios!$B187,Electricity!$O:$O,Predev_Scenarios!$D187)*-1</f>
        <v>7.6447594799999907E-2</v>
      </c>
      <c r="J187" s="59">
        <f>SUMIFS(Electricity!V:V,Electricity!$M:$M,Predev_Scenarios!$A187,Electricity!$P:$P,Predev_Scenarios!$B187,Electricity!$O:$O,Predev_Scenarios!$D187)*-1</f>
        <v>4.9525856600000091E-2</v>
      </c>
      <c r="K187" s="59">
        <f>SUMIFS(Electricity!W:W,Electricity!$M:$M,Predev_Scenarios!$A187,Electricity!$P:$P,Predev_Scenarios!$B187,Electricity!$O:$O,Predev_Scenarios!$D187)*-1</f>
        <v>0.10336933200000002</v>
      </c>
      <c r="L187" s="63">
        <f t="shared" si="9"/>
        <v>-2.0500131178055077E-7</v>
      </c>
      <c r="M187" s="63">
        <f t="shared" si="10"/>
        <v>-1.3280817528160453E-7</v>
      </c>
      <c r="N187" s="63">
        <f t="shared" si="11"/>
        <v>-2.7719444559790509E-7</v>
      </c>
      <c r="O187" s="30">
        <f>IF(OR(LEFT($D187,5)="Solar",$D187="Wind"),INDEX(Land_Use[AVG],MATCH(LEFT($D187,5),Land_Use[Tech],0)),0)*$E187</f>
        <v>3072.2000000000003</v>
      </c>
      <c r="P187" s="30">
        <f>IF(OR(LEFT($D187,5)="Solar",$D187="Wind"),INDEX(Land_Use[MIN],MATCH(LEFT($D187,5),Land_Use[Tech],0)),0)*$E187</f>
        <v>983.10400000000016</v>
      </c>
      <c r="Q187" s="30">
        <f>IF(OR(LEFT($D187,5)="Solar",$D187="Wind"),INDEX(Land_Use[MAX],MATCH(LEFT($D187,5),Land_Use[Tech],0)),0)*$E187</f>
        <v>5161.2960000000003</v>
      </c>
      <c r="R187" s="31">
        <f>IFERROR(INDEX(WaterUseH2[Average Direct Water Consumption (Gal/ kg h2)],MATCH(LEFT(D187,3),WaterUseH2[Key],0)),0)</f>
        <v>0</v>
      </c>
      <c r="S187" s="15">
        <f t="shared" si="12"/>
        <v>0</v>
      </c>
    </row>
    <row r="188" spans="1:19" x14ac:dyDescent="0.35">
      <c r="A188" t="s">
        <v>76</v>
      </c>
      <c r="B188">
        <v>2042</v>
      </c>
      <c r="C188" t="s">
        <v>41</v>
      </c>
      <c r="D188" t="s">
        <v>83</v>
      </c>
      <c r="E188" s="12">
        <f>SUMIFS(Electricity!$R:$R,Electricity!$P:$P,$B188,Electricity!$O:$O,$D188,Electricity!$M:$M,$A188)</f>
        <v>1228.8800000000001</v>
      </c>
      <c r="F188" t="s">
        <v>81</v>
      </c>
      <c r="G188" s="31">
        <f>H188/Assumptions!$B$23/1000000000000</f>
        <v>9.5645990314338087E-3</v>
      </c>
      <c r="H188" s="13">
        <f>IF(C188="Electricity",E188*SUMIFS(Electricity!S:S,Electricity!P:P,Predev_Scenarios!B188,Electricity!M:M,Predev_Scenarios!A188,Electricity!O:O,Predev_Scenarios!D188),"")</f>
        <v>2656964.0171964988</v>
      </c>
      <c r="I188" s="59">
        <f>SUMIFS(Electricity!U:U,Electricity!$M:$M,Predev_Scenarios!$A188,Electricity!$P:$P,Predev_Scenarios!$B188,Electricity!$O:$O,Predev_Scenarios!$D188)*-1</f>
        <v>7.2223670599999901E-2</v>
      </c>
      <c r="J188" s="59">
        <f>SUMIFS(Electricity!V:V,Electricity!$M:$M,Predev_Scenarios!$A188,Electricity!$P:$P,Predev_Scenarios!$B188,Electricity!$O:$O,Predev_Scenarios!$D188)*-1</f>
        <v>4.4368089450000092E-2</v>
      </c>
      <c r="K188" s="59">
        <f>SUMIFS(Electricity!W:W,Electricity!$M:$M,Predev_Scenarios!$A188,Electricity!$P:$P,Predev_Scenarios!$B188,Electricity!$O:$O,Predev_Scenarios!$D188)*-1</f>
        <v>0.10007925075000002</v>
      </c>
      <c r="L188" s="63">
        <f t="shared" si="9"/>
        <v>-1.918956939740524E-7</v>
      </c>
      <c r="M188" s="63">
        <f t="shared" si="10"/>
        <v>-1.1788441718040584E-7</v>
      </c>
      <c r="N188" s="63">
        <f t="shared" si="11"/>
        <v>-2.6590696811073578E-7</v>
      </c>
      <c r="O188" s="30">
        <f>IF(OR(LEFT($D188,5)="Solar",$D188="Wind"),INDEX(Land_Use[AVG],MATCH(LEFT($D188,5),Land_Use[Tech],0)),0)*$E188</f>
        <v>3072.2000000000003</v>
      </c>
      <c r="P188" s="30">
        <f>IF(OR(LEFT($D188,5)="Solar",$D188="Wind"),INDEX(Land_Use[MIN],MATCH(LEFT($D188,5),Land_Use[Tech],0)),0)*$E188</f>
        <v>983.10400000000016</v>
      </c>
      <c r="Q188" s="30">
        <f>IF(OR(LEFT($D188,5)="Solar",$D188="Wind"),INDEX(Land_Use[MAX],MATCH(LEFT($D188,5),Land_Use[Tech],0)),0)*$E188</f>
        <v>5161.2960000000003</v>
      </c>
      <c r="R188" s="31">
        <f>IFERROR(INDEX(WaterUseH2[Average Direct Water Consumption (Gal/ kg h2)],MATCH(LEFT(D188,3),WaterUseH2[Key],0)),0)</f>
        <v>0</v>
      </c>
      <c r="S188" s="15">
        <f t="shared" si="12"/>
        <v>0</v>
      </c>
    </row>
    <row r="189" spans="1:19" x14ac:dyDescent="0.35">
      <c r="A189" t="s">
        <v>76</v>
      </c>
      <c r="B189">
        <v>2043</v>
      </c>
      <c r="C189" t="s">
        <v>41</v>
      </c>
      <c r="D189" t="s">
        <v>83</v>
      </c>
      <c r="E189" s="12">
        <f>SUMIFS(Electricity!$R:$R,Electricity!$P:$P,$B189,Electricity!$O:$O,$D189,Electricity!$M:$M,$A189)</f>
        <v>1228.8800000000001</v>
      </c>
      <c r="F189" t="s">
        <v>81</v>
      </c>
      <c r="G189" s="31">
        <f>H189/Assumptions!$B$23/1000000000000</f>
        <v>9.4759401605718895E-3</v>
      </c>
      <c r="H189" s="13">
        <f>IF(C189="Electricity",E189*SUMIFS(Electricity!S:S,Electricity!P:P,Predev_Scenarios!B189,Electricity!M:M,Predev_Scenarios!A189,Electricity!O:O,Predev_Scenarios!D189),"")</f>
        <v>2632335.3392026578</v>
      </c>
      <c r="I189" s="59">
        <f>SUMIFS(Electricity!U:U,Electricity!$M:$M,Predev_Scenarios!$A189,Electricity!$P:$P,Predev_Scenarios!$B189,Electricity!$O:$O,Predev_Scenarios!$D189)*-1</f>
        <v>6.7999746399999894E-2</v>
      </c>
      <c r="J189" s="59">
        <f>SUMIFS(Electricity!V:V,Electricity!$M:$M,Predev_Scenarios!$A189,Electricity!$P:$P,Predev_Scenarios!$B189,Electricity!$O:$O,Predev_Scenarios!$D189)*-1</f>
        <v>3.9210322300000093E-2</v>
      </c>
      <c r="K189" s="59">
        <f>SUMIFS(Electricity!W:W,Electricity!$M:$M,Predev_Scenarios!$A189,Electricity!$P:$P,Predev_Scenarios!$B189,Electricity!$O:$O,Predev_Scenarios!$D189)*-1</f>
        <v>9.6789169500000008E-2</v>
      </c>
      <c r="L189" s="63">
        <f t="shared" si="9"/>
        <v>-1.7899813550553845E-7</v>
      </c>
      <c r="M189" s="63">
        <f t="shared" si="10"/>
        <v>-1.0321471705181628E-7</v>
      </c>
      <c r="N189" s="63">
        <f t="shared" si="11"/>
        <v>-2.5478155132692605E-7</v>
      </c>
      <c r="O189" s="30">
        <f>IF(OR(LEFT($D189,5)="Solar",$D189="Wind"),INDEX(Land_Use[AVG],MATCH(LEFT($D189,5),Land_Use[Tech],0)),0)*$E189</f>
        <v>3072.2000000000003</v>
      </c>
      <c r="P189" s="30">
        <f>IF(OR(LEFT($D189,5)="Solar",$D189="Wind"),INDEX(Land_Use[MIN],MATCH(LEFT($D189,5),Land_Use[Tech],0)),0)*$E189</f>
        <v>983.10400000000016</v>
      </c>
      <c r="Q189" s="30">
        <f>IF(OR(LEFT($D189,5)="Solar",$D189="Wind"),INDEX(Land_Use[MAX],MATCH(LEFT($D189,5),Land_Use[Tech],0)),0)*$E189</f>
        <v>5161.2960000000003</v>
      </c>
      <c r="R189" s="31">
        <f>IFERROR(INDEX(WaterUseH2[Average Direct Water Consumption (Gal/ kg h2)],MATCH(LEFT(D189,3),WaterUseH2[Key],0)),0)</f>
        <v>0</v>
      </c>
      <c r="S189" s="15">
        <f t="shared" si="12"/>
        <v>0</v>
      </c>
    </row>
    <row r="190" spans="1:19" x14ac:dyDescent="0.35">
      <c r="A190" t="s">
        <v>76</v>
      </c>
      <c r="B190">
        <v>2044</v>
      </c>
      <c r="C190" t="s">
        <v>41</v>
      </c>
      <c r="D190" t="s">
        <v>83</v>
      </c>
      <c r="E190" s="12">
        <f>SUMIFS(Electricity!$R:$R,Electricity!$P:$P,$B190,Electricity!$O:$O,$D190,Electricity!$M:$M,$A190)</f>
        <v>1228.8800000000001</v>
      </c>
      <c r="F190" t="s">
        <v>81</v>
      </c>
      <c r="G190" s="31">
        <f>H190/Assumptions!$B$23/1000000000000</f>
        <v>9.3872812897099721E-3</v>
      </c>
      <c r="H190" s="13">
        <f>IF(C190="Electricity",E190*SUMIFS(Electricity!S:S,Electricity!P:P,Predev_Scenarios!B190,Electricity!M:M,Predev_Scenarios!A190,Electricity!O:O,Predev_Scenarios!D190),"")</f>
        <v>2607706.6612088168</v>
      </c>
      <c r="I190" s="59">
        <f>SUMIFS(Electricity!U:U,Electricity!$M:$M,Predev_Scenarios!$A190,Electricity!$P:$P,Predev_Scenarios!$B190,Electricity!$O:$O,Predev_Scenarios!$D190)*-1</f>
        <v>6.3775822199999888E-2</v>
      </c>
      <c r="J190" s="59">
        <f>SUMIFS(Electricity!V:V,Electricity!$M:$M,Predev_Scenarios!$A190,Electricity!$P:$P,Predev_Scenarios!$B190,Electricity!$O:$O,Predev_Scenarios!$D190)*-1</f>
        <v>3.4052555150000094E-2</v>
      </c>
      <c r="K190" s="59">
        <f>SUMIFS(Electricity!W:W,Electricity!$M:$M,Predev_Scenarios!$A190,Electricity!$P:$P,Predev_Scenarios!$B190,Electricity!$O:$O,Predev_Scenarios!$D190)*-1</f>
        <v>9.3499088250000001E-2</v>
      </c>
      <c r="L190" s="63">
        <f t="shared" si="9"/>
        <v>-1.6630863637500884E-7</v>
      </c>
      <c r="M190" s="63">
        <f t="shared" si="10"/>
        <v>-8.8799074895835853E-8</v>
      </c>
      <c r="N190" s="63">
        <f t="shared" si="11"/>
        <v>-2.4381819524647604E-7</v>
      </c>
      <c r="O190" s="30">
        <f>IF(OR(LEFT($D190,5)="Solar",$D190="Wind"),INDEX(Land_Use[AVG],MATCH(LEFT($D190,5),Land_Use[Tech],0)),0)*$E190</f>
        <v>3072.2000000000003</v>
      </c>
      <c r="P190" s="30">
        <f>IF(OR(LEFT($D190,5)="Solar",$D190="Wind"),INDEX(Land_Use[MIN],MATCH(LEFT($D190,5),Land_Use[Tech],0)),0)*$E190</f>
        <v>983.10400000000016</v>
      </c>
      <c r="Q190" s="30">
        <f>IF(OR(LEFT($D190,5)="Solar",$D190="Wind"),INDEX(Land_Use[MAX],MATCH(LEFT($D190,5),Land_Use[Tech],0)),0)*$E190</f>
        <v>5161.2960000000003</v>
      </c>
      <c r="R190" s="31">
        <f>IFERROR(INDEX(WaterUseH2[Average Direct Water Consumption (Gal/ kg h2)],MATCH(LEFT(D190,3),WaterUseH2[Key],0)),0)</f>
        <v>0</v>
      </c>
      <c r="S190" s="15">
        <f t="shared" si="12"/>
        <v>0</v>
      </c>
    </row>
    <row r="191" spans="1:19" x14ac:dyDescent="0.35">
      <c r="A191" t="s">
        <v>76</v>
      </c>
      <c r="B191">
        <v>2045</v>
      </c>
      <c r="C191" t="s">
        <v>41</v>
      </c>
      <c r="D191" t="s">
        <v>83</v>
      </c>
      <c r="E191" s="12">
        <f>SUMIFS(Electricity!$R:$R,Electricity!$P:$P,$B191,Electricity!$O:$O,$D191,Electricity!$M:$M,$A191)</f>
        <v>1228.8800000000001</v>
      </c>
      <c r="F191" t="s">
        <v>81</v>
      </c>
      <c r="G191" s="31">
        <f>H191/Assumptions!$B$23/1000000000000</f>
        <v>9.2986224188480546E-3</v>
      </c>
      <c r="H191" s="13">
        <f>IF(C191="Electricity",E191*SUMIFS(Electricity!S:S,Electricity!P:P,Predev_Scenarios!B191,Electricity!M:M,Predev_Scenarios!A191,Electricity!O:O,Predev_Scenarios!D191),"")</f>
        <v>2583077.9832149758</v>
      </c>
      <c r="I191" s="59">
        <f>SUMIFS(Electricity!U:U,Electricity!$M:$M,Predev_Scenarios!$A191,Electricity!$P:$P,Predev_Scenarios!$B191,Electricity!$O:$O,Predev_Scenarios!$D191)*-1</f>
        <v>5.9551897999999888E-2</v>
      </c>
      <c r="J191" s="59">
        <f>SUMIFS(Electricity!V:V,Electricity!$M:$M,Predev_Scenarios!$A191,Electricity!$P:$P,Predev_Scenarios!$B191,Electricity!$O:$O,Predev_Scenarios!$D191)*-1</f>
        <v>2.8894788000000095E-2</v>
      </c>
      <c r="K191" s="59">
        <f>SUMIFS(Electricity!W:W,Electricity!$M:$M,Predev_Scenarios!$A191,Electricity!$P:$P,Predev_Scenarios!$B191,Electricity!$O:$O,Predev_Scenarios!$D191)*-1</f>
        <v>9.0209006999999994E-2</v>
      </c>
      <c r="L191" s="63">
        <f t="shared" si="9"/>
        <v>-1.5382719658246368E-7</v>
      </c>
      <c r="M191" s="63">
        <f t="shared" si="10"/>
        <v>-7.4637490712464531E-8</v>
      </c>
      <c r="N191" s="63">
        <f t="shared" si="11"/>
        <v>-2.3301689986938562E-7</v>
      </c>
      <c r="O191" s="30">
        <f>IF(OR(LEFT($D191,5)="Solar",$D191="Wind"),INDEX(Land_Use[AVG],MATCH(LEFT($D191,5),Land_Use[Tech],0)),0)*$E191</f>
        <v>3072.2000000000003</v>
      </c>
      <c r="P191" s="30">
        <f>IF(OR(LEFT($D191,5)="Solar",$D191="Wind"),INDEX(Land_Use[MIN],MATCH(LEFT($D191,5),Land_Use[Tech],0)),0)*$E191</f>
        <v>983.10400000000016</v>
      </c>
      <c r="Q191" s="30">
        <f>IF(OR(LEFT($D191,5)="Solar",$D191="Wind"),INDEX(Land_Use[MAX],MATCH(LEFT($D191,5),Land_Use[Tech],0)),0)*$E191</f>
        <v>5161.2960000000003</v>
      </c>
      <c r="R191" s="31">
        <f>IFERROR(INDEX(WaterUseH2[Average Direct Water Consumption (Gal/ kg h2)],MATCH(LEFT(D191,3),WaterUseH2[Key],0)),0)</f>
        <v>0</v>
      </c>
      <c r="S191" s="15">
        <f t="shared" si="12"/>
        <v>0</v>
      </c>
    </row>
    <row r="192" spans="1:19" x14ac:dyDescent="0.35">
      <c r="A192" t="s">
        <v>107</v>
      </c>
      <c r="B192">
        <v>2025</v>
      </c>
      <c r="C192" t="s">
        <v>41</v>
      </c>
      <c r="D192" t="s">
        <v>83</v>
      </c>
      <c r="E192" s="12">
        <f>SUMIFS(Electricity!$R:$R,Electricity!$P:$P,$B192,Electricity!$O:$O,$D192,Electricity!$M:$M,$A192)</f>
        <v>99.380000000000024</v>
      </c>
      <c r="F192" t="s">
        <v>81</v>
      </c>
      <c r="G192" s="31">
        <f>H192/Assumptions!$B$23/1000000000000</f>
        <v>8.9538072693043087E-4</v>
      </c>
      <c r="H192" s="13">
        <f>IF(C192="Electricity",E192*SUMIFS(Electricity!S:S,Electricity!P:P,Predev_Scenarios!B192,Electricity!M:M,Predev_Scenarios!A192,Electricity!O:O,Predev_Scenarios!D192),"")</f>
        <v>248729.1276222762</v>
      </c>
      <c r="I192" s="59">
        <f>SUMIFS(Electricity!U:U,Electricity!$M:$M,Predev_Scenarios!$A192,Electricity!$P:$P,Predev_Scenarios!$B192,Electricity!$O:$O,Predev_Scenarios!$D192)*-1</f>
        <v>0.14403038200000001</v>
      </c>
      <c r="J192" s="59">
        <f>SUMIFS(Electricity!V:V,Electricity!$M:$M,Predev_Scenarios!$A192,Electricity!$P:$P,Predev_Scenarios!$B192,Electricity!$O:$O,Predev_Scenarios!$D192)*-1</f>
        <v>0.13205013099999999</v>
      </c>
      <c r="K192" s="59">
        <f>SUMIFS(Electricity!W:W,Electricity!$M:$M,Predev_Scenarios!$A192,Electricity!$P:$P,Predev_Scenarios!$B192,Electricity!$O:$O,Predev_Scenarios!$D192)*-1</f>
        <v>0.15601063200000001</v>
      </c>
      <c r="L192" s="63">
        <f t="shared" si="9"/>
        <v>-3.5824551265963194E-8</v>
      </c>
      <c r="M192" s="63">
        <f t="shared" si="10"/>
        <v>-3.2844713886037284E-8</v>
      </c>
      <c r="N192" s="63">
        <f t="shared" si="11"/>
        <v>-3.8804388397159964E-8</v>
      </c>
      <c r="O192" s="30">
        <f>IF(OR(LEFT($D192,5)="Solar",$D192="Wind"),INDEX(Land_Use[AVG],MATCH(LEFT($D192,5),Land_Use[Tech],0)),0)*$E192</f>
        <v>248.45000000000005</v>
      </c>
      <c r="P192" s="30">
        <f>IF(OR(LEFT($D192,5)="Solar",$D192="Wind"),INDEX(Land_Use[MIN],MATCH(LEFT($D192,5),Land_Use[Tech],0)),0)*$E192</f>
        <v>79.504000000000019</v>
      </c>
      <c r="Q192" s="30">
        <f>IF(OR(LEFT($D192,5)="Solar",$D192="Wind"),INDEX(Land_Use[MAX],MATCH(LEFT($D192,5),Land_Use[Tech],0)),0)*$E192</f>
        <v>417.39600000000013</v>
      </c>
      <c r="R192" s="31">
        <f>IFERROR(INDEX(WaterUseH2[Average Direct Water Consumption (Gal/ kg h2)],MATCH(LEFT(D192,3),WaterUseH2[Key],0)),0)</f>
        <v>0</v>
      </c>
      <c r="S192" s="15">
        <f t="shared" si="12"/>
        <v>0</v>
      </c>
    </row>
    <row r="193" spans="1:19" x14ac:dyDescent="0.35">
      <c r="A193" t="s">
        <v>107</v>
      </c>
      <c r="B193">
        <v>2026</v>
      </c>
      <c r="C193" t="s">
        <v>41</v>
      </c>
      <c r="D193" t="s">
        <v>83</v>
      </c>
      <c r="E193" s="12">
        <f>SUMIFS(Electricity!$R:$R,Electricity!$P:$P,$B193,Electricity!$O:$O,$D193,Electricity!$M:$M,$A193)</f>
        <v>212.33</v>
      </c>
      <c r="F193" t="s">
        <v>81</v>
      </c>
      <c r="G193" s="31">
        <f>H193/Assumptions!$B$23/1000000000000</f>
        <v>1.8977038613584051E-3</v>
      </c>
      <c r="H193" s="13">
        <f>IF(C193="Electricity",E193*SUMIFS(Electricity!S:S,Electricity!P:P,Predev_Scenarios!B193,Electricity!M:M,Predev_Scenarios!A193,Electricity!O:O,Predev_Scenarios!D193),"")</f>
        <v>527165.94374247186</v>
      </c>
      <c r="I193" s="59">
        <f>SUMIFS(Electricity!U:U,Electricity!$M:$M,Predev_Scenarios!$A193,Electricity!$P:$P,Predev_Scenarios!$B193,Electricity!$O:$O,Predev_Scenarios!$D193)*-1</f>
        <v>0.13980645780000001</v>
      </c>
      <c r="J193" s="59">
        <f>SUMIFS(Electricity!V:V,Electricity!$M:$M,Predev_Scenarios!$A193,Electricity!$P:$P,Predev_Scenarios!$B193,Electricity!$O:$O,Predev_Scenarios!$D193)*-1</f>
        <v>0.12689236385</v>
      </c>
      <c r="K193" s="59">
        <f>SUMIFS(Electricity!W:W,Electricity!$M:$M,Predev_Scenarios!$A193,Electricity!$P:$P,Predev_Scenarios!$B193,Electricity!$O:$O,Predev_Scenarios!$D193)*-1</f>
        <v>0.15272055075000002</v>
      </c>
      <c r="L193" s="63">
        <f t="shared" si="9"/>
        <v>-7.3701203267429068E-8</v>
      </c>
      <c r="M193" s="63">
        <f t="shared" si="10"/>
        <v>-6.6893332742698369E-8</v>
      </c>
      <c r="N193" s="63">
        <f t="shared" si="11"/>
        <v>-8.0509073264993831E-8</v>
      </c>
      <c r="O193" s="30">
        <f>IF(OR(LEFT($D193,5)="Solar",$D193="Wind"),INDEX(Land_Use[AVG],MATCH(LEFT($D193,5),Land_Use[Tech],0)),0)*$E193</f>
        <v>530.82500000000005</v>
      </c>
      <c r="P193" s="30">
        <f>IF(OR(LEFT($D193,5)="Solar",$D193="Wind"),INDEX(Land_Use[MIN],MATCH(LEFT($D193,5),Land_Use[Tech],0)),0)*$E193</f>
        <v>169.86400000000003</v>
      </c>
      <c r="Q193" s="30">
        <f>IF(OR(LEFT($D193,5)="Solar",$D193="Wind"),INDEX(Land_Use[MAX],MATCH(LEFT($D193,5),Land_Use[Tech],0)),0)*$E193</f>
        <v>891.78600000000006</v>
      </c>
      <c r="R193" s="31">
        <f>IFERROR(INDEX(WaterUseH2[Average Direct Water Consumption (Gal/ kg h2)],MATCH(LEFT(D193,3),WaterUseH2[Key],0)),0)</f>
        <v>0</v>
      </c>
      <c r="S193" s="15">
        <f t="shared" si="12"/>
        <v>0</v>
      </c>
    </row>
    <row r="194" spans="1:19" x14ac:dyDescent="0.35">
      <c r="A194" t="s">
        <v>107</v>
      </c>
      <c r="B194">
        <v>2027</v>
      </c>
      <c r="C194" t="s">
        <v>41</v>
      </c>
      <c r="D194" t="s">
        <v>83</v>
      </c>
      <c r="E194" s="12">
        <f>SUMIFS(Electricity!$R:$R,Electricity!$P:$P,$B194,Electricity!$O:$O,$D194,Electricity!$M:$M,$A194)</f>
        <v>325.27999999999997</v>
      </c>
      <c r="F194" t="s">
        <v>81</v>
      </c>
      <c r="G194" s="31">
        <f>H194/Assumptions!$B$23/1000000000000</f>
        <v>2.8837291970365362E-3</v>
      </c>
      <c r="H194" s="13">
        <f>IF(C194="Electricity",E194*SUMIFS(Electricity!S:S,Electricity!P:P,Predev_Scenarios!B194,Electricity!M:M,Predev_Scenarios!A194,Electricity!O:O,Predev_Scenarios!D194),"")</f>
        <v>801075.37040331529</v>
      </c>
      <c r="I194" s="59">
        <f>SUMIFS(Electricity!U:U,Electricity!$M:$M,Predev_Scenarios!$A194,Electricity!$P:$P,Predev_Scenarios!$B194,Electricity!$O:$O,Predev_Scenarios!$D194)*-1</f>
        <v>0.1355825336</v>
      </c>
      <c r="J194" s="59">
        <f>SUMIFS(Electricity!V:V,Electricity!$M:$M,Predev_Scenarios!$A194,Electricity!$P:$P,Predev_Scenarios!$B194,Electricity!$O:$O,Predev_Scenarios!$D194)*-1</f>
        <v>0.1217345967</v>
      </c>
      <c r="K194" s="59">
        <f>SUMIFS(Electricity!W:W,Electricity!$M:$M,Predev_Scenarios!$A194,Electricity!$P:$P,Predev_Scenarios!$B194,Electricity!$O:$O,Predev_Scenarios!$D194)*-1</f>
        <v>0.14943046950000002</v>
      </c>
      <c r="L194" s="63">
        <f t="shared" si="9"/>
        <v>-1.0861182832383994E-7</v>
      </c>
      <c r="M194" s="63">
        <f t="shared" si="10"/>
        <v>-9.7518587142350715E-8</v>
      </c>
      <c r="N194" s="63">
        <f t="shared" si="11"/>
        <v>-1.1970506870425383E-7</v>
      </c>
      <c r="O194" s="30">
        <f>IF(OR(LEFT($D194,5)="Solar",$D194="Wind"),INDEX(Land_Use[AVG],MATCH(LEFT($D194,5),Land_Use[Tech],0)),0)*$E194</f>
        <v>813.19999999999993</v>
      </c>
      <c r="P194" s="30">
        <f>IF(OR(LEFT($D194,5)="Solar",$D194="Wind"),INDEX(Land_Use[MIN],MATCH(LEFT($D194,5),Land_Use[Tech],0)),0)*$E194</f>
        <v>260.22399999999999</v>
      </c>
      <c r="Q194" s="30">
        <f>IF(OR(LEFT($D194,5)="Solar",$D194="Wind"),INDEX(Land_Use[MAX],MATCH(LEFT($D194,5),Land_Use[Tech],0)),0)*$E194</f>
        <v>1366.1759999999999</v>
      </c>
      <c r="R194" s="31">
        <f>IFERROR(INDEX(WaterUseH2[Average Direct Water Consumption (Gal/ kg h2)],MATCH(LEFT(D194,3),WaterUseH2[Key],0)),0)</f>
        <v>0</v>
      </c>
      <c r="S194" s="15">
        <f t="shared" si="12"/>
        <v>0</v>
      </c>
    </row>
    <row r="195" spans="1:19" x14ac:dyDescent="0.35">
      <c r="A195" t="s">
        <v>107</v>
      </c>
      <c r="B195">
        <v>2028</v>
      </c>
      <c r="C195" t="s">
        <v>41</v>
      </c>
      <c r="D195" t="s">
        <v>83</v>
      </c>
      <c r="E195" s="12">
        <f>SUMIFS(Electricity!$R:$R,Electricity!$P:$P,$B195,Electricity!$O:$O,$D195,Electricity!$M:$M,$A195)</f>
        <v>438.23</v>
      </c>
      <c r="F195" t="s">
        <v>81</v>
      </c>
      <c r="G195" s="31">
        <f>H195/Assumptions!$B$23/1000000000000</f>
        <v>3.8534567339648246E-3</v>
      </c>
      <c r="H195" s="13">
        <f>IF(C195="Electricity",E195*SUMIFS(Electricity!S:S,Electricity!P:P,Predev_Scenarios!B195,Electricity!M:M,Predev_Scenarios!A195,Electricity!O:O,Predev_Scenarios!D195),"")</f>
        <v>1070457.4076048068</v>
      </c>
      <c r="I195" s="59">
        <f>SUMIFS(Electricity!U:U,Electricity!$M:$M,Predev_Scenarios!$A195,Electricity!$P:$P,Predev_Scenarios!$B195,Electricity!$O:$O,Predev_Scenarios!$D195)*-1</f>
        <v>0.13135860939999999</v>
      </c>
      <c r="J195" s="59">
        <f>SUMIFS(Electricity!V:V,Electricity!$M:$M,Predev_Scenarios!$A195,Electricity!$P:$P,Predev_Scenarios!$B195,Electricity!$O:$O,Predev_Scenarios!$D195)*-1</f>
        <v>0.11657682955000001</v>
      </c>
      <c r="K195" s="59">
        <f>SUMIFS(Electricity!W:W,Electricity!$M:$M,Predev_Scenarios!$A195,Electricity!$P:$P,Predev_Scenarios!$B195,Electricity!$O:$O,Predev_Scenarios!$D195)*-1</f>
        <v>0.14614038825000003</v>
      </c>
      <c r="L195" s="63">
        <f t="shared" si="9"/>
        <v>-1.4061379648489642E-7</v>
      </c>
      <c r="M195" s="63">
        <f t="shared" si="10"/>
        <v>-1.2479053074688044E-7</v>
      </c>
      <c r="N195" s="63">
        <f t="shared" si="11"/>
        <v>-1.5643706115245502E-7</v>
      </c>
      <c r="O195" s="30">
        <f>IF(OR(LEFT($D195,5)="Solar",$D195="Wind"),INDEX(Land_Use[AVG],MATCH(LEFT($D195,5),Land_Use[Tech],0)),0)*$E195</f>
        <v>1095.575</v>
      </c>
      <c r="P195" s="30">
        <f>IF(OR(LEFT($D195,5)="Solar",$D195="Wind"),INDEX(Land_Use[MIN],MATCH(LEFT($D195,5),Land_Use[Tech],0)),0)*$E195</f>
        <v>350.58400000000006</v>
      </c>
      <c r="Q195" s="30">
        <f>IF(OR(LEFT($D195,5)="Solar",$D195="Wind"),INDEX(Land_Use[MAX],MATCH(LEFT($D195,5),Land_Use[Tech],0)),0)*$E195</f>
        <v>1840.5660000000003</v>
      </c>
      <c r="R195" s="31">
        <f>IFERROR(INDEX(WaterUseH2[Average Direct Water Consumption (Gal/ kg h2)],MATCH(LEFT(D195,3),WaterUseH2[Key],0)),0)</f>
        <v>0</v>
      </c>
      <c r="S195" s="15">
        <f t="shared" si="12"/>
        <v>0</v>
      </c>
    </row>
    <row r="196" spans="1:19" x14ac:dyDescent="0.35">
      <c r="A196" t="s">
        <v>107</v>
      </c>
      <c r="B196">
        <v>2029</v>
      </c>
      <c r="C196" t="s">
        <v>41</v>
      </c>
      <c r="D196" t="s">
        <v>83</v>
      </c>
      <c r="E196" s="12">
        <f>SUMIFS(Electricity!$R:$R,Electricity!$P:$P,$B196,Electricity!$O:$O,$D196,Electricity!$M:$M,$A196)</f>
        <v>551.17999999999995</v>
      </c>
      <c r="F196" t="s">
        <v>81</v>
      </c>
      <c r="G196" s="31">
        <f>H196/Assumptions!$B$23/1000000000000</f>
        <v>4.8068864721432687E-3</v>
      </c>
      <c r="H196" s="13">
        <f>IF(C196="Electricity",E196*SUMIFS(Electricity!S:S,Electricity!P:P,Predev_Scenarios!B196,Electricity!M:M,Predev_Scenarios!A196,Electricity!O:O,Predev_Scenarios!D196),"")</f>
        <v>1335312.0553469458</v>
      </c>
      <c r="I196" s="59">
        <f>SUMIFS(Electricity!U:U,Electricity!$M:$M,Predev_Scenarios!$A196,Electricity!$P:$P,Predev_Scenarios!$B196,Electricity!$O:$O,Predev_Scenarios!$D196)*-1</f>
        <v>0.12713468519999999</v>
      </c>
      <c r="J196" s="59">
        <f>SUMIFS(Electricity!V:V,Electricity!$M:$M,Predev_Scenarios!$A196,Electricity!$P:$P,Predev_Scenarios!$B196,Electricity!$O:$O,Predev_Scenarios!$D196)*-1</f>
        <v>0.11141906240000002</v>
      </c>
      <c r="K196" s="59">
        <f>SUMIFS(Electricity!W:W,Electricity!$M:$M,Predev_Scenarios!$A196,Electricity!$P:$P,Predev_Scenarios!$B196,Electricity!$O:$O,Predev_Scenarios!$D196)*-1</f>
        <v>0.14285030700000004</v>
      </c>
      <c r="L196" s="63">
        <f t="shared" ref="L196:L385" si="13">IF($C196="Electricity",$H196/1000000000000,$G196)*I196*-1</f>
        <v>-1.697644778002989E-7</v>
      </c>
      <c r="M196" s="63">
        <f t="shared" ref="M196:M385" si="14">IF($C196="Electricity",$H196/1000000000000,$G196)*J196*-1</f>
        <v>-1.4877921721817362E-7</v>
      </c>
      <c r="N196" s="63">
        <f t="shared" ref="N196:N385" si="15">IF($C196="Electricity",$H196/1000000000000,$G196)*K196*-1</f>
        <v>-1.9074973704711225E-7</v>
      </c>
      <c r="O196" s="30">
        <f>IF(OR(LEFT($D196,5)="Solar",$D196="Wind"),INDEX(Land_Use[AVG],MATCH(LEFT($D196,5),Land_Use[Tech],0)),0)*$E196</f>
        <v>1377.9499999999998</v>
      </c>
      <c r="P196" s="30">
        <f>IF(OR(LEFT($D196,5)="Solar",$D196="Wind"),INDEX(Land_Use[MIN],MATCH(LEFT($D196,5),Land_Use[Tech],0)),0)*$E196</f>
        <v>440.94399999999996</v>
      </c>
      <c r="Q196" s="30">
        <f>IF(OR(LEFT($D196,5)="Solar",$D196="Wind"),INDEX(Land_Use[MAX],MATCH(LEFT($D196,5),Land_Use[Tech],0)),0)*$E196</f>
        <v>2314.9559999999997</v>
      </c>
      <c r="R196" s="31">
        <f>IFERROR(INDEX(WaterUseH2[Average Direct Water Consumption (Gal/ kg h2)],MATCH(LEFT(D196,3),WaterUseH2[Key],0)),0)</f>
        <v>0</v>
      </c>
      <c r="S196" s="15">
        <f t="shared" ref="S196:S385" si="16">E196*R196*1000/1000000</f>
        <v>0</v>
      </c>
    </row>
    <row r="197" spans="1:19" x14ac:dyDescent="0.35">
      <c r="A197" t="s">
        <v>107</v>
      </c>
      <c r="B197">
        <v>2030</v>
      </c>
      <c r="C197" t="s">
        <v>41</v>
      </c>
      <c r="D197" t="s">
        <v>83</v>
      </c>
      <c r="E197" s="12">
        <f>SUMIFS(Electricity!$R:$R,Electricity!$P:$P,$B197,Electricity!$O:$O,$D197,Electricity!$M:$M,$A197)</f>
        <v>664.13</v>
      </c>
      <c r="F197" t="s">
        <v>81</v>
      </c>
      <c r="G197" s="31">
        <f>H197/Assumptions!$B$23/1000000000000</f>
        <v>5.7440184115718704E-3</v>
      </c>
      <c r="H197" s="13">
        <f>IF(C197="Electricity",E197*SUMIFS(Electricity!S:S,Electricity!P:P,Predev_Scenarios!B197,Electricity!M:M,Predev_Scenarios!A197,Electricity!O:O,Predev_Scenarios!D197),"")</f>
        <v>1595639.3136297329</v>
      </c>
      <c r="I197" s="59">
        <f>SUMIFS(Electricity!U:U,Electricity!$M:$M,Predev_Scenarios!$A197,Electricity!$P:$P,Predev_Scenarios!$B197,Electricity!$O:$O,Predev_Scenarios!$D197)*-1</f>
        <v>0.12291076099999998</v>
      </c>
      <c r="J197" s="59">
        <f>SUMIFS(Electricity!V:V,Electricity!$M:$M,Predev_Scenarios!$A197,Electricity!$P:$P,Predev_Scenarios!$B197,Electricity!$O:$O,Predev_Scenarios!$D197)*-1</f>
        <v>0.10626129525000003</v>
      </c>
      <c r="K197" s="59">
        <f>SUMIFS(Electricity!W:W,Electricity!$M:$M,Predev_Scenarios!$A197,Electricity!$P:$P,Predev_Scenarios!$B197,Electricity!$O:$O,Predev_Scenarios!$D197)*-1</f>
        <v>0.13956022575000004</v>
      </c>
      <c r="L197" s="63">
        <f t="shared" si="13"/>
        <v>-1.9612124231974813E-7</v>
      </c>
      <c r="M197" s="63">
        <f t="shared" si="14"/>
        <v>-1.6955470021811645E-7</v>
      </c>
      <c r="N197" s="63">
        <f t="shared" si="15"/>
        <v>-2.2268778282574065E-7</v>
      </c>
      <c r="O197" s="30">
        <f>IF(OR(LEFT($D197,5)="Solar",$D197="Wind"),INDEX(Land_Use[AVG],MATCH(LEFT($D197,5),Land_Use[Tech],0)),0)*$E197</f>
        <v>1660.325</v>
      </c>
      <c r="P197" s="30">
        <f>IF(OR(LEFT($D197,5)="Solar",$D197="Wind"),INDEX(Land_Use[MIN],MATCH(LEFT($D197,5),Land_Use[Tech],0)),0)*$E197</f>
        <v>531.30399999999997</v>
      </c>
      <c r="Q197" s="30">
        <f>IF(OR(LEFT($D197,5)="Solar",$D197="Wind"),INDEX(Land_Use[MAX],MATCH(LEFT($D197,5),Land_Use[Tech],0)),0)*$E197</f>
        <v>2789.346</v>
      </c>
      <c r="R197" s="31">
        <f>IFERROR(INDEX(WaterUseH2[Average Direct Water Consumption (Gal/ kg h2)],MATCH(LEFT(D197,3),WaterUseH2[Key],0)),0)</f>
        <v>0</v>
      </c>
      <c r="S197" s="15">
        <f t="shared" si="16"/>
        <v>0</v>
      </c>
    </row>
    <row r="198" spans="1:19" x14ac:dyDescent="0.35">
      <c r="A198" t="s">
        <v>107</v>
      </c>
      <c r="B198">
        <v>2031</v>
      </c>
      <c r="C198" t="s">
        <v>41</v>
      </c>
      <c r="D198" t="s">
        <v>83</v>
      </c>
      <c r="E198" s="12">
        <f>SUMIFS(Electricity!$R:$R,Electricity!$P:$P,$B198,Electricity!$O:$O,$D198,Electricity!$M:$M,$A198)</f>
        <v>777.08</v>
      </c>
      <c r="F198" t="s">
        <v>81</v>
      </c>
      <c r="G198" s="31">
        <f>H198/Assumptions!$B$23/1000000000000</f>
        <v>6.6648525522506304E-3</v>
      </c>
      <c r="H198" s="13">
        <f>IF(C198="Electricity",E198*SUMIFS(Electricity!S:S,Electricity!P:P,Predev_Scenarios!B198,Electricity!M:M,Predev_Scenarios!A198,Electricity!O:O,Predev_Scenarios!D198),"")</f>
        <v>1851439.1824531679</v>
      </c>
      <c r="I198" s="59">
        <f>SUMIFS(Electricity!U:U,Electricity!$M:$M,Predev_Scenarios!$A198,Electricity!$P:$P,Predev_Scenarios!$B198,Electricity!$O:$O,Predev_Scenarios!$D198)*-1</f>
        <v>0.11868683679999997</v>
      </c>
      <c r="J198" s="59">
        <f>SUMIFS(Electricity!V:V,Electricity!$M:$M,Predev_Scenarios!$A198,Electricity!$P:$P,Predev_Scenarios!$B198,Electricity!$O:$O,Predev_Scenarios!$D198)*-1</f>
        <v>0.10110352810000003</v>
      </c>
      <c r="K198" s="59">
        <f>SUMIFS(Electricity!W:W,Electricity!$M:$M,Predev_Scenarios!$A198,Electricity!$P:$P,Predev_Scenarios!$B198,Electricity!$O:$O,Predev_Scenarios!$D198)*-1</f>
        <v>0.13627014450000005</v>
      </c>
      <c r="L198" s="63">
        <f t="shared" si="13"/>
        <v>-2.1974146009294451E-7</v>
      </c>
      <c r="M198" s="63">
        <f t="shared" si="14"/>
        <v>-1.8718703340859496E-7</v>
      </c>
      <c r="N198" s="63">
        <f t="shared" si="15"/>
        <v>-2.5229588492585513E-7</v>
      </c>
      <c r="O198" s="30">
        <f>IF(OR(LEFT($D198,5)="Solar",$D198="Wind"),INDEX(Land_Use[AVG],MATCH(LEFT($D198,5),Land_Use[Tech],0)),0)*$E198</f>
        <v>1942.7</v>
      </c>
      <c r="P198" s="30">
        <f>IF(OR(LEFT($D198,5)="Solar",$D198="Wind"),INDEX(Land_Use[MIN],MATCH(LEFT($D198,5),Land_Use[Tech],0)),0)*$E198</f>
        <v>621.6640000000001</v>
      </c>
      <c r="Q198" s="30">
        <f>IF(OR(LEFT($D198,5)="Solar",$D198="Wind"),INDEX(Land_Use[MAX],MATCH(LEFT($D198,5),Land_Use[Tech],0)),0)*$E198</f>
        <v>3263.7360000000003</v>
      </c>
      <c r="R198" s="31">
        <f>IFERROR(INDEX(WaterUseH2[Average Direct Water Consumption (Gal/ kg h2)],MATCH(LEFT(D198,3),WaterUseH2[Key],0)),0)</f>
        <v>0</v>
      </c>
      <c r="S198" s="15">
        <f t="shared" si="16"/>
        <v>0</v>
      </c>
    </row>
    <row r="199" spans="1:19" x14ac:dyDescent="0.35">
      <c r="A199" t="s">
        <v>107</v>
      </c>
      <c r="B199">
        <v>2032</v>
      </c>
      <c r="C199" t="s">
        <v>41</v>
      </c>
      <c r="D199" t="s">
        <v>83</v>
      </c>
      <c r="E199" s="12">
        <f>SUMIFS(Electricity!$R:$R,Electricity!$P:$P,$B199,Electricity!$O:$O,$D199,Electricity!$M:$M,$A199)</f>
        <v>890.03</v>
      </c>
      <c r="F199" t="s">
        <v>81</v>
      </c>
      <c r="G199" s="31">
        <f>H199/Assumptions!$B$23/1000000000000</f>
        <v>7.5693888941795445E-3</v>
      </c>
      <c r="H199" s="13">
        <f>IF(C199="Electricity",E199*SUMIFS(Electricity!S:S,Electricity!P:P,Predev_Scenarios!B199,Electricity!M:M,Predev_Scenarios!A199,Electricity!O:O,Predev_Scenarios!D199),"")</f>
        <v>2102711.6618172503</v>
      </c>
      <c r="I199" s="59">
        <f>SUMIFS(Electricity!U:U,Electricity!$M:$M,Predev_Scenarios!$A199,Electricity!$P:$P,Predev_Scenarios!$B199,Electricity!$O:$O,Predev_Scenarios!$D199)*-1</f>
        <v>0.11446291259999997</v>
      </c>
      <c r="J199" s="59">
        <f>SUMIFS(Electricity!V:V,Electricity!$M:$M,Predev_Scenarios!$A199,Electricity!$P:$P,Predev_Scenarios!$B199,Electricity!$O:$O,Predev_Scenarios!$D199)*-1</f>
        <v>9.5945760950000042E-2</v>
      </c>
      <c r="K199" s="59">
        <f>SUMIFS(Electricity!W:W,Electricity!$M:$M,Predev_Scenarios!$A199,Electricity!$P:$P,Predev_Scenarios!$B199,Electricity!$O:$O,Predev_Scenarios!$D199)*-1</f>
        <v>0.13298006325000006</v>
      </c>
      <c r="L199" s="63">
        <f t="shared" si="13"/>
        <v>-2.4068250116958862E-7</v>
      </c>
      <c r="M199" s="63">
        <f t="shared" si="14"/>
        <v>-2.0174627045149525E-7</v>
      </c>
      <c r="N199" s="63">
        <f t="shared" si="15"/>
        <v>-2.7961872978497069E-7</v>
      </c>
      <c r="O199" s="30">
        <f>IF(OR(LEFT($D199,5)="Solar",$D199="Wind"),INDEX(Land_Use[AVG],MATCH(LEFT($D199,5),Land_Use[Tech],0)),0)*$E199</f>
        <v>2225.0749999999998</v>
      </c>
      <c r="P199" s="30">
        <f>IF(OR(LEFT($D199,5)="Solar",$D199="Wind"),INDEX(Land_Use[MIN],MATCH(LEFT($D199,5),Land_Use[Tech],0)),0)*$E199</f>
        <v>712.024</v>
      </c>
      <c r="Q199" s="30">
        <f>IF(OR(LEFT($D199,5)="Solar",$D199="Wind"),INDEX(Land_Use[MAX],MATCH(LEFT($D199,5),Land_Use[Tech],0)),0)*$E199</f>
        <v>3738.1260000000002</v>
      </c>
      <c r="R199" s="31">
        <f>IFERROR(INDEX(WaterUseH2[Average Direct Water Consumption (Gal/ kg h2)],MATCH(LEFT(D199,3),WaterUseH2[Key],0)),0)</f>
        <v>0</v>
      </c>
      <c r="S199" s="15">
        <f t="shared" si="16"/>
        <v>0</v>
      </c>
    </row>
    <row r="200" spans="1:19" x14ac:dyDescent="0.35">
      <c r="A200" t="s">
        <v>107</v>
      </c>
      <c r="B200">
        <v>2033</v>
      </c>
      <c r="C200" t="s">
        <v>41</v>
      </c>
      <c r="D200" t="s">
        <v>83</v>
      </c>
      <c r="E200" s="12">
        <f>SUMIFS(Electricity!$R:$R,Electricity!$P:$P,$B200,Electricity!$O:$O,$D200,Electricity!$M:$M,$A200)</f>
        <v>1002.98</v>
      </c>
      <c r="F200" t="s">
        <v>81</v>
      </c>
      <c r="G200" s="31">
        <f>H200/Assumptions!$B$23/1000000000000</f>
        <v>8.4576274373586169E-3</v>
      </c>
      <c r="H200" s="13">
        <f>IF(C200="Electricity",E200*SUMIFS(Electricity!S:S,Electricity!P:P,Predev_Scenarios!B200,Electricity!M:M,Predev_Scenarios!A200,Electricity!O:O,Predev_Scenarios!D200),"")</f>
        <v>2349456.751721981</v>
      </c>
      <c r="I200" s="59">
        <f>SUMIFS(Electricity!U:U,Electricity!$M:$M,Predev_Scenarios!$A200,Electricity!$P:$P,Predev_Scenarios!$B200,Electricity!$O:$O,Predev_Scenarios!$D200)*-1</f>
        <v>0.11023898839999996</v>
      </c>
      <c r="J200" s="59">
        <f>SUMIFS(Electricity!V:V,Electricity!$M:$M,Predev_Scenarios!$A200,Electricity!$P:$P,Predev_Scenarios!$B200,Electricity!$O:$O,Predev_Scenarios!$D200)*-1</f>
        <v>9.078799380000005E-2</v>
      </c>
      <c r="K200" s="59">
        <f>SUMIFS(Electricity!W:W,Electricity!$M:$M,Predev_Scenarios!$A200,Electricity!$P:$P,Predev_Scenarios!$B200,Electricity!$O:$O,Predev_Scenarios!$D200)*-1</f>
        <v>0.12968998200000006</v>
      </c>
      <c r="L200" s="63">
        <f t="shared" si="13"/>
        <v>-2.5900173559938102E-7</v>
      </c>
      <c r="M200" s="63">
        <f t="shared" si="14"/>
        <v>-2.1330246500870345E-7</v>
      </c>
      <c r="N200" s="63">
        <f t="shared" si="15"/>
        <v>-3.0470100384060233E-7</v>
      </c>
      <c r="O200" s="30">
        <f>IF(OR(LEFT($D200,5)="Solar",$D200="Wind"),INDEX(Land_Use[AVG],MATCH(LEFT($D200,5),Land_Use[Tech],0)),0)*$E200</f>
        <v>2507.4499999999998</v>
      </c>
      <c r="P200" s="30">
        <f>IF(OR(LEFT($D200,5)="Solar",$D200="Wind"),INDEX(Land_Use[MIN],MATCH(LEFT($D200,5),Land_Use[Tech],0)),0)*$E200</f>
        <v>802.38400000000001</v>
      </c>
      <c r="Q200" s="30">
        <f>IF(OR(LEFT($D200,5)="Solar",$D200="Wind"),INDEX(Land_Use[MAX],MATCH(LEFT($D200,5),Land_Use[Tech],0)),0)*$E200</f>
        <v>4212.5160000000005</v>
      </c>
      <c r="R200" s="31">
        <f>IFERROR(INDEX(WaterUseH2[Average Direct Water Consumption (Gal/ kg h2)],MATCH(LEFT(D200,3),WaterUseH2[Key],0)),0)</f>
        <v>0</v>
      </c>
      <c r="S200" s="15">
        <f t="shared" si="16"/>
        <v>0</v>
      </c>
    </row>
    <row r="201" spans="1:19" x14ac:dyDescent="0.35">
      <c r="A201" t="s">
        <v>107</v>
      </c>
      <c r="B201">
        <v>2034</v>
      </c>
      <c r="C201" t="s">
        <v>41</v>
      </c>
      <c r="D201" t="s">
        <v>83</v>
      </c>
      <c r="E201" s="12">
        <f>SUMIFS(Electricity!$R:$R,Electricity!$P:$P,$B201,Electricity!$O:$O,$D201,Electricity!$M:$M,$A201)</f>
        <v>1115.93</v>
      </c>
      <c r="F201" t="s">
        <v>81</v>
      </c>
      <c r="G201" s="31">
        <f>H201/Assumptions!$B$23/1000000000000</f>
        <v>9.3295681817878468E-3</v>
      </c>
      <c r="H201" s="13">
        <f>IF(C201="Electricity",E201*SUMIFS(Electricity!S:S,Electricity!P:P,Predev_Scenarios!B201,Electricity!M:M,Predev_Scenarios!A201,Electricity!O:O,Predev_Scenarios!D201),"")</f>
        <v>2591674.4521673596</v>
      </c>
      <c r="I201" s="59">
        <f>SUMIFS(Electricity!U:U,Electricity!$M:$M,Predev_Scenarios!$A201,Electricity!$P:$P,Predev_Scenarios!$B201,Electricity!$O:$O,Predev_Scenarios!$D201)*-1</f>
        <v>0.10601506419999995</v>
      </c>
      <c r="J201" s="59">
        <f>SUMIFS(Electricity!V:V,Electricity!$M:$M,Predev_Scenarios!$A201,Electricity!$P:$P,Predev_Scenarios!$B201,Electricity!$O:$O,Predev_Scenarios!$D201)*-1</f>
        <v>8.5630226650000058E-2</v>
      </c>
      <c r="K201" s="59">
        <f>SUMIFS(Electricity!W:W,Electricity!$M:$M,Predev_Scenarios!$A201,Electricity!$P:$P,Predev_Scenarios!$B201,Electricity!$O:$O,Predev_Scenarios!$D201)*-1</f>
        <v>0.12639990075000007</v>
      </c>
      <c r="L201" s="63">
        <f t="shared" si="13"/>
        <v>-2.747565334320223E-7</v>
      </c>
      <c r="M201" s="63">
        <f t="shared" si="14"/>
        <v>-2.2192567074210573E-7</v>
      </c>
      <c r="N201" s="63">
        <f t="shared" si="15"/>
        <v>-3.2758739353026502E-7</v>
      </c>
      <c r="O201" s="30">
        <f>IF(OR(LEFT($D201,5)="Solar",$D201="Wind"),INDEX(Land_Use[AVG],MATCH(LEFT($D201,5),Land_Use[Tech],0)),0)*$E201</f>
        <v>2789.8250000000003</v>
      </c>
      <c r="P201" s="30">
        <f>IF(OR(LEFT($D201,5)="Solar",$D201="Wind"),INDEX(Land_Use[MIN],MATCH(LEFT($D201,5),Land_Use[Tech],0)),0)*$E201</f>
        <v>892.74400000000014</v>
      </c>
      <c r="Q201" s="30">
        <f>IF(OR(LEFT($D201,5)="Solar",$D201="Wind"),INDEX(Land_Use[MAX],MATCH(LEFT($D201,5),Land_Use[Tech],0)),0)*$E201</f>
        <v>4686.9060000000009</v>
      </c>
      <c r="R201" s="31">
        <f>IFERROR(INDEX(WaterUseH2[Average Direct Water Consumption (Gal/ kg h2)],MATCH(LEFT(D201,3),WaterUseH2[Key],0)),0)</f>
        <v>0</v>
      </c>
      <c r="S201" s="15">
        <f t="shared" si="16"/>
        <v>0</v>
      </c>
    </row>
    <row r="202" spans="1:19" x14ac:dyDescent="0.35">
      <c r="A202" t="s">
        <v>107</v>
      </c>
      <c r="B202">
        <v>2035</v>
      </c>
      <c r="C202" t="s">
        <v>41</v>
      </c>
      <c r="D202" t="s">
        <v>83</v>
      </c>
      <c r="E202" s="12">
        <f>SUMIFS(Electricity!$R:$R,Electricity!$P:$P,$B202,Electricity!$O:$O,$D202,Electricity!$M:$M,$A202)</f>
        <v>1228.8800000000001</v>
      </c>
      <c r="F202" t="s">
        <v>81</v>
      </c>
      <c r="G202" s="31">
        <f>H202/Assumptions!$B$23/1000000000000</f>
        <v>1.0185211127467234E-2</v>
      </c>
      <c r="H202" s="13">
        <f>IF(C202="Electricity",E202*SUMIFS(Electricity!S:S,Electricity!P:P,Predev_Scenarios!B202,Electricity!M:M,Predev_Scenarios!A202,Electricity!O:O,Predev_Scenarios!D202),"")</f>
        <v>2829364.7631533858</v>
      </c>
      <c r="I202" s="59">
        <f>SUMIFS(Electricity!U:U,Electricity!$M:$M,Predev_Scenarios!$A202,Electricity!$P:$P,Predev_Scenarios!$B202,Electricity!$O:$O,Predev_Scenarios!$D202)*-1</f>
        <v>0.10179113999999995</v>
      </c>
      <c r="J202" s="59">
        <f>SUMIFS(Electricity!V:V,Electricity!$M:$M,Predev_Scenarios!$A202,Electricity!$P:$P,Predev_Scenarios!$B202,Electricity!$O:$O,Predev_Scenarios!$D202)*-1</f>
        <v>8.0472459500000065E-2</v>
      </c>
      <c r="K202" s="59">
        <f>SUMIFS(Electricity!W:W,Electricity!$M:$M,Predev_Scenarios!$A202,Electricity!$P:$P,Predev_Scenarios!$B202,Electricity!$O:$O,Predev_Scenarios!$D202)*-1</f>
        <v>0.12310981950000006</v>
      </c>
      <c r="L202" s="63">
        <f t="shared" si="13"/>
        <v>-2.8800426471721302E-7</v>
      </c>
      <c r="M202" s="63">
        <f t="shared" si="14"/>
        <v>-2.2768594131358813E-7</v>
      </c>
      <c r="N202" s="63">
        <f t="shared" si="15"/>
        <v>-3.4832258529147377E-7</v>
      </c>
      <c r="O202" s="30">
        <f>IF(OR(LEFT($D202,5)="Solar",$D202="Wind"),INDEX(Land_Use[AVG],MATCH(LEFT($D202,5),Land_Use[Tech],0)),0)*$E202</f>
        <v>3072.2000000000003</v>
      </c>
      <c r="P202" s="30">
        <f>IF(OR(LEFT($D202,5)="Solar",$D202="Wind"),INDEX(Land_Use[MIN],MATCH(LEFT($D202,5),Land_Use[Tech],0)),0)*$E202</f>
        <v>983.10400000000016</v>
      </c>
      <c r="Q202" s="30">
        <f>IF(OR(LEFT($D202,5)="Solar",$D202="Wind"),INDEX(Land_Use[MAX],MATCH(LEFT($D202,5),Land_Use[Tech],0)),0)*$E202</f>
        <v>5161.2960000000003</v>
      </c>
      <c r="R202" s="31">
        <f>IFERROR(INDEX(WaterUseH2[Average Direct Water Consumption (Gal/ kg h2)],MATCH(LEFT(D202,3),WaterUseH2[Key],0)),0)</f>
        <v>0</v>
      </c>
      <c r="S202" s="15">
        <f t="shared" si="16"/>
        <v>0</v>
      </c>
    </row>
    <row r="203" spans="1:19" x14ac:dyDescent="0.35">
      <c r="A203" t="s">
        <v>107</v>
      </c>
      <c r="B203">
        <v>2036</v>
      </c>
      <c r="C203" t="s">
        <v>41</v>
      </c>
      <c r="D203" t="s">
        <v>83</v>
      </c>
      <c r="E203" s="12">
        <f>SUMIFS(Electricity!$R:$R,Electricity!$P:$P,$B203,Electricity!$O:$O,$D203,Electricity!$M:$M,$A203)</f>
        <v>1341.83</v>
      </c>
      <c r="F203" t="s">
        <v>81</v>
      </c>
      <c r="G203" s="31">
        <f>H203/Assumptions!$B$23/1000000000000</f>
        <v>1.1024556274396774E-2</v>
      </c>
      <c r="H203" s="13">
        <f>IF(C203="Electricity",E203*SUMIFS(Electricity!S:S,Electricity!P:P,Predev_Scenarios!B203,Electricity!M:M,Predev_Scenarios!A203,Electricity!O:O,Predev_Scenarios!D203),"")</f>
        <v>3062527.6846800596</v>
      </c>
      <c r="I203" s="59">
        <f>SUMIFS(Electricity!U:U,Electricity!$M:$M,Predev_Scenarios!$A203,Electricity!$P:$P,Predev_Scenarios!$B203,Electricity!$O:$O,Predev_Scenarios!$D203)*-1</f>
        <v>9.756721579999994E-2</v>
      </c>
      <c r="J203" s="59">
        <f>SUMIFS(Electricity!V:V,Electricity!$M:$M,Predev_Scenarios!$A203,Electricity!$P:$P,Predev_Scenarios!$B203,Electricity!$O:$O,Predev_Scenarios!$D203)*-1</f>
        <v>7.5314692350000073E-2</v>
      </c>
      <c r="K203" s="59">
        <f>SUMIFS(Electricity!W:W,Electricity!$M:$M,Predev_Scenarios!$A203,Electricity!$P:$P,Predev_Scenarios!$B203,Electricity!$O:$O,Predev_Scenarios!$D203)*-1</f>
        <v>0.11981973825000006</v>
      </c>
      <c r="L203" s="63">
        <f t="shared" si="13"/>
        <v>-2.9880229950465353E-7</v>
      </c>
      <c r="M203" s="63">
        <f t="shared" si="14"/>
        <v>-2.3065333038503672E-7</v>
      </c>
      <c r="N203" s="63">
        <f t="shared" si="15"/>
        <v>-3.6695126556174343E-7</v>
      </c>
      <c r="O203" s="30">
        <f>IF(OR(LEFT($D203,5)="Solar",$D203="Wind"),INDEX(Land_Use[AVG],MATCH(LEFT($D203,5),Land_Use[Tech],0)),0)*$E203</f>
        <v>3354.5749999999998</v>
      </c>
      <c r="P203" s="30">
        <f>IF(OR(LEFT($D203,5)="Solar",$D203="Wind"),INDEX(Land_Use[MIN],MATCH(LEFT($D203,5),Land_Use[Tech],0)),0)*$E203</f>
        <v>1073.4639999999999</v>
      </c>
      <c r="Q203" s="30">
        <f>IF(OR(LEFT($D203,5)="Solar",$D203="Wind"),INDEX(Land_Use[MAX],MATCH(LEFT($D203,5),Land_Use[Tech],0)),0)*$E203</f>
        <v>5635.6859999999997</v>
      </c>
      <c r="R203" s="31">
        <f>IFERROR(INDEX(WaterUseH2[Average Direct Water Consumption (Gal/ kg h2)],MATCH(LEFT(D203,3),WaterUseH2[Key],0)),0)</f>
        <v>0</v>
      </c>
      <c r="S203" s="15">
        <f t="shared" si="16"/>
        <v>0</v>
      </c>
    </row>
    <row r="204" spans="1:19" x14ac:dyDescent="0.35">
      <c r="A204" t="s">
        <v>107</v>
      </c>
      <c r="B204">
        <v>2037</v>
      </c>
      <c r="C204" t="s">
        <v>41</v>
      </c>
      <c r="D204" t="s">
        <v>83</v>
      </c>
      <c r="E204" s="12">
        <f>SUMIFS(Electricity!$R:$R,Electricity!$P:$P,$B204,Electricity!$O:$O,$D204,Electricity!$M:$M,$A204)</f>
        <v>1454.78</v>
      </c>
      <c r="F204" t="s">
        <v>81</v>
      </c>
      <c r="G204" s="31">
        <f>H204/Assumptions!$B$23/1000000000000</f>
        <v>1.1847603622576475E-2</v>
      </c>
      <c r="H204" s="13">
        <f>IF(C204="Electricity",E204*SUMIFS(Electricity!S:S,Electricity!P:P,Predev_Scenarios!B204,Electricity!M:M,Predev_Scenarios!A204,Electricity!O:O,Predev_Scenarios!D204),"")</f>
        <v>3291163.2167473817</v>
      </c>
      <c r="I204" s="59">
        <f>SUMIFS(Electricity!U:U,Electricity!$M:$M,Predev_Scenarios!$A204,Electricity!$P:$P,Predev_Scenarios!$B204,Electricity!$O:$O,Predev_Scenarios!$D204)*-1</f>
        <v>9.3343291599999934E-2</v>
      </c>
      <c r="J204" s="59">
        <f>SUMIFS(Electricity!V:V,Electricity!$M:$M,Predev_Scenarios!$A204,Electricity!$P:$P,Predev_Scenarios!$B204,Electricity!$O:$O,Predev_Scenarios!$D204)*-1</f>
        <v>7.0156925200000081E-2</v>
      </c>
      <c r="K204" s="59">
        <f>SUMIFS(Electricity!W:W,Electricity!$M:$M,Predev_Scenarios!$A204,Electricity!$P:$P,Predev_Scenarios!$B204,Electricity!$O:$O,Predev_Scenarios!$D204)*-1</f>
        <v>0.11652965700000005</v>
      </c>
      <c r="L204" s="63">
        <f t="shared" si="13"/>
        <v>-3.0720800784404459E-7</v>
      </c>
      <c r="M204" s="63">
        <f t="shared" si="14"/>
        <v>-2.3089789161833771E-7</v>
      </c>
      <c r="N204" s="63">
        <f t="shared" si="15"/>
        <v>-3.8351812077858918E-7</v>
      </c>
      <c r="O204" s="30">
        <f>IF(OR(LEFT($D204,5)="Solar",$D204="Wind"),INDEX(Land_Use[AVG],MATCH(LEFT($D204,5),Land_Use[Tech],0)),0)*$E204</f>
        <v>3636.95</v>
      </c>
      <c r="P204" s="30">
        <f>IF(OR(LEFT($D204,5)="Solar",$D204="Wind"),INDEX(Land_Use[MIN],MATCH(LEFT($D204,5),Land_Use[Tech],0)),0)*$E204</f>
        <v>1163.8240000000001</v>
      </c>
      <c r="Q204" s="30">
        <f>IF(OR(LEFT($D204,5)="Solar",$D204="Wind"),INDEX(Land_Use[MAX],MATCH(LEFT($D204,5),Land_Use[Tech],0)),0)*$E204</f>
        <v>6110.076</v>
      </c>
      <c r="R204" s="31">
        <f>IFERROR(INDEX(WaterUseH2[Average Direct Water Consumption (Gal/ kg h2)],MATCH(LEFT(D204,3),WaterUseH2[Key],0)),0)</f>
        <v>0</v>
      </c>
      <c r="S204" s="15">
        <f t="shared" si="16"/>
        <v>0</v>
      </c>
    </row>
    <row r="205" spans="1:19" x14ac:dyDescent="0.35">
      <c r="A205" t="s">
        <v>107</v>
      </c>
      <c r="B205">
        <v>2038</v>
      </c>
      <c r="C205" t="s">
        <v>41</v>
      </c>
      <c r="D205" t="s">
        <v>83</v>
      </c>
      <c r="E205" s="12">
        <f>SUMIFS(Electricity!$R:$R,Electricity!$P:$P,$B205,Electricity!$O:$O,$D205,Electricity!$M:$M,$A205)</f>
        <v>1567.73</v>
      </c>
      <c r="F205" t="s">
        <v>81</v>
      </c>
      <c r="G205" s="31">
        <f>H205/Assumptions!$B$23/1000000000000</f>
        <v>1.2654353172006333E-2</v>
      </c>
      <c r="H205" s="13">
        <f>IF(C205="Electricity",E205*SUMIFS(Electricity!S:S,Electricity!P:P,Predev_Scenarios!B205,Electricity!M:M,Predev_Scenarios!A205,Electricity!O:O,Predev_Scenarios!D205),"")</f>
        <v>3515271.3593553514</v>
      </c>
      <c r="I205" s="59">
        <f>SUMIFS(Electricity!U:U,Electricity!$M:$M,Predev_Scenarios!$A205,Electricity!$P:$P,Predev_Scenarios!$B205,Electricity!$O:$O,Predev_Scenarios!$D205)*-1</f>
        <v>8.9119367399999927E-2</v>
      </c>
      <c r="J205" s="59">
        <f>SUMIFS(Electricity!V:V,Electricity!$M:$M,Predev_Scenarios!$A205,Electricity!$P:$P,Predev_Scenarios!$B205,Electricity!$O:$O,Predev_Scenarios!$D205)*-1</f>
        <v>6.4999158050000089E-2</v>
      </c>
      <c r="K205" s="59">
        <f>SUMIFS(Electricity!W:W,Electricity!$M:$M,Predev_Scenarios!$A205,Electricity!$P:$P,Predev_Scenarios!$B205,Electricity!$O:$O,Predev_Scenarios!$D205)*-1</f>
        <v>0.11323957575000004</v>
      </c>
      <c r="L205" s="63">
        <f t="shared" si="13"/>
        <v>-3.1327875978508674E-7</v>
      </c>
      <c r="M205" s="63">
        <f t="shared" si="14"/>
        <v>-2.2848967867537714E-7</v>
      </c>
      <c r="N205" s="63">
        <f t="shared" si="15"/>
        <v>-3.9806783737952593E-7</v>
      </c>
      <c r="O205" s="30">
        <f>IF(OR(LEFT($D205,5)="Solar",$D205="Wind"),INDEX(Land_Use[AVG],MATCH(LEFT($D205,5),Land_Use[Tech],0)),0)*$E205</f>
        <v>3919.3249999999998</v>
      </c>
      <c r="P205" s="30">
        <f>IF(OR(LEFT($D205,5)="Solar",$D205="Wind"),INDEX(Land_Use[MIN],MATCH(LEFT($D205,5),Land_Use[Tech],0)),0)*$E205</f>
        <v>1254.1840000000002</v>
      </c>
      <c r="Q205" s="30">
        <f>IF(OR(LEFT($D205,5)="Solar",$D205="Wind"),INDEX(Land_Use[MAX],MATCH(LEFT($D205,5),Land_Use[Tech],0)),0)*$E205</f>
        <v>6584.4660000000003</v>
      </c>
      <c r="R205" s="31">
        <f>IFERROR(INDEX(WaterUseH2[Average Direct Water Consumption (Gal/ kg h2)],MATCH(LEFT(D205,3),WaterUseH2[Key],0)),0)</f>
        <v>0</v>
      </c>
      <c r="S205" s="15">
        <f t="shared" si="16"/>
        <v>0</v>
      </c>
    </row>
    <row r="206" spans="1:19" x14ac:dyDescent="0.35">
      <c r="A206" t="s">
        <v>107</v>
      </c>
      <c r="B206">
        <v>2039</v>
      </c>
      <c r="C206" t="s">
        <v>41</v>
      </c>
      <c r="D206" t="s">
        <v>83</v>
      </c>
      <c r="E206" s="12">
        <f>SUMIFS(Electricity!$R:$R,Electricity!$P:$P,$B206,Electricity!$O:$O,$D206,Electricity!$M:$M,$A206)</f>
        <v>1680.68</v>
      </c>
      <c r="F206" t="s">
        <v>81</v>
      </c>
      <c r="G206" s="31">
        <f>H206/Assumptions!$B$23/1000000000000</f>
        <v>1.3444804922686347E-2</v>
      </c>
      <c r="H206" s="13">
        <f>IF(C206="Electricity",E206*SUMIFS(Electricity!S:S,Electricity!P:P,Predev_Scenarios!B206,Electricity!M:M,Predev_Scenarios!A206,Electricity!O:O,Predev_Scenarios!D206),"")</f>
        <v>3734852.1125039691</v>
      </c>
      <c r="I206" s="59">
        <f>SUMIFS(Electricity!U:U,Electricity!$M:$M,Predev_Scenarios!$A206,Electricity!$P:$P,Predev_Scenarios!$B206,Electricity!$O:$O,Predev_Scenarios!$D206)*-1</f>
        <v>8.489544319999992E-2</v>
      </c>
      <c r="J206" s="59">
        <f>SUMIFS(Electricity!V:V,Electricity!$M:$M,Predev_Scenarios!$A206,Electricity!$P:$P,Predev_Scenarios!$B206,Electricity!$O:$O,Predev_Scenarios!$D206)*-1</f>
        <v>5.984139090000009E-2</v>
      </c>
      <c r="K206" s="59">
        <f>SUMIFS(Electricity!W:W,Electricity!$M:$M,Predev_Scenarios!$A206,Electricity!$P:$P,Predev_Scenarios!$B206,Electricity!$O:$O,Predev_Scenarios!$D206)*-1</f>
        <v>0.10994949450000004</v>
      </c>
      <c r="L206" s="63">
        <f t="shared" si="13"/>
        <v>-3.1707192537748046E-7</v>
      </c>
      <c r="M206" s="63">
        <f t="shared" si="14"/>
        <v>-2.2349874521804114E-7</v>
      </c>
      <c r="N206" s="63">
        <f t="shared" si="15"/>
        <v>-4.1064510180206868E-7</v>
      </c>
      <c r="O206" s="30">
        <f>IF(OR(LEFT($D206,5)="Solar",$D206="Wind"),INDEX(Land_Use[AVG],MATCH(LEFT($D206,5),Land_Use[Tech],0)),0)*$E206</f>
        <v>4201.7</v>
      </c>
      <c r="P206" s="30">
        <f>IF(OR(LEFT($D206,5)="Solar",$D206="Wind"),INDEX(Land_Use[MIN],MATCH(LEFT($D206,5),Land_Use[Tech],0)),0)*$E206</f>
        <v>1344.5440000000001</v>
      </c>
      <c r="Q206" s="30">
        <f>IF(OR(LEFT($D206,5)="Solar",$D206="Wind"),INDEX(Land_Use[MAX],MATCH(LEFT($D206,5),Land_Use[Tech],0)),0)*$E206</f>
        <v>7058.8560000000007</v>
      </c>
      <c r="R206" s="31">
        <f>IFERROR(INDEX(WaterUseH2[Average Direct Water Consumption (Gal/ kg h2)],MATCH(LEFT(D206,3),WaterUseH2[Key],0)),0)</f>
        <v>0</v>
      </c>
      <c r="S206" s="15">
        <f t="shared" si="16"/>
        <v>0</v>
      </c>
    </row>
    <row r="207" spans="1:19" x14ac:dyDescent="0.35">
      <c r="A207" t="s">
        <v>107</v>
      </c>
      <c r="B207">
        <v>2040</v>
      </c>
      <c r="C207" t="s">
        <v>41</v>
      </c>
      <c r="D207" t="s">
        <v>83</v>
      </c>
      <c r="E207" s="12">
        <f>SUMIFS(Electricity!$R:$R,Electricity!$P:$P,$B207,Electricity!$O:$O,$D207,Electricity!$M:$M,$A207)</f>
        <v>1793.63</v>
      </c>
      <c r="F207" t="s">
        <v>81</v>
      </c>
      <c r="G207" s="31">
        <f>H207/Assumptions!$B$23/1000000000000</f>
        <v>1.4218958874616518E-2</v>
      </c>
      <c r="H207" s="13">
        <f>IF(C207="Electricity",E207*SUMIFS(Electricity!S:S,Electricity!P:P,Predev_Scenarios!B207,Electricity!M:M,Predev_Scenarios!A207,Electricity!O:O,Predev_Scenarios!D207),"")</f>
        <v>3949905.4761932348</v>
      </c>
      <c r="I207" s="59">
        <f>SUMIFS(Electricity!U:U,Electricity!$M:$M,Predev_Scenarios!$A207,Electricity!$P:$P,Predev_Scenarios!$B207,Electricity!$O:$O,Predev_Scenarios!$D207)*-1</f>
        <v>8.0671518999999914E-2</v>
      </c>
      <c r="J207" s="59">
        <f>SUMIFS(Electricity!V:V,Electricity!$M:$M,Predev_Scenarios!$A207,Electricity!$P:$P,Predev_Scenarios!$B207,Electricity!$O:$O,Predev_Scenarios!$D207)*-1</f>
        <v>5.468362375000009E-2</v>
      </c>
      <c r="K207" s="59">
        <f>SUMIFS(Electricity!W:W,Electricity!$M:$M,Predev_Scenarios!$A207,Electricity!$P:$P,Predev_Scenarios!$B207,Electricity!$O:$O,Predev_Scenarios!$D207)*-1</f>
        <v>0.10665941325000003</v>
      </c>
      <c r="L207" s="63">
        <f t="shared" si="13"/>
        <v>-3.1864487467092622E-7</v>
      </c>
      <c r="M207" s="63">
        <f t="shared" si="14"/>
        <v>-2.1599514490821577E-7</v>
      </c>
      <c r="N207" s="63">
        <f t="shared" si="15"/>
        <v>-4.2129460048373236E-7</v>
      </c>
      <c r="O207" s="30">
        <f>IF(OR(LEFT($D207,5)="Solar",$D207="Wind"),INDEX(Land_Use[AVG],MATCH(LEFT($D207,5),Land_Use[Tech],0)),0)*$E207</f>
        <v>4484.0750000000007</v>
      </c>
      <c r="P207" s="30">
        <f>IF(OR(LEFT($D207,5)="Solar",$D207="Wind"),INDEX(Land_Use[MIN],MATCH(LEFT($D207,5),Land_Use[Tech],0)),0)*$E207</f>
        <v>1434.9040000000002</v>
      </c>
      <c r="Q207" s="30">
        <f>IF(OR(LEFT($D207,5)="Solar",$D207="Wind"),INDEX(Land_Use[MAX],MATCH(LEFT($D207,5),Land_Use[Tech],0)),0)*$E207</f>
        <v>7533.246000000001</v>
      </c>
      <c r="R207" s="31">
        <f>IFERROR(INDEX(WaterUseH2[Average Direct Water Consumption (Gal/ kg h2)],MATCH(LEFT(D207,3),WaterUseH2[Key],0)),0)</f>
        <v>0</v>
      </c>
      <c r="S207" s="15">
        <f t="shared" si="16"/>
        <v>0</v>
      </c>
    </row>
    <row r="208" spans="1:19" x14ac:dyDescent="0.35">
      <c r="A208" t="s">
        <v>107</v>
      </c>
      <c r="B208">
        <v>2041</v>
      </c>
      <c r="C208" t="s">
        <v>41</v>
      </c>
      <c r="D208" t="s">
        <v>83</v>
      </c>
      <c r="E208" s="12">
        <f>SUMIFS(Electricity!$R:$R,Electricity!$P:$P,$B208,Electricity!$O:$O,$D208,Electricity!$M:$M,$A208)</f>
        <v>1906.5800000000002</v>
      </c>
      <c r="F208" t="s">
        <v>81</v>
      </c>
      <c r="G208" s="31">
        <f>H208/Assumptions!$B$23/1000000000000</f>
        <v>1.4976815027796844E-2</v>
      </c>
      <c r="H208" s="13">
        <f>IF(C208="Electricity",E208*SUMIFS(Electricity!S:S,Electricity!P:P,Predev_Scenarios!B208,Electricity!M:M,Predev_Scenarios!A208,Electricity!O:O,Predev_Scenarios!D208),"")</f>
        <v>4160431.450423148</v>
      </c>
      <c r="I208" s="59">
        <f>SUMIFS(Electricity!U:U,Electricity!$M:$M,Predev_Scenarios!$A208,Electricity!$P:$P,Predev_Scenarios!$B208,Electricity!$O:$O,Predev_Scenarios!$D208)*-1</f>
        <v>7.6447594799999907E-2</v>
      </c>
      <c r="J208" s="59">
        <f>SUMIFS(Electricity!V:V,Electricity!$M:$M,Predev_Scenarios!$A208,Electricity!$P:$P,Predev_Scenarios!$B208,Electricity!$O:$O,Predev_Scenarios!$D208)*-1</f>
        <v>4.9525856600000091E-2</v>
      </c>
      <c r="K208" s="59">
        <f>SUMIFS(Electricity!W:W,Electricity!$M:$M,Predev_Scenarios!$A208,Electricity!$P:$P,Predev_Scenarios!$B208,Electricity!$O:$O,Predev_Scenarios!$D208)*-1</f>
        <v>0.10336933200000002</v>
      </c>
      <c r="L208" s="63">
        <f t="shared" si="13"/>
        <v>-3.1805497771512474E-7</v>
      </c>
      <c r="M208" s="63">
        <f t="shared" si="14"/>
        <v>-2.0604893140778724E-7</v>
      </c>
      <c r="N208" s="63">
        <f t="shared" si="15"/>
        <v>-4.3006101986203207E-7</v>
      </c>
      <c r="O208" s="30">
        <f>IF(OR(LEFT($D208,5)="Solar",$D208="Wind"),INDEX(Land_Use[AVG],MATCH(LEFT($D208,5),Land_Use[Tech],0)),0)*$E208</f>
        <v>4766.4500000000007</v>
      </c>
      <c r="P208" s="30">
        <f>IF(OR(LEFT($D208,5)="Solar",$D208="Wind"),INDEX(Land_Use[MIN],MATCH(LEFT($D208,5),Land_Use[Tech],0)),0)*$E208</f>
        <v>1525.2640000000001</v>
      </c>
      <c r="Q208" s="30">
        <f>IF(OR(LEFT($D208,5)="Solar",$D208="Wind"),INDEX(Land_Use[MAX],MATCH(LEFT($D208,5),Land_Use[Tech],0)),0)*$E208</f>
        <v>8007.6360000000013</v>
      </c>
      <c r="R208" s="31">
        <f>IFERROR(INDEX(WaterUseH2[Average Direct Water Consumption (Gal/ kg h2)],MATCH(LEFT(D208,3),WaterUseH2[Key],0)),0)</f>
        <v>0</v>
      </c>
      <c r="S208" s="15">
        <f t="shared" si="16"/>
        <v>0</v>
      </c>
    </row>
    <row r="209" spans="1:19" x14ac:dyDescent="0.35">
      <c r="A209" t="s">
        <v>107</v>
      </c>
      <c r="B209">
        <v>2042</v>
      </c>
      <c r="C209" t="s">
        <v>41</v>
      </c>
      <c r="D209" t="s">
        <v>83</v>
      </c>
      <c r="E209" s="12">
        <f>SUMIFS(Electricity!$R:$R,Electricity!$P:$P,$B209,Electricity!$O:$O,$D209,Electricity!$M:$M,$A209)</f>
        <v>2019.53</v>
      </c>
      <c r="F209" t="s">
        <v>81</v>
      </c>
      <c r="G209" s="31">
        <f>H209/Assumptions!$B$23/1000000000000</f>
        <v>1.5718373382227327E-2</v>
      </c>
      <c r="H209" s="13">
        <f>IF(C209="Electricity",E209*SUMIFS(Electricity!S:S,Electricity!P:P,Predev_Scenarios!B209,Electricity!M:M,Predev_Scenarios!A209,Electricity!O:O,Predev_Scenarios!D209),"")</f>
        <v>4366430.0351937087</v>
      </c>
      <c r="I209" s="59">
        <f>SUMIFS(Electricity!U:U,Electricity!$M:$M,Predev_Scenarios!$A209,Electricity!$P:$P,Predev_Scenarios!$B209,Electricity!$O:$O,Predev_Scenarios!$D209)*-1</f>
        <v>7.2223670599999901E-2</v>
      </c>
      <c r="J209" s="59">
        <f>SUMIFS(Electricity!V:V,Electricity!$M:$M,Predev_Scenarios!$A209,Electricity!$P:$P,Predev_Scenarios!$B209,Electricity!$O:$O,Predev_Scenarios!$D209)*-1</f>
        <v>4.4368089450000092E-2</v>
      </c>
      <c r="K209" s="59">
        <f>SUMIFS(Electricity!W:W,Electricity!$M:$M,Predev_Scenarios!$A209,Electricity!$P:$P,Predev_Scenarios!$B209,Electricity!$O:$O,Predev_Scenarios!$D209)*-1</f>
        <v>0.10007925075000002</v>
      </c>
      <c r="L209" s="63">
        <f t="shared" si="13"/>
        <v>-3.1535960455977642E-7</v>
      </c>
      <c r="M209" s="63">
        <f t="shared" si="14"/>
        <v>-1.9373015837864153E-7</v>
      </c>
      <c r="N209" s="63">
        <f t="shared" si="15"/>
        <v>-4.3698904637448256E-7</v>
      </c>
      <c r="O209" s="30">
        <f>IF(OR(LEFT($D209,5)="Solar",$D209="Wind"),INDEX(Land_Use[AVG],MATCH(LEFT($D209,5),Land_Use[Tech],0)),0)*$E209</f>
        <v>5048.8249999999998</v>
      </c>
      <c r="P209" s="30">
        <f>IF(OR(LEFT($D209,5)="Solar",$D209="Wind"),INDEX(Land_Use[MIN],MATCH(LEFT($D209,5),Land_Use[Tech],0)),0)*$E209</f>
        <v>1615.624</v>
      </c>
      <c r="Q209" s="30">
        <f>IF(OR(LEFT($D209,5)="Solar",$D209="Wind"),INDEX(Land_Use[MAX],MATCH(LEFT($D209,5),Land_Use[Tech],0)),0)*$E209</f>
        <v>8482.0259999999998</v>
      </c>
      <c r="R209" s="31">
        <f>IFERROR(INDEX(WaterUseH2[Average Direct Water Consumption (Gal/ kg h2)],MATCH(LEFT(D209,3),WaterUseH2[Key],0)),0)</f>
        <v>0</v>
      </c>
      <c r="S209" s="15">
        <f t="shared" si="16"/>
        <v>0</v>
      </c>
    </row>
    <row r="210" spans="1:19" x14ac:dyDescent="0.35">
      <c r="A210" t="s">
        <v>107</v>
      </c>
      <c r="B210">
        <v>2043</v>
      </c>
      <c r="C210" t="s">
        <v>41</v>
      </c>
      <c r="D210" t="s">
        <v>83</v>
      </c>
      <c r="E210" s="12">
        <f>SUMIFS(Electricity!$R:$R,Electricity!$P:$P,$B210,Electricity!$O:$O,$D210,Electricity!$M:$M,$A210)</f>
        <v>2132.4800000000005</v>
      </c>
      <c r="F210" t="s">
        <v>81</v>
      </c>
      <c r="G210" s="31">
        <f>H210/Assumptions!$B$23/1000000000000</f>
        <v>1.6443633937907973E-2</v>
      </c>
      <c r="H210" s="13">
        <f>IF(C210="Electricity",E210*SUMIFS(Electricity!S:S,Electricity!P:P,Predev_Scenarios!B210,Electricity!M:M,Predev_Scenarios!A210,Electricity!O:O,Predev_Scenarios!D210),"")</f>
        <v>4567901.2305049188</v>
      </c>
      <c r="I210" s="59">
        <f>SUMIFS(Electricity!U:U,Electricity!$M:$M,Predev_Scenarios!$A210,Electricity!$P:$P,Predev_Scenarios!$B210,Electricity!$O:$O,Predev_Scenarios!$D210)*-1</f>
        <v>6.7999746399999894E-2</v>
      </c>
      <c r="J210" s="59">
        <f>SUMIFS(Electricity!V:V,Electricity!$M:$M,Predev_Scenarios!$A210,Electricity!$P:$P,Predev_Scenarios!$B210,Electricity!$O:$O,Predev_Scenarios!$D210)*-1</f>
        <v>3.9210322300000093E-2</v>
      </c>
      <c r="K210" s="59">
        <f>SUMIFS(Electricity!W:W,Electricity!$M:$M,Predev_Scenarios!$A210,Electricity!$P:$P,Predev_Scenarios!$B210,Electricity!$O:$O,Predev_Scenarios!$D210)*-1</f>
        <v>9.6789169500000008E-2</v>
      </c>
      <c r="L210" s="63">
        <f t="shared" si="13"/>
        <v>-3.1061612525458198E-7</v>
      </c>
      <c r="M210" s="63">
        <f t="shared" si="14"/>
        <v>-1.7910887948266489E-7</v>
      </c>
      <c r="N210" s="63">
        <f t="shared" si="15"/>
        <v>-4.4212336645859923E-7</v>
      </c>
      <c r="O210" s="30">
        <f>IF(OR(LEFT($D210,5)="Solar",$D210="Wind"),INDEX(Land_Use[AVG],MATCH(LEFT($D210,5),Land_Use[Tech],0)),0)*$E210</f>
        <v>5331.2000000000007</v>
      </c>
      <c r="P210" s="30">
        <f>IF(OR(LEFT($D210,5)="Solar",$D210="Wind"),INDEX(Land_Use[MIN],MATCH(LEFT($D210,5),Land_Use[Tech],0)),0)*$E210</f>
        <v>1705.9840000000004</v>
      </c>
      <c r="Q210" s="30">
        <f>IF(OR(LEFT($D210,5)="Solar",$D210="Wind"),INDEX(Land_Use[MAX],MATCH(LEFT($D210,5),Land_Use[Tech],0)),0)*$E210</f>
        <v>8956.4160000000029</v>
      </c>
      <c r="R210" s="31">
        <f>IFERROR(INDEX(WaterUseH2[Average Direct Water Consumption (Gal/ kg h2)],MATCH(LEFT(D210,3),WaterUseH2[Key],0)),0)</f>
        <v>0</v>
      </c>
      <c r="S210" s="15">
        <f t="shared" si="16"/>
        <v>0</v>
      </c>
    </row>
    <row r="211" spans="1:19" x14ac:dyDescent="0.35">
      <c r="A211" t="s">
        <v>107</v>
      </c>
      <c r="B211">
        <v>2044</v>
      </c>
      <c r="C211" t="s">
        <v>41</v>
      </c>
      <c r="D211" t="s">
        <v>83</v>
      </c>
      <c r="E211" s="12">
        <f>SUMIFS(Electricity!$R:$R,Electricity!$P:$P,$B211,Electricity!$O:$O,$D211,Electricity!$M:$M,$A211)</f>
        <v>2245.4300000000003</v>
      </c>
      <c r="F211" t="s">
        <v>81</v>
      </c>
      <c r="G211" s="31">
        <f>H211/Assumptions!$B$23/1000000000000</f>
        <v>1.7152596694838769E-2</v>
      </c>
      <c r="H211" s="13">
        <f>IF(C211="Electricity",E211*SUMIFS(Electricity!S:S,Electricity!P:P,Predev_Scenarios!B211,Electricity!M:M,Predev_Scenarios!A211,Electricity!O:O,Predev_Scenarios!D211),"")</f>
        <v>4764845.0363567751</v>
      </c>
      <c r="I211" s="59">
        <f>SUMIFS(Electricity!U:U,Electricity!$M:$M,Predev_Scenarios!$A211,Electricity!$P:$P,Predev_Scenarios!$B211,Electricity!$O:$O,Predev_Scenarios!$D211)*-1</f>
        <v>6.3775822199999888E-2</v>
      </c>
      <c r="J211" s="59">
        <f>SUMIFS(Electricity!V:V,Electricity!$M:$M,Predev_Scenarios!$A211,Electricity!$P:$P,Predev_Scenarios!$B211,Electricity!$O:$O,Predev_Scenarios!$D211)*-1</f>
        <v>3.4052555150000094E-2</v>
      </c>
      <c r="K211" s="59">
        <f>SUMIFS(Electricity!W:W,Electricity!$M:$M,Predev_Scenarios!$A211,Electricity!$P:$P,Predev_Scenarios!$B211,Electricity!$O:$O,Predev_Scenarios!$D211)*-1</f>
        <v>9.3499088250000001E-2</v>
      </c>
      <c r="L211" s="63">
        <f t="shared" si="13"/>
        <v>-3.0388190984924173E-7</v>
      </c>
      <c r="M211" s="63">
        <f t="shared" si="14"/>
        <v>-1.622551483817433E-7</v>
      </c>
      <c r="N211" s="63">
        <f t="shared" si="15"/>
        <v>-4.455086665518966E-7</v>
      </c>
      <c r="O211" s="30">
        <f>IF(OR(LEFT($D211,5)="Solar",$D211="Wind"),INDEX(Land_Use[AVG],MATCH(LEFT($D211,5),Land_Use[Tech],0)),0)*$E211</f>
        <v>5613.5750000000007</v>
      </c>
      <c r="P211" s="30">
        <f>IF(OR(LEFT($D211,5)="Solar",$D211="Wind"),INDEX(Land_Use[MIN],MATCH(LEFT($D211,5),Land_Use[Tech],0)),0)*$E211</f>
        <v>1796.3440000000003</v>
      </c>
      <c r="Q211" s="30">
        <f>IF(OR(LEFT($D211,5)="Solar",$D211="Wind"),INDEX(Land_Use[MAX],MATCH(LEFT($D211,5),Land_Use[Tech],0)),0)*$E211</f>
        <v>9430.8060000000023</v>
      </c>
      <c r="R211" s="31">
        <f>IFERROR(INDEX(WaterUseH2[Average Direct Water Consumption (Gal/ kg h2)],MATCH(LEFT(D211,3),WaterUseH2[Key],0)),0)</f>
        <v>0</v>
      </c>
      <c r="S211" s="15">
        <f t="shared" si="16"/>
        <v>0</v>
      </c>
    </row>
    <row r="212" spans="1:19" x14ac:dyDescent="0.35">
      <c r="A212" t="s">
        <v>107</v>
      </c>
      <c r="B212">
        <v>2045</v>
      </c>
      <c r="C212" t="s">
        <v>41</v>
      </c>
      <c r="D212" t="s">
        <v>83</v>
      </c>
      <c r="E212" s="12">
        <f>SUMIFS(Electricity!$R:$R,Electricity!$P:$P,$B212,Electricity!$O:$O,$D212,Electricity!$M:$M,$A212)</f>
        <v>2358.38</v>
      </c>
      <c r="F212" t="s">
        <v>81</v>
      </c>
      <c r="G212" s="31">
        <f>H212/Assumptions!$B$23/1000000000000</f>
        <v>1.7845261653019723E-2</v>
      </c>
      <c r="H212" s="13">
        <f>IF(C212="Electricity",E212*SUMIFS(Electricity!S:S,Electricity!P:P,Predev_Scenarios!B212,Electricity!M:M,Predev_Scenarios!A212,Electricity!O:O,Predev_Scenarios!D212),"")</f>
        <v>4957261.4527492793</v>
      </c>
      <c r="I212" s="59">
        <f>SUMIFS(Electricity!U:U,Electricity!$M:$M,Predev_Scenarios!$A212,Electricity!$P:$P,Predev_Scenarios!$B212,Electricity!$O:$O,Predev_Scenarios!$D212)*-1</f>
        <v>5.9551897999999888E-2</v>
      </c>
      <c r="J212" s="59">
        <f>SUMIFS(Electricity!V:V,Electricity!$M:$M,Predev_Scenarios!$A212,Electricity!$P:$P,Predev_Scenarios!$B212,Electricity!$O:$O,Predev_Scenarios!$D212)*-1</f>
        <v>2.8894788000000095E-2</v>
      </c>
      <c r="K212" s="59">
        <f>SUMIFS(Electricity!W:W,Electricity!$M:$M,Predev_Scenarios!$A212,Electricity!$P:$P,Predev_Scenarios!$B212,Electricity!$O:$O,Predev_Scenarios!$D212)*-1</f>
        <v>9.0209006999999994E-2</v>
      </c>
      <c r="L212" s="63">
        <f t="shared" si="13"/>
        <v>-2.9521432839345637E-7</v>
      </c>
      <c r="M212" s="63">
        <f t="shared" si="14"/>
        <v>-1.4323901873776293E-7</v>
      </c>
      <c r="N212" s="63">
        <f t="shared" si="15"/>
        <v>-4.4718963309188991E-7</v>
      </c>
      <c r="O212" s="30">
        <f>IF(OR(LEFT($D212,5)="Solar",$D212="Wind"),INDEX(Land_Use[AVG],MATCH(LEFT($D212,5),Land_Use[Tech],0)),0)*$E212</f>
        <v>5895.9500000000007</v>
      </c>
      <c r="P212" s="30">
        <f>IF(OR(LEFT($D212,5)="Solar",$D212="Wind"),INDEX(Land_Use[MIN],MATCH(LEFT($D212,5),Land_Use[Tech],0)),0)*$E212</f>
        <v>1886.7040000000002</v>
      </c>
      <c r="Q212" s="30">
        <f>IF(OR(LEFT($D212,5)="Solar",$D212="Wind"),INDEX(Land_Use[MAX],MATCH(LEFT($D212,5),Land_Use[Tech],0)),0)*$E212</f>
        <v>9905.1960000000017</v>
      </c>
      <c r="R212" s="31">
        <f>IFERROR(INDEX(WaterUseH2[Average Direct Water Consumption (Gal/ kg h2)],MATCH(LEFT(D212,3),WaterUseH2[Key],0)),0)</f>
        <v>0</v>
      </c>
      <c r="S212" s="15">
        <f t="shared" si="16"/>
        <v>0</v>
      </c>
    </row>
    <row r="213" spans="1:19" x14ac:dyDescent="0.35">
      <c r="A213" t="s">
        <v>76</v>
      </c>
      <c r="B213">
        <v>2025</v>
      </c>
      <c r="C213" t="s">
        <v>41</v>
      </c>
      <c r="D213" t="s">
        <v>84</v>
      </c>
      <c r="E213" s="12">
        <f>SUMIFS(Electricity!$R:$R,Electricity!$P:$P,$B213,Electricity!$O:$O,$D213,Electricity!$M:$M,$A213)</f>
        <v>0</v>
      </c>
      <c r="F213" t="s">
        <v>81</v>
      </c>
      <c r="G213" s="31">
        <f>H213/Assumptions!$B$23/1000000000000</f>
        <v>0</v>
      </c>
      <c r="H213" s="13">
        <f>IF(C213="Electricity",E213*SUMIFS(Electricity!S:S,Electricity!P:P,Predev_Scenarios!B213,Electricity!M:M,Predev_Scenarios!A213,Electricity!O:O,Predev_Scenarios!D213),"")</f>
        <v>0</v>
      </c>
      <c r="I213" s="59">
        <f>SUMIFS(Electricity!U:U,Electricity!$M:$M,Predev_Scenarios!$A213,Electricity!$P:$P,Predev_Scenarios!$B213,Electricity!$O:$O,Predev_Scenarios!$D213)*-1</f>
        <v>0.14403038200000001</v>
      </c>
      <c r="J213" s="59">
        <f>SUMIFS(Electricity!V:V,Electricity!$M:$M,Predev_Scenarios!$A213,Electricity!$P:$P,Predev_Scenarios!$B213,Electricity!$O:$O,Predev_Scenarios!$D213)*-1</f>
        <v>0.13205013099999999</v>
      </c>
      <c r="K213" s="59">
        <f>SUMIFS(Electricity!W:W,Electricity!$M:$M,Predev_Scenarios!$A213,Electricity!$P:$P,Predev_Scenarios!$B213,Electricity!$O:$O,Predev_Scenarios!$D213)*-1</f>
        <v>0.15601063200000001</v>
      </c>
      <c r="L213" s="63">
        <f t="shared" ref="L213:L276" si="17">IF($C213="Electricity",$H213/1000000000000,$G213)*I213*-1</f>
        <v>0</v>
      </c>
      <c r="M213" s="63">
        <f t="shared" ref="M213:M276" si="18">IF($C213="Electricity",$H213/1000000000000,$G213)*J213*-1</f>
        <v>0</v>
      </c>
      <c r="N213" s="63">
        <f t="shared" ref="N213:N276" si="19">IF($C213="Electricity",$H213/1000000000000,$G213)*K213*-1</f>
        <v>0</v>
      </c>
      <c r="O213" s="30">
        <f>IF(OR(LEFT($D213,5)="Solar",$D213="Wind"),INDEX(Land_Use[AVG],MATCH(LEFT($D213,5),Land_Use[Tech],0)),0)*$E213</f>
        <v>0</v>
      </c>
      <c r="P213" s="30">
        <f>IF(OR(LEFT($D213,5)="Solar",$D213="Wind"),INDEX(Land_Use[MIN],MATCH(LEFT($D213,5),Land_Use[Tech],0)),0)*$E213</f>
        <v>0</v>
      </c>
      <c r="Q213" s="30">
        <f>IF(OR(LEFT($D213,5)="Solar",$D213="Wind"),INDEX(Land_Use[MAX],MATCH(LEFT($D213,5),Land_Use[Tech],0)),0)*$E213</f>
        <v>0</v>
      </c>
      <c r="R213" s="31">
        <f>IFERROR(INDEX(WaterUseH2[Average Direct Water Consumption (Gal/ kg h2)],MATCH(LEFT(D213,3),WaterUseH2[Key],0)),0)</f>
        <v>4.0999999999999996</v>
      </c>
      <c r="S213" s="15">
        <f t="shared" ref="S213:S276" si="20">E213*R213*1000/1000000</f>
        <v>0</v>
      </c>
    </row>
    <row r="214" spans="1:19" x14ac:dyDescent="0.35">
      <c r="A214" t="s">
        <v>76</v>
      </c>
      <c r="B214">
        <v>2026</v>
      </c>
      <c r="C214" t="s">
        <v>41</v>
      </c>
      <c r="D214" t="s">
        <v>84</v>
      </c>
      <c r="E214" s="12">
        <f>SUMIFS(Electricity!$R:$R,Electricity!$P:$P,$B214,Electricity!$O:$O,$D214,Electricity!$M:$M,$A214)</f>
        <v>5</v>
      </c>
      <c r="F214" t="s">
        <v>81</v>
      </c>
      <c r="G214" s="31">
        <f>H214/Assumptions!$B$23/1000000000000</f>
        <v>1.0784054976135365E-4</v>
      </c>
      <c r="H214" s="13">
        <f>IF(C214="Electricity",E214*SUMIFS(Electricity!S:S,Electricity!P:P,Predev_Scenarios!B214,Electricity!M:M,Predev_Scenarios!A214,Electricity!O:O,Predev_Scenarios!D214),"")</f>
        <v>29957.184756928829</v>
      </c>
      <c r="I214" s="59">
        <f>SUMIFS(Electricity!U:U,Electricity!$M:$M,Predev_Scenarios!$A214,Electricity!$P:$P,Predev_Scenarios!$B214,Electricity!$O:$O,Predev_Scenarios!$D214)*-1</f>
        <v>0.13980645780000001</v>
      </c>
      <c r="J214" s="59">
        <f>SUMIFS(Electricity!V:V,Electricity!$M:$M,Predev_Scenarios!$A214,Electricity!$P:$P,Predev_Scenarios!$B214,Electricity!$O:$O,Predev_Scenarios!$D214)*-1</f>
        <v>0.12689236385</v>
      </c>
      <c r="K214" s="59">
        <f>SUMIFS(Electricity!W:W,Electricity!$M:$M,Predev_Scenarios!$A214,Electricity!$P:$P,Predev_Scenarios!$B214,Electricity!$O:$O,Predev_Scenarios!$D214)*-1</f>
        <v>0.15272055075000002</v>
      </c>
      <c r="L214" s="63">
        <f t="shared" si="17"/>
        <v>-4.1882078865263744E-9</v>
      </c>
      <c r="M214" s="63">
        <f t="shared" si="18"/>
        <v>-3.8013379880978874E-9</v>
      </c>
      <c r="N214" s="63">
        <f t="shared" si="19"/>
        <v>-4.5750777549976768E-9</v>
      </c>
      <c r="O214" s="30">
        <f>IF(OR(LEFT($D214,5)="Solar",$D214="Wind"),INDEX(Land_Use[AVG],MATCH(LEFT($D214,5),Land_Use[Tech],0)),0)*$E214</f>
        <v>0</v>
      </c>
      <c r="P214" s="30">
        <f>IF(OR(LEFT($D214,5)="Solar",$D214="Wind"),INDEX(Land_Use[MIN],MATCH(LEFT($D214,5),Land_Use[Tech],0)),0)*$E214</f>
        <v>0</v>
      </c>
      <c r="Q214" s="30">
        <f>IF(OR(LEFT($D214,5)="Solar",$D214="Wind"),INDEX(Land_Use[MAX],MATCH(LEFT($D214,5),Land_Use[Tech],0)),0)*$E214</f>
        <v>0</v>
      </c>
      <c r="R214" s="31">
        <f>IFERROR(INDEX(WaterUseH2[Average Direct Water Consumption (Gal/ kg h2)],MATCH(LEFT(D214,3),WaterUseH2[Key],0)),0)</f>
        <v>4.0999999999999996</v>
      </c>
      <c r="S214" s="15">
        <f t="shared" si="20"/>
        <v>2.0500000000000001E-2</v>
      </c>
    </row>
    <row r="215" spans="1:19" x14ac:dyDescent="0.35">
      <c r="A215" t="s">
        <v>76</v>
      </c>
      <c r="B215">
        <v>2027</v>
      </c>
      <c r="C215" t="s">
        <v>41</v>
      </c>
      <c r="D215" t="s">
        <v>84</v>
      </c>
      <c r="E215" s="12">
        <f>SUMIFS(Electricity!$R:$R,Electricity!$P:$P,$B215,Electricity!$O:$O,$D215,Electricity!$M:$M,$A215)</f>
        <v>5</v>
      </c>
      <c r="F215" t="s">
        <v>81</v>
      </c>
      <c r="G215" s="31">
        <f>H215/Assumptions!$B$23/1000000000000</f>
        <v>1.0705490865668689E-4</v>
      </c>
      <c r="H215" s="13">
        <f>IF(C215="Electricity",E215*SUMIFS(Electricity!S:S,Electricity!P:P,Predev_Scenarios!B215,Electricity!M:M,Predev_Scenarios!A215,Electricity!O:O,Predev_Scenarios!D215),"")</f>
        <v>29738.940360204004</v>
      </c>
      <c r="I215" s="59">
        <f>SUMIFS(Electricity!U:U,Electricity!$M:$M,Predev_Scenarios!$A215,Electricity!$P:$P,Predev_Scenarios!$B215,Electricity!$O:$O,Predev_Scenarios!$D215)*-1</f>
        <v>0.1355825336</v>
      </c>
      <c r="J215" s="59">
        <f>SUMIFS(Electricity!V:V,Electricity!$M:$M,Predev_Scenarios!$A215,Electricity!$P:$P,Predev_Scenarios!$B215,Electricity!$O:$O,Predev_Scenarios!$D215)*-1</f>
        <v>0.1217345967</v>
      </c>
      <c r="K215" s="59">
        <f>SUMIFS(Electricity!W:W,Electricity!$M:$M,Predev_Scenarios!$A215,Electricity!$P:$P,Predev_Scenarios!$B215,Electricity!$O:$O,Predev_Scenarios!$D215)*-1</f>
        <v>0.14943046950000002</v>
      </c>
      <c r="L215" s="63">
        <f t="shared" si="17"/>
        <v>-4.0320808806157555E-9</v>
      </c>
      <c r="M215" s="63">
        <f t="shared" si="18"/>
        <v>-3.6202579110347873E-9</v>
      </c>
      <c r="N215" s="63">
        <f t="shared" si="19"/>
        <v>-4.4439038204577837E-9</v>
      </c>
      <c r="O215" s="30">
        <f>IF(OR(LEFT($D215,5)="Solar",$D215="Wind"),INDEX(Land_Use[AVG],MATCH(LEFT($D215,5),Land_Use[Tech],0)),0)*$E215</f>
        <v>0</v>
      </c>
      <c r="P215" s="30">
        <f>IF(OR(LEFT($D215,5)="Solar",$D215="Wind"),INDEX(Land_Use[MIN],MATCH(LEFT($D215,5),Land_Use[Tech],0)),0)*$E215</f>
        <v>0</v>
      </c>
      <c r="Q215" s="30">
        <f>IF(OR(LEFT($D215,5)="Solar",$D215="Wind"),INDEX(Land_Use[MAX],MATCH(LEFT($D215,5),Land_Use[Tech],0)),0)*$E215</f>
        <v>0</v>
      </c>
      <c r="R215" s="31">
        <f>IFERROR(INDEX(WaterUseH2[Average Direct Water Consumption (Gal/ kg h2)],MATCH(LEFT(D215,3),WaterUseH2[Key],0)),0)</f>
        <v>4.0999999999999996</v>
      </c>
      <c r="S215" s="15">
        <f t="shared" si="20"/>
        <v>2.0500000000000001E-2</v>
      </c>
    </row>
    <row r="216" spans="1:19" x14ac:dyDescent="0.35">
      <c r="A216" t="s">
        <v>76</v>
      </c>
      <c r="B216">
        <v>2028</v>
      </c>
      <c r="C216" t="s">
        <v>41</v>
      </c>
      <c r="D216" t="s">
        <v>84</v>
      </c>
      <c r="E216" s="12">
        <f>SUMIFS(Electricity!$R:$R,Electricity!$P:$P,$B216,Electricity!$O:$O,$D216,Electricity!$M:$M,$A216)</f>
        <v>5</v>
      </c>
      <c r="F216" t="s">
        <v>81</v>
      </c>
      <c r="G216" s="31">
        <f>H216/Assumptions!$B$23/1000000000000</f>
        <v>1.0626926755202014E-4</v>
      </c>
      <c r="H216" s="13">
        <f>IF(C216="Electricity",E216*SUMIFS(Electricity!S:S,Electricity!P:P,Predev_Scenarios!B216,Electricity!M:M,Predev_Scenarios!A216,Electricity!O:O,Predev_Scenarios!D216),"")</f>
        <v>29520.695963479186</v>
      </c>
      <c r="I216" s="59">
        <f>SUMIFS(Electricity!U:U,Electricity!$M:$M,Predev_Scenarios!$A216,Electricity!$P:$P,Predev_Scenarios!$B216,Electricity!$O:$O,Predev_Scenarios!$D216)*-1</f>
        <v>0.13135860939999999</v>
      </c>
      <c r="J216" s="59">
        <f>SUMIFS(Electricity!V:V,Electricity!$M:$M,Predev_Scenarios!$A216,Electricity!$P:$P,Predev_Scenarios!$B216,Electricity!$O:$O,Predev_Scenarios!$D216)*-1</f>
        <v>0.11657682955000001</v>
      </c>
      <c r="K216" s="59">
        <f>SUMIFS(Electricity!W:W,Electricity!$M:$M,Predev_Scenarios!$A216,Electricity!$P:$P,Predev_Scenarios!$B216,Electricity!$O:$O,Predev_Scenarios!$D216)*-1</f>
        <v>0.14614038825000003</v>
      </c>
      <c r="L216" s="63">
        <f t="shared" si="17"/>
        <v>-3.8777975702828186E-9</v>
      </c>
      <c r="M216" s="63">
        <f t="shared" si="18"/>
        <v>-3.441429141531886E-9</v>
      </c>
      <c r="N216" s="63">
        <f t="shared" si="19"/>
        <v>-4.3141659695130564E-9</v>
      </c>
      <c r="O216" s="30">
        <f>IF(OR(LEFT($D216,5)="Solar",$D216="Wind"),INDEX(Land_Use[AVG],MATCH(LEFT($D216,5),Land_Use[Tech],0)),0)*$E216</f>
        <v>0</v>
      </c>
      <c r="P216" s="30">
        <f>IF(OR(LEFT($D216,5)="Solar",$D216="Wind"),INDEX(Land_Use[MIN],MATCH(LEFT($D216,5),Land_Use[Tech],0)),0)*$E216</f>
        <v>0</v>
      </c>
      <c r="Q216" s="30">
        <f>IF(OR(LEFT($D216,5)="Solar",$D216="Wind"),INDEX(Land_Use[MAX],MATCH(LEFT($D216,5),Land_Use[Tech],0)),0)*$E216</f>
        <v>0</v>
      </c>
      <c r="R216" s="31">
        <f>IFERROR(INDEX(WaterUseH2[Average Direct Water Consumption (Gal/ kg h2)],MATCH(LEFT(D216,3),WaterUseH2[Key],0)),0)</f>
        <v>4.0999999999999996</v>
      </c>
      <c r="S216" s="15">
        <f t="shared" si="20"/>
        <v>2.0500000000000001E-2</v>
      </c>
    </row>
    <row r="217" spans="1:19" x14ac:dyDescent="0.35">
      <c r="A217" t="s">
        <v>76</v>
      </c>
      <c r="B217">
        <v>2029</v>
      </c>
      <c r="C217" t="s">
        <v>41</v>
      </c>
      <c r="D217" t="s">
        <v>84</v>
      </c>
      <c r="E217" s="12">
        <f>SUMIFS(Electricity!$R:$R,Electricity!$P:$P,$B217,Electricity!$O:$O,$D217,Electricity!$M:$M,$A217)</f>
        <v>5</v>
      </c>
      <c r="F217" t="s">
        <v>81</v>
      </c>
      <c r="G217" s="31">
        <f>H217/Assumptions!$B$23/1000000000000</f>
        <v>1.0548362644735336E-4</v>
      </c>
      <c r="H217" s="13">
        <f>IF(C217="Electricity",E217*SUMIFS(Electricity!S:S,Electricity!P:P,Predev_Scenarios!B217,Electricity!M:M,Predev_Scenarios!A217,Electricity!O:O,Predev_Scenarios!D217),"")</f>
        <v>29302.45156675436</v>
      </c>
      <c r="I217" s="59">
        <f>SUMIFS(Electricity!U:U,Electricity!$M:$M,Predev_Scenarios!$A217,Electricity!$P:$P,Predev_Scenarios!$B217,Electricity!$O:$O,Predev_Scenarios!$D217)*-1</f>
        <v>0.12713468519999999</v>
      </c>
      <c r="J217" s="59">
        <f>SUMIFS(Electricity!V:V,Electricity!$M:$M,Predev_Scenarios!$A217,Electricity!$P:$P,Predev_Scenarios!$B217,Electricity!$O:$O,Predev_Scenarios!$D217)*-1</f>
        <v>0.11141906240000002</v>
      </c>
      <c r="K217" s="59">
        <f>SUMIFS(Electricity!W:W,Electricity!$M:$M,Predev_Scenarios!$A217,Electricity!$P:$P,Predev_Scenarios!$B217,Electricity!$O:$O,Predev_Scenarios!$D217)*-1</f>
        <v>0.14285030700000004</v>
      </c>
      <c r="L217" s="63">
        <f t="shared" si="17"/>
        <v>-3.7253579555275619E-9</v>
      </c>
      <c r="M217" s="63">
        <f t="shared" si="18"/>
        <v>-3.2648516795891824E-9</v>
      </c>
      <c r="N217" s="63">
        <f t="shared" si="19"/>
        <v>-4.1858642021634925E-9</v>
      </c>
      <c r="O217" s="30">
        <f>IF(OR(LEFT($D217,5)="Solar",$D217="Wind"),INDEX(Land_Use[AVG],MATCH(LEFT($D217,5),Land_Use[Tech],0)),0)*$E217</f>
        <v>0</v>
      </c>
      <c r="P217" s="30">
        <f>IF(OR(LEFT($D217,5)="Solar",$D217="Wind"),INDEX(Land_Use[MIN],MATCH(LEFT($D217,5),Land_Use[Tech],0)),0)*$E217</f>
        <v>0</v>
      </c>
      <c r="Q217" s="30">
        <f>IF(OR(LEFT($D217,5)="Solar",$D217="Wind"),INDEX(Land_Use[MAX],MATCH(LEFT($D217,5),Land_Use[Tech],0)),0)*$E217</f>
        <v>0</v>
      </c>
      <c r="R217" s="31">
        <f>IFERROR(INDEX(WaterUseH2[Average Direct Water Consumption (Gal/ kg h2)],MATCH(LEFT(D217,3),WaterUseH2[Key],0)),0)</f>
        <v>4.0999999999999996</v>
      </c>
      <c r="S217" s="15">
        <f t="shared" si="20"/>
        <v>2.0500000000000001E-2</v>
      </c>
    </row>
    <row r="218" spans="1:19" x14ac:dyDescent="0.35">
      <c r="A218" t="s">
        <v>76</v>
      </c>
      <c r="B218">
        <v>2030</v>
      </c>
      <c r="C218" t="s">
        <v>41</v>
      </c>
      <c r="D218" t="s">
        <v>84</v>
      </c>
      <c r="E218" s="12">
        <f>SUMIFS(Electricity!$R:$R,Electricity!$P:$P,$B218,Electricity!$O:$O,$D218,Electricity!$M:$M,$A218)</f>
        <v>10</v>
      </c>
      <c r="F218" t="s">
        <v>81</v>
      </c>
      <c r="G218" s="31">
        <f>H218/Assumptions!$B$23/1000000000000</f>
        <v>2.0939597068537325E-4</v>
      </c>
      <c r="H218" s="13">
        <f>IF(C218="Electricity",E218*SUMIFS(Electricity!S:S,Electricity!P:P,Predev_Scenarios!B218,Electricity!M:M,Predev_Scenarios!A218,Electricity!O:O,Predev_Scenarios!D218),"")</f>
        <v>58168.414340059084</v>
      </c>
      <c r="I218" s="59">
        <f>SUMIFS(Electricity!U:U,Electricity!$M:$M,Predev_Scenarios!$A218,Electricity!$P:$P,Predev_Scenarios!$B218,Electricity!$O:$O,Predev_Scenarios!$D218)*-1</f>
        <v>0.12291076099999998</v>
      </c>
      <c r="J218" s="59">
        <f>SUMIFS(Electricity!V:V,Electricity!$M:$M,Predev_Scenarios!$A218,Electricity!$P:$P,Predev_Scenarios!$B218,Electricity!$O:$O,Predev_Scenarios!$D218)*-1</f>
        <v>0.10626129525000003</v>
      </c>
      <c r="K218" s="59">
        <f>SUMIFS(Electricity!W:W,Electricity!$M:$M,Predev_Scenarios!$A218,Electricity!$P:$P,Predev_Scenarios!$B218,Electricity!$O:$O,Predev_Scenarios!$D218)*-1</f>
        <v>0.13956022575000004</v>
      </c>
      <c r="L218" s="63">
        <f t="shared" si="17"/>
        <v>-7.1495240726999743E-9</v>
      </c>
      <c r="M218" s="63">
        <f t="shared" si="18"/>
        <v>-6.1810510504133543E-9</v>
      </c>
      <c r="N218" s="63">
        <f t="shared" si="19"/>
        <v>-8.1179970368181856E-9</v>
      </c>
      <c r="O218" s="30">
        <f>IF(OR(LEFT($D218,5)="Solar",$D218="Wind"),INDEX(Land_Use[AVG],MATCH(LEFT($D218,5),Land_Use[Tech],0)),0)*$E218</f>
        <v>0</v>
      </c>
      <c r="P218" s="30">
        <f>IF(OR(LEFT($D218,5)="Solar",$D218="Wind"),INDEX(Land_Use[MIN],MATCH(LEFT($D218,5),Land_Use[Tech],0)),0)*$E218</f>
        <v>0</v>
      </c>
      <c r="Q218" s="30">
        <f>IF(OR(LEFT($D218,5)="Solar",$D218="Wind"),INDEX(Land_Use[MAX],MATCH(LEFT($D218,5),Land_Use[Tech],0)),0)*$E218</f>
        <v>0</v>
      </c>
      <c r="R218" s="31">
        <f>IFERROR(INDEX(WaterUseH2[Average Direct Water Consumption (Gal/ kg h2)],MATCH(LEFT(D218,3),WaterUseH2[Key],0)),0)</f>
        <v>4.0999999999999996</v>
      </c>
      <c r="S218" s="15">
        <f t="shared" si="20"/>
        <v>4.1000000000000002E-2</v>
      </c>
    </row>
    <row r="219" spans="1:19" x14ac:dyDescent="0.35">
      <c r="A219" t="s">
        <v>76</v>
      </c>
      <c r="B219">
        <v>2031</v>
      </c>
      <c r="C219" t="s">
        <v>41</v>
      </c>
      <c r="D219" t="s">
        <v>84</v>
      </c>
      <c r="E219" s="12">
        <f>SUMIFS(Electricity!$R:$R,Electricity!$P:$P,$B219,Electricity!$O:$O,$D219,Electricity!$M:$M,$A219)</f>
        <v>10</v>
      </c>
      <c r="F219" t="s">
        <v>81</v>
      </c>
      <c r="G219" s="31">
        <f>H219/Assumptions!$B$23/1000000000000</f>
        <v>2.0782468847603967E-4</v>
      </c>
      <c r="H219" s="13">
        <f>IF(C219="Electricity",E219*SUMIFS(Electricity!S:S,Electricity!P:P,Predev_Scenarios!B219,Electricity!M:M,Predev_Scenarios!A219,Electricity!O:O,Predev_Scenarios!D219),"")</f>
        <v>57731.925546609433</v>
      </c>
      <c r="I219" s="59">
        <f>SUMIFS(Electricity!U:U,Electricity!$M:$M,Predev_Scenarios!$A219,Electricity!$P:$P,Predev_Scenarios!$B219,Electricity!$O:$O,Predev_Scenarios!$D219)*-1</f>
        <v>0.11868683679999997</v>
      </c>
      <c r="J219" s="59">
        <f>SUMIFS(Electricity!V:V,Electricity!$M:$M,Predev_Scenarios!$A219,Electricity!$P:$P,Predev_Scenarios!$B219,Electricity!$O:$O,Predev_Scenarios!$D219)*-1</f>
        <v>0.10110352810000003</v>
      </c>
      <c r="K219" s="59">
        <f>SUMIFS(Electricity!W:W,Electricity!$M:$M,Predev_Scenarios!$A219,Electricity!$P:$P,Predev_Scenarios!$B219,Electricity!$O:$O,Predev_Scenarios!$D219)*-1</f>
        <v>0.13627014450000005</v>
      </c>
      <c r="L219" s="63">
        <f t="shared" si="17"/>
        <v>-6.8520196255001837E-9</v>
      </c>
      <c r="M219" s="63">
        <f t="shared" si="18"/>
        <v>-5.8369013567687366E-9</v>
      </c>
      <c r="N219" s="63">
        <f t="shared" si="19"/>
        <v>-7.8671378364997129E-9</v>
      </c>
      <c r="O219" s="30">
        <f>IF(OR(LEFT($D219,5)="Solar",$D219="Wind"),INDEX(Land_Use[AVG],MATCH(LEFT($D219,5),Land_Use[Tech],0)),0)*$E219</f>
        <v>0</v>
      </c>
      <c r="P219" s="30">
        <f>IF(OR(LEFT($D219,5)="Solar",$D219="Wind"),INDEX(Land_Use[MIN],MATCH(LEFT($D219,5),Land_Use[Tech],0)),0)*$E219</f>
        <v>0</v>
      </c>
      <c r="Q219" s="30">
        <f>IF(OR(LEFT($D219,5)="Solar",$D219="Wind"),INDEX(Land_Use[MAX],MATCH(LEFT($D219,5),Land_Use[Tech],0)),0)*$E219</f>
        <v>0</v>
      </c>
      <c r="R219" s="31">
        <f>IFERROR(INDEX(WaterUseH2[Average Direct Water Consumption (Gal/ kg h2)],MATCH(LEFT(D219,3),WaterUseH2[Key],0)),0)</f>
        <v>4.0999999999999996</v>
      </c>
      <c r="S219" s="15">
        <f t="shared" si="20"/>
        <v>4.1000000000000002E-2</v>
      </c>
    </row>
    <row r="220" spans="1:19" x14ac:dyDescent="0.35">
      <c r="A220" t="s">
        <v>76</v>
      </c>
      <c r="B220">
        <v>2032</v>
      </c>
      <c r="C220" t="s">
        <v>41</v>
      </c>
      <c r="D220" t="s">
        <v>84</v>
      </c>
      <c r="E220" s="12">
        <f>SUMIFS(Electricity!$R:$R,Electricity!$P:$P,$B220,Electricity!$O:$O,$D220,Electricity!$M:$M,$A220)</f>
        <v>15</v>
      </c>
      <c r="F220" t="s">
        <v>81</v>
      </c>
      <c r="G220" s="31">
        <f>H220/Assumptions!$B$23/1000000000000</f>
        <v>3.0938010940005927E-4</v>
      </c>
      <c r="H220" s="13">
        <f>IF(C220="Electricity",E220*SUMIFS(Electricity!S:S,Electricity!P:P,Predev_Scenarios!B220,Electricity!M:M,Predev_Scenarios!A220,Electricity!O:O,Predev_Scenarios!D220),"")</f>
        <v>85943.155129739695</v>
      </c>
      <c r="I220" s="59">
        <f>SUMIFS(Electricity!U:U,Electricity!$M:$M,Predev_Scenarios!$A220,Electricity!$P:$P,Predev_Scenarios!$B220,Electricity!$O:$O,Predev_Scenarios!$D220)*-1</f>
        <v>0.11446291259999997</v>
      </c>
      <c r="J220" s="59">
        <f>SUMIFS(Electricity!V:V,Electricity!$M:$M,Predev_Scenarios!$A220,Electricity!$P:$P,Predev_Scenarios!$B220,Electricity!$O:$O,Predev_Scenarios!$D220)*-1</f>
        <v>9.5945760950000042E-2</v>
      </c>
      <c r="K220" s="59">
        <f>SUMIFS(Electricity!W:W,Electricity!$M:$M,Predev_Scenarios!$A220,Electricity!$P:$P,Predev_Scenarios!$B220,Electricity!$O:$O,Predev_Scenarios!$D220)*-1</f>
        <v>0.13298006325000006</v>
      </c>
      <c r="L220" s="63">
        <f t="shared" si="17"/>
        <v>-9.8373038541836321E-9</v>
      </c>
      <c r="M220" s="63">
        <f t="shared" si="18"/>
        <v>-8.2458814173667745E-9</v>
      </c>
      <c r="N220" s="63">
        <f t="shared" si="19"/>
        <v>-1.1428726205057351E-8</v>
      </c>
      <c r="O220" s="30">
        <f>IF(OR(LEFT($D220,5)="Solar",$D220="Wind"),INDEX(Land_Use[AVG],MATCH(LEFT($D220,5),Land_Use[Tech],0)),0)*$E220</f>
        <v>0</v>
      </c>
      <c r="P220" s="30">
        <f>IF(OR(LEFT($D220,5)="Solar",$D220="Wind"),INDEX(Land_Use[MIN],MATCH(LEFT($D220,5),Land_Use[Tech],0)),0)*$E220</f>
        <v>0</v>
      </c>
      <c r="Q220" s="30">
        <f>IF(OR(LEFT($D220,5)="Solar",$D220="Wind"),INDEX(Land_Use[MAX],MATCH(LEFT($D220,5),Land_Use[Tech],0)),0)*$E220</f>
        <v>0</v>
      </c>
      <c r="R220" s="31">
        <f>IFERROR(INDEX(WaterUseH2[Average Direct Water Consumption (Gal/ kg h2)],MATCH(LEFT(D220,3),WaterUseH2[Key],0)),0)</f>
        <v>4.0999999999999996</v>
      </c>
      <c r="S220" s="15">
        <f t="shared" si="20"/>
        <v>6.1499999999999992E-2</v>
      </c>
    </row>
    <row r="221" spans="1:19" x14ac:dyDescent="0.35">
      <c r="A221" t="s">
        <v>76</v>
      </c>
      <c r="B221">
        <v>2033</v>
      </c>
      <c r="C221" t="s">
        <v>41</v>
      </c>
      <c r="D221" t="s">
        <v>84</v>
      </c>
      <c r="E221" s="12">
        <f>SUMIFS(Electricity!$R:$R,Electricity!$P:$P,$B221,Electricity!$O:$O,$D221,Electricity!$M:$M,$A221)</f>
        <v>15</v>
      </c>
      <c r="F221" t="s">
        <v>81</v>
      </c>
      <c r="G221" s="31">
        <f>H221/Assumptions!$B$23/1000000000000</f>
        <v>3.0702318608605896E-4</v>
      </c>
      <c r="H221" s="13">
        <f>IF(C221="Electricity",E221*SUMIFS(Electricity!S:S,Electricity!P:P,Predev_Scenarios!B221,Electricity!M:M,Predev_Scenarios!A221,Electricity!O:O,Predev_Scenarios!D221),"")</f>
        <v>85288.421939565218</v>
      </c>
      <c r="I221" s="59">
        <f>SUMIFS(Electricity!U:U,Electricity!$M:$M,Predev_Scenarios!$A221,Electricity!$P:$P,Predev_Scenarios!$B221,Electricity!$O:$O,Predev_Scenarios!$D221)*-1</f>
        <v>0.11023898839999996</v>
      </c>
      <c r="J221" s="59">
        <f>SUMIFS(Electricity!V:V,Electricity!$M:$M,Predev_Scenarios!$A221,Electricity!$P:$P,Predev_Scenarios!$B221,Electricity!$O:$O,Predev_Scenarios!$D221)*-1</f>
        <v>9.078799380000005E-2</v>
      </c>
      <c r="K221" s="59">
        <f>SUMIFS(Electricity!W:W,Electricity!$M:$M,Predev_Scenarios!$A221,Electricity!$P:$P,Predev_Scenarios!$B221,Electricity!$O:$O,Predev_Scenarios!$D221)*-1</f>
        <v>0.12968998200000006</v>
      </c>
      <c r="L221" s="63">
        <f t="shared" si="17"/>
        <v>-9.4021093568500312E-9</v>
      </c>
      <c r="M221" s="63">
        <f t="shared" si="18"/>
        <v>-7.7431647222610348E-9</v>
      </c>
      <c r="N221" s="63">
        <f t="shared" si="19"/>
        <v>-1.1061053906150623E-8</v>
      </c>
      <c r="O221" s="30">
        <f>IF(OR(LEFT($D221,5)="Solar",$D221="Wind"),INDEX(Land_Use[AVG],MATCH(LEFT($D221,5),Land_Use[Tech],0)),0)*$E221</f>
        <v>0</v>
      </c>
      <c r="P221" s="30">
        <f>IF(OR(LEFT($D221,5)="Solar",$D221="Wind"),INDEX(Land_Use[MIN],MATCH(LEFT($D221,5),Land_Use[Tech],0)),0)*$E221</f>
        <v>0</v>
      </c>
      <c r="Q221" s="30">
        <f>IF(OR(LEFT($D221,5)="Solar",$D221="Wind"),INDEX(Land_Use[MAX],MATCH(LEFT($D221,5),Land_Use[Tech],0)),0)*$E221</f>
        <v>0</v>
      </c>
      <c r="R221" s="31">
        <f>IFERROR(INDEX(WaterUseH2[Average Direct Water Consumption (Gal/ kg h2)],MATCH(LEFT(D221,3),WaterUseH2[Key],0)),0)</f>
        <v>4.0999999999999996</v>
      </c>
      <c r="S221" s="15">
        <f t="shared" si="20"/>
        <v>6.1499999999999992E-2</v>
      </c>
    </row>
    <row r="222" spans="1:19" x14ac:dyDescent="0.35">
      <c r="A222" t="s">
        <v>76</v>
      </c>
      <c r="B222">
        <v>2034</v>
      </c>
      <c r="C222" t="s">
        <v>41</v>
      </c>
      <c r="D222" t="s">
        <v>84</v>
      </c>
      <c r="E222" s="12">
        <f>SUMIFS(Electricity!$R:$R,Electricity!$P:$P,$B222,Electricity!$O:$O,$D222,Electricity!$M:$M,$A222)</f>
        <v>15</v>
      </c>
      <c r="F222" t="s">
        <v>81</v>
      </c>
      <c r="G222" s="31">
        <f>H222/Assumptions!$B$23/1000000000000</f>
        <v>3.0466626277205871E-4</v>
      </c>
      <c r="H222" s="13">
        <f>IF(C222="Electricity",E222*SUMIFS(Electricity!S:S,Electricity!P:P,Predev_Scenarios!B222,Electricity!M:M,Predev_Scenarios!A222,Electricity!O:O,Predev_Scenarios!D222),"")</f>
        <v>84633.688749390756</v>
      </c>
      <c r="I222" s="59">
        <f>SUMIFS(Electricity!U:U,Electricity!$M:$M,Predev_Scenarios!$A222,Electricity!$P:$P,Predev_Scenarios!$B222,Electricity!$O:$O,Predev_Scenarios!$D222)*-1</f>
        <v>0.10601506419999995</v>
      </c>
      <c r="J222" s="59">
        <f>SUMIFS(Electricity!V:V,Electricity!$M:$M,Predev_Scenarios!$A222,Electricity!$P:$P,Predev_Scenarios!$B222,Electricity!$O:$O,Predev_Scenarios!$D222)*-1</f>
        <v>8.5630226650000058E-2</v>
      </c>
      <c r="K222" s="59">
        <f>SUMIFS(Electricity!W:W,Electricity!$M:$M,Predev_Scenarios!$A222,Electricity!$P:$P,Predev_Scenarios!$B222,Electricity!$O:$O,Predev_Scenarios!$D222)*-1</f>
        <v>0.12639990075000007</v>
      </c>
      <c r="L222" s="63">
        <f t="shared" si="17"/>
        <v>-8.9724459462494753E-9</v>
      </c>
      <c r="M222" s="63">
        <f t="shared" si="18"/>
        <v>-7.24720194983589E-9</v>
      </c>
      <c r="N222" s="63">
        <f t="shared" si="19"/>
        <v>-1.069768985802939E-8</v>
      </c>
      <c r="O222" s="30">
        <f>IF(OR(LEFT($D222,5)="Solar",$D222="Wind"),INDEX(Land_Use[AVG],MATCH(LEFT($D222,5),Land_Use[Tech],0)),0)*$E222</f>
        <v>0</v>
      </c>
      <c r="P222" s="30">
        <f>IF(OR(LEFT($D222,5)="Solar",$D222="Wind"),INDEX(Land_Use[MIN],MATCH(LEFT($D222,5),Land_Use[Tech],0)),0)*$E222</f>
        <v>0</v>
      </c>
      <c r="Q222" s="30">
        <f>IF(OR(LEFT($D222,5)="Solar",$D222="Wind"),INDEX(Land_Use[MAX],MATCH(LEFT($D222,5),Land_Use[Tech],0)),0)*$E222</f>
        <v>0</v>
      </c>
      <c r="R222" s="31">
        <f>IFERROR(INDEX(WaterUseH2[Average Direct Water Consumption (Gal/ kg h2)],MATCH(LEFT(D222,3),WaterUseH2[Key],0)),0)</f>
        <v>4.0999999999999996</v>
      </c>
      <c r="S222" s="15">
        <f t="shared" si="20"/>
        <v>6.1499999999999992E-2</v>
      </c>
    </row>
    <row r="223" spans="1:19" x14ac:dyDescent="0.35">
      <c r="A223" t="s">
        <v>76</v>
      </c>
      <c r="B223">
        <v>2035</v>
      </c>
      <c r="C223" t="s">
        <v>41</v>
      </c>
      <c r="D223" t="s">
        <v>84</v>
      </c>
      <c r="E223" s="12">
        <f>SUMIFS(Electricity!$R:$R,Electricity!$P:$P,$B223,Electricity!$O:$O,$D223,Electricity!$M:$M,$A223)</f>
        <v>15</v>
      </c>
      <c r="F223" t="s">
        <v>81</v>
      </c>
      <c r="G223" s="31">
        <f>H223/Assumptions!$B$23/1000000000000</f>
        <v>3.0230933945805846E-4</v>
      </c>
      <c r="H223" s="13">
        <f>IF(C223="Electricity",E223*SUMIFS(Electricity!S:S,Electricity!P:P,Predev_Scenarios!B223,Electricity!M:M,Predev_Scenarios!A223,Electricity!O:O,Predev_Scenarios!D223),"")</f>
        <v>83978.955559216294</v>
      </c>
      <c r="I223" s="59">
        <f>SUMIFS(Electricity!U:U,Electricity!$M:$M,Predev_Scenarios!$A223,Electricity!$P:$P,Predev_Scenarios!$B223,Electricity!$O:$O,Predev_Scenarios!$D223)*-1</f>
        <v>0.10179113999999995</v>
      </c>
      <c r="J223" s="59">
        <f>SUMIFS(Electricity!V:V,Electricity!$M:$M,Predev_Scenarios!$A223,Electricity!$P:$P,Predev_Scenarios!$B223,Electricity!$O:$O,Predev_Scenarios!$D223)*-1</f>
        <v>8.0472459500000065E-2</v>
      </c>
      <c r="K223" s="59">
        <f>SUMIFS(Electricity!W:W,Electricity!$M:$M,Predev_Scenarios!$A223,Electricity!$P:$P,Predev_Scenarios!$B223,Electricity!$O:$O,Predev_Scenarios!$D223)*-1</f>
        <v>0.12310981950000006</v>
      </c>
      <c r="L223" s="63">
        <f t="shared" si="17"/>
        <v>-8.5483136223819594E-9</v>
      </c>
      <c r="M223" s="63">
        <f t="shared" si="18"/>
        <v>-6.7579931000913384E-9</v>
      </c>
      <c r="N223" s="63">
        <f t="shared" si="19"/>
        <v>-1.0338634060693644E-8</v>
      </c>
      <c r="O223" s="30">
        <f>IF(OR(LEFT($D223,5)="Solar",$D223="Wind"),INDEX(Land_Use[AVG],MATCH(LEFT($D223,5),Land_Use[Tech],0)),0)*$E223</f>
        <v>0</v>
      </c>
      <c r="P223" s="30">
        <f>IF(OR(LEFT($D223,5)="Solar",$D223="Wind"),INDEX(Land_Use[MIN],MATCH(LEFT($D223,5),Land_Use[Tech],0)),0)*$E223</f>
        <v>0</v>
      </c>
      <c r="Q223" s="30">
        <f>IF(OR(LEFT($D223,5)="Solar",$D223="Wind"),INDEX(Land_Use[MAX],MATCH(LEFT($D223,5),Land_Use[Tech],0)),0)*$E223</f>
        <v>0</v>
      </c>
      <c r="R223" s="31">
        <f>IFERROR(INDEX(WaterUseH2[Average Direct Water Consumption (Gal/ kg h2)],MATCH(LEFT(D223,3),WaterUseH2[Key],0)),0)</f>
        <v>4.0999999999999996</v>
      </c>
      <c r="S223" s="15">
        <f t="shared" si="20"/>
        <v>6.1499999999999992E-2</v>
      </c>
    </row>
    <row r="224" spans="1:19" x14ac:dyDescent="0.35">
      <c r="A224" t="s">
        <v>76</v>
      </c>
      <c r="B224">
        <v>2036</v>
      </c>
      <c r="C224" t="s">
        <v>41</v>
      </c>
      <c r="D224" t="s">
        <v>84</v>
      </c>
      <c r="E224" s="12">
        <f>SUMIFS(Electricity!$R:$R,Electricity!$P:$P,$B224,Electricity!$O:$O,$D224,Electricity!$M:$M,$A224)</f>
        <v>15</v>
      </c>
      <c r="F224" t="s">
        <v>81</v>
      </c>
      <c r="G224" s="31">
        <f>H224/Assumptions!$B$23/1000000000000</f>
        <v>2.9995241614405815E-4</v>
      </c>
      <c r="H224" s="13">
        <f>IF(C224="Electricity",E224*SUMIFS(Electricity!S:S,Electricity!P:P,Predev_Scenarios!B224,Electricity!M:M,Predev_Scenarios!A224,Electricity!O:O,Predev_Scenarios!D224),"")</f>
        <v>83324.222369041832</v>
      </c>
      <c r="I224" s="59">
        <f>SUMIFS(Electricity!U:U,Electricity!$M:$M,Predev_Scenarios!$A224,Electricity!$P:$P,Predev_Scenarios!$B224,Electricity!$O:$O,Predev_Scenarios!$D224)*-1</f>
        <v>9.756721579999994E-2</v>
      </c>
      <c r="J224" s="59">
        <f>SUMIFS(Electricity!V:V,Electricity!$M:$M,Predev_Scenarios!$A224,Electricity!$P:$P,Predev_Scenarios!$B224,Electricity!$O:$O,Predev_Scenarios!$D224)*-1</f>
        <v>7.5314692350000073E-2</v>
      </c>
      <c r="K224" s="59">
        <f>SUMIFS(Electricity!W:W,Electricity!$M:$M,Predev_Scenarios!$A224,Electricity!$P:$P,Predev_Scenarios!$B224,Electricity!$O:$O,Predev_Scenarios!$D224)*-1</f>
        <v>0.11981973825000006</v>
      </c>
      <c r="L224" s="63">
        <f t="shared" si="17"/>
        <v>-8.1297123852474869E-9</v>
      </c>
      <c r="M224" s="63">
        <f t="shared" si="18"/>
        <v>-6.2755381730273801E-9</v>
      </c>
      <c r="N224" s="63">
        <f t="shared" si="19"/>
        <v>-9.9838865141433927E-9</v>
      </c>
      <c r="O224" s="30">
        <f>IF(OR(LEFT($D224,5)="Solar",$D224="Wind"),INDEX(Land_Use[AVG],MATCH(LEFT($D224,5),Land_Use[Tech],0)),0)*$E224</f>
        <v>0</v>
      </c>
      <c r="P224" s="30">
        <f>IF(OR(LEFT($D224,5)="Solar",$D224="Wind"),INDEX(Land_Use[MIN],MATCH(LEFT($D224,5),Land_Use[Tech],0)),0)*$E224</f>
        <v>0</v>
      </c>
      <c r="Q224" s="30">
        <f>IF(OR(LEFT($D224,5)="Solar",$D224="Wind"),INDEX(Land_Use[MAX],MATCH(LEFT($D224,5),Land_Use[Tech],0)),0)*$E224</f>
        <v>0</v>
      </c>
      <c r="R224" s="31">
        <f>IFERROR(INDEX(WaterUseH2[Average Direct Water Consumption (Gal/ kg h2)],MATCH(LEFT(D224,3),WaterUseH2[Key],0)),0)</f>
        <v>4.0999999999999996</v>
      </c>
      <c r="S224" s="15">
        <f t="shared" si="20"/>
        <v>6.1499999999999992E-2</v>
      </c>
    </row>
    <row r="225" spans="1:19" x14ac:dyDescent="0.35">
      <c r="A225" t="s">
        <v>76</v>
      </c>
      <c r="B225">
        <v>2037</v>
      </c>
      <c r="C225" t="s">
        <v>41</v>
      </c>
      <c r="D225" t="s">
        <v>84</v>
      </c>
      <c r="E225" s="12">
        <f>SUMIFS(Electricity!$R:$R,Electricity!$P:$P,$B225,Electricity!$O:$O,$D225,Electricity!$M:$M,$A225)</f>
        <v>15</v>
      </c>
      <c r="F225" t="s">
        <v>81</v>
      </c>
      <c r="G225" s="31">
        <f>H225/Assumptions!$B$23/1000000000000</f>
        <v>2.9759549283005785E-4</v>
      </c>
      <c r="H225" s="13">
        <f>IF(C225="Electricity",E225*SUMIFS(Electricity!S:S,Electricity!P:P,Predev_Scenarios!B225,Electricity!M:M,Predev_Scenarios!A225,Electricity!O:O,Predev_Scenarios!D225),"")</f>
        <v>82669.489178867356</v>
      </c>
      <c r="I225" s="59">
        <f>SUMIFS(Electricity!U:U,Electricity!$M:$M,Predev_Scenarios!$A225,Electricity!$P:$P,Predev_Scenarios!$B225,Electricity!$O:$O,Predev_Scenarios!$D225)*-1</f>
        <v>9.3343291599999934E-2</v>
      </c>
      <c r="J225" s="59">
        <f>SUMIFS(Electricity!V:V,Electricity!$M:$M,Predev_Scenarios!$A225,Electricity!$P:$P,Predev_Scenarios!$B225,Electricity!$O:$O,Predev_Scenarios!$D225)*-1</f>
        <v>7.0156925200000081E-2</v>
      </c>
      <c r="K225" s="59">
        <f>SUMIFS(Electricity!W:W,Electricity!$M:$M,Predev_Scenarios!$A225,Electricity!$P:$P,Predev_Scenarios!$B225,Electricity!$O:$O,Predev_Scenarios!$D225)*-1</f>
        <v>0.11652965700000005</v>
      </c>
      <c r="L225" s="63">
        <f t="shared" si="17"/>
        <v>-7.7166422348460543E-9</v>
      </c>
      <c r="M225" s="63">
        <f t="shared" si="18"/>
        <v>-5.7998371686440124E-9</v>
      </c>
      <c r="N225" s="63">
        <f t="shared" si="19"/>
        <v>-9.6334472183786277E-9</v>
      </c>
      <c r="O225" s="30">
        <f>IF(OR(LEFT($D225,5)="Solar",$D225="Wind"),INDEX(Land_Use[AVG],MATCH(LEFT($D225,5),Land_Use[Tech],0)),0)*$E225</f>
        <v>0</v>
      </c>
      <c r="P225" s="30">
        <f>IF(OR(LEFT($D225,5)="Solar",$D225="Wind"),INDEX(Land_Use[MIN],MATCH(LEFT($D225,5),Land_Use[Tech],0)),0)*$E225</f>
        <v>0</v>
      </c>
      <c r="Q225" s="30">
        <f>IF(OR(LEFT($D225,5)="Solar",$D225="Wind"),INDEX(Land_Use[MAX],MATCH(LEFT($D225,5),Land_Use[Tech],0)),0)*$E225</f>
        <v>0</v>
      </c>
      <c r="R225" s="31">
        <f>IFERROR(INDEX(WaterUseH2[Average Direct Water Consumption (Gal/ kg h2)],MATCH(LEFT(D225,3),WaterUseH2[Key],0)),0)</f>
        <v>4.0999999999999996</v>
      </c>
      <c r="S225" s="15">
        <f t="shared" si="20"/>
        <v>6.1499999999999992E-2</v>
      </c>
    </row>
    <row r="226" spans="1:19" x14ac:dyDescent="0.35">
      <c r="A226" t="s">
        <v>76</v>
      </c>
      <c r="B226">
        <v>2038</v>
      </c>
      <c r="C226" t="s">
        <v>41</v>
      </c>
      <c r="D226" t="s">
        <v>84</v>
      </c>
      <c r="E226" s="12">
        <f>SUMIFS(Electricity!$R:$R,Electricity!$P:$P,$B226,Electricity!$O:$O,$D226,Electricity!$M:$M,$A226)</f>
        <v>15</v>
      </c>
      <c r="F226" t="s">
        <v>81</v>
      </c>
      <c r="G226" s="31">
        <f>H226/Assumptions!$B$23/1000000000000</f>
        <v>2.952385695160576E-4</v>
      </c>
      <c r="H226" s="13">
        <f>IF(C226="Electricity",E226*SUMIFS(Electricity!S:S,Electricity!P:P,Predev_Scenarios!B226,Electricity!M:M,Predev_Scenarios!A226,Electricity!O:O,Predev_Scenarios!D226),"")</f>
        <v>82014.755988692894</v>
      </c>
      <c r="I226" s="59">
        <f>SUMIFS(Electricity!U:U,Electricity!$M:$M,Predev_Scenarios!$A226,Electricity!$P:$P,Predev_Scenarios!$B226,Electricity!$O:$O,Predev_Scenarios!$D226)*-1</f>
        <v>8.9119367399999927E-2</v>
      </c>
      <c r="J226" s="59">
        <f>SUMIFS(Electricity!V:V,Electricity!$M:$M,Predev_Scenarios!$A226,Electricity!$P:$P,Predev_Scenarios!$B226,Electricity!$O:$O,Predev_Scenarios!$D226)*-1</f>
        <v>6.4999158050000089E-2</v>
      </c>
      <c r="K226" s="59">
        <f>SUMIFS(Electricity!W:W,Electricity!$M:$M,Predev_Scenarios!$A226,Electricity!$P:$P,Predev_Scenarios!$B226,Electricity!$O:$O,Predev_Scenarios!$D226)*-1</f>
        <v>0.11323957575000004</v>
      </c>
      <c r="L226" s="63">
        <f t="shared" si="17"/>
        <v>-7.3091031711776659E-9</v>
      </c>
      <c r="M226" s="63">
        <f t="shared" si="18"/>
        <v>-5.3308900869412405E-9</v>
      </c>
      <c r="N226" s="63">
        <f t="shared" si="19"/>
        <v>-9.2873161733993577E-9</v>
      </c>
      <c r="O226" s="30">
        <f>IF(OR(LEFT($D226,5)="Solar",$D226="Wind"),INDEX(Land_Use[AVG],MATCH(LEFT($D226,5),Land_Use[Tech],0)),0)*$E226</f>
        <v>0</v>
      </c>
      <c r="P226" s="30">
        <f>IF(OR(LEFT($D226,5)="Solar",$D226="Wind"),INDEX(Land_Use[MIN],MATCH(LEFT($D226,5),Land_Use[Tech],0)),0)*$E226</f>
        <v>0</v>
      </c>
      <c r="Q226" s="30">
        <f>IF(OR(LEFT($D226,5)="Solar",$D226="Wind"),INDEX(Land_Use[MAX],MATCH(LEFT($D226,5),Land_Use[Tech],0)),0)*$E226</f>
        <v>0</v>
      </c>
      <c r="R226" s="31">
        <f>IFERROR(INDEX(WaterUseH2[Average Direct Water Consumption (Gal/ kg h2)],MATCH(LEFT(D226,3),WaterUseH2[Key],0)),0)</f>
        <v>4.0999999999999996</v>
      </c>
      <c r="S226" s="15">
        <f t="shared" si="20"/>
        <v>6.1499999999999992E-2</v>
      </c>
    </row>
    <row r="227" spans="1:19" x14ac:dyDescent="0.35">
      <c r="A227" t="s">
        <v>76</v>
      </c>
      <c r="B227">
        <v>2039</v>
      </c>
      <c r="C227" t="s">
        <v>41</v>
      </c>
      <c r="D227" t="s">
        <v>84</v>
      </c>
      <c r="E227" s="12">
        <f>SUMIFS(Electricity!$R:$R,Electricity!$P:$P,$B227,Electricity!$O:$O,$D227,Electricity!$M:$M,$A227)</f>
        <v>15</v>
      </c>
      <c r="F227" t="s">
        <v>81</v>
      </c>
      <c r="G227" s="31">
        <f>H227/Assumptions!$B$23/1000000000000</f>
        <v>2.9288164620205735E-4</v>
      </c>
      <c r="H227" s="13">
        <f>IF(C227="Electricity",E227*SUMIFS(Electricity!S:S,Electricity!P:P,Predev_Scenarios!B227,Electricity!M:M,Predev_Scenarios!A227,Electricity!O:O,Predev_Scenarios!D227),"")</f>
        <v>81360.022798518432</v>
      </c>
      <c r="I227" s="59">
        <f>SUMIFS(Electricity!U:U,Electricity!$M:$M,Predev_Scenarios!$A227,Electricity!$P:$P,Predev_Scenarios!$B227,Electricity!$O:$O,Predev_Scenarios!$D227)*-1</f>
        <v>8.489544319999992E-2</v>
      </c>
      <c r="J227" s="59">
        <f>SUMIFS(Electricity!V:V,Electricity!$M:$M,Predev_Scenarios!$A227,Electricity!$P:$P,Predev_Scenarios!$B227,Electricity!$O:$O,Predev_Scenarios!$D227)*-1</f>
        <v>5.984139090000009E-2</v>
      </c>
      <c r="K227" s="59">
        <f>SUMIFS(Electricity!W:W,Electricity!$M:$M,Predev_Scenarios!$A227,Electricity!$P:$P,Predev_Scenarios!$B227,Electricity!$O:$O,Predev_Scenarios!$D227)*-1</f>
        <v>0.10994949450000004</v>
      </c>
      <c r="L227" s="63">
        <f t="shared" si="17"/>
        <v>-6.90709519424232E-9</v>
      </c>
      <c r="M227" s="63">
        <f t="shared" si="18"/>
        <v>-4.8686969279190602E-9</v>
      </c>
      <c r="N227" s="63">
        <f t="shared" si="19"/>
        <v>-8.9454933792055795E-9</v>
      </c>
      <c r="O227" s="30">
        <f>IF(OR(LEFT($D227,5)="Solar",$D227="Wind"),INDEX(Land_Use[AVG],MATCH(LEFT($D227,5),Land_Use[Tech],0)),0)*$E227</f>
        <v>0</v>
      </c>
      <c r="P227" s="30">
        <f>IF(OR(LEFT($D227,5)="Solar",$D227="Wind"),INDEX(Land_Use[MIN],MATCH(LEFT($D227,5),Land_Use[Tech],0)),0)*$E227</f>
        <v>0</v>
      </c>
      <c r="Q227" s="30">
        <f>IF(OR(LEFT($D227,5)="Solar",$D227="Wind"),INDEX(Land_Use[MAX],MATCH(LEFT($D227,5),Land_Use[Tech],0)),0)*$E227</f>
        <v>0</v>
      </c>
      <c r="R227" s="31">
        <f>IFERROR(INDEX(WaterUseH2[Average Direct Water Consumption (Gal/ kg h2)],MATCH(LEFT(D227,3),WaterUseH2[Key],0)),0)</f>
        <v>4.0999999999999996</v>
      </c>
      <c r="S227" s="15">
        <f t="shared" si="20"/>
        <v>6.1499999999999992E-2</v>
      </c>
    </row>
    <row r="228" spans="1:19" x14ac:dyDescent="0.35">
      <c r="A228" t="s">
        <v>76</v>
      </c>
      <c r="B228">
        <v>2040</v>
      </c>
      <c r="C228" t="s">
        <v>41</v>
      </c>
      <c r="D228" t="s">
        <v>84</v>
      </c>
      <c r="E228" s="12">
        <f>SUMIFS(Electricity!$R:$R,Electricity!$P:$P,$B228,Electricity!$O:$O,$D228,Electricity!$M:$M,$A228)</f>
        <v>15</v>
      </c>
      <c r="F228" t="s">
        <v>81</v>
      </c>
      <c r="G228" s="31">
        <f>H228/Assumptions!$B$23/1000000000000</f>
        <v>2.9052472288805704E-4</v>
      </c>
      <c r="H228" s="13">
        <f>IF(C228="Electricity",E228*SUMIFS(Electricity!S:S,Electricity!P:P,Predev_Scenarios!B228,Electricity!M:M,Predev_Scenarios!A228,Electricity!O:O,Predev_Scenarios!D228),"")</f>
        <v>80705.28960834397</v>
      </c>
      <c r="I228" s="59">
        <f>SUMIFS(Electricity!U:U,Electricity!$M:$M,Predev_Scenarios!$A228,Electricity!$P:$P,Predev_Scenarios!$B228,Electricity!$O:$O,Predev_Scenarios!$D228)*-1</f>
        <v>8.0671518999999914E-2</v>
      </c>
      <c r="J228" s="59">
        <f>SUMIFS(Electricity!V:V,Electricity!$M:$M,Predev_Scenarios!$A228,Electricity!$P:$P,Predev_Scenarios!$B228,Electricity!$O:$O,Predev_Scenarios!$D228)*-1</f>
        <v>5.468362375000009E-2</v>
      </c>
      <c r="K228" s="59">
        <f>SUMIFS(Electricity!W:W,Electricity!$M:$M,Predev_Scenarios!$A228,Electricity!$P:$P,Predev_Scenarios!$B228,Electricity!$O:$O,Predev_Scenarios!$D228)*-1</f>
        <v>0.10665941325000003</v>
      </c>
      <c r="L228" s="63">
        <f t="shared" si="17"/>
        <v>-6.5106183040400157E-9</v>
      </c>
      <c r="M228" s="63">
        <f t="shared" si="18"/>
        <v>-4.4132576915774739E-9</v>
      </c>
      <c r="N228" s="63">
        <f t="shared" si="19"/>
        <v>-8.6079788357972931E-9</v>
      </c>
      <c r="O228" s="30">
        <f>IF(OR(LEFT($D228,5)="Solar",$D228="Wind"),INDEX(Land_Use[AVG],MATCH(LEFT($D228,5),Land_Use[Tech],0)),0)*$E228</f>
        <v>0</v>
      </c>
      <c r="P228" s="30">
        <f>IF(OR(LEFT($D228,5)="Solar",$D228="Wind"),INDEX(Land_Use[MIN],MATCH(LEFT($D228,5),Land_Use[Tech],0)),0)*$E228</f>
        <v>0</v>
      </c>
      <c r="Q228" s="30">
        <f>IF(OR(LEFT($D228,5)="Solar",$D228="Wind"),INDEX(Land_Use[MAX],MATCH(LEFT($D228,5),Land_Use[Tech],0)),0)*$E228</f>
        <v>0</v>
      </c>
      <c r="R228" s="31">
        <f>IFERROR(INDEX(WaterUseH2[Average Direct Water Consumption (Gal/ kg h2)],MATCH(LEFT(D228,3),WaterUseH2[Key],0)),0)</f>
        <v>4.0999999999999996</v>
      </c>
      <c r="S228" s="15">
        <f t="shared" si="20"/>
        <v>6.1499999999999992E-2</v>
      </c>
    </row>
    <row r="229" spans="1:19" x14ac:dyDescent="0.35">
      <c r="A229" t="s">
        <v>76</v>
      </c>
      <c r="B229">
        <v>2041</v>
      </c>
      <c r="C229" t="s">
        <v>41</v>
      </c>
      <c r="D229" t="s">
        <v>84</v>
      </c>
      <c r="E229" s="12">
        <f>SUMIFS(Electricity!$R:$R,Electricity!$P:$P,$B229,Electricity!$O:$O,$D229,Electricity!$M:$M,$A229)</f>
        <v>15</v>
      </c>
      <c r="F229" t="s">
        <v>81</v>
      </c>
      <c r="G229" s="31">
        <f>H229/Assumptions!$B$23/1000000000000</f>
        <v>2.8816779957405674E-4</v>
      </c>
      <c r="H229" s="13">
        <f>IF(C229="Electricity",E229*SUMIFS(Electricity!S:S,Electricity!P:P,Predev_Scenarios!B229,Electricity!M:M,Predev_Scenarios!A229,Electricity!O:O,Predev_Scenarios!D229),"")</f>
        <v>80050.556418169494</v>
      </c>
      <c r="I229" s="59">
        <f>SUMIFS(Electricity!U:U,Electricity!$M:$M,Predev_Scenarios!$A229,Electricity!$P:$P,Predev_Scenarios!$B229,Electricity!$O:$O,Predev_Scenarios!$D229)*-1</f>
        <v>7.6447594799999907E-2</v>
      </c>
      <c r="J229" s="59">
        <f>SUMIFS(Electricity!V:V,Electricity!$M:$M,Predev_Scenarios!$A229,Electricity!$P:$P,Predev_Scenarios!$B229,Electricity!$O:$O,Predev_Scenarios!$D229)*-1</f>
        <v>4.9525856600000091E-2</v>
      </c>
      <c r="K229" s="59">
        <f>SUMIFS(Electricity!W:W,Electricity!$M:$M,Predev_Scenarios!$A229,Electricity!$P:$P,Predev_Scenarios!$B229,Electricity!$O:$O,Predev_Scenarios!$D229)*-1</f>
        <v>0.10336933200000002</v>
      </c>
      <c r="L229" s="63">
        <f t="shared" si="17"/>
        <v>-6.1196725005707532E-9</v>
      </c>
      <c r="M229" s="63">
        <f t="shared" si="18"/>
        <v>-3.9645723779164792E-9</v>
      </c>
      <c r="N229" s="63">
        <f t="shared" si="19"/>
        <v>-8.2747725431744951E-9</v>
      </c>
      <c r="O229" s="30">
        <f>IF(OR(LEFT($D229,5)="Solar",$D229="Wind"),INDEX(Land_Use[AVG],MATCH(LEFT($D229,5),Land_Use[Tech],0)),0)*$E229</f>
        <v>0</v>
      </c>
      <c r="P229" s="30">
        <f>IF(OR(LEFT($D229,5)="Solar",$D229="Wind"),INDEX(Land_Use[MIN],MATCH(LEFT($D229,5),Land_Use[Tech],0)),0)*$E229</f>
        <v>0</v>
      </c>
      <c r="Q229" s="30">
        <f>IF(OR(LEFT($D229,5)="Solar",$D229="Wind"),INDEX(Land_Use[MAX],MATCH(LEFT($D229,5),Land_Use[Tech],0)),0)*$E229</f>
        <v>0</v>
      </c>
      <c r="R229" s="31">
        <f>IFERROR(INDEX(WaterUseH2[Average Direct Water Consumption (Gal/ kg h2)],MATCH(LEFT(D229,3),WaterUseH2[Key],0)),0)</f>
        <v>4.0999999999999996</v>
      </c>
      <c r="S229" s="15">
        <f t="shared" si="20"/>
        <v>6.1499999999999992E-2</v>
      </c>
    </row>
    <row r="230" spans="1:19" x14ac:dyDescent="0.35">
      <c r="A230" t="s">
        <v>76</v>
      </c>
      <c r="B230">
        <v>2042</v>
      </c>
      <c r="C230" t="s">
        <v>41</v>
      </c>
      <c r="D230" t="s">
        <v>84</v>
      </c>
      <c r="E230" s="12">
        <f>SUMIFS(Electricity!$R:$R,Electricity!$P:$P,$B230,Electricity!$O:$O,$D230,Electricity!$M:$M,$A230)</f>
        <v>15</v>
      </c>
      <c r="F230" t="s">
        <v>81</v>
      </c>
      <c r="G230" s="31">
        <f>H230/Assumptions!$B$23/1000000000000</f>
        <v>2.8581087626005649E-4</v>
      </c>
      <c r="H230" s="13">
        <f>IF(C230="Electricity",E230*SUMIFS(Electricity!S:S,Electricity!P:P,Predev_Scenarios!B230,Electricity!M:M,Predev_Scenarios!A230,Electricity!O:O,Predev_Scenarios!D230),"")</f>
        <v>79395.823227995032</v>
      </c>
      <c r="I230" s="59">
        <f>SUMIFS(Electricity!U:U,Electricity!$M:$M,Predev_Scenarios!$A230,Electricity!$P:$P,Predev_Scenarios!$B230,Electricity!$O:$O,Predev_Scenarios!$D230)*-1</f>
        <v>7.2223670599999901E-2</v>
      </c>
      <c r="J230" s="59">
        <f>SUMIFS(Electricity!V:V,Electricity!$M:$M,Predev_Scenarios!$A230,Electricity!$P:$P,Predev_Scenarios!$B230,Electricity!$O:$O,Predev_Scenarios!$D230)*-1</f>
        <v>4.4368089450000092E-2</v>
      </c>
      <c r="K230" s="59">
        <f>SUMIFS(Electricity!W:W,Electricity!$M:$M,Predev_Scenarios!$A230,Electricity!$P:$P,Predev_Scenarios!$B230,Electricity!$O:$O,Predev_Scenarios!$D230)*-1</f>
        <v>0.10007925075000002</v>
      </c>
      <c r="L230" s="63">
        <f t="shared" si="17"/>
        <v>-5.7342577838345339E-9</v>
      </c>
      <c r="M230" s="63">
        <f t="shared" si="18"/>
        <v>-3.522640986936079E-9</v>
      </c>
      <c r="N230" s="63">
        <f t="shared" si="19"/>
        <v>-7.9458745013371906E-9</v>
      </c>
      <c r="O230" s="30">
        <f>IF(OR(LEFT($D230,5)="Solar",$D230="Wind"),INDEX(Land_Use[AVG],MATCH(LEFT($D230,5),Land_Use[Tech],0)),0)*$E230</f>
        <v>0</v>
      </c>
      <c r="P230" s="30">
        <f>IF(OR(LEFT($D230,5)="Solar",$D230="Wind"),INDEX(Land_Use[MIN],MATCH(LEFT($D230,5),Land_Use[Tech],0)),0)*$E230</f>
        <v>0</v>
      </c>
      <c r="Q230" s="30">
        <f>IF(OR(LEFT($D230,5)="Solar",$D230="Wind"),INDEX(Land_Use[MAX],MATCH(LEFT($D230,5),Land_Use[Tech],0)),0)*$E230</f>
        <v>0</v>
      </c>
      <c r="R230" s="31">
        <f>IFERROR(INDEX(WaterUseH2[Average Direct Water Consumption (Gal/ kg h2)],MATCH(LEFT(D230,3),WaterUseH2[Key],0)),0)</f>
        <v>4.0999999999999996</v>
      </c>
      <c r="S230" s="15">
        <f t="shared" si="20"/>
        <v>6.1499999999999992E-2</v>
      </c>
    </row>
    <row r="231" spans="1:19" x14ac:dyDescent="0.35">
      <c r="A231" t="s">
        <v>76</v>
      </c>
      <c r="B231">
        <v>2043</v>
      </c>
      <c r="C231" t="s">
        <v>41</v>
      </c>
      <c r="D231" t="s">
        <v>84</v>
      </c>
      <c r="E231" s="12">
        <f>SUMIFS(Electricity!$R:$R,Electricity!$P:$P,$B231,Electricity!$O:$O,$D231,Electricity!$M:$M,$A231)</f>
        <v>15</v>
      </c>
      <c r="F231" t="s">
        <v>81</v>
      </c>
      <c r="G231" s="31">
        <f>H231/Assumptions!$B$23/1000000000000</f>
        <v>2.8345395294605624E-4</v>
      </c>
      <c r="H231" s="13">
        <f>IF(C231="Electricity",E231*SUMIFS(Electricity!S:S,Electricity!P:P,Predev_Scenarios!B231,Electricity!M:M,Predev_Scenarios!A231,Electricity!O:O,Predev_Scenarios!D231),"")</f>
        <v>78741.09003782057</v>
      </c>
      <c r="I231" s="59">
        <f>SUMIFS(Electricity!U:U,Electricity!$M:$M,Predev_Scenarios!$A231,Electricity!$P:$P,Predev_Scenarios!$B231,Electricity!$O:$O,Predev_Scenarios!$D231)*-1</f>
        <v>6.7999746399999894E-2</v>
      </c>
      <c r="J231" s="59">
        <f>SUMIFS(Electricity!V:V,Electricity!$M:$M,Predev_Scenarios!$A231,Electricity!$P:$P,Predev_Scenarios!$B231,Electricity!$O:$O,Predev_Scenarios!$D231)*-1</f>
        <v>3.9210322300000093E-2</v>
      </c>
      <c r="K231" s="59">
        <f>SUMIFS(Electricity!W:W,Electricity!$M:$M,Predev_Scenarios!$A231,Electricity!$P:$P,Predev_Scenarios!$B231,Electricity!$O:$O,Predev_Scenarios!$D231)*-1</f>
        <v>9.6789169500000008E-2</v>
      </c>
      <c r="L231" s="63">
        <f t="shared" si="17"/>
        <v>-5.3543741538313572E-9</v>
      </c>
      <c r="M231" s="63">
        <f t="shared" si="18"/>
        <v>-3.0874635186362711E-9</v>
      </c>
      <c r="N231" s="63">
        <f t="shared" si="19"/>
        <v>-7.6212847102853778E-9</v>
      </c>
      <c r="O231" s="30">
        <f>IF(OR(LEFT($D231,5)="Solar",$D231="Wind"),INDEX(Land_Use[AVG],MATCH(LEFT($D231,5),Land_Use[Tech],0)),0)*$E231</f>
        <v>0</v>
      </c>
      <c r="P231" s="30">
        <f>IF(OR(LEFT($D231,5)="Solar",$D231="Wind"),INDEX(Land_Use[MIN],MATCH(LEFT($D231,5),Land_Use[Tech],0)),0)*$E231</f>
        <v>0</v>
      </c>
      <c r="Q231" s="30">
        <f>IF(OR(LEFT($D231,5)="Solar",$D231="Wind"),INDEX(Land_Use[MAX],MATCH(LEFT($D231,5),Land_Use[Tech],0)),0)*$E231</f>
        <v>0</v>
      </c>
      <c r="R231" s="31">
        <f>IFERROR(INDEX(WaterUseH2[Average Direct Water Consumption (Gal/ kg h2)],MATCH(LEFT(D231,3),WaterUseH2[Key],0)),0)</f>
        <v>4.0999999999999996</v>
      </c>
      <c r="S231" s="15">
        <f t="shared" si="20"/>
        <v>6.1499999999999992E-2</v>
      </c>
    </row>
    <row r="232" spans="1:19" x14ac:dyDescent="0.35">
      <c r="A232" t="s">
        <v>76</v>
      </c>
      <c r="B232">
        <v>2044</v>
      </c>
      <c r="C232" t="s">
        <v>41</v>
      </c>
      <c r="D232" t="s">
        <v>84</v>
      </c>
      <c r="E232" s="12">
        <f>SUMIFS(Electricity!$R:$R,Electricity!$P:$P,$B232,Electricity!$O:$O,$D232,Electricity!$M:$M,$A232)</f>
        <v>15</v>
      </c>
      <c r="F232" t="s">
        <v>81</v>
      </c>
      <c r="G232" s="31">
        <f>H232/Assumptions!$B$23/1000000000000</f>
        <v>2.8109702963205599E-4</v>
      </c>
      <c r="H232" s="13">
        <f>IF(C232="Electricity",E232*SUMIFS(Electricity!S:S,Electricity!P:P,Predev_Scenarios!B232,Electricity!M:M,Predev_Scenarios!A232,Electricity!O:O,Predev_Scenarios!D232),"")</f>
        <v>78086.356847646108</v>
      </c>
      <c r="I232" s="59">
        <f>SUMIFS(Electricity!U:U,Electricity!$M:$M,Predev_Scenarios!$A232,Electricity!$P:$P,Predev_Scenarios!$B232,Electricity!$O:$O,Predev_Scenarios!$D232)*-1</f>
        <v>6.3775822199999888E-2</v>
      </c>
      <c r="J232" s="59">
        <f>SUMIFS(Electricity!V:V,Electricity!$M:$M,Predev_Scenarios!$A232,Electricity!$P:$P,Predev_Scenarios!$B232,Electricity!$O:$O,Predev_Scenarios!$D232)*-1</f>
        <v>3.4052555150000094E-2</v>
      </c>
      <c r="K232" s="59">
        <f>SUMIFS(Electricity!W:W,Electricity!$M:$M,Predev_Scenarios!$A232,Electricity!$P:$P,Predev_Scenarios!$B232,Electricity!$O:$O,Predev_Scenarios!$D232)*-1</f>
        <v>9.3499088250000001E-2</v>
      </c>
      <c r="L232" s="63">
        <f t="shared" si="17"/>
        <v>-4.9800216105612212E-9</v>
      </c>
      <c r="M232" s="63">
        <f t="shared" si="18"/>
        <v>-2.6590399730170565E-9</v>
      </c>
      <c r="N232" s="63">
        <f t="shared" si="19"/>
        <v>-7.3010031700190551E-9</v>
      </c>
      <c r="O232" s="30">
        <f>IF(OR(LEFT($D232,5)="Solar",$D232="Wind"),INDEX(Land_Use[AVG],MATCH(LEFT($D232,5),Land_Use[Tech],0)),0)*$E232</f>
        <v>0</v>
      </c>
      <c r="P232" s="30">
        <f>IF(OR(LEFT($D232,5)="Solar",$D232="Wind"),INDEX(Land_Use[MIN],MATCH(LEFT($D232,5),Land_Use[Tech],0)),0)*$E232</f>
        <v>0</v>
      </c>
      <c r="Q232" s="30">
        <f>IF(OR(LEFT($D232,5)="Solar",$D232="Wind"),INDEX(Land_Use[MAX],MATCH(LEFT($D232,5),Land_Use[Tech],0)),0)*$E232</f>
        <v>0</v>
      </c>
      <c r="R232" s="31">
        <f>IFERROR(INDEX(WaterUseH2[Average Direct Water Consumption (Gal/ kg h2)],MATCH(LEFT(D232,3),WaterUseH2[Key],0)),0)</f>
        <v>4.0999999999999996</v>
      </c>
      <c r="S232" s="15">
        <f t="shared" si="20"/>
        <v>6.1499999999999992E-2</v>
      </c>
    </row>
    <row r="233" spans="1:19" x14ac:dyDescent="0.35">
      <c r="A233" t="s">
        <v>76</v>
      </c>
      <c r="B233">
        <v>2045</v>
      </c>
      <c r="C233" t="s">
        <v>41</v>
      </c>
      <c r="D233" t="s">
        <v>84</v>
      </c>
      <c r="E233" s="12">
        <f>SUMIFS(Electricity!$R:$R,Electricity!$P:$P,$B233,Electricity!$O:$O,$D233,Electricity!$M:$M,$A233)</f>
        <v>15</v>
      </c>
      <c r="F233" t="s">
        <v>81</v>
      </c>
      <c r="G233" s="31">
        <f>H233/Assumptions!$B$23/1000000000000</f>
        <v>2.7874010631805563E-4</v>
      </c>
      <c r="H233" s="13">
        <f>IF(C233="Electricity",E233*SUMIFS(Electricity!S:S,Electricity!P:P,Predev_Scenarios!B233,Electricity!M:M,Predev_Scenarios!A233,Electricity!O:O,Predev_Scenarios!D233),"")</f>
        <v>77431.623657471631</v>
      </c>
      <c r="I233" s="59">
        <f>SUMIFS(Electricity!U:U,Electricity!$M:$M,Predev_Scenarios!$A233,Electricity!$P:$P,Predev_Scenarios!$B233,Electricity!$O:$O,Predev_Scenarios!$D233)*-1</f>
        <v>5.9551897999999888E-2</v>
      </c>
      <c r="J233" s="59">
        <f>SUMIFS(Electricity!V:V,Electricity!$M:$M,Predev_Scenarios!$A233,Electricity!$P:$P,Predev_Scenarios!$B233,Electricity!$O:$O,Predev_Scenarios!$D233)*-1</f>
        <v>2.8894788000000095E-2</v>
      </c>
      <c r="K233" s="59">
        <f>SUMIFS(Electricity!W:W,Electricity!$M:$M,Predev_Scenarios!$A233,Electricity!$P:$P,Predev_Scenarios!$B233,Electricity!$O:$O,Predev_Scenarios!$D233)*-1</f>
        <v>9.0209006999999994E-2</v>
      </c>
      <c r="L233" s="63">
        <f t="shared" si="17"/>
        <v>-4.6112001540241286E-9</v>
      </c>
      <c r="M233" s="63">
        <f t="shared" si="18"/>
        <v>-2.2373703500784347E-9</v>
      </c>
      <c r="N233" s="63">
        <f t="shared" si="19"/>
        <v>-6.9850298805382234E-9</v>
      </c>
      <c r="O233" s="30">
        <f>IF(OR(LEFT($D233,5)="Solar",$D233="Wind"),INDEX(Land_Use[AVG],MATCH(LEFT($D233,5),Land_Use[Tech],0)),0)*$E233</f>
        <v>0</v>
      </c>
      <c r="P233" s="30">
        <f>IF(OR(LEFT($D233,5)="Solar",$D233="Wind"),INDEX(Land_Use[MIN],MATCH(LEFT($D233,5),Land_Use[Tech],0)),0)*$E233</f>
        <v>0</v>
      </c>
      <c r="Q233" s="30">
        <f>IF(OR(LEFT($D233,5)="Solar",$D233="Wind"),INDEX(Land_Use[MAX],MATCH(LEFT($D233,5),Land_Use[Tech],0)),0)*$E233</f>
        <v>0</v>
      </c>
      <c r="R233" s="31">
        <f>IFERROR(INDEX(WaterUseH2[Average Direct Water Consumption (Gal/ kg h2)],MATCH(LEFT(D233,3),WaterUseH2[Key],0)),0)</f>
        <v>4.0999999999999996</v>
      </c>
      <c r="S233" s="15">
        <f t="shared" si="20"/>
        <v>6.1499999999999992E-2</v>
      </c>
    </row>
    <row r="234" spans="1:19" x14ac:dyDescent="0.35">
      <c r="A234" t="s">
        <v>107</v>
      </c>
      <c r="B234">
        <v>2025</v>
      </c>
      <c r="C234" t="s">
        <v>41</v>
      </c>
      <c r="D234" t="s">
        <v>84</v>
      </c>
      <c r="E234" s="12">
        <f>SUMIFS(Electricity!$R:$R,Electricity!$P:$P,$B234,Electricity!$O:$O,$D234,Electricity!$M:$M,$A234)</f>
        <v>0</v>
      </c>
      <c r="F234" t="s">
        <v>81</v>
      </c>
      <c r="G234" s="31">
        <f>H234/Assumptions!$B$23/1000000000000</f>
        <v>0</v>
      </c>
      <c r="H234" s="13">
        <f>IF(C234="Electricity",E234*SUMIFS(Electricity!S:S,Electricity!P:P,Predev_Scenarios!B234,Electricity!M:M,Predev_Scenarios!A234,Electricity!O:O,Predev_Scenarios!D234),"")</f>
        <v>0</v>
      </c>
      <c r="I234" s="59">
        <f>SUMIFS(Electricity!U:U,Electricity!$M:$M,Predev_Scenarios!$A234,Electricity!$P:$P,Predev_Scenarios!$B234,Electricity!$O:$O,Predev_Scenarios!$D234)*-1</f>
        <v>0.14403038200000001</v>
      </c>
      <c r="J234" s="59">
        <f>SUMIFS(Electricity!V:V,Electricity!$M:$M,Predev_Scenarios!$A234,Electricity!$P:$P,Predev_Scenarios!$B234,Electricity!$O:$O,Predev_Scenarios!$D234)*-1</f>
        <v>0.13205013099999999</v>
      </c>
      <c r="K234" s="59">
        <f>SUMIFS(Electricity!W:W,Electricity!$M:$M,Predev_Scenarios!$A234,Electricity!$P:$P,Predev_Scenarios!$B234,Electricity!$O:$O,Predev_Scenarios!$D234)*-1</f>
        <v>0.15601063200000001</v>
      </c>
      <c r="L234" s="63">
        <f t="shared" si="17"/>
        <v>0</v>
      </c>
      <c r="M234" s="63">
        <f t="shared" si="18"/>
        <v>0</v>
      </c>
      <c r="N234" s="63">
        <f t="shared" si="19"/>
        <v>0</v>
      </c>
      <c r="O234" s="30">
        <f>IF(OR(LEFT($D234,5)="Solar",$D234="Wind"),INDEX(Land_Use[AVG],MATCH(LEFT($D234,5),Land_Use[Tech],0)),0)*$E234</f>
        <v>0</v>
      </c>
      <c r="P234" s="30">
        <f>IF(OR(LEFT($D234,5)="Solar",$D234="Wind"),INDEX(Land_Use[MIN],MATCH(LEFT($D234,5),Land_Use[Tech],0)),0)*$E234</f>
        <v>0</v>
      </c>
      <c r="Q234" s="30">
        <f>IF(OR(LEFT($D234,5)="Solar",$D234="Wind"),INDEX(Land_Use[MAX],MATCH(LEFT($D234,5),Land_Use[Tech],0)),0)*$E234</f>
        <v>0</v>
      </c>
      <c r="R234" s="31">
        <f>IFERROR(INDEX(WaterUseH2[Average Direct Water Consumption (Gal/ kg h2)],MATCH(LEFT(D234,3),WaterUseH2[Key],0)),0)</f>
        <v>4.0999999999999996</v>
      </c>
      <c r="S234" s="15">
        <f t="shared" si="20"/>
        <v>0</v>
      </c>
    </row>
    <row r="235" spans="1:19" x14ac:dyDescent="0.35">
      <c r="A235" t="s">
        <v>107</v>
      </c>
      <c r="B235">
        <v>2026</v>
      </c>
      <c r="C235" t="s">
        <v>41</v>
      </c>
      <c r="D235" t="s">
        <v>84</v>
      </c>
      <c r="E235" s="12">
        <f>SUMIFS(Electricity!$R:$R,Electricity!$P:$P,$B235,Electricity!$O:$O,$D235,Electricity!$M:$M,$A235)</f>
        <v>5</v>
      </c>
      <c r="F235" t="s">
        <v>81</v>
      </c>
      <c r="G235" s="31">
        <f>H235/Assumptions!$B$23/1000000000000</f>
        <v>1.0784054976135365E-4</v>
      </c>
      <c r="H235" s="13">
        <f>IF(C235="Electricity",E235*SUMIFS(Electricity!S:S,Electricity!P:P,Predev_Scenarios!B235,Electricity!M:M,Predev_Scenarios!A235,Electricity!O:O,Predev_Scenarios!D235),"")</f>
        <v>29957.184756928829</v>
      </c>
      <c r="I235" s="59">
        <f>SUMIFS(Electricity!U:U,Electricity!$M:$M,Predev_Scenarios!$A235,Electricity!$P:$P,Predev_Scenarios!$B235,Electricity!$O:$O,Predev_Scenarios!$D235)*-1</f>
        <v>0.13980645780000001</v>
      </c>
      <c r="J235" s="59">
        <f>SUMIFS(Electricity!V:V,Electricity!$M:$M,Predev_Scenarios!$A235,Electricity!$P:$P,Predev_Scenarios!$B235,Electricity!$O:$O,Predev_Scenarios!$D235)*-1</f>
        <v>0.12689236385</v>
      </c>
      <c r="K235" s="59">
        <f>SUMIFS(Electricity!W:W,Electricity!$M:$M,Predev_Scenarios!$A235,Electricity!$P:$P,Predev_Scenarios!$B235,Electricity!$O:$O,Predev_Scenarios!$D235)*-1</f>
        <v>0.15272055075000002</v>
      </c>
      <c r="L235" s="63">
        <f t="shared" si="17"/>
        <v>-4.1882078865263744E-9</v>
      </c>
      <c r="M235" s="63">
        <f t="shared" si="18"/>
        <v>-3.8013379880978874E-9</v>
      </c>
      <c r="N235" s="63">
        <f t="shared" si="19"/>
        <v>-4.5750777549976768E-9</v>
      </c>
      <c r="O235" s="30">
        <f>IF(OR(LEFT($D235,5)="Solar",$D235="Wind"),INDEX(Land_Use[AVG],MATCH(LEFT($D235,5),Land_Use[Tech],0)),0)*$E235</f>
        <v>0</v>
      </c>
      <c r="P235" s="30">
        <f>IF(OR(LEFT($D235,5)="Solar",$D235="Wind"),INDEX(Land_Use[MIN],MATCH(LEFT($D235,5),Land_Use[Tech],0)),0)*$E235</f>
        <v>0</v>
      </c>
      <c r="Q235" s="30">
        <f>IF(OR(LEFT($D235,5)="Solar",$D235="Wind"),INDEX(Land_Use[MAX],MATCH(LEFT($D235,5),Land_Use[Tech],0)),0)*$E235</f>
        <v>0</v>
      </c>
      <c r="R235" s="31">
        <f>IFERROR(INDEX(WaterUseH2[Average Direct Water Consumption (Gal/ kg h2)],MATCH(LEFT(D235,3),WaterUseH2[Key],0)),0)</f>
        <v>4.0999999999999996</v>
      </c>
      <c r="S235" s="15">
        <f t="shared" si="20"/>
        <v>2.0500000000000001E-2</v>
      </c>
    </row>
    <row r="236" spans="1:19" x14ac:dyDescent="0.35">
      <c r="A236" t="s">
        <v>107</v>
      </c>
      <c r="B236">
        <v>2027</v>
      </c>
      <c r="C236" t="s">
        <v>41</v>
      </c>
      <c r="D236" t="s">
        <v>84</v>
      </c>
      <c r="E236" s="12">
        <f>SUMIFS(Electricity!$R:$R,Electricity!$P:$P,$B236,Electricity!$O:$O,$D236,Electricity!$M:$M,$A236)</f>
        <v>5</v>
      </c>
      <c r="F236" t="s">
        <v>81</v>
      </c>
      <c r="G236" s="31">
        <f>H236/Assumptions!$B$23/1000000000000</f>
        <v>1.0705490865668689E-4</v>
      </c>
      <c r="H236" s="13">
        <f>IF(C236="Electricity",E236*SUMIFS(Electricity!S:S,Electricity!P:P,Predev_Scenarios!B236,Electricity!M:M,Predev_Scenarios!A236,Electricity!O:O,Predev_Scenarios!D236),"")</f>
        <v>29738.940360204004</v>
      </c>
      <c r="I236" s="59">
        <f>SUMIFS(Electricity!U:U,Electricity!$M:$M,Predev_Scenarios!$A236,Electricity!$P:$P,Predev_Scenarios!$B236,Electricity!$O:$O,Predev_Scenarios!$D236)*-1</f>
        <v>0.1355825336</v>
      </c>
      <c r="J236" s="59">
        <f>SUMIFS(Electricity!V:V,Electricity!$M:$M,Predev_Scenarios!$A236,Electricity!$P:$P,Predev_Scenarios!$B236,Electricity!$O:$O,Predev_Scenarios!$D236)*-1</f>
        <v>0.1217345967</v>
      </c>
      <c r="K236" s="59">
        <f>SUMIFS(Electricity!W:W,Electricity!$M:$M,Predev_Scenarios!$A236,Electricity!$P:$P,Predev_Scenarios!$B236,Electricity!$O:$O,Predev_Scenarios!$D236)*-1</f>
        <v>0.14943046950000002</v>
      </c>
      <c r="L236" s="63">
        <f t="shared" si="17"/>
        <v>-4.0320808806157555E-9</v>
      </c>
      <c r="M236" s="63">
        <f t="shared" si="18"/>
        <v>-3.6202579110347873E-9</v>
      </c>
      <c r="N236" s="63">
        <f t="shared" si="19"/>
        <v>-4.4439038204577837E-9</v>
      </c>
      <c r="O236" s="30">
        <f>IF(OR(LEFT($D236,5)="Solar",$D236="Wind"),INDEX(Land_Use[AVG],MATCH(LEFT($D236,5),Land_Use[Tech],0)),0)*$E236</f>
        <v>0</v>
      </c>
      <c r="P236" s="30">
        <f>IF(OR(LEFT($D236,5)="Solar",$D236="Wind"),INDEX(Land_Use[MIN],MATCH(LEFT($D236,5),Land_Use[Tech],0)),0)*$E236</f>
        <v>0</v>
      </c>
      <c r="Q236" s="30">
        <f>IF(OR(LEFT($D236,5)="Solar",$D236="Wind"),INDEX(Land_Use[MAX],MATCH(LEFT($D236,5),Land_Use[Tech],0)),0)*$E236</f>
        <v>0</v>
      </c>
      <c r="R236" s="31">
        <f>IFERROR(INDEX(WaterUseH2[Average Direct Water Consumption (Gal/ kg h2)],MATCH(LEFT(D236,3),WaterUseH2[Key],0)),0)</f>
        <v>4.0999999999999996</v>
      </c>
      <c r="S236" s="15">
        <f t="shared" si="20"/>
        <v>2.0500000000000001E-2</v>
      </c>
    </row>
    <row r="237" spans="1:19" x14ac:dyDescent="0.35">
      <c r="A237" t="s">
        <v>107</v>
      </c>
      <c r="B237">
        <v>2028</v>
      </c>
      <c r="C237" t="s">
        <v>41</v>
      </c>
      <c r="D237" t="s">
        <v>84</v>
      </c>
      <c r="E237" s="12">
        <f>SUMIFS(Electricity!$R:$R,Electricity!$P:$P,$B237,Electricity!$O:$O,$D237,Electricity!$M:$M,$A237)</f>
        <v>5</v>
      </c>
      <c r="F237" t="s">
        <v>81</v>
      </c>
      <c r="G237" s="31">
        <f>H237/Assumptions!$B$23/1000000000000</f>
        <v>1.0626926755202014E-4</v>
      </c>
      <c r="H237" s="13">
        <f>IF(C237="Electricity",E237*SUMIFS(Electricity!S:S,Electricity!P:P,Predev_Scenarios!B237,Electricity!M:M,Predev_Scenarios!A237,Electricity!O:O,Predev_Scenarios!D237),"")</f>
        <v>29520.695963479186</v>
      </c>
      <c r="I237" s="59">
        <f>SUMIFS(Electricity!U:U,Electricity!$M:$M,Predev_Scenarios!$A237,Electricity!$P:$P,Predev_Scenarios!$B237,Electricity!$O:$O,Predev_Scenarios!$D237)*-1</f>
        <v>0.13135860939999999</v>
      </c>
      <c r="J237" s="59">
        <f>SUMIFS(Electricity!V:V,Electricity!$M:$M,Predev_Scenarios!$A237,Electricity!$P:$P,Predev_Scenarios!$B237,Electricity!$O:$O,Predev_Scenarios!$D237)*-1</f>
        <v>0.11657682955000001</v>
      </c>
      <c r="K237" s="59">
        <f>SUMIFS(Electricity!W:W,Electricity!$M:$M,Predev_Scenarios!$A237,Electricity!$P:$P,Predev_Scenarios!$B237,Electricity!$O:$O,Predev_Scenarios!$D237)*-1</f>
        <v>0.14614038825000003</v>
      </c>
      <c r="L237" s="63">
        <f t="shared" si="17"/>
        <v>-3.8777975702828186E-9</v>
      </c>
      <c r="M237" s="63">
        <f t="shared" si="18"/>
        <v>-3.441429141531886E-9</v>
      </c>
      <c r="N237" s="63">
        <f t="shared" si="19"/>
        <v>-4.3141659695130564E-9</v>
      </c>
      <c r="O237" s="30">
        <f>IF(OR(LEFT($D237,5)="Solar",$D237="Wind"),INDEX(Land_Use[AVG],MATCH(LEFT($D237,5),Land_Use[Tech],0)),0)*$E237</f>
        <v>0</v>
      </c>
      <c r="P237" s="30">
        <f>IF(OR(LEFT($D237,5)="Solar",$D237="Wind"),INDEX(Land_Use[MIN],MATCH(LEFT($D237,5),Land_Use[Tech],0)),0)*$E237</f>
        <v>0</v>
      </c>
      <c r="Q237" s="30">
        <f>IF(OR(LEFT($D237,5)="Solar",$D237="Wind"),INDEX(Land_Use[MAX],MATCH(LEFT($D237,5),Land_Use[Tech],0)),0)*$E237</f>
        <v>0</v>
      </c>
      <c r="R237" s="31">
        <f>IFERROR(INDEX(WaterUseH2[Average Direct Water Consumption (Gal/ kg h2)],MATCH(LEFT(D237,3),WaterUseH2[Key],0)),0)</f>
        <v>4.0999999999999996</v>
      </c>
      <c r="S237" s="15">
        <f t="shared" si="20"/>
        <v>2.0500000000000001E-2</v>
      </c>
    </row>
    <row r="238" spans="1:19" x14ac:dyDescent="0.35">
      <c r="A238" t="s">
        <v>107</v>
      </c>
      <c r="B238">
        <v>2029</v>
      </c>
      <c r="C238" t="s">
        <v>41</v>
      </c>
      <c r="D238" t="s">
        <v>84</v>
      </c>
      <c r="E238" s="12">
        <f>SUMIFS(Electricity!$R:$R,Electricity!$P:$P,$B238,Electricity!$O:$O,$D238,Electricity!$M:$M,$A238)</f>
        <v>5</v>
      </c>
      <c r="F238" t="s">
        <v>81</v>
      </c>
      <c r="G238" s="31">
        <f>H238/Assumptions!$B$23/1000000000000</f>
        <v>1.0548362644735336E-4</v>
      </c>
      <c r="H238" s="13">
        <f>IF(C238="Electricity",E238*SUMIFS(Electricity!S:S,Electricity!P:P,Predev_Scenarios!B238,Electricity!M:M,Predev_Scenarios!A238,Electricity!O:O,Predev_Scenarios!D238),"")</f>
        <v>29302.45156675436</v>
      </c>
      <c r="I238" s="59">
        <f>SUMIFS(Electricity!U:U,Electricity!$M:$M,Predev_Scenarios!$A238,Electricity!$P:$P,Predev_Scenarios!$B238,Electricity!$O:$O,Predev_Scenarios!$D238)*-1</f>
        <v>0.12713468519999999</v>
      </c>
      <c r="J238" s="59">
        <f>SUMIFS(Electricity!V:V,Electricity!$M:$M,Predev_Scenarios!$A238,Electricity!$P:$P,Predev_Scenarios!$B238,Electricity!$O:$O,Predev_Scenarios!$D238)*-1</f>
        <v>0.11141906240000002</v>
      </c>
      <c r="K238" s="59">
        <f>SUMIFS(Electricity!W:W,Electricity!$M:$M,Predev_Scenarios!$A238,Electricity!$P:$P,Predev_Scenarios!$B238,Electricity!$O:$O,Predev_Scenarios!$D238)*-1</f>
        <v>0.14285030700000004</v>
      </c>
      <c r="L238" s="63">
        <f t="shared" si="17"/>
        <v>-3.7253579555275619E-9</v>
      </c>
      <c r="M238" s="63">
        <f t="shared" si="18"/>
        <v>-3.2648516795891824E-9</v>
      </c>
      <c r="N238" s="63">
        <f t="shared" si="19"/>
        <v>-4.1858642021634925E-9</v>
      </c>
      <c r="O238" s="30">
        <f>IF(OR(LEFT($D238,5)="Solar",$D238="Wind"),INDEX(Land_Use[AVG],MATCH(LEFT($D238,5),Land_Use[Tech],0)),0)*$E238</f>
        <v>0</v>
      </c>
      <c r="P238" s="30">
        <f>IF(OR(LEFT($D238,5)="Solar",$D238="Wind"),INDEX(Land_Use[MIN],MATCH(LEFT($D238,5),Land_Use[Tech],0)),0)*$E238</f>
        <v>0</v>
      </c>
      <c r="Q238" s="30">
        <f>IF(OR(LEFT($D238,5)="Solar",$D238="Wind"),INDEX(Land_Use[MAX],MATCH(LEFT($D238,5),Land_Use[Tech],0)),0)*$E238</f>
        <v>0</v>
      </c>
      <c r="R238" s="31">
        <f>IFERROR(INDEX(WaterUseH2[Average Direct Water Consumption (Gal/ kg h2)],MATCH(LEFT(D238,3),WaterUseH2[Key],0)),0)</f>
        <v>4.0999999999999996</v>
      </c>
      <c r="S238" s="15">
        <f t="shared" si="20"/>
        <v>2.0500000000000001E-2</v>
      </c>
    </row>
    <row r="239" spans="1:19" x14ac:dyDescent="0.35">
      <c r="A239" t="s">
        <v>107</v>
      </c>
      <c r="B239">
        <v>2030</v>
      </c>
      <c r="C239" t="s">
        <v>41</v>
      </c>
      <c r="D239" t="s">
        <v>84</v>
      </c>
      <c r="E239" s="12">
        <f>SUMIFS(Electricity!$R:$R,Electricity!$P:$P,$B239,Electricity!$O:$O,$D239,Electricity!$M:$M,$A239)</f>
        <v>10</v>
      </c>
      <c r="F239" t="s">
        <v>81</v>
      </c>
      <c r="G239" s="31">
        <f>H239/Assumptions!$B$23/1000000000000</f>
        <v>2.0939597068537325E-4</v>
      </c>
      <c r="H239" s="13">
        <f>IF(C239="Electricity",E239*SUMIFS(Electricity!S:S,Electricity!P:P,Predev_Scenarios!B239,Electricity!M:M,Predev_Scenarios!A239,Electricity!O:O,Predev_Scenarios!D239),"")</f>
        <v>58168.414340059084</v>
      </c>
      <c r="I239" s="59">
        <f>SUMIFS(Electricity!U:U,Electricity!$M:$M,Predev_Scenarios!$A239,Electricity!$P:$P,Predev_Scenarios!$B239,Electricity!$O:$O,Predev_Scenarios!$D239)*-1</f>
        <v>0.12291076099999998</v>
      </c>
      <c r="J239" s="59">
        <f>SUMIFS(Electricity!V:V,Electricity!$M:$M,Predev_Scenarios!$A239,Electricity!$P:$P,Predev_Scenarios!$B239,Electricity!$O:$O,Predev_Scenarios!$D239)*-1</f>
        <v>0.10626129525000003</v>
      </c>
      <c r="K239" s="59">
        <f>SUMIFS(Electricity!W:W,Electricity!$M:$M,Predev_Scenarios!$A239,Electricity!$P:$P,Predev_Scenarios!$B239,Electricity!$O:$O,Predev_Scenarios!$D239)*-1</f>
        <v>0.13956022575000004</v>
      </c>
      <c r="L239" s="63">
        <f t="shared" si="17"/>
        <v>-7.1495240726999743E-9</v>
      </c>
      <c r="M239" s="63">
        <f t="shared" si="18"/>
        <v>-6.1810510504133543E-9</v>
      </c>
      <c r="N239" s="63">
        <f t="shared" si="19"/>
        <v>-8.1179970368181856E-9</v>
      </c>
      <c r="O239" s="30">
        <f>IF(OR(LEFT($D239,5)="Solar",$D239="Wind"),INDEX(Land_Use[AVG],MATCH(LEFT($D239,5),Land_Use[Tech],0)),0)*$E239</f>
        <v>0</v>
      </c>
      <c r="P239" s="30">
        <f>IF(OR(LEFT($D239,5)="Solar",$D239="Wind"),INDEX(Land_Use[MIN],MATCH(LEFT($D239,5),Land_Use[Tech],0)),0)*$E239</f>
        <v>0</v>
      </c>
      <c r="Q239" s="30">
        <f>IF(OR(LEFT($D239,5)="Solar",$D239="Wind"),INDEX(Land_Use[MAX],MATCH(LEFT($D239,5),Land_Use[Tech],0)),0)*$E239</f>
        <v>0</v>
      </c>
      <c r="R239" s="31">
        <f>IFERROR(INDEX(WaterUseH2[Average Direct Water Consumption (Gal/ kg h2)],MATCH(LEFT(D239,3),WaterUseH2[Key],0)),0)</f>
        <v>4.0999999999999996</v>
      </c>
      <c r="S239" s="15">
        <f t="shared" si="20"/>
        <v>4.1000000000000002E-2</v>
      </c>
    </row>
    <row r="240" spans="1:19" x14ac:dyDescent="0.35">
      <c r="A240" t="s">
        <v>107</v>
      </c>
      <c r="B240">
        <v>2031</v>
      </c>
      <c r="C240" t="s">
        <v>41</v>
      </c>
      <c r="D240" t="s">
        <v>84</v>
      </c>
      <c r="E240" s="12">
        <f>SUMIFS(Electricity!$R:$R,Electricity!$P:$P,$B240,Electricity!$O:$O,$D240,Electricity!$M:$M,$A240)</f>
        <v>10</v>
      </c>
      <c r="F240" t="s">
        <v>81</v>
      </c>
      <c r="G240" s="31">
        <f>H240/Assumptions!$B$23/1000000000000</f>
        <v>2.0782468847603967E-4</v>
      </c>
      <c r="H240" s="13">
        <f>IF(C240="Electricity",E240*SUMIFS(Electricity!S:S,Electricity!P:P,Predev_Scenarios!B240,Electricity!M:M,Predev_Scenarios!A240,Electricity!O:O,Predev_Scenarios!D240),"")</f>
        <v>57731.925546609433</v>
      </c>
      <c r="I240" s="59">
        <f>SUMIFS(Electricity!U:U,Electricity!$M:$M,Predev_Scenarios!$A240,Electricity!$P:$P,Predev_Scenarios!$B240,Electricity!$O:$O,Predev_Scenarios!$D240)*-1</f>
        <v>0.11868683679999997</v>
      </c>
      <c r="J240" s="59">
        <f>SUMIFS(Electricity!V:V,Electricity!$M:$M,Predev_Scenarios!$A240,Electricity!$P:$P,Predev_Scenarios!$B240,Electricity!$O:$O,Predev_Scenarios!$D240)*-1</f>
        <v>0.10110352810000003</v>
      </c>
      <c r="K240" s="59">
        <f>SUMIFS(Electricity!W:W,Electricity!$M:$M,Predev_Scenarios!$A240,Electricity!$P:$P,Predev_Scenarios!$B240,Electricity!$O:$O,Predev_Scenarios!$D240)*-1</f>
        <v>0.13627014450000005</v>
      </c>
      <c r="L240" s="63">
        <f t="shared" si="17"/>
        <v>-6.8520196255001837E-9</v>
      </c>
      <c r="M240" s="63">
        <f t="shared" si="18"/>
        <v>-5.8369013567687366E-9</v>
      </c>
      <c r="N240" s="63">
        <f t="shared" si="19"/>
        <v>-7.8671378364997129E-9</v>
      </c>
      <c r="O240" s="30">
        <f>IF(OR(LEFT($D240,5)="Solar",$D240="Wind"),INDEX(Land_Use[AVG],MATCH(LEFT($D240,5),Land_Use[Tech],0)),0)*$E240</f>
        <v>0</v>
      </c>
      <c r="P240" s="30">
        <f>IF(OR(LEFT($D240,5)="Solar",$D240="Wind"),INDEX(Land_Use[MIN],MATCH(LEFT($D240,5),Land_Use[Tech],0)),0)*$E240</f>
        <v>0</v>
      </c>
      <c r="Q240" s="30">
        <f>IF(OR(LEFT($D240,5)="Solar",$D240="Wind"),INDEX(Land_Use[MAX],MATCH(LEFT($D240,5),Land_Use[Tech],0)),0)*$E240</f>
        <v>0</v>
      </c>
      <c r="R240" s="31">
        <f>IFERROR(INDEX(WaterUseH2[Average Direct Water Consumption (Gal/ kg h2)],MATCH(LEFT(D240,3),WaterUseH2[Key],0)),0)</f>
        <v>4.0999999999999996</v>
      </c>
      <c r="S240" s="15">
        <f t="shared" si="20"/>
        <v>4.1000000000000002E-2</v>
      </c>
    </row>
    <row r="241" spans="1:19" x14ac:dyDescent="0.35">
      <c r="A241" t="s">
        <v>107</v>
      </c>
      <c r="B241">
        <v>2032</v>
      </c>
      <c r="C241" t="s">
        <v>41</v>
      </c>
      <c r="D241" t="s">
        <v>84</v>
      </c>
      <c r="E241" s="12">
        <f>SUMIFS(Electricity!$R:$R,Electricity!$P:$P,$B241,Electricity!$O:$O,$D241,Electricity!$M:$M,$A241)</f>
        <v>15</v>
      </c>
      <c r="F241" t="s">
        <v>81</v>
      </c>
      <c r="G241" s="31">
        <f>H241/Assumptions!$B$23/1000000000000</f>
        <v>3.0938010940005927E-4</v>
      </c>
      <c r="H241" s="13">
        <f>IF(C241="Electricity",E241*SUMIFS(Electricity!S:S,Electricity!P:P,Predev_Scenarios!B241,Electricity!M:M,Predev_Scenarios!A241,Electricity!O:O,Predev_Scenarios!D241),"")</f>
        <v>85943.155129739695</v>
      </c>
      <c r="I241" s="59">
        <f>SUMIFS(Electricity!U:U,Electricity!$M:$M,Predev_Scenarios!$A241,Electricity!$P:$P,Predev_Scenarios!$B241,Electricity!$O:$O,Predev_Scenarios!$D241)*-1</f>
        <v>0.11446291259999997</v>
      </c>
      <c r="J241" s="59">
        <f>SUMIFS(Electricity!V:V,Electricity!$M:$M,Predev_Scenarios!$A241,Electricity!$P:$P,Predev_Scenarios!$B241,Electricity!$O:$O,Predev_Scenarios!$D241)*-1</f>
        <v>9.5945760950000042E-2</v>
      </c>
      <c r="K241" s="59">
        <f>SUMIFS(Electricity!W:W,Electricity!$M:$M,Predev_Scenarios!$A241,Electricity!$P:$P,Predev_Scenarios!$B241,Electricity!$O:$O,Predev_Scenarios!$D241)*-1</f>
        <v>0.13298006325000006</v>
      </c>
      <c r="L241" s="63">
        <f t="shared" si="17"/>
        <v>-9.8373038541836321E-9</v>
      </c>
      <c r="M241" s="63">
        <f t="shared" si="18"/>
        <v>-8.2458814173667745E-9</v>
      </c>
      <c r="N241" s="63">
        <f t="shared" si="19"/>
        <v>-1.1428726205057351E-8</v>
      </c>
      <c r="O241" s="30">
        <f>IF(OR(LEFT($D241,5)="Solar",$D241="Wind"),INDEX(Land_Use[AVG],MATCH(LEFT($D241,5),Land_Use[Tech],0)),0)*$E241</f>
        <v>0</v>
      </c>
      <c r="P241" s="30">
        <f>IF(OR(LEFT($D241,5)="Solar",$D241="Wind"),INDEX(Land_Use[MIN],MATCH(LEFT($D241,5),Land_Use[Tech],0)),0)*$E241</f>
        <v>0</v>
      </c>
      <c r="Q241" s="30">
        <f>IF(OR(LEFT($D241,5)="Solar",$D241="Wind"),INDEX(Land_Use[MAX],MATCH(LEFT($D241,5),Land_Use[Tech],0)),0)*$E241</f>
        <v>0</v>
      </c>
      <c r="R241" s="31">
        <f>IFERROR(INDEX(WaterUseH2[Average Direct Water Consumption (Gal/ kg h2)],MATCH(LEFT(D241,3),WaterUseH2[Key],0)),0)</f>
        <v>4.0999999999999996</v>
      </c>
      <c r="S241" s="15">
        <f t="shared" si="20"/>
        <v>6.1499999999999992E-2</v>
      </c>
    </row>
    <row r="242" spans="1:19" x14ac:dyDescent="0.35">
      <c r="A242" t="s">
        <v>107</v>
      </c>
      <c r="B242">
        <v>2033</v>
      </c>
      <c r="C242" t="s">
        <v>41</v>
      </c>
      <c r="D242" t="s">
        <v>84</v>
      </c>
      <c r="E242" s="12">
        <f>SUMIFS(Electricity!$R:$R,Electricity!$P:$P,$B242,Electricity!$O:$O,$D242,Electricity!$M:$M,$A242)</f>
        <v>15</v>
      </c>
      <c r="F242" t="s">
        <v>81</v>
      </c>
      <c r="G242" s="31">
        <f>H242/Assumptions!$B$23/1000000000000</f>
        <v>3.0702318608605896E-4</v>
      </c>
      <c r="H242" s="13">
        <f>IF(C242="Electricity",E242*SUMIFS(Electricity!S:S,Electricity!P:P,Predev_Scenarios!B242,Electricity!M:M,Predev_Scenarios!A242,Electricity!O:O,Predev_Scenarios!D242),"")</f>
        <v>85288.421939565218</v>
      </c>
      <c r="I242" s="59">
        <f>SUMIFS(Electricity!U:U,Electricity!$M:$M,Predev_Scenarios!$A242,Electricity!$P:$P,Predev_Scenarios!$B242,Electricity!$O:$O,Predev_Scenarios!$D242)*-1</f>
        <v>0.11023898839999996</v>
      </c>
      <c r="J242" s="59">
        <f>SUMIFS(Electricity!V:V,Electricity!$M:$M,Predev_Scenarios!$A242,Electricity!$P:$P,Predev_Scenarios!$B242,Electricity!$O:$O,Predev_Scenarios!$D242)*-1</f>
        <v>9.078799380000005E-2</v>
      </c>
      <c r="K242" s="59">
        <f>SUMIFS(Electricity!W:W,Electricity!$M:$M,Predev_Scenarios!$A242,Electricity!$P:$P,Predev_Scenarios!$B242,Electricity!$O:$O,Predev_Scenarios!$D242)*-1</f>
        <v>0.12968998200000006</v>
      </c>
      <c r="L242" s="63">
        <f t="shared" si="17"/>
        <v>-9.4021093568500312E-9</v>
      </c>
      <c r="M242" s="63">
        <f t="shared" si="18"/>
        <v>-7.7431647222610348E-9</v>
      </c>
      <c r="N242" s="63">
        <f t="shared" si="19"/>
        <v>-1.1061053906150623E-8</v>
      </c>
      <c r="O242" s="30">
        <f>IF(OR(LEFT($D242,5)="Solar",$D242="Wind"),INDEX(Land_Use[AVG],MATCH(LEFT($D242,5),Land_Use[Tech],0)),0)*$E242</f>
        <v>0</v>
      </c>
      <c r="P242" s="30">
        <f>IF(OR(LEFT($D242,5)="Solar",$D242="Wind"),INDEX(Land_Use[MIN],MATCH(LEFT($D242,5),Land_Use[Tech],0)),0)*$E242</f>
        <v>0</v>
      </c>
      <c r="Q242" s="30">
        <f>IF(OR(LEFT($D242,5)="Solar",$D242="Wind"),INDEX(Land_Use[MAX],MATCH(LEFT($D242,5),Land_Use[Tech],0)),0)*$E242</f>
        <v>0</v>
      </c>
      <c r="R242" s="31">
        <f>IFERROR(INDEX(WaterUseH2[Average Direct Water Consumption (Gal/ kg h2)],MATCH(LEFT(D242,3),WaterUseH2[Key],0)),0)</f>
        <v>4.0999999999999996</v>
      </c>
      <c r="S242" s="15">
        <f t="shared" si="20"/>
        <v>6.1499999999999992E-2</v>
      </c>
    </row>
    <row r="243" spans="1:19" x14ac:dyDescent="0.35">
      <c r="A243" t="s">
        <v>107</v>
      </c>
      <c r="B243">
        <v>2034</v>
      </c>
      <c r="C243" t="s">
        <v>41</v>
      </c>
      <c r="D243" t="s">
        <v>84</v>
      </c>
      <c r="E243" s="12">
        <f>SUMIFS(Electricity!$R:$R,Electricity!$P:$P,$B243,Electricity!$O:$O,$D243,Electricity!$M:$M,$A243)</f>
        <v>15</v>
      </c>
      <c r="F243" t="s">
        <v>81</v>
      </c>
      <c r="G243" s="31">
        <f>H243/Assumptions!$B$23/1000000000000</f>
        <v>3.0466626277205871E-4</v>
      </c>
      <c r="H243" s="13">
        <f>IF(C243="Electricity",E243*SUMIFS(Electricity!S:S,Electricity!P:P,Predev_Scenarios!B243,Electricity!M:M,Predev_Scenarios!A243,Electricity!O:O,Predev_Scenarios!D243),"")</f>
        <v>84633.688749390756</v>
      </c>
      <c r="I243" s="59">
        <f>SUMIFS(Electricity!U:U,Electricity!$M:$M,Predev_Scenarios!$A243,Electricity!$P:$P,Predev_Scenarios!$B243,Electricity!$O:$O,Predev_Scenarios!$D243)*-1</f>
        <v>0.10601506419999995</v>
      </c>
      <c r="J243" s="59">
        <f>SUMIFS(Electricity!V:V,Electricity!$M:$M,Predev_Scenarios!$A243,Electricity!$P:$P,Predev_Scenarios!$B243,Electricity!$O:$O,Predev_Scenarios!$D243)*-1</f>
        <v>8.5630226650000058E-2</v>
      </c>
      <c r="K243" s="59">
        <f>SUMIFS(Electricity!W:W,Electricity!$M:$M,Predev_Scenarios!$A243,Electricity!$P:$P,Predev_Scenarios!$B243,Electricity!$O:$O,Predev_Scenarios!$D243)*-1</f>
        <v>0.12639990075000007</v>
      </c>
      <c r="L243" s="63">
        <f t="shared" si="17"/>
        <v>-8.9724459462494753E-9</v>
      </c>
      <c r="M243" s="63">
        <f t="shared" si="18"/>
        <v>-7.24720194983589E-9</v>
      </c>
      <c r="N243" s="63">
        <f t="shared" si="19"/>
        <v>-1.069768985802939E-8</v>
      </c>
      <c r="O243" s="30">
        <f>IF(OR(LEFT($D243,5)="Solar",$D243="Wind"),INDEX(Land_Use[AVG],MATCH(LEFT($D243,5),Land_Use[Tech],0)),0)*$E243</f>
        <v>0</v>
      </c>
      <c r="P243" s="30">
        <f>IF(OR(LEFT($D243,5)="Solar",$D243="Wind"),INDEX(Land_Use[MIN],MATCH(LEFT($D243,5),Land_Use[Tech],0)),0)*$E243</f>
        <v>0</v>
      </c>
      <c r="Q243" s="30">
        <f>IF(OR(LEFT($D243,5)="Solar",$D243="Wind"),INDEX(Land_Use[MAX],MATCH(LEFT($D243,5),Land_Use[Tech],0)),0)*$E243</f>
        <v>0</v>
      </c>
      <c r="R243" s="31">
        <f>IFERROR(INDEX(WaterUseH2[Average Direct Water Consumption (Gal/ kg h2)],MATCH(LEFT(D243,3),WaterUseH2[Key],0)),0)</f>
        <v>4.0999999999999996</v>
      </c>
      <c r="S243" s="15">
        <f t="shared" si="20"/>
        <v>6.1499999999999992E-2</v>
      </c>
    </row>
    <row r="244" spans="1:19" x14ac:dyDescent="0.35">
      <c r="A244" t="s">
        <v>107</v>
      </c>
      <c r="B244">
        <v>2035</v>
      </c>
      <c r="C244" t="s">
        <v>41</v>
      </c>
      <c r="D244" t="s">
        <v>84</v>
      </c>
      <c r="E244" s="12">
        <f>SUMIFS(Electricity!$R:$R,Electricity!$P:$P,$B244,Electricity!$O:$O,$D244,Electricity!$M:$M,$A244)</f>
        <v>15</v>
      </c>
      <c r="F244" t="s">
        <v>81</v>
      </c>
      <c r="G244" s="31">
        <f>H244/Assumptions!$B$23/1000000000000</f>
        <v>3.0230933945805846E-4</v>
      </c>
      <c r="H244" s="13">
        <f>IF(C244="Electricity",E244*SUMIFS(Electricity!S:S,Electricity!P:P,Predev_Scenarios!B244,Electricity!M:M,Predev_Scenarios!A244,Electricity!O:O,Predev_Scenarios!D244),"")</f>
        <v>83978.955559216294</v>
      </c>
      <c r="I244" s="59">
        <f>SUMIFS(Electricity!U:U,Electricity!$M:$M,Predev_Scenarios!$A244,Electricity!$P:$P,Predev_Scenarios!$B244,Electricity!$O:$O,Predev_Scenarios!$D244)*-1</f>
        <v>0.10179113999999995</v>
      </c>
      <c r="J244" s="59">
        <f>SUMIFS(Electricity!V:V,Electricity!$M:$M,Predev_Scenarios!$A244,Electricity!$P:$P,Predev_Scenarios!$B244,Electricity!$O:$O,Predev_Scenarios!$D244)*-1</f>
        <v>8.0472459500000065E-2</v>
      </c>
      <c r="K244" s="59">
        <f>SUMIFS(Electricity!W:W,Electricity!$M:$M,Predev_Scenarios!$A244,Electricity!$P:$P,Predev_Scenarios!$B244,Electricity!$O:$O,Predev_Scenarios!$D244)*-1</f>
        <v>0.12310981950000006</v>
      </c>
      <c r="L244" s="63">
        <f t="shared" si="17"/>
        <v>-8.5483136223819594E-9</v>
      </c>
      <c r="M244" s="63">
        <f t="shared" si="18"/>
        <v>-6.7579931000913384E-9</v>
      </c>
      <c r="N244" s="63">
        <f t="shared" si="19"/>
        <v>-1.0338634060693644E-8</v>
      </c>
      <c r="O244" s="30">
        <f>IF(OR(LEFT($D244,5)="Solar",$D244="Wind"),INDEX(Land_Use[AVG],MATCH(LEFT($D244,5),Land_Use[Tech],0)),0)*$E244</f>
        <v>0</v>
      </c>
      <c r="P244" s="30">
        <f>IF(OR(LEFT($D244,5)="Solar",$D244="Wind"),INDEX(Land_Use[MIN],MATCH(LEFT($D244,5),Land_Use[Tech],0)),0)*$E244</f>
        <v>0</v>
      </c>
      <c r="Q244" s="30">
        <f>IF(OR(LEFT($D244,5)="Solar",$D244="Wind"),INDEX(Land_Use[MAX],MATCH(LEFT($D244,5),Land_Use[Tech],0)),0)*$E244</f>
        <v>0</v>
      </c>
      <c r="R244" s="31">
        <f>IFERROR(INDEX(WaterUseH2[Average Direct Water Consumption (Gal/ kg h2)],MATCH(LEFT(D244,3),WaterUseH2[Key],0)),0)</f>
        <v>4.0999999999999996</v>
      </c>
      <c r="S244" s="15">
        <f t="shared" si="20"/>
        <v>6.1499999999999992E-2</v>
      </c>
    </row>
    <row r="245" spans="1:19" x14ac:dyDescent="0.35">
      <c r="A245" t="s">
        <v>107</v>
      </c>
      <c r="B245">
        <v>2036</v>
      </c>
      <c r="C245" t="s">
        <v>41</v>
      </c>
      <c r="D245" t="s">
        <v>84</v>
      </c>
      <c r="E245" s="12">
        <f>SUMIFS(Electricity!$R:$R,Electricity!$P:$P,$B245,Electricity!$O:$O,$D245,Electricity!$M:$M,$A245)</f>
        <v>15</v>
      </c>
      <c r="F245" t="s">
        <v>81</v>
      </c>
      <c r="G245" s="31">
        <f>H245/Assumptions!$B$23/1000000000000</f>
        <v>2.9995241614405815E-4</v>
      </c>
      <c r="H245" s="13">
        <f>IF(C245="Electricity",E245*SUMIFS(Electricity!S:S,Electricity!P:P,Predev_Scenarios!B245,Electricity!M:M,Predev_Scenarios!A245,Electricity!O:O,Predev_Scenarios!D245),"")</f>
        <v>83324.222369041832</v>
      </c>
      <c r="I245" s="59">
        <f>SUMIFS(Electricity!U:U,Electricity!$M:$M,Predev_Scenarios!$A245,Electricity!$P:$P,Predev_Scenarios!$B245,Electricity!$O:$O,Predev_Scenarios!$D245)*-1</f>
        <v>9.756721579999994E-2</v>
      </c>
      <c r="J245" s="59">
        <f>SUMIFS(Electricity!V:V,Electricity!$M:$M,Predev_Scenarios!$A245,Electricity!$P:$P,Predev_Scenarios!$B245,Electricity!$O:$O,Predev_Scenarios!$D245)*-1</f>
        <v>7.5314692350000073E-2</v>
      </c>
      <c r="K245" s="59">
        <f>SUMIFS(Electricity!W:W,Electricity!$M:$M,Predev_Scenarios!$A245,Electricity!$P:$P,Predev_Scenarios!$B245,Electricity!$O:$O,Predev_Scenarios!$D245)*-1</f>
        <v>0.11981973825000006</v>
      </c>
      <c r="L245" s="63">
        <f t="shared" si="17"/>
        <v>-8.1297123852474869E-9</v>
      </c>
      <c r="M245" s="63">
        <f t="shared" si="18"/>
        <v>-6.2755381730273801E-9</v>
      </c>
      <c r="N245" s="63">
        <f t="shared" si="19"/>
        <v>-9.9838865141433927E-9</v>
      </c>
      <c r="O245" s="30">
        <f>IF(OR(LEFT($D245,5)="Solar",$D245="Wind"),INDEX(Land_Use[AVG],MATCH(LEFT($D245,5),Land_Use[Tech],0)),0)*$E245</f>
        <v>0</v>
      </c>
      <c r="P245" s="30">
        <f>IF(OR(LEFT($D245,5)="Solar",$D245="Wind"),INDEX(Land_Use[MIN],MATCH(LEFT($D245,5),Land_Use[Tech],0)),0)*$E245</f>
        <v>0</v>
      </c>
      <c r="Q245" s="30">
        <f>IF(OR(LEFT($D245,5)="Solar",$D245="Wind"),INDEX(Land_Use[MAX],MATCH(LEFT($D245,5),Land_Use[Tech],0)),0)*$E245</f>
        <v>0</v>
      </c>
      <c r="R245" s="31">
        <f>IFERROR(INDEX(WaterUseH2[Average Direct Water Consumption (Gal/ kg h2)],MATCH(LEFT(D245,3),WaterUseH2[Key],0)),0)</f>
        <v>4.0999999999999996</v>
      </c>
      <c r="S245" s="15">
        <f t="shared" si="20"/>
        <v>6.1499999999999992E-2</v>
      </c>
    </row>
    <row r="246" spans="1:19" x14ac:dyDescent="0.35">
      <c r="A246" t="s">
        <v>107</v>
      </c>
      <c r="B246">
        <v>2037</v>
      </c>
      <c r="C246" t="s">
        <v>41</v>
      </c>
      <c r="D246" t="s">
        <v>84</v>
      </c>
      <c r="E246" s="12">
        <f>SUMIFS(Electricity!$R:$R,Electricity!$P:$P,$B246,Electricity!$O:$O,$D246,Electricity!$M:$M,$A246)</f>
        <v>15</v>
      </c>
      <c r="F246" t="s">
        <v>81</v>
      </c>
      <c r="G246" s="31">
        <f>H246/Assumptions!$B$23/1000000000000</f>
        <v>2.9759549283005785E-4</v>
      </c>
      <c r="H246" s="13">
        <f>IF(C246="Electricity",E246*SUMIFS(Electricity!S:S,Electricity!P:P,Predev_Scenarios!B246,Electricity!M:M,Predev_Scenarios!A246,Electricity!O:O,Predev_Scenarios!D246),"")</f>
        <v>82669.489178867356</v>
      </c>
      <c r="I246" s="59">
        <f>SUMIFS(Electricity!U:U,Electricity!$M:$M,Predev_Scenarios!$A246,Electricity!$P:$P,Predev_Scenarios!$B246,Electricity!$O:$O,Predev_Scenarios!$D246)*-1</f>
        <v>9.3343291599999934E-2</v>
      </c>
      <c r="J246" s="59">
        <f>SUMIFS(Electricity!V:V,Electricity!$M:$M,Predev_Scenarios!$A246,Electricity!$P:$P,Predev_Scenarios!$B246,Electricity!$O:$O,Predev_Scenarios!$D246)*-1</f>
        <v>7.0156925200000081E-2</v>
      </c>
      <c r="K246" s="59">
        <f>SUMIFS(Electricity!W:W,Electricity!$M:$M,Predev_Scenarios!$A246,Electricity!$P:$P,Predev_Scenarios!$B246,Electricity!$O:$O,Predev_Scenarios!$D246)*-1</f>
        <v>0.11652965700000005</v>
      </c>
      <c r="L246" s="63">
        <f t="shared" si="17"/>
        <v>-7.7166422348460543E-9</v>
      </c>
      <c r="M246" s="63">
        <f t="shared" si="18"/>
        <v>-5.7998371686440124E-9</v>
      </c>
      <c r="N246" s="63">
        <f t="shared" si="19"/>
        <v>-9.6334472183786277E-9</v>
      </c>
      <c r="O246" s="30">
        <f>IF(OR(LEFT($D246,5)="Solar",$D246="Wind"),INDEX(Land_Use[AVG],MATCH(LEFT($D246,5),Land_Use[Tech],0)),0)*$E246</f>
        <v>0</v>
      </c>
      <c r="P246" s="30">
        <f>IF(OR(LEFT($D246,5)="Solar",$D246="Wind"),INDEX(Land_Use[MIN],MATCH(LEFT($D246,5),Land_Use[Tech],0)),0)*$E246</f>
        <v>0</v>
      </c>
      <c r="Q246" s="30">
        <f>IF(OR(LEFT($D246,5)="Solar",$D246="Wind"),INDEX(Land_Use[MAX],MATCH(LEFT($D246,5),Land_Use[Tech],0)),0)*$E246</f>
        <v>0</v>
      </c>
      <c r="R246" s="31">
        <f>IFERROR(INDEX(WaterUseH2[Average Direct Water Consumption (Gal/ kg h2)],MATCH(LEFT(D246,3),WaterUseH2[Key],0)),0)</f>
        <v>4.0999999999999996</v>
      </c>
      <c r="S246" s="15">
        <f t="shared" si="20"/>
        <v>6.1499999999999992E-2</v>
      </c>
    </row>
    <row r="247" spans="1:19" x14ac:dyDescent="0.35">
      <c r="A247" t="s">
        <v>107</v>
      </c>
      <c r="B247">
        <v>2038</v>
      </c>
      <c r="C247" t="s">
        <v>41</v>
      </c>
      <c r="D247" t="s">
        <v>84</v>
      </c>
      <c r="E247" s="12">
        <f>SUMIFS(Electricity!$R:$R,Electricity!$P:$P,$B247,Electricity!$O:$O,$D247,Electricity!$M:$M,$A247)</f>
        <v>15</v>
      </c>
      <c r="F247" t="s">
        <v>81</v>
      </c>
      <c r="G247" s="31">
        <f>H247/Assumptions!$B$23/1000000000000</f>
        <v>2.952385695160576E-4</v>
      </c>
      <c r="H247" s="13">
        <f>IF(C247="Electricity",E247*SUMIFS(Electricity!S:S,Electricity!P:P,Predev_Scenarios!B247,Electricity!M:M,Predev_Scenarios!A247,Electricity!O:O,Predev_Scenarios!D247),"")</f>
        <v>82014.755988692894</v>
      </c>
      <c r="I247" s="59">
        <f>SUMIFS(Electricity!U:U,Electricity!$M:$M,Predev_Scenarios!$A247,Electricity!$P:$P,Predev_Scenarios!$B247,Electricity!$O:$O,Predev_Scenarios!$D247)*-1</f>
        <v>8.9119367399999927E-2</v>
      </c>
      <c r="J247" s="59">
        <f>SUMIFS(Electricity!V:V,Electricity!$M:$M,Predev_Scenarios!$A247,Electricity!$P:$P,Predev_Scenarios!$B247,Electricity!$O:$O,Predev_Scenarios!$D247)*-1</f>
        <v>6.4999158050000089E-2</v>
      </c>
      <c r="K247" s="59">
        <f>SUMIFS(Electricity!W:W,Electricity!$M:$M,Predev_Scenarios!$A247,Electricity!$P:$P,Predev_Scenarios!$B247,Electricity!$O:$O,Predev_Scenarios!$D247)*-1</f>
        <v>0.11323957575000004</v>
      </c>
      <c r="L247" s="63">
        <f t="shared" si="17"/>
        <v>-7.3091031711776659E-9</v>
      </c>
      <c r="M247" s="63">
        <f t="shared" si="18"/>
        <v>-5.3308900869412405E-9</v>
      </c>
      <c r="N247" s="63">
        <f t="shared" si="19"/>
        <v>-9.2873161733993577E-9</v>
      </c>
      <c r="O247" s="30">
        <f>IF(OR(LEFT($D247,5)="Solar",$D247="Wind"),INDEX(Land_Use[AVG],MATCH(LEFT($D247,5),Land_Use[Tech],0)),0)*$E247</f>
        <v>0</v>
      </c>
      <c r="P247" s="30">
        <f>IF(OR(LEFT($D247,5)="Solar",$D247="Wind"),INDEX(Land_Use[MIN],MATCH(LEFT($D247,5),Land_Use[Tech],0)),0)*$E247</f>
        <v>0</v>
      </c>
      <c r="Q247" s="30">
        <f>IF(OR(LEFT($D247,5)="Solar",$D247="Wind"),INDEX(Land_Use[MAX],MATCH(LEFT($D247,5),Land_Use[Tech],0)),0)*$E247</f>
        <v>0</v>
      </c>
      <c r="R247" s="31">
        <f>IFERROR(INDEX(WaterUseH2[Average Direct Water Consumption (Gal/ kg h2)],MATCH(LEFT(D247,3),WaterUseH2[Key],0)),0)</f>
        <v>4.0999999999999996</v>
      </c>
      <c r="S247" s="15">
        <f t="shared" si="20"/>
        <v>6.1499999999999992E-2</v>
      </c>
    </row>
    <row r="248" spans="1:19" x14ac:dyDescent="0.35">
      <c r="A248" t="s">
        <v>107</v>
      </c>
      <c r="B248">
        <v>2039</v>
      </c>
      <c r="C248" t="s">
        <v>41</v>
      </c>
      <c r="D248" t="s">
        <v>84</v>
      </c>
      <c r="E248" s="12">
        <f>SUMIFS(Electricity!$R:$R,Electricity!$P:$P,$B248,Electricity!$O:$O,$D248,Electricity!$M:$M,$A248)</f>
        <v>15</v>
      </c>
      <c r="F248" t="s">
        <v>81</v>
      </c>
      <c r="G248" s="31">
        <f>H248/Assumptions!$B$23/1000000000000</f>
        <v>2.9288164620205735E-4</v>
      </c>
      <c r="H248" s="13">
        <f>IF(C248="Electricity",E248*SUMIFS(Electricity!S:S,Electricity!P:P,Predev_Scenarios!B248,Electricity!M:M,Predev_Scenarios!A248,Electricity!O:O,Predev_Scenarios!D248),"")</f>
        <v>81360.022798518432</v>
      </c>
      <c r="I248" s="59">
        <f>SUMIFS(Electricity!U:U,Electricity!$M:$M,Predev_Scenarios!$A248,Electricity!$P:$P,Predev_Scenarios!$B248,Electricity!$O:$O,Predev_Scenarios!$D248)*-1</f>
        <v>8.489544319999992E-2</v>
      </c>
      <c r="J248" s="59">
        <f>SUMIFS(Electricity!V:V,Electricity!$M:$M,Predev_Scenarios!$A248,Electricity!$P:$P,Predev_Scenarios!$B248,Electricity!$O:$O,Predev_Scenarios!$D248)*-1</f>
        <v>5.984139090000009E-2</v>
      </c>
      <c r="K248" s="59">
        <f>SUMIFS(Electricity!W:W,Electricity!$M:$M,Predev_Scenarios!$A248,Electricity!$P:$P,Predev_Scenarios!$B248,Electricity!$O:$O,Predev_Scenarios!$D248)*-1</f>
        <v>0.10994949450000004</v>
      </c>
      <c r="L248" s="63">
        <f t="shared" si="17"/>
        <v>-6.90709519424232E-9</v>
      </c>
      <c r="M248" s="63">
        <f t="shared" si="18"/>
        <v>-4.8686969279190602E-9</v>
      </c>
      <c r="N248" s="63">
        <f t="shared" si="19"/>
        <v>-8.9454933792055795E-9</v>
      </c>
      <c r="O248" s="30">
        <f>IF(OR(LEFT($D248,5)="Solar",$D248="Wind"),INDEX(Land_Use[AVG],MATCH(LEFT($D248,5),Land_Use[Tech],0)),0)*$E248</f>
        <v>0</v>
      </c>
      <c r="P248" s="30">
        <f>IF(OR(LEFT($D248,5)="Solar",$D248="Wind"),INDEX(Land_Use[MIN],MATCH(LEFT($D248,5),Land_Use[Tech],0)),0)*$E248</f>
        <v>0</v>
      </c>
      <c r="Q248" s="30">
        <f>IF(OR(LEFT($D248,5)="Solar",$D248="Wind"),INDEX(Land_Use[MAX],MATCH(LEFT($D248,5),Land_Use[Tech],0)),0)*$E248</f>
        <v>0</v>
      </c>
      <c r="R248" s="31">
        <f>IFERROR(INDEX(WaterUseH2[Average Direct Water Consumption (Gal/ kg h2)],MATCH(LEFT(D248,3),WaterUseH2[Key],0)),0)</f>
        <v>4.0999999999999996</v>
      </c>
      <c r="S248" s="15">
        <f t="shared" si="20"/>
        <v>6.1499999999999992E-2</v>
      </c>
    </row>
    <row r="249" spans="1:19" x14ac:dyDescent="0.35">
      <c r="A249" t="s">
        <v>107</v>
      </c>
      <c r="B249">
        <v>2040</v>
      </c>
      <c r="C249" t="s">
        <v>41</v>
      </c>
      <c r="D249" t="s">
        <v>84</v>
      </c>
      <c r="E249" s="12">
        <f>SUMIFS(Electricity!$R:$R,Electricity!$P:$P,$B249,Electricity!$O:$O,$D249,Electricity!$M:$M,$A249)</f>
        <v>15</v>
      </c>
      <c r="F249" t="s">
        <v>81</v>
      </c>
      <c r="G249" s="31">
        <f>H249/Assumptions!$B$23/1000000000000</f>
        <v>2.9052472288805704E-4</v>
      </c>
      <c r="H249" s="13">
        <f>IF(C249="Electricity",E249*SUMIFS(Electricity!S:S,Electricity!P:P,Predev_Scenarios!B249,Electricity!M:M,Predev_Scenarios!A249,Electricity!O:O,Predev_Scenarios!D249),"")</f>
        <v>80705.28960834397</v>
      </c>
      <c r="I249" s="59">
        <f>SUMIFS(Electricity!U:U,Electricity!$M:$M,Predev_Scenarios!$A249,Electricity!$P:$P,Predev_Scenarios!$B249,Electricity!$O:$O,Predev_Scenarios!$D249)*-1</f>
        <v>8.0671518999999914E-2</v>
      </c>
      <c r="J249" s="59">
        <f>SUMIFS(Electricity!V:V,Electricity!$M:$M,Predev_Scenarios!$A249,Electricity!$P:$P,Predev_Scenarios!$B249,Electricity!$O:$O,Predev_Scenarios!$D249)*-1</f>
        <v>5.468362375000009E-2</v>
      </c>
      <c r="K249" s="59">
        <f>SUMIFS(Electricity!W:W,Electricity!$M:$M,Predev_Scenarios!$A249,Electricity!$P:$P,Predev_Scenarios!$B249,Electricity!$O:$O,Predev_Scenarios!$D249)*-1</f>
        <v>0.10665941325000003</v>
      </c>
      <c r="L249" s="63">
        <f t="shared" si="17"/>
        <v>-6.5106183040400157E-9</v>
      </c>
      <c r="M249" s="63">
        <f t="shared" si="18"/>
        <v>-4.4132576915774739E-9</v>
      </c>
      <c r="N249" s="63">
        <f t="shared" si="19"/>
        <v>-8.6079788357972931E-9</v>
      </c>
      <c r="O249" s="30">
        <f>IF(OR(LEFT($D249,5)="Solar",$D249="Wind"),INDEX(Land_Use[AVG],MATCH(LEFT($D249,5),Land_Use[Tech],0)),0)*$E249</f>
        <v>0</v>
      </c>
      <c r="P249" s="30">
        <f>IF(OR(LEFT($D249,5)="Solar",$D249="Wind"),INDEX(Land_Use[MIN],MATCH(LEFT($D249,5),Land_Use[Tech],0)),0)*$E249</f>
        <v>0</v>
      </c>
      <c r="Q249" s="30">
        <f>IF(OR(LEFT($D249,5)="Solar",$D249="Wind"),INDEX(Land_Use[MAX],MATCH(LEFT($D249,5),Land_Use[Tech],0)),0)*$E249</f>
        <v>0</v>
      </c>
      <c r="R249" s="31">
        <f>IFERROR(INDEX(WaterUseH2[Average Direct Water Consumption (Gal/ kg h2)],MATCH(LEFT(D249,3),WaterUseH2[Key],0)),0)</f>
        <v>4.0999999999999996</v>
      </c>
      <c r="S249" s="15">
        <f t="shared" si="20"/>
        <v>6.1499999999999992E-2</v>
      </c>
    </row>
    <row r="250" spans="1:19" x14ac:dyDescent="0.35">
      <c r="A250" t="s">
        <v>107</v>
      </c>
      <c r="B250">
        <v>2041</v>
      </c>
      <c r="C250" t="s">
        <v>41</v>
      </c>
      <c r="D250" t="s">
        <v>84</v>
      </c>
      <c r="E250" s="12">
        <f>SUMIFS(Electricity!$R:$R,Electricity!$P:$P,$B250,Electricity!$O:$O,$D250,Electricity!$M:$M,$A250)</f>
        <v>15</v>
      </c>
      <c r="F250" t="s">
        <v>81</v>
      </c>
      <c r="G250" s="31">
        <f>H250/Assumptions!$B$23/1000000000000</f>
        <v>2.8816779957405674E-4</v>
      </c>
      <c r="H250" s="13">
        <f>IF(C250="Electricity",E250*SUMIFS(Electricity!S:S,Electricity!P:P,Predev_Scenarios!B250,Electricity!M:M,Predev_Scenarios!A250,Electricity!O:O,Predev_Scenarios!D250),"")</f>
        <v>80050.556418169494</v>
      </c>
      <c r="I250" s="59">
        <f>SUMIFS(Electricity!U:U,Electricity!$M:$M,Predev_Scenarios!$A250,Electricity!$P:$P,Predev_Scenarios!$B250,Electricity!$O:$O,Predev_Scenarios!$D250)*-1</f>
        <v>7.6447594799999907E-2</v>
      </c>
      <c r="J250" s="59">
        <f>SUMIFS(Electricity!V:V,Electricity!$M:$M,Predev_Scenarios!$A250,Electricity!$P:$P,Predev_Scenarios!$B250,Electricity!$O:$O,Predev_Scenarios!$D250)*-1</f>
        <v>4.9525856600000091E-2</v>
      </c>
      <c r="K250" s="59">
        <f>SUMIFS(Electricity!W:W,Electricity!$M:$M,Predev_Scenarios!$A250,Electricity!$P:$P,Predev_Scenarios!$B250,Electricity!$O:$O,Predev_Scenarios!$D250)*-1</f>
        <v>0.10336933200000002</v>
      </c>
      <c r="L250" s="63">
        <f t="shared" si="17"/>
        <v>-6.1196725005707532E-9</v>
      </c>
      <c r="M250" s="63">
        <f t="shared" si="18"/>
        <v>-3.9645723779164792E-9</v>
      </c>
      <c r="N250" s="63">
        <f t="shared" si="19"/>
        <v>-8.2747725431744951E-9</v>
      </c>
      <c r="O250" s="30">
        <f>IF(OR(LEFT($D250,5)="Solar",$D250="Wind"),INDEX(Land_Use[AVG],MATCH(LEFT($D250,5),Land_Use[Tech],0)),0)*$E250</f>
        <v>0</v>
      </c>
      <c r="P250" s="30">
        <f>IF(OR(LEFT($D250,5)="Solar",$D250="Wind"),INDEX(Land_Use[MIN],MATCH(LEFT($D250,5),Land_Use[Tech],0)),0)*$E250</f>
        <v>0</v>
      </c>
      <c r="Q250" s="30">
        <f>IF(OR(LEFT($D250,5)="Solar",$D250="Wind"),INDEX(Land_Use[MAX],MATCH(LEFT($D250,5),Land_Use[Tech],0)),0)*$E250</f>
        <v>0</v>
      </c>
      <c r="R250" s="31">
        <f>IFERROR(INDEX(WaterUseH2[Average Direct Water Consumption (Gal/ kg h2)],MATCH(LEFT(D250,3),WaterUseH2[Key],0)),0)</f>
        <v>4.0999999999999996</v>
      </c>
      <c r="S250" s="15">
        <f t="shared" si="20"/>
        <v>6.1499999999999992E-2</v>
      </c>
    </row>
    <row r="251" spans="1:19" x14ac:dyDescent="0.35">
      <c r="A251" t="s">
        <v>107</v>
      </c>
      <c r="B251">
        <v>2042</v>
      </c>
      <c r="C251" t="s">
        <v>41</v>
      </c>
      <c r="D251" t="s">
        <v>84</v>
      </c>
      <c r="E251" s="12">
        <f>SUMIFS(Electricity!$R:$R,Electricity!$P:$P,$B251,Electricity!$O:$O,$D251,Electricity!$M:$M,$A251)</f>
        <v>15</v>
      </c>
      <c r="F251" t="s">
        <v>81</v>
      </c>
      <c r="G251" s="31">
        <f>H251/Assumptions!$B$23/1000000000000</f>
        <v>2.8581087626005649E-4</v>
      </c>
      <c r="H251" s="13">
        <f>IF(C251="Electricity",E251*SUMIFS(Electricity!S:S,Electricity!P:P,Predev_Scenarios!B251,Electricity!M:M,Predev_Scenarios!A251,Electricity!O:O,Predev_Scenarios!D251),"")</f>
        <v>79395.823227995032</v>
      </c>
      <c r="I251" s="59">
        <f>SUMIFS(Electricity!U:U,Electricity!$M:$M,Predev_Scenarios!$A251,Electricity!$P:$P,Predev_Scenarios!$B251,Electricity!$O:$O,Predev_Scenarios!$D251)*-1</f>
        <v>7.2223670599999901E-2</v>
      </c>
      <c r="J251" s="59">
        <f>SUMIFS(Electricity!V:V,Electricity!$M:$M,Predev_Scenarios!$A251,Electricity!$P:$P,Predev_Scenarios!$B251,Electricity!$O:$O,Predev_Scenarios!$D251)*-1</f>
        <v>4.4368089450000092E-2</v>
      </c>
      <c r="K251" s="59">
        <f>SUMIFS(Electricity!W:W,Electricity!$M:$M,Predev_Scenarios!$A251,Electricity!$P:$P,Predev_Scenarios!$B251,Electricity!$O:$O,Predev_Scenarios!$D251)*-1</f>
        <v>0.10007925075000002</v>
      </c>
      <c r="L251" s="63">
        <f t="shared" si="17"/>
        <v>-5.7342577838345339E-9</v>
      </c>
      <c r="M251" s="63">
        <f t="shared" si="18"/>
        <v>-3.522640986936079E-9</v>
      </c>
      <c r="N251" s="63">
        <f t="shared" si="19"/>
        <v>-7.9458745013371906E-9</v>
      </c>
      <c r="O251" s="30">
        <f>IF(OR(LEFT($D251,5)="Solar",$D251="Wind"),INDEX(Land_Use[AVG],MATCH(LEFT($D251,5),Land_Use[Tech],0)),0)*$E251</f>
        <v>0</v>
      </c>
      <c r="P251" s="30">
        <f>IF(OR(LEFT($D251,5)="Solar",$D251="Wind"),INDEX(Land_Use[MIN],MATCH(LEFT($D251,5),Land_Use[Tech],0)),0)*$E251</f>
        <v>0</v>
      </c>
      <c r="Q251" s="30">
        <f>IF(OR(LEFT($D251,5)="Solar",$D251="Wind"),INDEX(Land_Use[MAX],MATCH(LEFT($D251,5),Land_Use[Tech],0)),0)*$E251</f>
        <v>0</v>
      </c>
      <c r="R251" s="31">
        <f>IFERROR(INDEX(WaterUseH2[Average Direct Water Consumption (Gal/ kg h2)],MATCH(LEFT(D251,3),WaterUseH2[Key],0)),0)</f>
        <v>4.0999999999999996</v>
      </c>
      <c r="S251" s="15">
        <f t="shared" si="20"/>
        <v>6.1499999999999992E-2</v>
      </c>
    </row>
    <row r="252" spans="1:19" x14ac:dyDescent="0.35">
      <c r="A252" t="s">
        <v>107</v>
      </c>
      <c r="B252">
        <v>2043</v>
      </c>
      <c r="C252" t="s">
        <v>41</v>
      </c>
      <c r="D252" t="s">
        <v>84</v>
      </c>
      <c r="E252" s="12">
        <f>SUMIFS(Electricity!$R:$R,Electricity!$P:$P,$B252,Electricity!$O:$O,$D252,Electricity!$M:$M,$A252)</f>
        <v>15</v>
      </c>
      <c r="F252" t="s">
        <v>81</v>
      </c>
      <c r="G252" s="31">
        <f>H252/Assumptions!$B$23/1000000000000</f>
        <v>2.8345395294605624E-4</v>
      </c>
      <c r="H252" s="13">
        <f>IF(C252="Electricity",E252*SUMIFS(Electricity!S:S,Electricity!P:P,Predev_Scenarios!B252,Electricity!M:M,Predev_Scenarios!A252,Electricity!O:O,Predev_Scenarios!D252),"")</f>
        <v>78741.09003782057</v>
      </c>
      <c r="I252" s="59">
        <f>SUMIFS(Electricity!U:U,Electricity!$M:$M,Predev_Scenarios!$A252,Electricity!$P:$P,Predev_Scenarios!$B252,Electricity!$O:$O,Predev_Scenarios!$D252)*-1</f>
        <v>6.7999746399999894E-2</v>
      </c>
      <c r="J252" s="59">
        <f>SUMIFS(Electricity!V:V,Electricity!$M:$M,Predev_Scenarios!$A252,Electricity!$P:$P,Predev_Scenarios!$B252,Electricity!$O:$O,Predev_Scenarios!$D252)*-1</f>
        <v>3.9210322300000093E-2</v>
      </c>
      <c r="K252" s="59">
        <f>SUMIFS(Electricity!W:W,Electricity!$M:$M,Predev_Scenarios!$A252,Electricity!$P:$P,Predev_Scenarios!$B252,Electricity!$O:$O,Predev_Scenarios!$D252)*-1</f>
        <v>9.6789169500000008E-2</v>
      </c>
      <c r="L252" s="63">
        <f t="shared" si="17"/>
        <v>-5.3543741538313572E-9</v>
      </c>
      <c r="M252" s="63">
        <f t="shared" si="18"/>
        <v>-3.0874635186362711E-9</v>
      </c>
      <c r="N252" s="63">
        <f t="shared" si="19"/>
        <v>-7.6212847102853778E-9</v>
      </c>
      <c r="O252" s="30">
        <f>IF(OR(LEFT($D252,5)="Solar",$D252="Wind"),INDEX(Land_Use[AVG],MATCH(LEFT($D252,5),Land_Use[Tech],0)),0)*$E252</f>
        <v>0</v>
      </c>
      <c r="P252" s="30">
        <f>IF(OR(LEFT($D252,5)="Solar",$D252="Wind"),INDEX(Land_Use[MIN],MATCH(LEFT($D252,5),Land_Use[Tech],0)),0)*$E252</f>
        <v>0</v>
      </c>
      <c r="Q252" s="30">
        <f>IF(OR(LEFT($D252,5)="Solar",$D252="Wind"),INDEX(Land_Use[MAX],MATCH(LEFT($D252,5),Land_Use[Tech],0)),0)*$E252</f>
        <v>0</v>
      </c>
      <c r="R252" s="31">
        <f>IFERROR(INDEX(WaterUseH2[Average Direct Water Consumption (Gal/ kg h2)],MATCH(LEFT(D252,3),WaterUseH2[Key],0)),0)</f>
        <v>4.0999999999999996</v>
      </c>
      <c r="S252" s="15">
        <f t="shared" si="20"/>
        <v>6.1499999999999992E-2</v>
      </c>
    </row>
    <row r="253" spans="1:19" x14ac:dyDescent="0.35">
      <c r="A253" t="s">
        <v>107</v>
      </c>
      <c r="B253">
        <v>2044</v>
      </c>
      <c r="C253" t="s">
        <v>41</v>
      </c>
      <c r="D253" t="s">
        <v>84</v>
      </c>
      <c r="E253" s="12">
        <f>SUMIFS(Electricity!$R:$R,Electricity!$P:$P,$B253,Electricity!$O:$O,$D253,Electricity!$M:$M,$A253)</f>
        <v>15</v>
      </c>
      <c r="F253" t="s">
        <v>81</v>
      </c>
      <c r="G253" s="31">
        <f>H253/Assumptions!$B$23/1000000000000</f>
        <v>2.8109702963205599E-4</v>
      </c>
      <c r="H253" s="13">
        <f>IF(C253="Electricity",E253*SUMIFS(Electricity!S:S,Electricity!P:P,Predev_Scenarios!B253,Electricity!M:M,Predev_Scenarios!A253,Electricity!O:O,Predev_Scenarios!D253),"")</f>
        <v>78086.356847646108</v>
      </c>
      <c r="I253" s="59">
        <f>SUMIFS(Electricity!U:U,Electricity!$M:$M,Predev_Scenarios!$A253,Electricity!$P:$P,Predev_Scenarios!$B253,Electricity!$O:$O,Predev_Scenarios!$D253)*-1</f>
        <v>6.3775822199999888E-2</v>
      </c>
      <c r="J253" s="59">
        <f>SUMIFS(Electricity!V:V,Electricity!$M:$M,Predev_Scenarios!$A253,Electricity!$P:$P,Predev_Scenarios!$B253,Electricity!$O:$O,Predev_Scenarios!$D253)*-1</f>
        <v>3.4052555150000094E-2</v>
      </c>
      <c r="K253" s="59">
        <f>SUMIFS(Electricity!W:W,Electricity!$M:$M,Predev_Scenarios!$A253,Electricity!$P:$P,Predev_Scenarios!$B253,Electricity!$O:$O,Predev_Scenarios!$D253)*-1</f>
        <v>9.3499088250000001E-2</v>
      </c>
      <c r="L253" s="63">
        <f t="shared" si="17"/>
        <v>-4.9800216105612212E-9</v>
      </c>
      <c r="M253" s="63">
        <f t="shared" si="18"/>
        <v>-2.6590399730170565E-9</v>
      </c>
      <c r="N253" s="63">
        <f t="shared" si="19"/>
        <v>-7.3010031700190551E-9</v>
      </c>
      <c r="O253" s="30">
        <f>IF(OR(LEFT($D253,5)="Solar",$D253="Wind"),INDEX(Land_Use[AVG],MATCH(LEFT($D253,5),Land_Use[Tech],0)),0)*$E253</f>
        <v>0</v>
      </c>
      <c r="P253" s="30">
        <f>IF(OR(LEFT($D253,5)="Solar",$D253="Wind"),INDEX(Land_Use[MIN],MATCH(LEFT($D253,5),Land_Use[Tech],0)),0)*$E253</f>
        <v>0</v>
      </c>
      <c r="Q253" s="30">
        <f>IF(OR(LEFT($D253,5)="Solar",$D253="Wind"),INDEX(Land_Use[MAX],MATCH(LEFT($D253,5),Land_Use[Tech],0)),0)*$E253</f>
        <v>0</v>
      </c>
      <c r="R253" s="31">
        <f>IFERROR(INDEX(WaterUseH2[Average Direct Water Consumption (Gal/ kg h2)],MATCH(LEFT(D253,3),WaterUseH2[Key],0)),0)</f>
        <v>4.0999999999999996</v>
      </c>
      <c r="S253" s="15">
        <f t="shared" si="20"/>
        <v>6.1499999999999992E-2</v>
      </c>
    </row>
    <row r="254" spans="1:19" x14ac:dyDescent="0.35">
      <c r="A254" t="s">
        <v>107</v>
      </c>
      <c r="B254">
        <v>2045</v>
      </c>
      <c r="C254" t="s">
        <v>41</v>
      </c>
      <c r="D254" t="s">
        <v>84</v>
      </c>
      <c r="E254" s="12">
        <f>SUMIFS(Electricity!$R:$R,Electricity!$P:$P,$B254,Electricity!$O:$O,$D254,Electricity!$M:$M,$A254)</f>
        <v>15</v>
      </c>
      <c r="F254" t="s">
        <v>81</v>
      </c>
      <c r="G254" s="31">
        <f>H254/Assumptions!$B$23/1000000000000</f>
        <v>2.7874010631805563E-4</v>
      </c>
      <c r="H254" s="13">
        <f>IF(C254="Electricity",E254*SUMIFS(Electricity!S:S,Electricity!P:P,Predev_Scenarios!B254,Electricity!M:M,Predev_Scenarios!A254,Electricity!O:O,Predev_Scenarios!D254),"")</f>
        <v>77431.623657471631</v>
      </c>
      <c r="I254" s="59">
        <f>SUMIFS(Electricity!U:U,Electricity!$M:$M,Predev_Scenarios!$A254,Electricity!$P:$P,Predev_Scenarios!$B254,Electricity!$O:$O,Predev_Scenarios!$D254)*-1</f>
        <v>5.9551897999999888E-2</v>
      </c>
      <c r="J254" s="59">
        <f>SUMIFS(Electricity!V:V,Electricity!$M:$M,Predev_Scenarios!$A254,Electricity!$P:$P,Predev_Scenarios!$B254,Electricity!$O:$O,Predev_Scenarios!$D254)*-1</f>
        <v>2.8894788000000095E-2</v>
      </c>
      <c r="K254" s="59">
        <f>SUMIFS(Electricity!W:W,Electricity!$M:$M,Predev_Scenarios!$A254,Electricity!$P:$P,Predev_Scenarios!$B254,Electricity!$O:$O,Predev_Scenarios!$D254)*-1</f>
        <v>9.0209006999999994E-2</v>
      </c>
      <c r="L254" s="63">
        <f t="shared" si="17"/>
        <v>-4.6112001540241286E-9</v>
      </c>
      <c r="M254" s="63">
        <f t="shared" si="18"/>
        <v>-2.2373703500784347E-9</v>
      </c>
      <c r="N254" s="63">
        <f t="shared" si="19"/>
        <v>-6.9850298805382234E-9</v>
      </c>
      <c r="O254" s="30">
        <f>IF(OR(LEFT($D254,5)="Solar",$D254="Wind"),INDEX(Land_Use[AVG],MATCH(LEFT($D254,5),Land_Use[Tech],0)),0)*$E254</f>
        <v>0</v>
      </c>
      <c r="P254" s="30">
        <f>IF(OR(LEFT($D254,5)="Solar",$D254="Wind"),INDEX(Land_Use[MIN],MATCH(LEFT($D254,5),Land_Use[Tech],0)),0)*$E254</f>
        <v>0</v>
      </c>
      <c r="Q254" s="30">
        <f>IF(OR(LEFT($D254,5)="Solar",$D254="Wind"),INDEX(Land_Use[MAX],MATCH(LEFT($D254,5),Land_Use[Tech],0)),0)*$E254</f>
        <v>0</v>
      </c>
      <c r="R254" s="31">
        <f>IFERROR(INDEX(WaterUseH2[Average Direct Water Consumption (Gal/ kg h2)],MATCH(LEFT(D254,3),WaterUseH2[Key],0)),0)</f>
        <v>4.0999999999999996</v>
      </c>
      <c r="S254" s="15">
        <f t="shared" si="20"/>
        <v>6.1499999999999992E-2</v>
      </c>
    </row>
    <row r="255" spans="1:19" x14ac:dyDescent="0.35">
      <c r="A255" t="s">
        <v>76</v>
      </c>
      <c r="B255">
        <v>2025</v>
      </c>
      <c r="C255" t="s">
        <v>41</v>
      </c>
      <c r="D255" t="s">
        <v>86</v>
      </c>
      <c r="E255" s="12">
        <f>SUMIFS(Electricity!$R:$R,Electricity!$P:$P,$B255,Electricity!$O:$O,$D255,Electricity!$M:$M,$A255)</f>
        <v>0</v>
      </c>
      <c r="F255" t="s">
        <v>81</v>
      </c>
      <c r="G255" s="31">
        <f>H255/Assumptions!$B$23/1000000000000</f>
        <v>0</v>
      </c>
      <c r="H255" s="13">
        <f>IF(C255="Electricity",E255*SUMIFS(Electricity!S:S,Electricity!P:P,Predev_Scenarios!B255,Electricity!M:M,Predev_Scenarios!A255,Electricity!O:O,Predev_Scenarios!D255),"")</f>
        <v>0</v>
      </c>
      <c r="I255" s="59">
        <f>SUMIFS(Electricity!U:U,Electricity!$M:$M,Predev_Scenarios!$A255,Electricity!$P:$P,Predev_Scenarios!$B255,Electricity!$O:$O,Predev_Scenarios!$D255)*-1</f>
        <v>0.14403038200000001</v>
      </c>
      <c r="J255" s="59">
        <f>SUMIFS(Electricity!V:V,Electricity!$M:$M,Predev_Scenarios!$A255,Electricity!$P:$P,Predev_Scenarios!$B255,Electricity!$O:$O,Predev_Scenarios!$D255)*-1</f>
        <v>0.13205013099999999</v>
      </c>
      <c r="K255" s="59">
        <f>SUMIFS(Electricity!W:W,Electricity!$M:$M,Predev_Scenarios!$A255,Electricity!$P:$P,Predev_Scenarios!$B255,Electricity!$O:$O,Predev_Scenarios!$D255)*-1</f>
        <v>0.15601063200000001</v>
      </c>
      <c r="L255" s="63">
        <f t="shared" si="17"/>
        <v>0</v>
      </c>
      <c r="M255" s="63">
        <f t="shared" si="18"/>
        <v>0</v>
      </c>
      <c r="N255" s="63">
        <f t="shared" si="19"/>
        <v>0</v>
      </c>
      <c r="O255" s="30">
        <f>IF(OR(LEFT($D255,5)="Solar",$D255="Wind"),INDEX(Land_Use[AVG],MATCH(LEFT($D255,5),Land_Use[Tech],0)),0)*$E255</f>
        <v>0</v>
      </c>
      <c r="P255" s="30">
        <f>IF(OR(LEFT($D255,5)="Solar",$D255="Wind"),INDEX(Land_Use[MIN],MATCH(LEFT($D255,5),Land_Use[Tech],0)),0)*$E255</f>
        <v>0</v>
      </c>
      <c r="Q255" s="30">
        <f>IF(OR(LEFT($D255,5)="Solar",$D255="Wind"),INDEX(Land_Use[MAX],MATCH(LEFT($D255,5),Land_Use[Tech],0)),0)*$E255</f>
        <v>0</v>
      </c>
      <c r="R255" s="31">
        <f>IFERROR(INDEX(WaterUseH2[Average Direct Water Consumption (Gal/ kg h2)],MATCH(LEFT(D255,3),WaterUseH2[Key],0)),0)</f>
        <v>0</v>
      </c>
      <c r="S255" s="15">
        <f t="shared" si="20"/>
        <v>0</v>
      </c>
    </row>
    <row r="256" spans="1:19" x14ac:dyDescent="0.35">
      <c r="A256" t="s">
        <v>76</v>
      </c>
      <c r="B256">
        <v>2026</v>
      </c>
      <c r="C256" t="s">
        <v>41</v>
      </c>
      <c r="D256" t="s">
        <v>86</v>
      </c>
      <c r="E256" s="12">
        <f>SUMIFS(Electricity!$R:$R,Electricity!$P:$P,$B256,Electricity!$O:$O,$D256,Electricity!$M:$M,$A256)</f>
        <v>0</v>
      </c>
      <c r="F256" t="s">
        <v>81</v>
      </c>
      <c r="G256" s="31">
        <f>H256/Assumptions!$B$23/1000000000000</f>
        <v>0</v>
      </c>
      <c r="H256" s="13">
        <f>IF(C256="Electricity",E256*SUMIFS(Electricity!S:S,Electricity!P:P,Predev_Scenarios!B256,Electricity!M:M,Predev_Scenarios!A256,Electricity!O:O,Predev_Scenarios!D256),"")</f>
        <v>0</v>
      </c>
      <c r="I256" s="59">
        <f>SUMIFS(Electricity!U:U,Electricity!$M:$M,Predev_Scenarios!$A256,Electricity!$P:$P,Predev_Scenarios!$B256,Electricity!$O:$O,Predev_Scenarios!$D256)*-1</f>
        <v>0.13980645780000001</v>
      </c>
      <c r="J256" s="59">
        <f>SUMIFS(Electricity!V:V,Electricity!$M:$M,Predev_Scenarios!$A256,Electricity!$P:$P,Predev_Scenarios!$B256,Electricity!$O:$O,Predev_Scenarios!$D256)*-1</f>
        <v>0.12689236385</v>
      </c>
      <c r="K256" s="59">
        <f>SUMIFS(Electricity!W:W,Electricity!$M:$M,Predev_Scenarios!$A256,Electricity!$P:$P,Predev_Scenarios!$B256,Electricity!$O:$O,Predev_Scenarios!$D256)*-1</f>
        <v>0.15272055075000002</v>
      </c>
      <c r="L256" s="63">
        <f t="shared" si="17"/>
        <v>0</v>
      </c>
      <c r="M256" s="63">
        <f t="shared" si="18"/>
        <v>0</v>
      </c>
      <c r="N256" s="63">
        <f t="shared" si="19"/>
        <v>0</v>
      </c>
      <c r="O256" s="30">
        <f>IF(OR(LEFT($D256,5)="Solar",$D256="Wind"),INDEX(Land_Use[AVG],MATCH(LEFT($D256,5),Land_Use[Tech],0)),0)*$E256</f>
        <v>0</v>
      </c>
      <c r="P256" s="30">
        <f>IF(OR(LEFT($D256,5)="Solar",$D256="Wind"),INDEX(Land_Use[MIN],MATCH(LEFT($D256,5),Land_Use[Tech],0)),0)*$E256</f>
        <v>0</v>
      </c>
      <c r="Q256" s="30">
        <f>IF(OR(LEFT($D256,5)="Solar",$D256="Wind"),INDEX(Land_Use[MAX],MATCH(LEFT($D256,5),Land_Use[Tech],0)),0)*$E256</f>
        <v>0</v>
      </c>
      <c r="R256" s="31">
        <f>IFERROR(INDEX(WaterUseH2[Average Direct Water Consumption (Gal/ kg h2)],MATCH(LEFT(D256,3),WaterUseH2[Key],0)),0)</f>
        <v>0</v>
      </c>
      <c r="S256" s="15">
        <f t="shared" si="20"/>
        <v>0</v>
      </c>
    </row>
    <row r="257" spans="1:19" x14ac:dyDescent="0.35">
      <c r="A257" t="s">
        <v>76</v>
      </c>
      <c r="B257">
        <v>2027</v>
      </c>
      <c r="C257" t="s">
        <v>41</v>
      </c>
      <c r="D257" t="s">
        <v>86</v>
      </c>
      <c r="E257" s="12">
        <f>SUMIFS(Electricity!$R:$R,Electricity!$P:$P,$B257,Electricity!$O:$O,$D257,Electricity!$M:$M,$A257)</f>
        <v>0</v>
      </c>
      <c r="F257" t="s">
        <v>81</v>
      </c>
      <c r="G257" s="31">
        <f>H257/Assumptions!$B$23/1000000000000</f>
        <v>0</v>
      </c>
      <c r="H257" s="13">
        <f>IF(C257="Electricity",E257*SUMIFS(Electricity!S:S,Electricity!P:P,Predev_Scenarios!B257,Electricity!M:M,Predev_Scenarios!A257,Electricity!O:O,Predev_Scenarios!D257),"")</f>
        <v>0</v>
      </c>
      <c r="I257" s="59">
        <f>SUMIFS(Electricity!U:U,Electricity!$M:$M,Predev_Scenarios!$A257,Electricity!$P:$P,Predev_Scenarios!$B257,Electricity!$O:$O,Predev_Scenarios!$D257)*-1</f>
        <v>0.1355825336</v>
      </c>
      <c r="J257" s="59">
        <f>SUMIFS(Electricity!V:V,Electricity!$M:$M,Predev_Scenarios!$A257,Electricity!$P:$P,Predev_Scenarios!$B257,Electricity!$O:$O,Predev_Scenarios!$D257)*-1</f>
        <v>0.1217345967</v>
      </c>
      <c r="K257" s="59">
        <f>SUMIFS(Electricity!W:W,Electricity!$M:$M,Predev_Scenarios!$A257,Electricity!$P:$P,Predev_Scenarios!$B257,Electricity!$O:$O,Predev_Scenarios!$D257)*-1</f>
        <v>0.14943046950000002</v>
      </c>
      <c r="L257" s="63">
        <f t="shared" si="17"/>
        <v>0</v>
      </c>
      <c r="M257" s="63">
        <f t="shared" si="18"/>
        <v>0</v>
      </c>
      <c r="N257" s="63">
        <f t="shared" si="19"/>
        <v>0</v>
      </c>
      <c r="O257" s="30">
        <f>IF(OR(LEFT($D257,5)="Solar",$D257="Wind"),INDEX(Land_Use[AVG],MATCH(LEFT($D257,5),Land_Use[Tech],0)),0)*$E257</f>
        <v>0</v>
      </c>
      <c r="P257" s="30">
        <f>IF(OR(LEFT($D257,5)="Solar",$D257="Wind"),INDEX(Land_Use[MIN],MATCH(LEFT($D257,5),Land_Use[Tech],0)),0)*$E257</f>
        <v>0</v>
      </c>
      <c r="Q257" s="30">
        <f>IF(OR(LEFT($D257,5)="Solar",$D257="Wind"),INDEX(Land_Use[MAX],MATCH(LEFT($D257,5),Land_Use[Tech],0)),0)*$E257</f>
        <v>0</v>
      </c>
      <c r="R257" s="31">
        <f>IFERROR(INDEX(WaterUseH2[Average Direct Water Consumption (Gal/ kg h2)],MATCH(LEFT(D257,3),WaterUseH2[Key],0)),0)</f>
        <v>0</v>
      </c>
      <c r="S257" s="15">
        <f t="shared" si="20"/>
        <v>0</v>
      </c>
    </row>
    <row r="258" spans="1:19" x14ac:dyDescent="0.35">
      <c r="A258" t="s">
        <v>76</v>
      </c>
      <c r="B258">
        <v>2028</v>
      </c>
      <c r="C258" t="s">
        <v>41</v>
      </c>
      <c r="D258" t="s">
        <v>86</v>
      </c>
      <c r="E258" s="12">
        <f>SUMIFS(Electricity!$R:$R,Electricity!$P:$P,$B258,Electricity!$O:$O,$D258,Electricity!$M:$M,$A258)</f>
        <v>0</v>
      </c>
      <c r="F258" t="s">
        <v>81</v>
      </c>
      <c r="G258" s="31">
        <f>H258/Assumptions!$B$23/1000000000000</f>
        <v>0</v>
      </c>
      <c r="H258" s="13">
        <f>IF(C258="Electricity",E258*SUMIFS(Electricity!S:S,Electricity!P:P,Predev_Scenarios!B258,Electricity!M:M,Predev_Scenarios!A258,Electricity!O:O,Predev_Scenarios!D258),"")</f>
        <v>0</v>
      </c>
      <c r="I258" s="59">
        <f>SUMIFS(Electricity!U:U,Electricity!$M:$M,Predev_Scenarios!$A258,Electricity!$P:$P,Predev_Scenarios!$B258,Electricity!$O:$O,Predev_Scenarios!$D258)*-1</f>
        <v>0.13135860939999999</v>
      </c>
      <c r="J258" s="59">
        <f>SUMIFS(Electricity!V:V,Electricity!$M:$M,Predev_Scenarios!$A258,Electricity!$P:$P,Predev_Scenarios!$B258,Electricity!$O:$O,Predev_Scenarios!$D258)*-1</f>
        <v>0.11657682955000001</v>
      </c>
      <c r="K258" s="59">
        <f>SUMIFS(Electricity!W:W,Electricity!$M:$M,Predev_Scenarios!$A258,Electricity!$P:$P,Predev_Scenarios!$B258,Electricity!$O:$O,Predev_Scenarios!$D258)*-1</f>
        <v>0.14614038825000003</v>
      </c>
      <c r="L258" s="63">
        <f t="shared" si="17"/>
        <v>0</v>
      </c>
      <c r="M258" s="63">
        <f t="shared" si="18"/>
        <v>0</v>
      </c>
      <c r="N258" s="63">
        <f t="shared" si="19"/>
        <v>0</v>
      </c>
      <c r="O258" s="30">
        <f>IF(OR(LEFT($D258,5)="Solar",$D258="Wind"),INDEX(Land_Use[AVG],MATCH(LEFT($D258,5),Land_Use[Tech],0)),0)*$E258</f>
        <v>0</v>
      </c>
      <c r="P258" s="30">
        <f>IF(OR(LEFT($D258,5)="Solar",$D258="Wind"),INDEX(Land_Use[MIN],MATCH(LEFT($D258,5),Land_Use[Tech],0)),0)*$E258</f>
        <v>0</v>
      </c>
      <c r="Q258" s="30">
        <f>IF(OR(LEFT($D258,5)="Solar",$D258="Wind"),INDEX(Land_Use[MAX],MATCH(LEFT($D258,5),Land_Use[Tech],0)),0)*$E258</f>
        <v>0</v>
      </c>
      <c r="R258" s="31">
        <f>IFERROR(INDEX(WaterUseH2[Average Direct Water Consumption (Gal/ kg h2)],MATCH(LEFT(D258,3),WaterUseH2[Key],0)),0)</f>
        <v>0</v>
      </c>
      <c r="S258" s="15">
        <f t="shared" si="20"/>
        <v>0</v>
      </c>
    </row>
    <row r="259" spans="1:19" x14ac:dyDescent="0.35">
      <c r="A259" t="s">
        <v>76</v>
      </c>
      <c r="B259">
        <v>2029</v>
      </c>
      <c r="C259" t="s">
        <v>41</v>
      </c>
      <c r="D259" t="s">
        <v>86</v>
      </c>
      <c r="E259" s="12">
        <f>SUMIFS(Electricity!$R:$R,Electricity!$P:$P,$B259,Electricity!$O:$O,$D259,Electricity!$M:$M,$A259)</f>
        <v>0</v>
      </c>
      <c r="F259" t="s">
        <v>81</v>
      </c>
      <c r="G259" s="31">
        <f>H259/Assumptions!$B$23/1000000000000</f>
        <v>0</v>
      </c>
      <c r="H259" s="13">
        <f>IF(C259="Electricity",E259*SUMIFS(Electricity!S:S,Electricity!P:P,Predev_Scenarios!B259,Electricity!M:M,Predev_Scenarios!A259,Electricity!O:O,Predev_Scenarios!D259),"")</f>
        <v>0</v>
      </c>
      <c r="I259" s="59">
        <f>SUMIFS(Electricity!U:U,Electricity!$M:$M,Predev_Scenarios!$A259,Electricity!$P:$P,Predev_Scenarios!$B259,Electricity!$O:$O,Predev_Scenarios!$D259)*-1</f>
        <v>0.12713468519999999</v>
      </c>
      <c r="J259" s="59">
        <f>SUMIFS(Electricity!V:V,Electricity!$M:$M,Predev_Scenarios!$A259,Electricity!$P:$P,Predev_Scenarios!$B259,Electricity!$O:$O,Predev_Scenarios!$D259)*-1</f>
        <v>0.11141906240000002</v>
      </c>
      <c r="K259" s="59">
        <f>SUMIFS(Electricity!W:W,Electricity!$M:$M,Predev_Scenarios!$A259,Electricity!$P:$P,Predev_Scenarios!$B259,Electricity!$O:$O,Predev_Scenarios!$D259)*-1</f>
        <v>0.14285030700000004</v>
      </c>
      <c r="L259" s="63">
        <f t="shared" si="17"/>
        <v>0</v>
      </c>
      <c r="M259" s="63">
        <f t="shared" si="18"/>
        <v>0</v>
      </c>
      <c r="N259" s="63">
        <f t="shared" si="19"/>
        <v>0</v>
      </c>
      <c r="O259" s="30">
        <f>IF(OR(LEFT($D259,5)="Solar",$D259="Wind"),INDEX(Land_Use[AVG],MATCH(LEFT($D259,5),Land_Use[Tech],0)),0)*$E259</f>
        <v>0</v>
      </c>
      <c r="P259" s="30">
        <f>IF(OR(LEFT($D259,5)="Solar",$D259="Wind"),INDEX(Land_Use[MIN],MATCH(LEFT($D259,5),Land_Use[Tech],0)),0)*$E259</f>
        <v>0</v>
      </c>
      <c r="Q259" s="30">
        <f>IF(OR(LEFT($D259,5)="Solar",$D259="Wind"),INDEX(Land_Use[MAX],MATCH(LEFT($D259,5),Land_Use[Tech],0)),0)*$E259</f>
        <v>0</v>
      </c>
      <c r="R259" s="31">
        <f>IFERROR(INDEX(WaterUseH2[Average Direct Water Consumption (Gal/ kg h2)],MATCH(LEFT(D259,3),WaterUseH2[Key],0)),0)</f>
        <v>0</v>
      </c>
      <c r="S259" s="15">
        <f t="shared" si="20"/>
        <v>0</v>
      </c>
    </row>
    <row r="260" spans="1:19" x14ac:dyDescent="0.35">
      <c r="A260" t="s">
        <v>76</v>
      </c>
      <c r="B260">
        <v>2030</v>
      </c>
      <c r="C260" t="s">
        <v>41</v>
      </c>
      <c r="D260" t="s">
        <v>86</v>
      </c>
      <c r="E260" s="12">
        <f>SUMIFS(Electricity!$R:$R,Electricity!$P:$P,$B260,Electricity!$O:$O,$D260,Electricity!$M:$M,$A260)</f>
        <v>0</v>
      </c>
      <c r="F260" t="s">
        <v>81</v>
      </c>
      <c r="G260" s="31">
        <f>H260/Assumptions!$B$23/1000000000000</f>
        <v>0</v>
      </c>
      <c r="H260" s="13">
        <f>IF(C260="Electricity",E260*SUMIFS(Electricity!S:S,Electricity!P:P,Predev_Scenarios!B260,Electricity!M:M,Predev_Scenarios!A260,Electricity!O:O,Predev_Scenarios!D260),"")</f>
        <v>0</v>
      </c>
      <c r="I260" s="59">
        <f>SUMIFS(Electricity!U:U,Electricity!$M:$M,Predev_Scenarios!$A260,Electricity!$P:$P,Predev_Scenarios!$B260,Electricity!$O:$O,Predev_Scenarios!$D260)*-1</f>
        <v>0.12291076099999998</v>
      </c>
      <c r="J260" s="59">
        <f>SUMIFS(Electricity!V:V,Electricity!$M:$M,Predev_Scenarios!$A260,Electricity!$P:$P,Predev_Scenarios!$B260,Electricity!$O:$O,Predev_Scenarios!$D260)*-1</f>
        <v>0.10626129525000003</v>
      </c>
      <c r="K260" s="59">
        <f>SUMIFS(Electricity!W:W,Electricity!$M:$M,Predev_Scenarios!$A260,Electricity!$P:$P,Predev_Scenarios!$B260,Electricity!$O:$O,Predev_Scenarios!$D260)*-1</f>
        <v>0.13956022575000004</v>
      </c>
      <c r="L260" s="63">
        <f t="shared" si="17"/>
        <v>0</v>
      </c>
      <c r="M260" s="63">
        <f t="shared" si="18"/>
        <v>0</v>
      </c>
      <c r="N260" s="63">
        <f t="shared" si="19"/>
        <v>0</v>
      </c>
      <c r="O260" s="30">
        <f>IF(OR(LEFT($D260,5)="Solar",$D260="Wind"),INDEX(Land_Use[AVG],MATCH(LEFT($D260,5),Land_Use[Tech],0)),0)*$E260</f>
        <v>0</v>
      </c>
      <c r="P260" s="30">
        <f>IF(OR(LEFT($D260,5)="Solar",$D260="Wind"),INDEX(Land_Use[MIN],MATCH(LEFT($D260,5),Land_Use[Tech],0)),0)*$E260</f>
        <v>0</v>
      </c>
      <c r="Q260" s="30">
        <f>IF(OR(LEFT($D260,5)="Solar",$D260="Wind"),INDEX(Land_Use[MAX],MATCH(LEFT($D260,5),Land_Use[Tech],0)),0)*$E260</f>
        <v>0</v>
      </c>
      <c r="R260" s="31">
        <f>IFERROR(INDEX(WaterUseH2[Average Direct Water Consumption (Gal/ kg h2)],MATCH(LEFT(D260,3),WaterUseH2[Key],0)),0)</f>
        <v>0</v>
      </c>
      <c r="S260" s="15">
        <f t="shared" si="20"/>
        <v>0</v>
      </c>
    </row>
    <row r="261" spans="1:19" x14ac:dyDescent="0.35">
      <c r="A261" t="s">
        <v>76</v>
      </c>
      <c r="B261">
        <v>2031</v>
      </c>
      <c r="C261" t="s">
        <v>41</v>
      </c>
      <c r="D261" t="s">
        <v>86</v>
      </c>
      <c r="E261" s="12">
        <f>SUMIFS(Electricity!$R:$R,Electricity!$P:$P,$B261,Electricity!$O:$O,$D261,Electricity!$M:$M,$A261)</f>
        <v>0</v>
      </c>
      <c r="F261" t="s">
        <v>81</v>
      </c>
      <c r="G261" s="31">
        <f>H261/Assumptions!$B$23/1000000000000</f>
        <v>0</v>
      </c>
      <c r="H261" s="13">
        <f>IF(C261="Electricity",E261*SUMIFS(Electricity!S:S,Electricity!P:P,Predev_Scenarios!B261,Electricity!M:M,Predev_Scenarios!A261,Electricity!O:O,Predev_Scenarios!D261),"")</f>
        <v>0</v>
      </c>
      <c r="I261" s="59">
        <f>SUMIFS(Electricity!U:U,Electricity!$M:$M,Predev_Scenarios!$A261,Electricity!$P:$P,Predev_Scenarios!$B261,Electricity!$O:$O,Predev_Scenarios!$D261)*-1</f>
        <v>0.11868683679999997</v>
      </c>
      <c r="J261" s="59">
        <f>SUMIFS(Electricity!V:V,Electricity!$M:$M,Predev_Scenarios!$A261,Electricity!$P:$P,Predev_Scenarios!$B261,Electricity!$O:$O,Predev_Scenarios!$D261)*-1</f>
        <v>0.10110352810000003</v>
      </c>
      <c r="K261" s="59">
        <f>SUMIFS(Electricity!W:W,Electricity!$M:$M,Predev_Scenarios!$A261,Electricity!$P:$P,Predev_Scenarios!$B261,Electricity!$O:$O,Predev_Scenarios!$D261)*-1</f>
        <v>0.13627014450000005</v>
      </c>
      <c r="L261" s="63">
        <f t="shared" si="17"/>
        <v>0</v>
      </c>
      <c r="M261" s="63">
        <f t="shared" si="18"/>
        <v>0</v>
      </c>
      <c r="N261" s="63">
        <f t="shared" si="19"/>
        <v>0</v>
      </c>
      <c r="O261" s="30">
        <f>IF(OR(LEFT($D261,5)="Solar",$D261="Wind"),INDEX(Land_Use[AVG],MATCH(LEFT($D261,5),Land_Use[Tech],0)),0)*$E261</f>
        <v>0</v>
      </c>
      <c r="P261" s="30">
        <f>IF(OR(LEFT($D261,5)="Solar",$D261="Wind"),INDEX(Land_Use[MIN],MATCH(LEFT($D261,5),Land_Use[Tech],0)),0)*$E261</f>
        <v>0</v>
      </c>
      <c r="Q261" s="30">
        <f>IF(OR(LEFT($D261,5)="Solar",$D261="Wind"),INDEX(Land_Use[MAX],MATCH(LEFT($D261,5),Land_Use[Tech],0)),0)*$E261</f>
        <v>0</v>
      </c>
      <c r="R261" s="31">
        <f>IFERROR(INDEX(WaterUseH2[Average Direct Water Consumption (Gal/ kg h2)],MATCH(LEFT(D261,3),WaterUseH2[Key],0)),0)</f>
        <v>0</v>
      </c>
      <c r="S261" s="15">
        <f t="shared" si="20"/>
        <v>0</v>
      </c>
    </row>
    <row r="262" spans="1:19" x14ac:dyDescent="0.35">
      <c r="A262" t="s">
        <v>76</v>
      </c>
      <c r="B262">
        <v>2032</v>
      </c>
      <c r="C262" t="s">
        <v>41</v>
      </c>
      <c r="D262" t="s">
        <v>86</v>
      </c>
      <c r="E262" s="12">
        <f>SUMIFS(Electricity!$R:$R,Electricity!$P:$P,$B262,Electricity!$O:$O,$D262,Electricity!$M:$M,$A262)</f>
        <v>0</v>
      </c>
      <c r="F262" t="s">
        <v>81</v>
      </c>
      <c r="G262" s="31">
        <f>H262/Assumptions!$B$23/1000000000000</f>
        <v>0</v>
      </c>
      <c r="H262" s="13">
        <f>IF(C262="Electricity",E262*SUMIFS(Electricity!S:S,Electricity!P:P,Predev_Scenarios!B262,Electricity!M:M,Predev_Scenarios!A262,Electricity!O:O,Predev_Scenarios!D262),"")</f>
        <v>0</v>
      </c>
      <c r="I262" s="59">
        <f>SUMIFS(Electricity!U:U,Electricity!$M:$M,Predev_Scenarios!$A262,Electricity!$P:$P,Predev_Scenarios!$B262,Electricity!$O:$O,Predev_Scenarios!$D262)*-1</f>
        <v>0.11446291259999997</v>
      </c>
      <c r="J262" s="59">
        <f>SUMIFS(Electricity!V:V,Electricity!$M:$M,Predev_Scenarios!$A262,Electricity!$P:$P,Predev_Scenarios!$B262,Electricity!$O:$O,Predev_Scenarios!$D262)*-1</f>
        <v>9.5945760950000042E-2</v>
      </c>
      <c r="K262" s="59">
        <f>SUMIFS(Electricity!W:W,Electricity!$M:$M,Predev_Scenarios!$A262,Electricity!$P:$P,Predev_Scenarios!$B262,Electricity!$O:$O,Predev_Scenarios!$D262)*-1</f>
        <v>0.13298006325000006</v>
      </c>
      <c r="L262" s="63">
        <f t="shared" si="17"/>
        <v>0</v>
      </c>
      <c r="M262" s="63">
        <f t="shared" si="18"/>
        <v>0</v>
      </c>
      <c r="N262" s="63">
        <f t="shared" si="19"/>
        <v>0</v>
      </c>
      <c r="O262" s="30">
        <f>IF(OR(LEFT($D262,5)="Solar",$D262="Wind"),INDEX(Land_Use[AVG],MATCH(LEFT($D262,5),Land_Use[Tech],0)),0)*$E262</f>
        <v>0</v>
      </c>
      <c r="P262" s="30">
        <f>IF(OR(LEFT($D262,5)="Solar",$D262="Wind"),INDEX(Land_Use[MIN],MATCH(LEFT($D262,5),Land_Use[Tech],0)),0)*$E262</f>
        <v>0</v>
      </c>
      <c r="Q262" s="30">
        <f>IF(OR(LEFT($D262,5)="Solar",$D262="Wind"),INDEX(Land_Use[MAX],MATCH(LEFT($D262,5),Land_Use[Tech],0)),0)*$E262</f>
        <v>0</v>
      </c>
      <c r="R262" s="31">
        <f>IFERROR(INDEX(WaterUseH2[Average Direct Water Consumption (Gal/ kg h2)],MATCH(LEFT(D262,3),WaterUseH2[Key],0)),0)</f>
        <v>0</v>
      </c>
      <c r="S262" s="15">
        <f t="shared" si="20"/>
        <v>0</v>
      </c>
    </row>
    <row r="263" spans="1:19" x14ac:dyDescent="0.35">
      <c r="A263" t="s">
        <v>76</v>
      </c>
      <c r="B263">
        <v>2033</v>
      </c>
      <c r="C263" t="s">
        <v>41</v>
      </c>
      <c r="D263" t="s">
        <v>86</v>
      </c>
      <c r="E263" s="12">
        <f>SUMIFS(Electricity!$R:$R,Electricity!$P:$P,$B263,Electricity!$O:$O,$D263,Electricity!$M:$M,$A263)</f>
        <v>0</v>
      </c>
      <c r="F263" t="s">
        <v>81</v>
      </c>
      <c r="G263" s="31">
        <f>H263/Assumptions!$B$23/1000000000000</f>
        <v>0</v>
      </c>
      <c r="H263" s="13">
        <f>IF(C263="Electricity",E263*SUMIFS(Electricity!S:S,Electricity!P:P,Predev_Scenarios!B263,Electricity!M:M,Predev_Scenarios!A263,Electricity!O:O,Predev_Scenarios!D263),"")</f>
        <v>0</v>
      </c>
      <c r="I263" s="59">
        <f>SUMIFS(Electricity!U:U,Electricity!$M:$M,Predev_Scenarios!$A263,Electricity!$P:$P,Predev_Scenarios!$B263,Electricity!$O:$O,Predev_Scenarios!$D263)*-1</f>
        <v>0.11023898839999996</v>
      </c>
      <c r="J263" s="59">
        <f>SUMIFS(Electricity!V:V,Electricity!$M:$M,Predev_Scenarios!$A263,Electricity!$P:$P,Predev_Scenarios!$B263,Electricity!$O:$O,Predev_Scenarios!$D263)*-1</f>
        <v>9.078799380000005E-2</v>
      </c>
      <c r="K263" s="59">
        <f>SUMIFS(Electricity!W:W,Electricity!$M:$M,Predev_Scenarios!$A263,Electricity!$P:$P,Predev_Scenarios!$B263,Electricity!$O:$O,Predev_Scenarios!$D263)*-1</f>
        <v>0.12968998200000006</v>
      </c>
      <c r="L263" s="63">
        <f t="shared" si="17"/>
        <v>0</v>
      </c>
      <c r="M263" s="63">
        <f t="shared" si="18"/>
        <v>0</v>
      </c>
      <c r="N263" s="63">
        <f t="shared" si="19"/>
        <v>0</v>
      </c>
      <c r="O263" s="30">
        <f>IF(OR(LEFT($D263,5)="Solar",$D263="Wind"),INDEX(Land_Use[AVG],MATCH(LEFT($D263,5),Land_Use[Tech],0)),0)*$E263</f>
        <v>0</v>
      </c>
      <c r="P263" s="30">
        <f>IF(OR(LEFT($D263,5)="Solar",$D263="Wind"),INDEX(Land_Use[MIN],MATCH(LEFT($D263,5),Land_Use[Tech],0)),0)*$E263</f>
        <v>0</v>
      </c>
      <c r="Q263" s="30">
        <f>IF(OR(LEFT($D263,5)="Solar",$D263="Wind"),INDEX(Land_Use[MAX],MATCH(LEFT($D263,5),Land_Use[Tech],0)),0)*$E263</f>
        <v>0</v>
      </c>
      <c r="R263" s="31">
        <f>IFERROR(INDEX(WaterUseH2[Average Direct Water Consumption (Gal/ kg h2)],MATCH(LEFT(D263,3),WaterUseH2[Key],0)),0)</f>
        <v>0</v>
      </c>
      <c r="S263" s="15">
        <f t="shared" si="20"/>
        <v>0</v>
      </c>
    </row>
    <row r="264" spans="1:19" x14ac:dyDescent="0.35">
      <c r="A264" t="s">
        <v>76</v>
      </c>
      <c r="B264">
        <v>2034</v>
      </c>
      <c r="C264" t="s">
        <v>41</v>
      </c>
      <c r="D264" t="s">
        <v>86</v>
      </c>
      <c r="E264" s="12">
        <f>SUMIFS(Electricity!$R:$R,Electricity!$P:$P,$B264,Electricity!$O:$O,$D264,Electricity!$M:$M,$A264)</f>
        <v>1000</v>
      </c>
      <c r="F264" t="s">
        <v>81</v>
      </c>
      <c r="G264" s="31">
        <f>H264/Assumptions!$B$23/1000000000000</f>
        <v>6.8954153824011474E-3</v>
      </c>
      <c r="H264" s="13">
        <f>IF(C264="Electricity",E264*SUMIFS(Electricity!S:S,Electricity!P:P,Predev_Scenarios!B264,Electricity!M:M,Predev_Scenarios!A264,Electricity!O:O,Predev_Scenarios!D264),"")</f>
        <v>1915487.569782279</v>
      </c>
      <c r="I264" s="59">
        <f>SUMIFS(Electricity!U:U,Electricity!$M:$M,Predev_Scenarios!$A264,Electricity!$P:$P,Predev_Scenarios!$B264,Electricity!$O:$O,Predev_Scenarios!$D264)*-1</f>
        <v>0.10601506419999995</v>
      </c>
      <c r="J264" s="59">
        <f>SUMIFS(Electricity!V:V,Electricity!$M:$M,Predev_Scenarios!$A264,Electricity!$P:$P,Predev_Scenarios!$B264,Electricity!$O:$O,Predev_Scenarios!$D264)*-1</f>
        <v>8.5630226650000058E-2</v>
      </c>
      <c r="K264" s="59">
        <f>SUMIFS(Electricity!W:W,Electricity!$M:$M,Predev_Scenarios!$A264,Electricity!$P:$P,Predev_Scenarios!$B264,Electricity!$O:$O,Predev_Scenarios!$D264)*-1</f>
        <v>0.12639990075000007</v>
      </c>
      <c r="L264" s="63">
        <f t="shared" si="17"/>
        <v>-2.0307053768477017E-7</v>
      </c>
      <c r="M264" s="63">
        <f t="shared" si="18"/>
        <v>-1.6402363474571434E-7</v>
      </c>
      <c r="N264" s="63">
        <f t="shared" si="19"/>
        <v>-2.421174387083389E-7</v>
      </c>
      <c r="O264" s="30">
        <f>IF(OR(LEFT($D264,5)="Solar",$D264="Wind"),INDEX(Land_Use[AVG],MATCH(LEFT($D264,5),Land_Use[Tech],0)),0)*$E264</f>
        <v>0</v>
      </c>
      <c r="P264" s="30">
        <f>IF(OR(LEFT($D264,5)="Solar",$D264="Wind"),INDEX(Land_Use[MIN],MATCH(LEFT($D264,5),Land_Use[Tech],0)),0)*$E264</f>
        <v>0</v>
      </c>
      <c r="Q264" s="30">
        <f>IF(OR(LEFT($D264,5)="Solar",$D264="Wind"),INDEX(Land_Use[MAX],MATCH(LEFT($D264,5),Land_Use[Tech],0)),0)*$E264</f>
        <v>0</v>
      </c>
      <c r="R264" s="31">
        <f>IFERROR(INDEX(WaterUseH2[Average Direct Water Consumption (Gal/ kg h2)],MATCH(LEFT(D264,3),WaterUseH2[Key],0)),0)</f>
        <v>0</v>
      </c>
      <c r="S264" s="15">
        <f t="shared" si="20"/>
        <v>0</v>
      </c>
    </row>
    <row r="265" spans="1:19" x14ac:dyDescent="0.35">
      <c r="A265" t="s">
        <v>76</v>
      </c>
      <c r="B265">
        <v>2035</v>
      </c>
      <c r="C265" t="s">
        <v>41</v>
      </c>
      <c r="D265" t="s">
        <v>86</v>
      </c>
      <c r="E265" s="12">
        <f>SUMIFS(Electricity!$R:$R,Electricity!$P:$P,$B265,Electricity!$O:$O,$D265,Electricity!$M:$M,$A265)</f>
        <v>1000</v>
      </c>
      <c r="F265" t="s">
        <v>81</v>
      </c>
      <c r="G265" s="31">
        <f>H265/Assumptions!$B$23/1000000000000</f>
        <v>6.993277128467746E-3</v>
      </c>
      <c r="H265" s="13">
        <f>IF(C265="Electricity",E265*SUMIFS(Electricity!S:S,Electricity!P:P,Predev_Scenarios!B265,Electricity!M:M,Predev_Scenarios!A265,Electricity!O:O,Predev_Scenarios!D265),"")</f>
        <v>1942672.7280000399</v>
      </c>
      <c r="I265" s="59">
        <f>SUMIFS(Electricity!U:U,Electricity!$M:$M,Predev_Scenarios!$A265,Electricity!$P:$P,Predev_Scenarios!$B265,Electricity!$O:$O,Predev_Scenarios!$D265)*-1</f>
        <v>0.10179113999999995</v>
      </c>
      <c r="J265" s="59">
        <f>SUMIFS(Electricity!V:V,Electricity!$M:$M,Predev_Scenarios!$A265,Electricity!$P:$P,Predev_Scenarios!$B265,Electricity!$O:$O,Predev_Scenarios!$D265)*-1</f>
        <v>8.0472459500000065E-2</v>
      </c>
      <c r="K265" s="59">
        <f>SUMIFS(Electricity!W:W,Electricity!$M:$M,Predev_Scenarios!$A265,Electricity!$P:$P,Predev_Scenarios!$B265,Electricity!$O:$O,Predev_Scenarios!$D265)*-1</f>
        <v>0.12310981950000006</v>
      </c>
      <c r="L265" s="63">
        <f t="shared" si="17"/>
        <v>-1.9774687163003389E-7</v>
      </c>
      <c r="M265" s="63">
        <f t="shared" si="18"/>
        <v>-1.5633165242573785E-7</v>
      </c>
      <c r="N265" s="63">
        <f t="shared" si="19"/>
        <v>-2.3916208889165764E-7</v>
      </c>
      <c r="O265" s="30">
        <f>IF(OR(LEFT($D265,5)="Solar",$D265="Wind"),INDEX(Land_Use[AVG],MATCH(LEFT($D265,5),Land_Use[Tech],0)),0)*$E265</f>
        <v>0</v>
      </c>
      <c r="P265" s="30">
        <f>IF(OR(LEFT($D265,5)="Solar",$D265="Wind"),INDEX(Land_Use[MIN],MATCH(LEFT($D265,5),Land_Use[Tech],0)),0)*$E265</f>
        <v>0</v>
      </c>
      <c r="Q265" s="30">
        <f>IF(OR(LEFT($D265,5)="Solar",$D265="Wind"),INDEX(Land_Use[MAX],MATCH(LEFT($D265,5),Land_Use[Tech],0)),0)*$E265</f>
        <v>0</v>
      </c>
      <c r="R265" s="31">
        <f>IFERROR(INDEX(WaterUseH2[Average Direct Water Consumption (Gal/ kg h2)],MATCH(LEFT(D265,3),WaterUseH2[Key],0)),0)</f>
        <v>0</v>
      </c>
      <c r="S265" s="15">
        <f t="shared" si="20"/>
        <v>0</v>
      </c>
    </row>
    <row r="266" spans="1:19" x14ac:dyDescent="0.35">
      <c r="A266" t="s">
        <v>76</v>
      </c>
      <c r="B266">
        <v>2036</v>
      </c>
      <c r="C266" t="s">
        <v>41</v>
      </c>
      <c r="D266" t="s">
        <v>86</v>
      </c>
      <c r="E266" s="12">
        <f>SUMIFS(Electricity!$R:$R,Electricity!$P:$P,$B266,Electricity!$O:$O,$D266,Electricity!$M:$M,$A266)</f>
        <v>1000</v>
      </c>
      <c r="F266" t="s">
        <v>81</v>
      </c>
      <c r="G266" s="31">
        <f>H266/Assumptions!$B$23/1000000000000</f>
        <v>7.0911388745343437E-3</v>
      </c>
      <c r="H266" s="13">
        <f>IF(C266="Electricity",E266*SUMIFS(Electricity!S:S,Electricity!P:P,Predev_Scenarios!B266,Electricity!M:M,Predev_Scenarios!A266,Electricity!O:O,Predev_Scenarios!D266),"")</f>
        <v>1969857.8862178011</v>
      </c>
      <c r="I266" s="59">
        <f>SUMIFS(Electricity!U:U,Electricity!$M:$M,Predev_Scenarios!$A266,Electricity!$P:$P,Predev_Scenarios!$B266,Electricity!$O:$O,Predev_Scenarios!$D266)*-1</f>
        <v>9.756721579999994E-2</v>
      </c>
      <c r="J266" s="59">
        <f>SUMIFS(Electricity!V:V,Electricity!$M:$M,Predev_Scenarios!$A266,Electricity!$P:$P,Predev_Scenarios!$B266,Electricity!$O:$O,Predev_Scenarios!$D266)*-1</f>
        <v>7.5314692350000073E-2</v>
      </c>
      <c r="K266" s="59">
        <f>SUMIFS(Electricity!W:W,Electricity!$M:$M,Predev_Scenarios!$A266,Electricity!$P:$P,Predev_Scenarios!$B266,Electricity!$O:$O,Predev_Scenarios!$D266)*-1</f>
        <v>0.11981973825000006</v>
      </c>
      <c r="L266" s="63">
        <f t="shared" si="17"/>
        <v>-1.9219354947994394E-7</v>
      </c>
      <c r="M266" s="63">
        <f t="shared" si="18"/>
        <v>-1.4835924067371517E-7</v>
      </c>
      <c r="N266" s="63">
        <f t="shared" si="19"/>
        <v>-2.3602785631631536E-7</v>
      </c>
      <c r="O266" s="30">
        <f>IF(OR(LEFT($D266,5)="Solar",$D266="Wind"),INDEX(Land_Use[AVG],MATCH(LEFT($D266,5),Land_Use[Tech],0)),0)*$E266</f>
        <v>0</v>
      </c>
      <c r="P266" s="30">
        <f>IF(OR(LEFT($D266,5)="Solar",$D266="Wind"),INDEX(Land_Use[MIN],MATCH(LEFT($D266,5),Land_Use[Tech],0)),0)*$E266</f>
        <v>0</v>
      </c>
      <c r="Q266" s="30">
        <f>IF(OR(LEFT($D266,5)="Solar",$D266="Wind"),INDEX(Land_Use[MAX],MATCH(LEFT($D266,5),Land_Use[Tech],0)),0)*$E266</f>
        <v>0</v>
      </c>
      <c r="R266" s="31">
        <f>IFERROR(INDEX(WaterUseH2[Average Direct Water Consumption (Gal/ kg h2)],MATCH(LEFT(D266,3),WaterUseH2[Key],0)),0)</f>
        <v>0</v>
      </c>
      <c r="S266" s="15">
        <f t="shared" si="20"/>
        <v>0</v>
      </c>
    </row>
    <row r="267" spans="1:19" x14ac:dyDescent="0.35">
      <c r="A267" t="s">
        <v>76</v>
      </c>
      <c r="B267">
        <v>2037</v>
      </c>
      <c r="C267" t="s">
        <v>41</v>
      </c>
      <c r="D267" t="s">
        <v>86</v>
      </c>
      <c r="E267" s="12">
        <f>SUMIFS(Electricity!$R:$R,Electricity!$P:$P,$B267,Electricity!$O:$O,$D267,Electricity!$M:$M,$A267)</f>
        <v>1000</v>
      </c>
      <c r="F267" t="s">
        <v>81</v>
      </c>
      <c r="G267" s="31">
        <f>H267/Assumptions!$B$23/1000000000000</f>
        <v>7.1890006206009414E-3</v>
      </c>
      <c r="H267" s="13">
        <f>IF(C267="Electricity",E267*SUMIFS(Electricity!S:S,Electricity!P:P,Predev_Scenarios!B267,Electricity!M:M,Predev_Scenarios!A267,Electricity!O:O,Predev_Scenarios!D267),"")</f>
        <v>1997043.0444355621</v>
      </c>
      <c r="I267" s="59">
        <f>SUMIFS(Electricity!U:U,Electricity!$M:$M,Predev_Scenarios!$A267,Electricity!$P:$P,Predev_Scenarios!$B267,Electricity!$O:$O,Predev_Scenarios!$D267)*-1</f>
        <v>9.3343291599999934E-2</v>
      </c>
      <c r="J267" s="59">
        <f>SUMIFS(Electricity!V:V,Electricity!$M:$M,Predev_Scenarios!$A267,Electricity!$P:$P,Predev_Scenarios!$B267,Electricity!$O:$O,Predev_Scenarios!$D267)*-1</f>
        <v>7.0156925200000081E-2</v>
      </c>
      <c r="K267" s="59">
        <f>SUMIFS(Electricity!W:W,Electricity!$M:$M,Predev_Scenarios!$A267,Electricity!$P:$P,Predev_Scenarios!$B267,Electricity!$O:$O,Predev_Scenarios!$D267)*-1</f>
        <v>0.11652965700000005</v>
      </c>
      <c r="L267" s="63">
        <f t="shared" si="17"/>
        <v>-1.864105712345003E-7</v>
      </c>
      <c r="M267" s="63">
        <f t="shared" si="18"/>
        <v>-1.4010639948964618E-7</v>
      </c>
      <c r="N267" s="63">
        <f t="shared" si="19"/>
        <v>-2.327147409823119E-7</v>
      </c>
      <c r="O267" s="30">
        <f>IF(OR(LEFT($D267,5)="Solar",$D267="Wind"),INDEX(Land_Use[AVG],MATCH(LEFT($D267,5),Land_Use[Tech],0)),0)*$E267</f>
        <v>0</v>
      </c>
      <c r="P267" s="30">
        <f>IF(OR(LEFT($D267,5)="Solar",$D267="Wind"),INDEX(Land_Use[MIN],MATCH(LEFT($D267,5),Land_Use[Tech],0)),0)*$E267</f>
        <v>0</v>
      </c>
      <c r="Q267" s="30">
        <f>IF(OR(LEFT($D267,5)="Solar",$D267="Wind"),INDEX(Land_Use[MAX],MATCH(LEFT($D267,5),Land_Use[Tech],0)),0)*$E267</f>
        <v>0</v>
      </c>
      <c r="R267" s="31">
        <f>IFERROR(INDEX(WaterUseH2[Average Direct Water Consumption (Gal/ kg h2)],MATCH(LEFT(D267,3),WaterUseH2[Key],0)),0)</f>
        <v>0</v>
      </c>
      <c r="S267" s="15">
        <f t="shared" si="20"/>
        <v>0</v>
      </c>
    </row>
    <row r="268" spans="1:19" x14ac:dyDescent="0.35">
      <c r="A268" t="s">
        <v>76</v>
      </c>
      <c r="B268">
        <v>2038</v>
      </c>
      <c r="C268" t="s">
        <v>41</v>
      </c>
      <c r="D268" t="s">
        <v>86</v>
      </c>
      <c r="E268" s="12">
        <f>SUMIFS(Electricity!$R:$R,Electricity!$P:$P,$B268,Electricity!$O:$O,$D268,Electricity!$M:$M,$A268)</f>
        <v>1000</v>
      </c>
      <c r="F268" t="s">
        <v>81</v>
      </c>
      <c r="G268" s="31">
        <f>H268/Assumptions!$B$23/1000000000000</f>
        <v>7.2868623666675399E-3</v>
      </c>
      <c r="H268" s="13">
        <f>IF(C268="Electricity",E268*SUMIFS(Electricity!S:S,Electricity!P:P,Predev_Scenarios!B268,Electricity!M:M,Predev_Scenarios!A268,Electricity!O:O,Predev_Scenarios!D268),"")</f>
        <v>2024228.2026533231</v>
      </c>
      <c r="I268" s="59">
        <f>SUMIFS(Electricity!U:U,Electricity!$M:$M,Predev_Scenarios!$A268,Electricity!$P:$P,Predev_Scenarios!$B268,Electricity!$O:$O,Predev_Scenarios!$D268)*-1</f>
        <v>8.9119367399999927E-2</v>
      </c>
      <c r="J268" s="59">
        <f>SUMIFS(Electricity!V:V,Electricity!$M:$M,Predev_Scenarios!$A268,Electricity!$P:$P,Predev_Scenarios!$B268,Electricity!$O:$O,Predev_Scenarios!$D268)*-1</f>
        <v>6.4999158050000089E-2</v>
      </c>
      <c r="K268" s="59">
        <f>SUMIFS(Electricity!W:W,Electricity!$M:$M,Predev_Scenarios!$A268,Electricity!$P:$P,Predev_Scenarios!$B268,Electricity!$O:$O,Predev_Scenarios!$D268)*-1</f>
        <v>0.11323957575000004</v>
      </c>
      <c r="L268" s="63">
        <f t="shared" si="17"/>
        <v>-1.8039793689370298E-7</v>
      </c>
      <c r="M268" s="63">
        <f t="shared" si="18"/>
        <v>-1.3157312887353094E-7</v>
      </c>
      <c r="N268" s="63">
        <f t="shared" si="19"/>
        <v>-2.2922274288964739E-7</v>
      </c>
      <c r="O268" s="30">
        <f>IF(OR(LEFT($D268,5)="Solar",$D268="Wind"),INDEX(Land_Use[AVG],MATCH(LEFT($D268,5),Land_Use[Tech],0)),0)*$E268</f>
        <v>0</v>
      </c>
      <c r="P268" s="30">
        <f>IF(OR(LEFT($D268,5)="Solar",$D268="Wind"),INDEX(Land_Use[MIN],MATCH(LEFT($D268,5),Land_Use[Tech],0)),0)*$E268</f>
        <v>0</v>
      </c>
      <c r="Q268" s="30">
        <f>IF(OR(LEFT($D268,5)="Solar",$D268="Wind"),INDEX(Land_Use[MAX],MATCH(LEFT($D268,5),Land_Use[Tech],0)),0)*$E268</f>
        <v>0</v>
      </c>
      <c r="R268" s="31">
        <f>IFERROR(INDEX(WaterUseH2[Average Direct Water Consumption (Gal/ kg h2)],MATCH(LEFT(D268,3),WaterUseH2[Key],0)),0)</f>
        <v>0</v>
      </c>
      <c r="S268" s="15">
        <f t="shared" si="20"/>
        <v>0</v>
      </c>
    </row>
    <row r="269" spans="1:19" x14ac:dyDescent="0.35">
      <c r="A269" t="s">
        <v>76</v>
      </c>
      <c r="B269">
        <v>2039</v>
      </c>
      <c r="C269" t="s">
        <v>41</v>
      </c>
      <c r="D269" t="s">
        <v>86</v>
      </c>
      <c r="E269" s="12">
        <f>SUMIFS(Electricity!$R:$R,Electricity!$P:$P,$B269,Electricity!$O:$O,$D269,Electricity!$M:$M,$A269)</f>
        <v>1000</v>
      </c>
      <c r="F269" t="s">
        <v>81</v>
      </c>
      <c r="G269" s="31">
        <f>H269/Assumptions!$B$23/1000000000000</f>
        <v>7.3847241127341376E-3</v>
      </c>
      <c r="H269" s="13">
        <f>IF(C269="Electricity",E269*SUMIFS(Electricity!S:S,Electricity!P:P,Predev_Scenarios!B269,Electricity!M:M,Predev_Scenarios!A269,Electricity!O:O,Predev_Scenarios!D269),"")</f>
        <v>2051413.360871084</v>
      </c>
      <c r="I269" s="59">
        <f>SUMIFS(Electricity!U:U,Electricity!$M:$M,Predev_Scenarios!$A269,Electricity!$P:$P,Predev_Scenarios!$B269,Electricity!$O:$O,Predev_Scenarios!$D269)*-1</f>
        <v>8.489544319999992E-2</v>
      </c>
      <c r="J269" s="59">
        <f>SUMIFS(Electricity!V:V,Electricity!$M:$M,Predev_Scenarios!$A269,Electricity!$P:$P,Predev_Scenarios!$B269,Electricity!$O:$O,Predev_Scenarios!$D269)*-1</f>
        <v>5.984139090000009E-2</v>
      </c>
      <c r="K269" s="59">
        <f>SUMIFS(Electricity!W:W,Electricity!$M:$M,Predev_Scenarios!$A269,Electricity!$P:$P,Predev_Scenarios!$B269,Electricity!$O:$O,Predev_Scenarios!$D269)*-1</f>
        <v>0.10994949450000004</v>
      </c>
      <c r="L269" s="63">
        <f t="shared" si="17"/>
        <v>-1.7415564645755206E-7</v>
      </c>
      <c r="M269" s="63">
        <f t="shared" si="18"/>
        <v>-1.2275942882536951E-7</v>
      </c>
      <c r="N269" s="63">
        <f t="shared" si="19"/>
        <v>-2.2555186203832187E-7</v>
      </c>
      <c r="O269" s="30">
        <f>IF(OR(LEFT($D269,5)="Solar",$D269="Wind"),INDEX(Land_Use[AVG],MATCH(LEFT($D269,5),Land_Use[Tech],0)),0)*$E269</f>
        <v>0</v>
      </c>
      <c r="P269" s="30">
        <f>IF(OR(LEFT($D269,5)="Solar",$D269="Wind"),INDEX(Land_Use[MIN],MATCH(LEFT($D269,5),Land_Use[Tech],0)),0)*$E269</f>
        <v>0</v>
      </c>
      <c r="Q269" s="30">
        <f>IF(OR(LEFT($D269,5)="Solar",$D269="Wind"),INDEX(Land_Use[MAX],MATCH(LEFT($D269,5),Land_Use[Tech],0)),0)*$E269</f>
        <v>0</v>
      </c>
      <c r="R269" s="31">
        <f>IFERROR(INDEX(WaterUseH2[Average Direct Water Consumption (Gal/ kg h2)],MATCH(LEFT(D269,3),WaterUseH2[Key],0)),0)</f>
        <v>0</v>
      </c>
      <c r="S269" s="15">
        <f t="shared" si="20"/>
        <v>0</v>
      </c>
    </row>
    <row r="270" spans="1:19" x14ac:dyDescent="0.35">
      <c r="A270" t="s">
        <v>76</v>
      </c>
      <c r="B270">
        <v>2040</v>
      </c>
      <c r="C270" t="s">
        <v>41</v>
      </c>
      <c r="D270" t="s">
        <v>86</v>
      </c>
      <c r="E270" s="12">
        <f>SUMIFS(Electricity!$R:$R,Electricity!$P:$P,$B270,Electricity!$O:$O,$D270,Electricity!$M:$M,$A270)</f>
        <v>1000</v>
      </c>
      <c r="F270" t="s">
        <v>81</v>
      </c>
      <c r="G270" s="31">
        <f>H270/Assumptions!$B$23/1000000000000</f>
        <v>7.4825858588007353E-3</v>
      </c>
      <c r="H270" s="13">
        <f>IF(C270="Electricity",E270*SUMIFS(Electricity!S:S,Electricity!P:P,Predev_Scenarios!B270,Electricity!M:M,Predev_Scenarios!A270,Electricity!O:O,Predev_Scenarios!D270),"")</f>
        <v>2078598.519088845</v>
      </c>
      <c r="I270" s="59">
        <f>SUMIFS(Electricity!U:U,Electricity!$M:$M,Predev_Scenarios!$A270,Electricity!$P:$P,Predev_Scenarios!$B270,Electricity!$O:$O,Predev_Scenarios!$D270)*-1</f>
        <v>8.0671518999999914E-2</v>
      </c>
      <c r="J270" s="59">
        <f>SUMIFS(Electricity!V:V,Electricity!$M:$M,Predev_Scenarios!$A270,Electricity!$P:$P,Predev_Scenarios!$B270,Electricity!$O:$O,Predev_Scenarios!$D270)*-1</f>
        <v>5.468362375000009E-2</v>
      </c>
      <c r="K270" s="59">
        <f>SUMIFS(Electricity!W:W,Electricity!$M:$M,Predev_Scenarios!$A270,Electricity!$P:$P,Predev_Scenarios!$B270,Electricity!$O:$O,Predev_Scenarios!$D270)*-1</f>
        <v>0.10665941325000003</v>
      </c>
      <c r="L270" s="63">
        <f t="shared" si="17"/>
        <v>-1.6768369992604744E-7</v>
      </c>
      <c r="M270" s="63">
        <f t="shared" si="18"/>
        <v>-1.1366529934516178E-7</v>
      </c>
      <c r="N270" s="63">
        <f t="shared" si="19"/>
        <v>-2.2170209842833518E-7</v>
      </c>
      <c r="O270" s="30">
        <f>IF(OR(LEFT($D270,5)="Solar",$D270="Wind"),INDEX(Land_Use[AVG],MATCH(LEFT($D270,5),Land_Use[Tech],0)),0)*$E270</f>
        <v>0</v>
      </c>
      <c r="P270" s="30">
        <f>IF(OR(LEFT($D270,5)="Solar",$D270="Wind"),INDEX(Land_Use[MIN],MATCH(LEFT($D270,5),Land_Use[Tech],0)),0)*$E270</f>
        <v>0</v>
      </c>
      <c r="Q270" s="30">
        <f>IF(OR(LEFT($D270,5)="Solar",$D270="Wind"),INDEX(Land_Use[MAX],MATCH(LEFT($D270,5),Land_Use[Tech],0)),0)*$E270</f>
        <v>0</v>
      </c>
      <c r="R270" s="31">
        <f>IFERROR(INDEX(WaterUseH2[Average Direct Water Consumption (Gal/ kg h2)],MATCH(LEFT(D270,3),WaterUseH2[Key],0)),0)</f>
        <v>0</v>
      </c>
      <c r="S270" s="15">
        <f t="shared" si="20"/>
        <v>0</v>
      </c>
    </row>
    <row r="271" spans="1:19" x14ac:dyDescent="0.35">
      <c r="A271" t="s">
        <v>76</v>
      </c>
      <c r="B271">
        <v>2041</v>
      </c>
      <c r="C271" t="s">
        <v>41</v>
      </c>
      <c r="D271" t="s">
        <v>86</v>
      </c>
      <c r="E271" s="12">
        <f>SUMIFS(Electricity!$R:$R,Electricity!$P:$P,$B271,Electricity!$O:$O,$D271,Electricity!$M:$M,$A271)</f>
        <v>1000</v>
      </c>
      <c r="F271" t="s">
        <v>81</v>
      </c>
      <c r="G271" s="31">
        <f>H271/Assumptions!$B$23/1000000000000</f>
        <v>7.580447604867333E-3</v>
      </c>
      <c r="H271" s="13">
        <f>IF(C271="Electricity",E271*SUMIFS(Electricity!S:S,Electricity!P:P,Predev_Scenarios!B271,Electricity!M:M,Predev_Scenarios!A271,Electricity!O:O,Predev_Scenarios!D271),"")</f>
        <v>2105783.677306606</v>
      </c>
      <c r="I271" s="59">
        <f>SUMIFS(Electricity!U:U,Electricity!$M:$M,Predev_Scenarios!$A271,Electricity!$P:$P,Predev_Scenarios!$B271,Electricity!$O:$O,Predev_Scenarios!$D271)*-1</f>
        <v>7.6447594799999907E-2</v>
      </c>
      <c r="J271" s="59">
        <f>SUMIFS(Electricity!V:V,Electricity!$M:$M,Predev_Scenarios!$A271,Electricity!$P:$P,Predev_Scenarios!$B271,Electricity!$O:$O,Predev_Scenarios!$D271)*-1</f>
        <v>4.9525856600000091E-2</v>
      </c>
      <c r="K271" s="59">
        <f>SUMIFS(Electricity!W:W,Electricity!$M:$M,Predev_Scenarios!$A271,Electricity!$P:$P,Predev_Scenarios!$B271,Electricity!$O:$O,Predev_Scenarios!$D271)*-1</f>
        <v>0.10336933200000002</v>
      </c>
      <c r="L271" s="63">
        <f t="shared" si="17"/>
        <v>-1.6098209729918915E-7</v>
      </c>
      <c r="M271" s="63">
        <f t="shared" si="18"/>
        <v>-1.0429074043290782E-7</v>
      </c>
      <c r="N271" s="63">
        <f t="shared" si="19"/>
        <v>-2.1767345205968744E-7</v>
      </c>
      <c r="O271" s="30">
        <f>IF(OR(LEFT($D271,5)="Solar",$D271="Wind"),INDEX(Land_Use[AVG],MATCH(LEFT($D271,5),Land_Use[Tech],0)),0)*$E271</f>
        <v>0</v>
      </c>
      <c r="P271" s="30">
        <f>IF(OR(LEFT($D271,5)="Solar",$D271="Wind"),INDEX(Land_Use[MIN],MATCH(LEFT($D271,5),Land_Use[Tech],0)),0)*$E271</f>
        <v>0</v>
      </c>
      <c r="Q271" s="30">
        <f>IF(OR(LEFT($D271,5)="Solar",$D271="Wind"),INDEX(Land_Use[MAX],MATCH(LEFT($D271,5),Land_Use[Tech],0)),0)*$E271</f>
        <v>0</v>
      </c>
      <c r="R271" s="31">
        <f>IFERROR(INDEX(WaterUseH2[Average Direct Water Consumption (Gal/ kg h2)],MATCH(LEFT(D271,3),WaterUseH2[Key],0)),0)</f>
        <v>0</v>
      </c>
      <c r="S271" s="15">
        <f t="shared" si="20"/>
        <v>0</v>
      </c>
    </row>
    <row r="272" spans="1:19" x14ac:dyDescent="0.35">
      <c r="A272" t="s">
        <v>76</v>
      </c>
      <c r="B272">
        <v>2042</v>
      </c>
      <c r="C272" t="s">
        <v>41</v>
      </c>
      <c r="D272" t="s">
        <v>86</v>
      </c>
      <c r="E272" s="12">
        <f>SUMIFS(Electricity!$R:$R,Electricity!$P:$P,$B272,Electricity!$O:$O,$D272,Electricity!$M:$M,$A272)</f>
        <v>1000</v>
      </c>
      <c r="F272" t="s">
        <v>81</v>
      </c>
      <c r="G272" s="31">
        <f>H272/Assumptions!$B$23/1000000000000</f>
        <v>7.6783093509339316E-3</v>
      </c>
      <c r="H272" s="13">
        <f>IF(C272="Electricity",E272*SUMIFS(Electricity!S:S,Electricity!P:P,Predev_Scenarios!B272,Electricity!M:M,Predev_Scenarios!A272,Electricity!O:O,Predev_Scenarios!D272),"")</f>
        <v>2132968.8355243672</v>
      </c>
      <c r="I272" s="59">
        <f>SUMIFS(Electricity!U:U,Electricity!$M:$M,Predev_Scenarios!$A272,Electricity!$P:$P,Predev_Scenarios!$B272,Electricity!$O:$O,Predev_Scenarios!$D272)*-1</f>
        <v>7.2223670599999901E-2</v>
      </c>
      <c r="J272" s="59">
        <f>SUMIFS(Electricity!V:V,Electricity!$M:$M,Predev_Scenarios!$A272,Electricity!$P:$P,Predev_Scenarios!$B272,Electricity!$O:$O,Predev_Scenarios!$D272)*-1</f>
        <v>4.4368089450000092E-2</v>
      </c>
      <c r="K272" s="59">
        <f>SUMIFS(Electricity!W:W,Electricity!$M:$M,Predev_Scenarios!$A272,Electricity!$P:$P,Predev_Scenarios!$B272,Electricity!$O:$O,Predev_Scenarios!$D272)*-1</f>
        <v>0.10007925075000002</v>
      </c>
      <c r="L272" s="63">
        <f t="shared" si="17"/>
        <v>-1.5405083857697725E-7</v>
      </c>
      <c r="M272" s="63">
        <f t="shared" si="18"/>
        <v>-9.4635752088607655E-8</v>
      </c>
      <c r="N272" s="63">
        <f t="shared" si="19"/>
        <v>-2.1346592293237866E-7</v>
      </c>
      <c r="O272" s="30">
        <f>IF(OR(LEFT($D272,5)="Solar",$D272="Wind"),INDEX(Land_Use[AVG],MATCH(LEFT($D272,5),Land_Use[Tech],0)),0)*$E272</f>
        <v>0</v>
      </c>
      <c r="P272" s="30">
        <f>IF(OR(LEFT($D272,5)="Solar",$D272="Wind"),INDEX(Land_Use[MIN],MATCH(LEFT($D272,5),Land_Use[Tech],0)),0)*$E272</f>
        <v>0</v>
      </c>
      <c r="Q272" s="30">
        <f>IF(OR(LEFT($D272,5)="Solar",$D272="Wind"),INDEX(Land_Use[MAX],MATCH(LEFT($D272,5),Land_Use[Tech],0)),0)*$E272</f>
        <v>0</v>
      </c>
      <c r="R272" s="31">
        <f>IFERROR(INDEX(WaterUseH2[Average Direct Water Consumption (Gal/ kg h2)],MATCH(LEFT(D272,3),WaterUseH2[Key],0)),0)</f>
        <v>0</v>
      </c>
      <c r="S272" s="15">
        <f t="shared" si="20"/>
        <v>0</v>
      </c>
    </row>
    <row r="273" spans="1:19" x14ac:dyDescent="0.35">
      <c r="A273" t="s">
        <v>76</v>
      </c>
      <c r="B273">
        <v>2043</v>
      </c>
      <c r="C273" t="s">
        <v>41</v>
      </c>
      <c r="D273" t="s">
        <v>86</v>
      </c>
      <c r="E273" s="12">
        <f>SUMIFS(Electricity!$R:$R,Electricity!$P:$P,$B273,Electricity!$O:$O,$D273,Electricity!$M:$M,$A273)</f>
        <v>1000</v>
      </c>
      <c r="F273" t="s">
        <v>81</v>
      </c>
      <c r="G273" s="31">
        <f>H273/Assumptions!$B$23/1000000000000</f>
        <v>7.7761710970005284E-3</v>
      </c>
      <c r="H273" s="13">
        <f>IF(C273="Electricity",E273*SUMIFS(Electricity!S:S,Electricity!P:P,Predev_Scenarios!B273,Electricity!M:M,Predev_Scenarios!A273,Electricity!O:O,Predev_Scenarios!D273),"")</f>
        <v>2160153.9937421279</v>
      </c>
      <c r="I273" s="59">
        <f>SUMIFS(Electricity!U:U,Electricity!$M:$M,Predev_Scenarios!$A273,Electricity!$P:$P,Predev_Scenarios!$B273,Electricity!$O:$O,Predev_Scenarios!$D273)*-1</f>
        <v>6.7999746399999894E-2</v>
      </c>
      <c r="J273" s="59">
        <f>SUMIFS(Electricity!V:V,Electricity!$M:$M,Predev_Scenarios!$A273,Electricity!$P:$P,Predev_Scenarios!$B273,Electricity!$O:$O,Predev_Scenarios!$D273)*-1</f>
        <v>3.9210322300000093E-2</v>
      </c>
      <c r="K273" s="59">
        <f>SUMIFS(Electricity!W:W,Electricity!$M:$M,Predev_Scenarios!$A273,Electricity!$P:$P,Predev_Scenarios!$B273,Electricity!$O:$O,Predev_Scenarios!$D273)*-1</f>
        <v>9.6789169500000008E-2</v>
      </c>
      <c r="L273" s="63">
        <f t="shared" si="17"/>
        <v>-1.4688992375941165E-7</v>
      </c>
      <c r="M273" s="63">
        <f t="shared" si="18"/>
        <v>-8.4700334312261215E-8</v>
      </c>
      <c r="N273" s="63">
        <f t="shared" si="19"/>
        <v>-2.0907951104640877E-7</v>
      </c>
      <c r="O273" s="30">
        <f>IF(OR(LEFT($D273,5)="Solar",$D273="Wind"),INDEX(Land_Use[AVG],MATCH(LEFT($D273,5),Land_Use[Tech],0)),0)*$E273</f>
        <v>0</v>
      </c>
      <c r="P273" s="30">
        <f>IF(OR(LEFT($D273,5)="Solar",$D273="Wind"),INDEX(Land_Use[MIN],MATCH(LEFT($D273,5),Land_Use[Tech],0)),0)*$E273</f>
        <v>0</v>
      </c>
      <c r="Q273" s="30">
        <f>IF(OR(LEFT($D273,5)="Solar",$D273="Wind"),INDEX(Land_Use[MAX],MATCH(LEFT($D273,5),Land_Use[Tech],0)),0)*$E273</f>
        <v>0</v>
      </c>
      <c r="R273" s="31">
        <f>IFERROR(INDEX(WaterUseH2[Average Direct Water Consumption (Gal/ kg h2)],MATCH(LEFT(D273,3),WaterUseH2[Key],0)),0)</f>
        <v>0</v>
      </c>
      <c r="S273" s="15">
        <f t="shared" si="20"/>
        <v>0</v>
      </c>
    </row>
    <row r="274" spans="1:19" x14ac:dyDescent="0.35">
      <c r="A274" t="s">
        <v>76</v>
      </c>
      <c r="B274">
        <v>2044</v>
      </c>
      <c r="C274" t="s">
        <v>41</v>
      </c>
      <c r="D274" t="s">
        <v>86</v>
      </c>
      <c r="E274" s="12">
        <f>SUMIFS(Electricity!$R:$R,Electricity!$P:$P,$B274,Electricity!$O:$O,$D274,Electricity!$M:$M,$A274)</f>
        <v>1000</v>
      </c>
      <c r="F274" t="s">
        <v>81</v>
      </c>
      <c r="G274" s="31">
        <f>H274/Assumptions!$B$23/1000000000000</f>
        <v>7.8740328430671278E-3</v>
      </c>
      <c r="H274" s="13">
        <f>IF(C274="Electricity",E274*SUMIFS(Electricity!S:S,Electricity!P:P,Predev_Scenarios!B274,Electricity!M:M,Predev_Scenarios!A274,Electricity!O:O,Predev_Scenarios!D274),"")</f>
        <v>2187339.1519598891</v>
      </c>
      <c r="I274" s="59">
        <f>SUMIFS(Electricity!U:U,Electricity!$M:$M,Predev_Scenarios!$A274,Electricity!$P:$P,Predev_Scenarios!$B274,Electricity!$O:$O,Predev_Scenarios!$D274)*-1</f>
        <v>6.3775822199999888E-2</v>
      </c>
      <c r="J274" s="59">
        <f>SUMIFS(Electricity!V:V,Electricity!$M:$M,Predev_Scenarios!$A274,Electricity!$P:$P,Predev_Scenarios!$B274,Electricity!$O:$O,Predev_Scenarios!$D274)*-1</f>
        <v>3.4052555150000094E-2</v>
      </c>
      <c r="K274" s="59">
        <f>SUMIFS(Electricity!W:W,Electricity!$M:$M,Predev_Scenarios!$A274,Electricity!$P:$P,Predev_Scenarios!$B274,Electricity!$O:$O,Predev_Scenarios!$D274)*-1</f>
        <v>9.3499088250000001E-2</v>
      </c>
      <c r="L274" s="63">
        <f t="shared" si="17"/>
        <v>-1.3949935284649241E-7</v>
      </c>
      <c r="M274" s="63">
        <f t="shared" si="18"/>
        <v>-7.4484487103868567E-8</v>
      </c>
      <c r="N274" s="63">
        <f t="shared" si="19"/>
        <v>-2.0451421640177784E-7</v>
      </c>
      <c r="O274" s="30">
        <f>IF(OR(LEFT($D274,5)="Solar",$D274="Wind"),INDEX(Land_Use[AVG],MATCH(LEFT($D274,5),Land_Use[Tech],0)),0)*$E274</f>
        <v>0</v>
      </c>
      <c r="P274" s="30">
        <f>IF(OR(LEFT($D274,5)="Solar",$D274="Wind"),INDEX(Land_Use[MIN],MATCH(LEFT($D274,5),Land_Use[Tech],0)),0)*$E274</f>
        <v>0</v>
      </c>
      <c r="Q274" s="30">
        <f>IF(OR(LEFT($D274,5)="Solar",$D274="Wind"),INDEX(Land_Use[MAX],MATCH(LEFT($D274,5),Land_Use[Tech],0)),0)*$E274</f>
        <v>0</v>
      </c>
      <c r="R274" s="31">
        <f>IFERROR(INDEX(WaterUseH2[Average Direct Water Consumption (Gal/ kg h2)],MATCH(LEFT(D274,3),WaterUseH2[Key],0)),0)</f>
        <v>0</v>
      </c>
      <c r="S274" s="15">
        <f t="shared" si="20"/>
        <v>0</v>
      </c>
    </row>
    <row r="275" spans="1:19" x14ac:dyDescent="0.35">
      <c r="A275" t="s">
        <v>76</v>
      </c>
      <c r="B275">
        <v>2045</v>
      </c>
      <c r="C275" t="s">
        <v>41</v>
      </c>
      <c r="D275" t="s">
        <v>86</v>
      </c>
      <c r="E275" s="12">
        <f>SUMIFS(Electricity!$R:$R,Electricity!$P:$P,$B275,Electricity!$O:$O,$D275,Electricity!$M:$M,$A275)</f>
        <v>1000</v>
      </c>
      <c r="F275" t="s">
        <v>81</v>
      </c>
      <c r="G275" s="31">
        <f>H275/Assumptions!$B$23/1000000000000</f>
        <v>7.9718945891337246E-3</v>
      </c>
      <c r="H275" s="13">
        <f>IF(C275="Electricity",E275*SUMIFS(Electricity!S:S,Electricity!P:P,Predev_Scenarios!B275,Electricity!M:M,Predev_Scenarios!A275,Electricity!O:O,Predev_Scenarios!D275),"")</f>
        <v>2214524.3101776498</v>
      </c>
      <c r="I275" s="59">
        <f>SUMIFS(Electricity!U:U,Electricity!$M:$M,Predev_Scenarios!$A275,Electricity!$P:$P,Predev_Scenarios!$B275,Electricity!$O:$O,Predev_Scenarios!$D275)*-1</f>
        <v>5.9551897999999888E-2</v>
      </c>
      <c r="J275" s="59">
        <f>SUMIFS(Electricity!V:V,Electricity!$M:$M,Predev_Scenarios!$A275,Electricity!$P:$P,Predev_Scenarios!$B275,Electricity!$O:$O,Predev_Scenarios!$D275)*-1</f>
        <v>2.8894788000000095E-2</v>
      </c>
      <c r="K275" s="59">
        <f>SUMIFS(Electricity!W:W,Electricity!$M:$M,Predev_Scenarios!$A275,Electricity!$P:$P,Predev_Scenarios!$B275,Electricity!$O:$O,Predev_Scenarios!$D275)*-1</f>
        <v>9.0209006999999994E-2</v>
      </c>
      <c r="L275" s="63">
        <f t="shared" si="17"/>
        <v>-1.3187912583821953E-7</v>
      </c>
      <c r="M275" s="63">
        <f t="shared" si="18"/>
        <v>-6.3988210463429643E-8</v>
      </c>
      <c r="N275" s="63">
        <f t="shared" si="19"/>
        <v>-1.9977003899848577E-7</v>
      </c>
      <c r="O275" s="30">
        <f>IF(OR(LEFT($D275,5)="Solar",$D275="Wind"),INDEX(Land_Use[AVG],MATCH(LEFT($D275,5),Land_Use[Tech],0)),0)*$E275</f>
        <v>0</v>
      </c>
      <c r="P275" s="30">
        <f>IF(OR(LEFT($D275,5)="Solar",$D275="Wind"),INDEX(Land_Use[MIN],MATCH(LEFT($D275,5),Land_Use[Tech],0)),0)*$E275</f>
        <v>0</v>
      </c>
      <c r="Q275" s="30">
        <f>IF(OR(LEFT($D275,5)="Solar",$D275="Wind"),INDEX(Land_Use[MAX],MATCH(LEFT($D275,5),Land_Use[Tech],0)),0)*$E275</f>
        <v>0</v>
      </c>
      <c r="R275" s="31">
        <f>IFERROR(INDEX(WaterUseH2[Average Direct Water Consumption (Gal/ kg h2)],MATCH(LEFT(D275,3),WaterUseH2[Key],0)),0)</f>
        <v>0</v>
      </c>
      <c r="S275" s="15">
        <f t="shared" si="20"/>
        <v>0</v>
      </c>
    </row>
    <row r="276" spans="1:19" x14ac:dyDescent="0.35">
      <c r="A276" t="s">
        <v>107</v>
      </c>
      <c r="B276">
        <v>2025</v>
      </c>
      <c r="C276" t="s">
        <v>41</v>
      </c>
      <c r="D276" t="s">
        <v>86</v>
      </c>
      <c r="E276" s="12">
        <f>SUMIFS(Electricity!$R:$R,Electricity!$P:$P,$B276,Electricity!$O:$O,$D276,Electricity!$M:$M,$A276)</f>
        <v>0</v>
      </c>
      <c r="F276" t="s">
        <v>81</v>
      </c>
      <c r="G276" s="31">
        <f>H276/Assumptions!$B$23/1000000000000</f>
        <v>0</v>
      </c>
      <c r="H276" s="13">
        <f>IF(C276="Electricity",E276*SUMIFS(Electricity!S:S,Electricity!P:P,Predev_Scenarios!B276,Electricity!M:M,Predev_Scenarios!A276,Electricity!O:O,Predev_Scenarios!D276),"")</f>
        <v>0</v>
      </c>
      <c r="I276" s="59">
        <f>SUMIFS(Electricity!U:U,Electricity!$M:$M,Predev_Scenarios!$A276,Electricity!$P:$P,Predev_Scenarios!$B276,Electricity!$O:$O,Predev_Scenarios!$D276)*-1</f>
        <v>0.14403038200000001</v>
      </c>
      <c r="J276" s="59">
        <f>SUMIFS(Electricity!V:V,Electricity!$M:$M,Predev_Scenarios!$A276,Electricity!$P:$P,Predev_Scenarios!$B276,Electricity!$O:$O,Predev_Scenarios!$D276)*-1</f>
        <v>0.13205013099999999</v>
      </c>
      <c r="K276" s="59">
        <f>SUMIFS(Electricity!W:W,Electricity!$M:$M,Predev_Scenarios!$A276,Electricity!$P:$P,Predev_Scenarios!$B276,Electricity!$O:$O,Predev_Scenarios!$D276)*-1</f>
        <v>0.15601063200000001</v>
      </c>
      <c r="L276" s="63">
        <f t="shared" si="17"/>
        <v>0</v>
      </c>
      <c r="M276" s="63">
        <f t="shared" si="18"/>
        <v>0</v>
      </c>
      <c r="N276" s="63">
        <f t="shared" si="19"/>
        <v>0</v>
      </c>
      <c r="O276" s="30">
        <f>IF(OR(LEFT($D276,5)="Solar",$D276="Wind"),INDEX(Land_Use[AVG],MATCH(LEFT($D276,5),Land_Use[Tech],0)),0)*$E276</f>
        <v>0</v>
      </c>
      <c r="P276" s="30">
        <f>IF(OR(LEFT($D276,5)="Solar",$D276="Wind"),INDEX(Land_Use[MIN],MATCH(LEFT($D276,5),Land_Use[Tech],0)),0)*$E276</f>
        <v>0</v>
      </c>
      <c r="Q276" s="30">
        <f>IF(OR(LEFT($D276,5)="Solar",$D276="Wind"),INDEX(Land_Use[MAX],MATCH(LEFT($D276,5),Land_Use[Tech],0)),0)*$E276</f>
        <v>0</v>
      </c>
      <c r="R276" s="31">
        <f>IFERROR(INDEX(WaterUseH2[Average Direct Water Consumption (Gal/ kg h2)],MATCH(LEFT(D276,3),WaterUseH2[Key],0)),0)</f>
        <v>0</v>
      </c>
      <c r="S276" s="15">
        <f t="shared" si="20"/>
        <v>0</v>
      </c>
    </row>
    <row r="277" spans="1:19" x14ac:dyDescent="0.35">
      <c r="A277" t="s">
        <v>107</v>
      </c>
      <c r="B277">
        <v>2026</v>
      </c>
      <c r="C277" t="s">
        <v>41</v>
      </c>
      <c r="D277" t="s">
        <v>86</v>
      </c>
      <c r="E277" s="12">
        <f>SUMIFS(Electricity!$R:$R,Electricity!$P:$P,$B277,Electricity!$O:$O,$D277,Electricity!$M:$M,$A277)</f>
        <v>0</v>
      </c>
      <c r="F277" t="s">
        <v>81</v>
      </c>
      <c r="G277" s="31">
        <f>H277/Assumptions!$B$23/1000000000000</f>
        <v>0</v>
      </c>
      <c r="H277" s="13">
        <f>IF(C277="Electricity",E277*SUMIFS(Electricity!S:S,Electricity!P:P,Predev_Scenarios!B277,Electricity!M:M,Predev_Scenarios!A277,Electricity!O:O,Predev_Scenarios!D277),"")</f>
        <v>0</v>
      </c>
      <c r="I277" s="59">
        <f>SUMIFS(Electricity!U:U,Electricity!$M:$M,Predev_Scenarios!$A277,Electricity!$P:$P,Predev_Scenarios!$B277,Electricity!$O:$O,Predev_Scenarios!$D277)*-1</f>
        <v>0.13980645780000001</v>
      </c>
      <c r="J277" s="59">
        <f>SUMIFS(Electricity!V:V,Electricity!$M:$M,Predev_Scenarios!$A277,Electricity!$P:$P,Predev_Scenarios!$B277,Electricity!$O:$O,Predev_Scenarios!$D277)*-1</f>
        <v>0.12689236385</v>
      </c>
      <c r="K277" s="59">
        <f>SUMIFS(Electricity!W:W,Electricity!$M:$M,Predev_Scenarios!$A277,Electricity!$P:$P,Predev_Scenarios!$B277,Electricity!$O:$O,Predev_Scenarios!$D277)*-1</f>
        <v>0.15272055075000002</v>
      </c>
      <c r="L277" s="63">
        <f t="shared" ref="L277:L338" si="21">IF($C277="Electricity",$H277/1000000000000,$G277)*I277*-1</f>
        <v>0</v>
      </c>
      <c r="M277" s="63">
        <f t="shared" ref="M277:M338" si="22">IF($C277="Electricity",$H277/1000000000000,$G277)*J277*-1</f>
        <v>0</v>
      </c>
      <c r="N277" s="63">
        <f t="shared" ref="N277:N338" si="23">IF($C277="Electricity",$H277/1000000000000,$G277)*K277*-1</f>
        <v>0</v>
      </c>
      <c r="O277" s="30">
        <f>IF(OR(LEFT($D277,5)="Solar",$D277="Wind"),INDEX(Land_Use[AVG],MATCH(LEFT($D277,5),Land_Use[Tech],0)),0)*$E277</f>
        <v>0</v>
      </c>
      <c r="P277" s="30">
        <f>IF(OR(LEFT($D277,5)="Solar",$D277="Wind"),INDEX(Land_Use[MIN],MATCH(LEFT($D277,5),Land_Use[Tech],0)),0)*$E277</f>
        <v>0</v>
      </c>
      <c r="Q277" s="30">
        <f>IF(OR(LEFT($D277,5)="Solar",$D277="Wind"),INDEX(Land_Use[MAX],MATCH(LEFT($D277,5),Land_Use[Tech],0)),0)*$E277</f>
        <v>0</v>
      </c>
      <c r="R277" s="31">
        <f>IFERROR(INDEX(WaterUseH2[Average Direct Water Consumption (Gal/ kg h2)],MATCH(LEFT(D277,3),WaterUseH2[Key],0)),0)</f>
        <v>0</v>
      </c>
      <c r="S277" s="15">
        <f t="shared" ref="S277:S338" si="24">E277*R277*1000/1000000</f>
        <v>0</v>
      </c>
    </row>
    <row r="278" spans="1:19" x14ac:dyDescent="0.35">
      <c r="A278" t="s">
        <v>107</v>
      </c>
      <c r="B278">
        <v>2027</v>
      </c>
      <c r="C278" t="s">
        <v>41</v>
      </c>
      <c r="D278" t="s">
        <v>86</v>
      </c>
      <c r="E278" s="12">
        <f>SUMIFS(Electricity!$R:$R,Electricity!$P:$P,$B278,Electricity!$O:$O,$D278,Electricity!$M:$M,$A278)</f>
        <v>0</v>
      </c>
      <c r="F278" t="s">
        <v>81</v>
      </c>
      <c r="G278" s="31">
        <f>H278/Assumptions!$B$23/1000000000000</f>
        <v>0</v>
      </c>
      <c r="H278" s="13">
        <f>IF(C278="Electricity",E278*SUMIFS(Electricity!S:S,Electricity!P:P,Predev_Scenarios!B278,Electricity!M:M,Predev_Scenarios!A278,Electricity!O:O,Predev_Scenarios!D278),"")</f>
        <v>0</v>
      </c>
      <c r="I278" s="59">
        <f>SUMIFS(Electricity!U:U,Electricity!$M:$M,Predev_Scenarios!$A278,Electricity!$P:$P,Predev_Scenarios!$B278,Electricity!$O:$O,Predev_Scenarios!$D278)*-1</f>
        <v>0.1355825336</v>
      </c>
      <c r="J278" s="59">
        <f>SUMIFS(Electricity!V:V,Electricity!$M:$M,Predev_Scenarios!$A278,Electricity!$P:$P,Predev_Scenarios!$B278,Electricity!$O:$O,Predev_Scenarios!$D278)*-1</f>
        <v>0.1217345967</v>
      </c>
      <c r="K278" s="59">
        <f>SUMIFS(Electricity!W:W,Electricity!$M:$M,Predev_Scenarios!$A278,Electricity!$P:$P,Predev_Scenarios!$B278,Electricity!$O:$O,Predev_Scenarios!$D278)*-1</f>
        <v>0.14943046950000002</v>
      </c>
      <c r="L278" s="63">
        <f t="shared" si="21"/>
        <v>0</v>
      </c>
      <c r="M278" s="63">
        <f t="shared" si="22"/>
        <v>0</v>
      </c>
      <c r="N278" s="63">
        <f t="shared" si="23"/>
        <v>0</v>
      </c>
      <c r="O278" s="30">
        <f>IF(OR(LEFT($D278,5)="Solar",$D278="Wind"),INDEX(Land_Use[AVG],MATCH(LEFT($D278,5),Land_Use[Tech],0)),0)*$E278</f>
        <v>0</v>
      </c>
      <c r="P278" s="30">
        <f>IF(OR(LEFT($D278,5)="Solar",$D278="Wind"),INDEX(Land_Use[MIN],MATCH(LEFT($D278,5),Land_Use[Tech],0)),0)*$E278</f>
        <v>0</v>
      </c>
      <c r="Q278" s="30">
        <f>IF(OR(LEFT($D278,5)="Solar",$D278="Wind"),INDEX(Land_Use[MAX],MATCH(LEFT($D278,5),Land_Use[Tech],0)),0)*$E278</f>
        <v>0</v>
      </c>
      <c r="R278" s="31">
        <f>IFERROR(INDEX(WaterUseH2[Average Direct Water Consumption (Gal/ kg h2)],MATCH(LEFT(D278,3),WaterUseH2[Key],0)),0)</f>
        <v>0</v>
      </c>
      <c r="S278" s="15">
        <f t="shared" si="24"/>
        <v>0</v>
      </c>
    </row>
    <row r="279" spans="1:19" x14ac:dyDescent="0.35">
      <c r="A279" t="s">
        <v>107</v>
      </c>
      <c r="B279">
        <v>2028</v>
      </c>
      <c r="C279" t="s">
        <v>41</v>
      </c>
      <c r="D279" t="s">
        <v>86</v>
      </c>
      <c r="E279" s="12">
        <f>SUMIFS(Electricity!$R:$R,Electricity!$P:$P,$B279,Electricity!$O:$O,$D279,Electricity!$M:$M,$A279)</f>
        <v>0</v>
      </c>
      <c r="F279" t="s">
        <v>81</v>
      </c>
      <c r="G279" s="31">
        <f>H279/Assumptions!$B$23/1000000000000</f>
        <v>0</v>
      </c>
      <c r="H279" s="13">
        <f>IF(C279="Electricity",E279*SUMIFS(Electricity!S:S,Electricity!P:P,Predev_Scenarios!B279,Electricity!M:M,Predev_Scenarios!A279,Electricity!O:O,Predev_Scenarios!D279),"")</f>
        <v>0</v>
      </c>
      <c r="I279" s="59">
        <f>SUMIFS(Electricity!U:U,Electricity!$M:$M,Predev_Scenarios!$A279,Electricity!$P:$P,Predev_Scenarios!$B279,Electricity!$O:$O,Predev_Scenarios!$D279)*-1</f>
        <v>0.13135860939999999</v>
      </c>
      <c r="J279" s="59">
        <f>SUMIFS(Electricity!V:V,Electricity!$M:$M,Predev_Scenarios!$A279,Electricity!$P:$P,Predev_Scenarios!$B279,Electricity!$O:$O,Predev_Scenarios!$D279)*-1</f>
        <v>0.11657682955000001</v>
      </c>
      <c r="K279" s="59">
        <f>SUMIFS(Electricity!W:W,Electricity!$M:$M,Predev_Scenarios!$A279,Electricity!$P:$P,Predev_Scenarios!$B279,Electricity!$O:$O,Predev_Scenarios!$D279)*-1</f>
        <v>0.14614038825000003</v>
      </c>
      <c r="L279" s="63">
        <f t="shared" si="21"/>
        <v>0</v>
      </c>
      <c r="M279" s="63">
        <f t="shared" si="22"/>
        <v>0</v>
      </c>
      <c r="N279" s="63">
        <f t="shared" si="23"/>
        <v>0</v>
      </c>
      <c r="O279" s="30">
        <f>IF(OR(LEFT($D279,5)="Solar",$D279="Wind"),INDEX(Land_Use[AVG],MATCH(LEFT($D279,5),Land_Use[Tech],0)),0)*$E279</f>
        <v>0</v>
      </c>
      <c r="P279" s="30">
        <f>IF(OR(LEFT($D279,5)="Solar",$D279="Wind"),INDEX(Land_Use[MIN],MATCH(LEFT($D279,5),Land_Use[Tech],0)),0)*$E279</f>
        <v>0</v>
      </c>
      <c r="Q279" s="30">
        <f>IF(OR(LEFT($D279,5)="Solar",$D279="Wind"),INDEX(Land_Use[MAX],MATCH(LEFT($D279,5),Land_Use[Tech],0)),0)*$E279</f>
        <v>0</v>
      </c>
      <c r="R279" s="31">
        <f>IFERROR(INDEX(WaterUseH2[Average Direct Water Consumption (Gal/ kg h2)],MATCH(LEFT(D279,3),WaterUseH2[Key],0)),0)</f>
        <v>0</v>
      </c>
      <c r="S279" s="15">
        <f t="shared" si="24"/>
        <v>0</v>
      </c>
    </row>
    <row r="280" spans="1:19" x14ac:dyDescent="0.35">
      <c r="A280" t="s">
        <v>107</v>
      </c>
      <c r="B280">
        <v>2029</v>
      </c>
      <c r="C280" t="s">
        <v>41</v>
      </c>
      <c r="D280" t="s">
        <v>86</v>
      </c>
      <c r="E280" s="12">
        <f>SUMIFS(Electricity!$R:$R,Electricity!$P:$P,$B280,Electricity!$O:$O,$D280,Electricity!$M:$M,$A280)</f>
        <v>0</v>
      </c>
      <c r="F280" t="s">
        <v>81</v>
      </c>
      <c r="G280" s="31">
        <f>H280/Assumptions!$B$23/1000000000000</f>
        <v>0</v>
      </c>
      <c r="H280" s="13">
        <f>IF(C280="Electricity",E280*SUMIFS(Electricity!S:S,Electricity!P:P,Predev_Scenarios!B280,Electricity!M:M,Predev_Scenarios!A280,Electricity!O:O,Predev_Scenarios!D280),"")</f>
        <v>0</v>
      </c>
      <c r="I280" s="59">
        <f>SUMIFS(Electricity!U:U,Electricity!$M:$M,Predev_Scenarios!$A280,Electricity!$P:$P,Predev_Scenarios!$B280,Electricity!$O:$O,Predev_Scenarios!$D280)*-1</f>
        <v>0.12713468519999999</v>
      </c>
      <c r="J280" s="59">
        <f>SUMIFS(Electricity!V:V,Electricity!$M:$M,Predev_Scenarios!$A280,Electricity!$P:$P,Predev_Scenarios!$B280,Electricity!$O:$O,Predev_Scenarios!$D280)*-1</f>
        <v>0.11141906240000002</v>
      </c>
      <c r="K280" s="59">
        <f>SUMIFS(Electricity!W:W,Electricity!$M:$M,Predev_Scenarios!$A280,Electricity!$P:$P,Predev_Scenarios!$B280,Electricity!$O:$O,Predev_Scenarios!$D280)*-1</f>
        <v>0.14285030700000004</v>
      </c>
      <c r="L280" s="63">
        <f t="shared" si="21"/>
        <v>0</v>
      </c>
      <c r="M280" s="63">
        <f t="shared" si="22"/>
        <v>0</v>
      </c>
      <c r="N280" s="63">
        <f t="shared" si="23"/>
        <v>0</v>
      </c>
      <c r="O280" s="30">
        <f>IF(OR(LEFT($D280,5)="Solar",$D280="Wind"),INDEX(Land_Use[AVG],MATCH(LEFT($D280,5),Land_Use[Tech],0)),0)*$E280</f>
        <v>0</v>
      </c>
      <c r="P280" s="30">
        <f>IF(OR(LEFT($D280,5)="Solar",$D280="Wind"),INDEX(Land_Use[MIN],MATCH(LEFT($D280,5),Land_Use[Tech],0)),0)*$E280</f>
        <v>0</v>
      </c>
      <c r="Q280" s="30">
        <f>IF(OR(LEFT($D280,5)="Solar",$D280="Wind"),INDEX(Land_Use[MAX],MATCH(LEFT($D280,5),Land_Use[Tech],0)),0)*$E280</f>
        <v>0</v>
      </c>
      <c r="R280" s="31">
        <f>IFERROR(INDEX(WaterUseH2[Average Direct Water Consumption (Gal/ kg h2)],MATCH(LEFT(D280,3),WaterUseH2[Key],0)),0)</f>
        <v>0</v>
      </c>
      <c r="S280" s="15">
        <f t="shared" si="24"/>
        <v>0</v>
      </c>
    </row>
    <row r="281" spans="1:19" x14ac:dyDescent="0.35">
      <c r="A281" t="s">
        <v>107</v>
      </c>
      <c r="B281">
        <v>2030</v>
      </c>
      <c r="C281" t="s">
        <v>41</v>
      </c>
      <c r="D281" t="s">
        <v>86</v>
      </c>
      <c r="E281" s="12">
        <f>SUMIFS(Electricity!$R:$R,Electricity!$P:$P,$B281,Electricity!$O:$O,$D281,Electricity!$M:$M,$A281)</f>
        <v>0</v>
      </c>
      <c r="F281" t="s">
        <v>81</v>
      </c>
      <c r="G281" s="31">
        <f>H281/Assumptions!$B$23/1000000000000</f>
        <v>0</v>
      </c>
      <c r="H281" s="13">
        <f>IF(C281="Electricity",E281*SUMIFS(Electricity!S:S,Electricity!P:P,Predev_Scenarios!B281,Electricity!M:M,Predev_Scenarios!A281,Electricity!O:O,Predev_Scenarios!D281),"")</f>
        <v>0</v>
      </c>
      <c r="I281" s="59">
        <f>SUMIFS(Electricity!U:U,Electricity!$M:$M,Predev_Scenarios!$A281,Electricity!$P:$P,Predev_Scenarios!$B281,Electricity!$O:$O,Predev_Scenarios!$D281)*-1</f>
        <v>0.12291076099999998</v>
      </c>
      <c r="J281" s="59">
        <f>SUMIFS(Electricity!V:V,Electricity!$M:$M,Predev_Scenarios!$A281,Electricity!$P:$P,Predev_Scenarios!$B281,Electricity!$O:$O,Predev_Scenarios!$D281)*-1</f>
        <v>0.10626129525000003</v>
      </c>
      <c r="K281" s="59">
        <f>SUMIFS(Electricity!W:W,Electricity!$M:$M,Predev_Scenarios!$A281,Electricity!$P:$P,Predev_Scenarios!$B281,Electricity!$O:$O,Predev_Scenarios!$D281)*-1</f>
        <v>0.13956022575000004</v>
      </c>
      <c r="L281" s="63">
        <f t="shared" si="21"/>
        <v>0</v>
      </c>
      <c r="M281" s="63">
        <f t="shared" si="22"/>
        <v>0</v>
      </c>
      <c r="N281" s="63">
        <f t="shared" si="23"/>
        <v>0</v>
      </c>
      <c r="O281" s="30">
        <f>IF(OR(LEFT($D281,5)="Solar",$D281="Wind"),INDEX(Land_Use[AVG],MATCH(LEFT($D281,5),Land_Use[Tech],0)),0)*$E281</f>
        <v>0</v>
      </c>
      <c r="P281" s="30">
        <f>IF(OR(LEFT($D281,5)="Solar",$D281="Wind"),INDEX(Land_Use[MIN],MATCH(LEFT($D281,5),Land_Use[Tech],0)),0)*$E281</f>
        <v>0</v>
      </c>
      <c r="Q281" s="30">
        <f>IF(OR(LEFT($D281,5)="Solar",$D281="Wind"),INDEX(Land_Use[MAX],MATCH(LEFT($D281,5),Land_Use[Tech],0)),0)*$E281</f>
        <v>0</v>
      </c>
      <c r="R281" s="31">
        <f>IFERROR(INDEX(WaterUseH2[Average Direct Water Consumption (Gal/ kg h2)],MATCH(LEFT(D281,3),WaterUseH2[Key],0)),0)</f>
        <v>0</v>
      </c>
      <c r="S281" s="15">
        <f t="shared" si="24"/>
        <v>0</v>
      </c>
    </row>
    <row r="282" spans="1:19" x14ac:dyDescent="0.35">
      <c r="A282" t="s">
        <v>107</v>
      </c>
      <c r="B282">
        <v>2031</v>
      </c>
      <c r="C282" t="s">
        <v>41</v>
      </c>
      <c r="D282" t="s">
        <v>86</v>
      </c>
      <c r="E282" s="12">
        <f>SUMIFS(Electricity!$R:$R,Electricity!$P:$P,$B282,Electricity!$O:$O,$D282,Electricity!$M:$M,$A282)</f>
        <v>0</v>
      </c>
      <c r="F282" t="s">
        <v>81</v>
      </c>
      <c r="G282" s="31">
        <f>H282/Assumptions!$B$23/1000000000000</f>
        <v>0</v>
      </c>
      <c r="H282" s="13">
        <f>IF(C282="Electricity",E282*SUMIFS(Electricity!S:S,Electricity!P:P,Predev_Scenarios!B282,Electricity!M:M,Predev_Scenarios!A282,Electricity!O:O,Predev_Scenarios!D282),"")</f>
        <v>0</v>
      </c>
      <c r="I282" s="59">
        <f>SUMIFS(Electricity!U:U,Electricity!$M:$M,Predev_Scenarios!$A282,Electricity!$P:$P,Predev_Scenarios!$B282,Electricity!$O:$O,Predev_Scenarios!$D282)*-1</f>
        <v>0.11868683679999997</v>
      </c>
      <c r="J282" s="59">
        <f>SUMIFS(Electricity!V:V,Electricity!$M:$M,Predev_Scenarios!$A282,Electricity!$P:$P,Predev_Scenarios!$B282,Electricity!$O:$O,Predev_Scenarios!$D282)*-1</f>
        <v>0.10110352810000003</v>
      </c>
      <c r="K282" s="59">
        <f>SUMIFS(Electricity!W:W,Electricity!$M:$M,Predev_Scenarios!$A282,Electricity!$P:$P,Predev_Scenarios!$B282,Electricity!$O:$O,Predev_Scenarios!$D282)*-1</f>
        <v>0.13627014450000005</v>
      </c>
      <c r="L282" s="63">
        <f t="shared" si="21"/>
        <v>0</v>
      </c>
      <c r="M282" s="63">
        <f t="shared" si="22"/>
        <v>0</v>
      </c>
      <c r="N282" s="63">
        <f t="shared" si="23"/>
        <v>0</v>
      </c>
      <c r="O282" s="30">
        <f>IF(OR(LEFT($D282,5)="Solar",$D282="Wind"),INDEX(Land_Use[AVG],MATCH(LEFT($D282,5),Land_Use[Tech],0)),0)*$E282</f>
        <v>0</v>
      </c>
      <c r="P282" s="30">
        <f>IF(OR(LEFT($D282,5)="Solar",$D282="Wind"),INDEX(Land_Use[MIN],MATCH(LEFT($D282,5),Land_Use[Tech],0)),0)*$E282</f>
        <v>0</v>
      </c>
      <c r="Q282" s="30">
        <f>IF(OR(LEFT($D282,5)="Solar",$D282="Wind"),INDEX(Land_Use[MAX],MATCH(LEFT($D282,5),Land_Use[Tech],0)),0)*$E282</f>
        <v>0</v>
      </c>
      <c r="R282" s="31">
        <f>IFERROR(INDEX(WaterUseH2[Average Direct Water Consumption (Gal/ kg h2)],MATCH(LEFT(D282,3),WaterUseH2[Key],0)),0)</f>
        <v>0</v>
      </c>
      <c r="S282" s="15">
        <f t="shared" si="24"/>
        <v>0</v>
      </c>
    </row>
    <row r="283" spans="1:19" x14ac:dyDescent="0.35">
      <c r="A283" t="s">
        <v>107</v>
      </c>
      <c r="B283">
        <v>2032</v>
      </c>
      <c r="C283" t="s">
        <v>41</v>
      </c>
      <c r="D283" t="s">
        <v>86</v>
      </c>
      <c r="E283" s="12">
        <f>SUMIFS(Electricity!$R:$R,Electricity!$P:$P,$B283,Electricity!$O:$O,$D283,Electricity!$M:$M,$A283)</f>
        <v>0</v>
      </c>
      <c r="F283" t="s">
        <v>81</v>
      </c>
      <c r="G283" s="31">
        <f>H283/Assumptions!$B$23/1000000000000</f>
        <v>0</v>
      </c>
      <c r="H283" s="13">
        <f>IF(C283="Electricity",E283*SUMIFS(Electricity!S:S,Electricity!P:P,Predev_Scenarios!B283,Electricity!M:M,Predev_Scenarios!A283,Electricity!O:O,Predev_Scenarios!D283),"")</f>
        <v>0</v>
      </c>
      <c r="I283" s="59">
        <f>SUMIFS(Electricity!U:U,Electricity!$M:$M,Predev_Scenarios!$A283,Electricity!$P:$P,Predev_Scenarios!$B283,Electricity!$O:$O,Predev_Scenarios!$D283)*-1</f>
        <v>0.11446291259999997</v>
      </c>
      <c r="J283" s="59">
        <f>SUMIFS(Electricity!V:V,Electricity!$M:$M,Predev_Scenarios!$A283,Electricity!$P:$P,Predev_Scenarios!$B283,Electricity!$O:$O,Predev_Scenarios!$D283)*-1</f>
        <v>9.5945760950000042E-2</v>
      </c>
      <c r="K283" s="59">
        <f>SUMIFS(Electricity!W:W,Electricity!$M:$M,Predev_Scenarios!$A283,Electricity!$P:$P,Predev_Scenarios!$B283,Electricity!$O:$O,Predev_Scenarios!$D283)*-1</f>
        <v>0.13298006325000006</v>
      </c>
      <c r="L283" s="63">
        <f t="shared" si="21"/>
        <v>0</v>
      </c>
      <c r="M283" s="63">
        <f t="shared" si="22"/>
        <v>0</v>
      </c>
      <c r="N283" s="63">
        <f t="shared" si="23"/>
        <v>0</v>
      </c>
      <c r="O283" s="30">
        <f>IF(OR(LEFT($D283,5)="Solar",$D283="Wind"),INDEX(Land_Use[AVG],MATCH(LEFT($D283,5),Land_Use[Tech],0)),0)*$E283</f>
        <v>0</v>
      </c>
      <c r="P283" s="30">
        <f>IF(OR(LEFT($D283,5)="Solar",$D283="Wind"),INDEX(Land_Use[MIN],MATCH(LEFT($D283,5),Land_Use[Tech],0)),0)*$E283</f>
        <v>0</v>
      </c>
      <c r="Q283" s="30">
        <f>IF(OR(LEFT($D283,5)="Solar",$D283="Wind"),INDEX(Land_Use[MAX],MATCH(LEFT($D283,5),Land_Use[Tech],0)),0)*$E283</f>
        <v>0</v>
      </c>
      <c r="R283" s="31">
        <f>IFERROR(INDEX(WaterUseH2[Average Direct Water Consumption (Gal/ kg h2)],MATCH(LEFT(D283,3),WaterUseH2[Key],0)),0)</f>
        <v>0</v>
      </c>
      <c r="S283" s="15">
        <f t="shared" si="24"/>
        <v>0</v>
      </c>
    </row>
    <row r="284" spans="1:19" x14ac:dyDescent="0.35">
      <c r="A284" t="s">
        <v>107</v>
      </c>
      <c r="B284">
        <v>2033</v>
      </c>
      <c r="C284" t="s">
        <v>41</v>
      </c>
      <c r="D284" t="s">
        <v>86</v>
      </c>
      <c r="E284" s="12">
        <f>SUMIFS(Electricity!$R:$R,Electricity!$P:$P,$B284,Electricity!$O:$O,$D284,Electricity!$M:$M,$A284)</f>
        <v>0</v>
      </c>
      <c r="F284" t="s">
        <v>81</v>
      </c>
      <c r="G284" s="31">
        <f>H284/Assumptions!$B$23/1000000000000</f>
        <v>0</v>
      </c>
      <c r="H284" s="13">
        <f>IF(C284="Electricity",E284*SUMIFS(Electricity!S:S,Electricity!P:P,Predev_Scenarios!B284,Electricity!M:M,Predev_Scenarios!A284,Electricity!O:O,Predev_Scenarios!D284),"")</f>
        <v>0</v>
      </c>
      <c r="I284" s="59">
        <f>SUMIFS(Electricity!U:U,Electricity!$M:$M,Predev_Scenarios!$A284,Electricity!$P:$P,Predev_Scenarios!$B284,Electricity!$O:$O,Predev_Scenarios!$D284)*-1</f>
        <v>0.11023898839999996</v>
      </c>
      <c r="J284" s="59">
        <f>SUMIFS(Electricity!V:V,Electricity!$M:$M,Predev_Scenarios!$A284,Electricity!$P:$P,Predev_Scenarios!$B284,Electricity!$O:$O,Predev_Scenarios!$D284)*-1</f>
        <v>9.078799380000005E-2</v>
      </c>
      <c r="K284" s="59">
        <f>SUMIFS(Electricity!W:W,Electricity!$M:$M,Predev_Scenarios!$A284,Electricity!$P:$P,Predev_Scenarios!$B284,Electricity!$O:$O,Predev_Scenarios!$D284)*-1</f>
        <v>0.12968998200000006</v>
      </c>
      <c r="L284" s="63">
        <f t="shared" si="21"/>
        <v>0</v>
      </c>
      <c r="M284" s="63">
        <f t="shared" si="22"/>
        <v>0</v>
      </c>
      <c r="N284" s="63">
        <f t="shared" si="23"/>
        <v>0</v>
      </c>
      <c r="O284" s="30">
        <f>IF(OR(LEFT($D284,5)="Solar",$D284="Wind"),INDEX(Land_Use[AVG],MATCH(LEFT($D284,5),Land_Use[Tech],0)),0)*$E284</f>
        <v>0</v>
      </c>
      <c r="P284" s="30">
        <f>IF(OR(LEFT($D284,5)="Solar",$D284="Wind"),INDEX(Land_Use[MIN],MATCH(LEFT($D284,5),Land_Use[Tech],0)),0)*$E284</f>
        <v>0</v>
      </c>
      <c r="Q284" s="30">
        <f>IF(OR(LEFT($D284,5)="Solar",$D284="Wind"),INDEX(Land_Use[MAX],MATCH(LEFT($D284,5),Land_Use[Tech],0)),0)*$E284</f>
        <v>0</v>
      </c>
      <c r="R284" s="31">
        <f>IFERROR(INDEX(WaterUseH2[Average Direct Water Consumption (Gal/ kg h2)],MATCH(LEFT(D284,3),WaterUseH2[Key],0)),0)</f>
        <v>0</v>
      </c>
      <c r="S284" s="15">
        <f t="shared" si="24"/>
        <v>0</v>
      </c>
    </row>
    <row r="285" spans="1:19" x14ac:dyDescent="0.35">
      <c r="A285" t="s">
        <v>107</v>
      </c>
      <c r="B285">
        <v>2034</v>
      </c>
      <c r="C285" t="s">
        <v>41</v>
      </c>
      <c r="D285" t="s">
        <v>86</v>
      </c>
      <c r="E285" s="12">
        <f>SUMIFS(Electricity!$R:$R,Electricity!$P:$P,$B285,Electricity!$O:$O,$D285,Electricity!$M:$M,$A285)</f>
        <v>1000</v>
      </c>
      <c r="F285" t="s">
        <v>81</v>
      </c>
      <c r="G285" s="31">
        <f>H285/Assumptions!$B$23/1000000000000</f>
        <v>6.8954153824011474E-3</v>
      </c>
      <c r="H285" s="13">
        <f>IF(C285="Electricity",E285*SUMIFS(Electricity!S:S,Electricity!P:P,Predev_Scenarios!B285,Electricity!M:M,Predev_Scenarios!A285,Electricity!O:O,Predev_Scenarios!D285),"")</f>
        <v>1915487.569782279</v>
      </c>
      <c r="I285" s="59">
        <f>SUMIFS(Electricity!U:U,Electricity!$M:$M,Predev_Scenarios!$A285,Electricity!$P:$P,Predev_Scenarios!$B285,Electricity!$O:$O,Predev_Scenarios!$D285)*-1</f>
        <v>0.10601506419999995</v>
      </c>
      <c r="J285" s="59">
        <f>SUMIFS(Electricity!V:V,Electricity!$M:$M,Predev_Scenarios!$A285,Electricity!$P:$P,Predev_Scenarios!$B285,Electricity!$O:$O,Predev_Scenarios!$D285)*-1</f>
        <v>8.5630226650000058E-2</v>
      </c>
      <c r="K285" s="59">
        <f>SUMIFS(Electricity!W:W,Electricity!$M:$M,Predev_Scenarios!$A285,Electricity!$P:$P,Predev_Scenarios!$B285,Electricity!$O:$O,Predev_Scenarios!$D285)*-1</f>
        <v>0.12639990075000007</v>
      </c>
      <c r="L285" s="63">
        <f t="shared" si="21"/>
        <v>-2.0307053768477017E-7</v>
      </c>
      <c r="M285" s="63">
        <f t="shared" si="22"/>
        <v>-1.6402363474571434E-7</v>
      </c>
      <c r="N285" s="63">
        <f t="shared" si="23"/>
        <v>-2.421174387083389E-7</v>
      </c>
      <c r="O285" s="30">
        <f>IF(OR(LEFT($D285,5)="Solar",$D285="Wind"),INDEX(Land_Use[AVG],MATCH(LEFT($D285,5),Land_Use[Tech],0)),0)*$E285</f>
        <v>0</v>
      </c>
      <c r="P285" s="30">
        <f>IF(OR(LEFT($D285,5)="Solar",$D285="Wind"),INDEX(Land_Use[MIN],MATCH(LEFT($D285,5),Land_Use[Tech],0)),0)*$E285</f>
        <v>0</v>
      </c>
      <c r="Q285" s="30">
        <f>IF(OR(LEFT($D285,5)="Solar",$D285="Wind"),INDEX(Land_Use[MAX],MATCH(LEFT($D285,5),Land_Use[Tech],0)),0)*$E285</f>
        <v>0</v>
      </c>
      <c r="R285" s="31">
        <f>IFERROR(INDEX(WaterUseH2[Average Direct Water Consumption (Gal/ kg h2)],MATCH(LEFT(D285,3),WaterUseH2[Key],0)),0)</f>
        <v>0</v>
      </c>
      <c r="S285" s="15">
        <f t="shared" si="24"/>
        <v>0</v>
      </c>
    </row>
    <row r="286" spans="1:19" x14ac:dyDescent="0.35">
      <c r="A286" t="s">
        <v>107</v>
      </c>
      <c r="B286">
        <v>2035</v>
      </c>
      <c r="C286" t="s">
        <v>41</v>
      </c>
      <c r="D286" t="s">
        <v>86</v>
      </c>
      <c r="E286" s="12">
        <f>SUMIFS(Electricity!$R:$R,Electricity!$P:$P,$B286,Electricity!$O:$O,$D286,Electricity!$M:$M,$A286)</f>
        <v>1000</v>
      </c>
      <c r="F286" t="s">
        <v>81</v>
      </c>
      <c r="G286" s="31">
        <f>H286/Assumptions!$B$23/1000000000000</f>
        <v>6.993277128467746E-3</v>
      </c>
      <c r="H286" s="13">
        <f>IF(C286="Electricity",E286*SUMIFS(Electricity!S:S,Electricity!P:P,Predev_Scenarios!B286,Electricity!M:M,Predev_Scenarios!A286,Electricity!O:O,Predev_Scenarios!D286),"")</f>
        <v>1942672.7280000399</v>
      </c>
      <c r="I286" s="59">
        <f>SUMIFS(Electricity!U:U,Electricity!$M:$M,Predev_Scenarios!$A286,Electricity!$P:$P,Predev_Scenarios!$B286,Electricity!$O:$O,Predev_Scenarios!$D286)*-1</f>
        <v>0.10179113999999995</v>
      </c>
      <c r="J286" s="59">
        <f>SUMIFS(Electricity!V:V,Electricity!$M:$M,Predev_Scenarios!$A286,Electricity!$P:$P,Predev_Scenarios!$B286,Electricity!$O:$O,Predev_Scenarios!$D286)*-1</f>
        <v>8.0472459500000065E-2</v>
      </c>
      <c r="K286" s="59">
        <f>SUMIFS(Electricity!W:W,Electricity!$M:$M,Predev_Scenarios!$A286,Electricity!$P:$P,Predev_Scenarios!$B286,Electricity!$O:$O,Predev_Scenarios!$D286)*-1</f>
        <v>0.12310981950000006</v>
      </c>
      <c r="L286" s="63">
        <f t="shared" si="21"/>
        <v>-1.9774687163003389E-7</v>
      </c>
      <c r="M286" s="63">
        <f t="shared" si="22"/>
        <v>-1.5633165242573785E-7</v>
      </c>
      <c r="N286" s="63">
        <f t="shared" si="23"/>
        <v>-2.3916208889165764E-7</v>
      </c>
      <c r="O286" s="30">
        <f>IF(OR(LEFT($D286,5)="Solar",$D286="Wind"),INDEX(Land_Use[AVG],MATCH(LEFT($D286,5),Land_Use[Tech],0)),0)*$E286</f>
        <v>0</v>
      </c>
      <c r="P286" s="30">
        <f>IF(OR(LEFT($D286,5)="Solar",$D286="Wind"),INDEX(Land_Use[MIN],MATCH(LEFT($D286,5),Land_Use[Tech],0)),0)*$E286</f>
        <v>0</v>
      </c>
      <c r="Q286" s="30">
        <f>IF(OR(LEFT($D286,5)="Solar",$D286="Wind"),INDEX(Land_Use[MAX],MATCH(LEFT($D286,5),Land_Use[Tech],0)),0)*$E286</f>
        <v>0</v>
      </c>
      <c r="R286" s="31">
        <f>IFERROR(INDEX(WaterUseH2[Average Direct Water Consumption (Gal/ kg h2)],MATCH(LEFT(D286,3),WaterUseH2[Key],0)),0)</f>
        <v>0</v>
      </c>
      <c r="S286" s="15">
        <f t="shared" si="24"/>
        <v>0</v>
      </c>
    </row>
    <row r="287" spans="1:19" x14ac:dyDescent="0.35">
      <c r="A287" t="s">
        <v>107</v>
      </c>
      <c r="B287">
        <v>2036</v>
      </c>
      <c r="C287" t="s">
        <v>41</v>
      </c>
      <c r="D287" t="s">
        <v>86</v>
      </c>
      <c r="E287" s="12">
        <f>SUMIFS(Electricity!$R:$R,Electricity!$P:$P,$B287,Electricity!$O:$O,$D287,Electricity!$M:$M,$A287)</f>
        <v>1000</v>
      </c>
      <c r="F287" t="s">
        <v>81</v>
      </c>
      <c r="G287" s="31">
        <f>H287/Assumptions!$B$23/1000000000000</f>
        <v>7.0911388745343437E-3</v>
      </c>
      <c r="H287" s="13">
        <f>IF(C287="Electricity",E287*SUMIFS(Electricity!S:S,Electricity!P:P,Predev_Scenarios!B287,Electricity!M:M,Predev_Scenarios!A287,Electricity!O:O,Predev_Scenarios!D287),"")</f>
        <v>1969857.8862178011</v>
      </c>
      <c r="I287" s="59">
        <f>SUMIFS(Electricity!U:U,Electricity!$M:$M,Predev_Scenarios!$A287,Electricity!$P:$P,Predev_Scenarios!$B287,Electricity!$O:$O,Predev_Scenarios!$D287)*-1</f>
        <v>9.756721579999994E-2</v>
      </c>
      <c r="J287" s="59">
        <f>SUMIFS(Electricity!V:V,Electricity!$M:$M,Predev_Scenarios!$A287,Electricity!$P:$P,Predev_Scenarios!$B287,Electricity!$O:$O,Predev_Scenarios!$D287)*-1</f>
        <v>7.5314692350000073E-2</v>
      </c>
      <c r="K287" s="59">
        <f>SUMIFS(Electricity!W:W,Electricity!$M:$M,Predev_Scenarios!$A287,Electricity!$P:$P,Predev_Scenarios!$B287,Electricity!$O:$O,Predev_Scenarios!$D287)*-1</f>
        <v>0.11981973825000006</v>
      </c>
      <c r="L287" s="63">
        <f t="shared" si="21"/>
        <v>-1.9219354947994394E-7</v>
      </c>
      <c r="M287" s="63">
        <f t="shared" si="22"/>
        <v>-1.4835924067371517E-7</v>
      </c>
      <c r="N287" s="63">
        <f t="shared" si="23"/>
        <v>-2.3602785631631536E-7</v>
      </c>
      <c r="O287" s="30">
        <f>IF(OR(LEFT($D287,5)="Solar",$D287="Wind"),INDEX(Land_Use[AVG],MATCH(LEFT($D287,5),Land_Use[Tech],0)),0)*$E287</f>
        <v>0</v>
      </c>
      <c r="P287" s="30">
        <f>IF(OR(LEFT($D287,5)="Solar",$D287="Wind"),INDEX(Land_Use[MIN],MATCH(LEFT($D287,5),Land_Use[Tech],0)),0)*$E287</f>
        <v>0</v>
      </c>
      <c r="Q287" s="30">
        <f>IF(OR(LEFT($D287,5)="Solar",$D287="Wind"),INDEX(Land_Use[MAX],MATCH(LEFT($D287,5),Land_Use[Tech],0)),0)*$E287</f>
        <v>0</v>
      </c>
      <c r="R287" s="31">
        <f>IFERROR(INDEX(WaterUseH2[Average Direct Water Consumption (Gal/ kg h2)],MATCH(LEFT(D287,3),WaterUseH2[Key],0)),0)</f>
        <v>0</v>
      </c>
      <c r="S287" s="15">
        <f t="shared" si="24"/>
        <v>0</v>
      </c>
    </row>
    <row r="288" spans="1:19" x14ac:dyDescent="0.35">
      <c r="A288" t="s">
        <v>107</v>
      </c>
      <c r="B288">
        <v>2037</v>
      </c>
      <c r="C288" t="s">
        <v>41</v>
      </c>
      <c r="D288" t="s">
        <v>86</v>
      </c>
      <c r="E288" s="12">
        <f>SUMIFS(Electricity!$R:$R,Electricity!$P:$P,$B288,Electricity!$O:$O,$D288,Electricity!$M:$M,$A288)</f>
        <v>1000</v>
      </c>
      <c r="F288" t="s">
        <v>81</v>
      </c>
      <c r="G288" s="31">
        <f>H288/Assumptions!$B$23/1000000000000</f>
        <v>7.1890006206009414E-3</v>
      </c>
      <c r="H288" s="13">
        <f>IF(C288="Electricity",E288*SUMIFS(Electricity!S:S,Electricity!P:P,Predev_Scenarios!B288,Electricity!M:M,Predev_Scenarios!A288,Electricity!O:O,Predev_Scenarios!D288),"")</f>
        <v>1997043.0444355621</v>
      </c>
      <c r="I288" s="59">
        <f>SUMIFS(Electricity!U:U,Electricity!$M:$M,Predev_Scenarios!$A288,Electricity!$P:$P,Predev_Scenarios!$B288,Electricity!$O:$O,Predev_Scenarios!$D288)*-1</f>
        <v>9.3343291599999934E-2</v>
      </c>
      <c r="J288" s="59">
        <f>SUMIFS(Electricity!V:V,Electricity!$M:$M,Predev_Scenarios!$A288,Electricity!$P:$P,Predev_Scenarios!$B288,Electricity!$O:$O,Predev_Scenarios!$D288)*-1</f>
        <v>7.0156925200000081E-2</v>
      </c>
      <c r="K288" s="59">
        <f>SUMIFS(Electricity!W:W,Electricity!$M:$M,Predev_Scenarios!$A288,Electricity!$P:$P,Predev_Scenarios!$B288,Electricity!$O:$O,Predev_Scenarios!$D288)*-1</f>
        <v>0.11652965700000005</v>
      </c>
      <c r="L288" s="63">
        <f t="shared" si="21"/>
        <v>-1.864105712345003E-7</v>
      </c>
      <c r="M288" s="63">
        <f t="shared" si="22"/>
        <v>-1.4010639948964618E-7</v>
      </c>
      <c r="N288" s="63">
        <f t="shared" si="23"/>
        <v>-2.327147409823119E-7</v>
      </c>
      <c r="O288" s="30">
        <f>IF(OR(LEFT($D288,5)="Solar",$D288="Wind"),INDEX(Land_Use[AVG],MATCH(LEFT($D288,5),Land_Use[Tech],0)),0)*$E288</f>
        <v>0</v>
      </c>
      <c r="P288" s="30">
        <f>IF(OR(LEFT($D288,5)="Solar",$D288="Wind"),INDEX(Land_Use[MIN],MATCH(LEFT($D288,5),Land_Use[Tech],0)),0)*$E288</f>
        <v>0</v>
      </c>
      <c r="Q288" s="30">
        <f>IF(OR(LEFT($D288,5)="Solar",$D288="Wind"),INDEX(Land_Use[MAX],MATCH(LEFT($D288,5),Land_Use[Tech],0)),0)*$E288</f>
        <v>0</v>
      </c>
      <c r="R288" s="31">
        <f>IFERROR(INDEX(WaterUseH2[Average Direct Water Consumption (Gal/ kg h2)],MATCH(LEFT(D288,3),WaterUseH2[Key],0)),0)</f>
        <v>0</v>
      </c>
      <c r="S288" s="15">
        <f t="shared" si="24"/>
        <v>0</v>
      </c>
    </row>
    <row r="289" spans="1:19" x14ac:dyDescent="0.35">
      <c r="A289" t="s">
        <v>107</v>
      </c>
      <c r="B289">
        <v>2038</v>
      </c>
      <c r="C289" t="s">
        <v>41</v>
      </c>
      <c r="D289" t="s">
        <v>86</v>
      </c>
      <c r="E289" s="12">
        <f>SUMIFS(Electricity!$R:$R,Electricity!$P:$P,$B289,Electricity!$O:$O,$D289,Electricity!$M:$M,$A289)</f>
        <v>1000</v>
      </c>
      <c r="F289" t="s">
        <v>81</v>
      </c>
      <c r="G289" s="31">
        <f>H289/Assumptions!$B$23/1000000000000</f>
        <v>7.2868623666675399E-3</v>
      </c>
      <c r="H289" s="13">
        <f>IF(C289="Electricity",E289*SUMIFS(Electricity!S:S,Electricity!P:P,Predev_Scenarios!B289,Electricity!M:M,Predev_Scenarios!A289,Electricity!O:O,Predev_Scenarios!D289),"")</f>
        <v>2024228.2026533231</v>
      </c>
      <c r="I289" s="59">
        <f>SUMIFS(Electricity!U:U,Electricity!$M:$M,Predev_Scenarios!$A289,Electricity!$P:$P,Predev_Scenarios!$B289,Electricity!$O:$O,Predev_Scenarios!$D289)*-1</f>
        <v>8.9119367399999927E-2</v>
      </c>
      <c r="J289" s="59">
        <f>SUMIFS(Electricity!V:V,Electricity!$M:$M,Predev_Scenarios!$A289,Electricity!$P:$P,Predev_Scenarios!$B289,Electricity!$O:$O,Predev_Scenarios!$D289)*-1</f>
        <v>6.4999158050000089E-2</v>
      </c>
      <c r="K289" s="59">
        <f>SUMIFS(Electricity!W:W,Electricity!$M:$M,Predev_Scenarios!$A289,Electricity!$P:$P,Predev_Scenarios!$B289,Electricity!$O:$O,Predev_Scenarios!$D289)*-1</f>
        <v>0.11323957575000004</v>
      </c>
      <c r="L289" s="63">
        <f t="shared" si="21"/>
        <v>-1.8039793689370298E-7</v>
      </c>
      <c r="M289" s="63">
        <f t="shared" si="22"/>
        <v>-1.3157312887353094E-7</v>
      </c>
      <c r="N289" s="63">
        <f t="shared" si="23"/>
        <v>-2.2922274288964739E-7</v>
      </c>
      <c r="O289" s="30">
        <f>IF(OR(LEFT($D289,5)="Solar",$D289="Wind"),INDEX(Land_Use[AVG],MATCH(LEFT($D289,5),Land_Use[Tech],0)),0)*$E289</f>
        <v>0</v>
      </c>
      <c r="P289" s="30">
        <f>IF(OR(LEFT($D289,5)="Solar",$D289="Wind"),INDEX(Land_Use[MIN],MATCH(LEFT($D289,5),Land_Use[Tech],0)),0)*$E289</f>
        <v>0</v>
      </c>
      <c r="Q289" s="30">
        <f>IF(OR(LEFT($D289,5)="Solar",$D289="Wind"),INDEX(Land_Use[MAX],MATCH(LEFT($D289,5),Land_Use[Tech],0)),0)*$E289</f>
        <v>0</v>
      </c>
      <c r="R289" s="31">
        <f>IFERROR(INDEX(WaterUseH2[Average Direct Water Consumption (Gal/ kg h2)],MATCH(LEFT(D289,3),WaterUseH2[Key],0)),0)</f>
        <v>0</v>
      </c>
      <c r="S289" s="15">
        <f t="shared" si="24"/>
        <v>0</v>
      </c>
    </row>
    <row r="290" spans="1:19" x14ac:dyDescent="0.35">
      <c r="A290" t="s">
        <v>107</v>
      </c>
      <c r="B290">
        <v>2039</v>
      </c>
      <c r="C290" t="s">
        <v>41</v>
      </c>
      <c r="D290" t="s">
        <v>86</v>
      </c>
      <c r="E290" s="12">
        <f>SUMIFS(Electricity!$R:$R,Electricity!$P:$P,$B290,Electricity!$O:$O,$D290,Electricity!$M:$M,$A290)</f>
        <v>1000</v>
      </c>
      <c r="F290" t="s">
        <v>81</v>
      </c>
      <c r="G290" s="31">
        <f>H290/Assumptions!$B$23/1000000000000</f>
        <v>7.3847241127341376E-3</v>
      </c>
      <c r="H290" s="13">
        <f>IF(C290="Electricity",E290*SUMIFS(Electricity!S:S,Electricity!P:P,Predev_Scenarios!B290,Electricity!M:M,Predev_Scenarios!A290,Electricity!O:O,Predev_Scenarios!D290),"")</f>
        <v>2051413.360871084</v>
      </c>
      <c r="I290" s="59">
        <f>SUMIFS(Electricity!U:U,Electricity!$M:$M,Predev_Scenarios!$A290,Electricity!$P:$P,Predev_Scenarios!$B290,Electricity!$O:$O,Predev_Scenarios!$D290)*-1</f>
        <v>8.489544319999992E-2</v>
      </c>
      <c r="J290" s="59">
        <f>SUMIFS(Electricity!V:V,Electricity!$M:$M,Predev_Scenarios!$A290,Electricity!$P:$P,Predev_Scenarios!$B290,Electricity!$O:$O,Predev_Scenarios!$D290)*-1</f>
        <v>5.984139090000009E-2</v>
      </c>
      <c r="K290" s="59">
        <f>SUMIFS(Electricity!W:W,Electricity!$M:$M,Predev_Scenarios!$A290,Electricity!$P:$P,Predev_Scenarios!$B290,Electricity!$O:$O,Predev_Scenarios!$D290)*-1</f>
        <v>0.10994949450000004</v>
      </c>
      <c r="L290" s="63">
        <f t="shared" si="21"/>
        <v>-1.7415564645755206E-7</v>
      </c>
      <c r="M290" s="63">
        <f t="shared" si="22"/>
        <v>-1.2275942882536951E-7</v>
      </c>
      <c r="N290" s="63">
        <f t="shared" si="23"/>
        <v>-2.2555186203832187E-7</v>
      </c>
      <c r="O290" s="30">
        <f>IF(OR(LEFT($D290,5)="Solar",$D290="Wind"),INDEX(Land_Use[AVG],MATCH(LEFT($D290,5),Land_Use[Tech],0)),0)*$E290</f>
        <v>0</v>
      </c>
      <c r="P290" s="30">
        <f>IF(OR(LEFT($D290,5)="Solar",$D290="Wind"),INDEX(Land_Use[MIN],MATCH(LEFT($D290,5),Land_Use[Tech],0)),0)*$E290</f>
        <v>0</v>
      </c>
      <c r="Q290" s="30">
        <f>IF(OR(LEFT($D290,5)="Solar",$D290="Wind"),INDEX(Land_Use[MAX],MATCH(LEFT($D290,5),Land_Use[Tech],0)),0)*$E290</f>
        <v>0</v>
      </c>
      <c r="R290" s="31">
        <f>IFERROR(INDEX(WaterUseH2[Average Direct Water Consumption (Gal/ kg h2)],MATCH(LEFT(D290,3),WaterUseH2[Key],0)),0)</f>
        <v>0</v>
      </c>
      <c r="S290" s="15">
        <f t="shared" si="24"/>
        <v>0</v>
      </c>
    </row>
    <row r="291" spans="1:19" x14ac:dyDescent="0.35">
      <c r="A291" t="s">
        <v>107</v>
      </c>
      <c r="B291">
        <v>2040</v>
      </c>
      <c r="C291" t="s">
        <v>41</v>
      </c>
      <c r="D291" t="s">
        <v>86</v>
      </c>
      <c r="E291" s="12">
        <f>SUMIFS(Electricity!$R:$R,Electricity!$P:$P,$B291,Electricity!$O:$O,$D291,Electricity!$M:$M,$A291)</f>
        <v>1000</v>
      </c>
      <c r="F291" t="s">
        <v>81</v>
      </c>
      <c r="G291" s="31">
        <f>H291/Assumptions!$B$23/1000000000000</f>
        <v>7.4825858588007353E-3</v>
      </c>
      <c r="H291" s="13">
        <f>IF(C291="Electricity",E291*SUMIFS(Electricity!S:S,Electricity!P:P,Predev_Scenarios!B291,Electricity!M:M,Predev_Scenarios!A291,Electricity!O:O,Predev_Scenarios!D291),"")</f>
        <v>2078598.519088845</v>
      </c>
      <c r="I291" s="59">
        <f>SUMIFS(Electricity!U:U,Electricity!$M:$M,Predev_Scenarios!$A291,Electricity!$P:$P,Predev_Scenarios!$B291,Electricity!$O:$O,Predev_Scenarios!$D291)*-1</f>
        <v>8.0671518999999914E-2</v>
      </c>
      <c r="J291" s="59">
        <f>SUMIFS(Electricity!V:V,Electricity!$M:$M,Predev_Scenarios!$A291,Electricity!$P:$P,Predev_Scenarios!$B291,Electricity!$O:$O,Predev_Scenarios!$D291)*-1</f>
        <v>5.468362375000009E-2</v>
      </c>
      <c r="K291" s="59">
        <f>SUMIFS(Electricity!W:W,Electricity!$M:$M,Predev_Scenarios!$A291,Electricity!$P:$P,Predev_Scenarios!$B291,Electricity!$O:$O,Predev_Scenarios!$D291)*-1</f>
        <v>0.10665941325000003</v>
      </c>
      <c r="L291" s="63">
        <f t="shared" si="21"/>
        <v>-1.6768369992604744E-7</v>
      </c>
      <c r="M291" s="63">
        <f t="shared" si="22"/>
        <v>-1.1366529934516178E-7</v>
      </c>
      <c r="N291" s="63">
        <f t="shared" si="23"/>
        <v>-2.2170209842833518E-7</v>
      </c>
      <c r="O291" s="30">
        <f>IF(OR(LEFT($D291,5)="Solar",$D291="Wind"),INDEX(Land_Use[AVG],MATCH(LEFT($D291,5),Land_Use[Tech],0)),0)*$E291</f>
        <v>0</v>
      </c>
      <c r="P291" s="30">
        <f>IF(OR(LEFT($D291,5)="Solar",$D291="Wind"),INDEX(Land_Use[MIN],MATCH(LEFT($D291,5),Land_Use[Tech],0)),0)*$E291</f>
        <v>0</v>
      </c>
      <c r="Q291" s="30">
        <f>IF(OR(LEFT($D291,5)="Solar",$D291="Wind"),INDEX(Land_Use[MAX],MATCH(LEFT($D291,5),Land_Use[Tech],0)),0)*$E291</f>
        <v>0</v>
      </c>
      <c r="R291" s="31">
        <f>IFERROR(INDEX(WaterUseH2[Average Direct Water Consumption (Gal/ kg h2)],MATCH(LEFT(D291,3),WaterUseH2[Key],0)),0)</f>
        <v>0</v>
      </c>
      <c r="S291" s="15">
        <f t="shared" si="24"/>
        <v>0</v>
      </c>
    </row>
    <row r="292" spans="1:19" x14ac:dyDescent="0.35">
      <c r="A292" t="s">
        <v>107</v>
      </c>
      <c r="B292">
        <v>2041</v>
      </c>
      <c r="C292" t="s">
        <v>41</v>
      </c>
      <c r="D292" t="s">
        <v>86</v>
      </c>
      <c r="E292" s="12">
        <f>SUMIFS(Electricity!$R:$R,Electricity!$P:$P,$B292,Electricity!$O:$O,$D292,Electricity!$M:$M,$A292)</f>
        <v>1000</v>
      </c>
      <c r="F292" t="s">
        <v>81</v>
      </c>
      <c r="G292" s="31">
        <f>H292/Assumptions!$B$23/1000000000000</f>
        <v>7.580447604867333E-3</v>
      </c>
      <c r="H292" s="13">
        <f>IF(C292="Electricity",E292*SUMIFS(Electricity!S:S,Electricity!P:P,Predev_Scenarios!B292,Electricity!M:M,Predev_Scenarios!A292,Electricity!O:O,Predev_Scenarios!D292),"")</f>
        <v>2105783.677306606</v>
      </c>
      <c r="I292" s="59">
        <f>SUMIFS(Electricity!U:U,Electricity!$M:$M,Predev_Scenarios!$A292,Electricity!$P:$P,Predev_Scenarios!$B292,Electricity!$O:$O,Predev_Scenarios!$D292)*-1</f>
        <v>7.6447594799999907E-2</v>
      </c>
      <c r="J292" s="59">
        <f>SUMIFS(Electricity!V:V,Electricity!$M:$M,Predev_Scenarios!$A292,Electricity!$P:$P,Predev_Scenarios!$B292,Electricity!$O:$O,Predev_Scenarios!$D292)*-1</f>
        <v>4.9525856600000091E-2</v>
      </c>
      <c r="K292" s="59">
        <f>SUMIFS(Electricity!W:W,Electricity!$M:$M,Predev_Scenarios!$A292,Electricity!$P:$P,Predev_Scenarios!$B292,Electricity!$O:$O,Predev_Scenarios!$D292)*-1</f>
        <v>0.10336933200000002</v>
      </c>
      <c r="L292" s="63">
        <f t="shared" si="21"/>
        <v>-1.6098209729918915E-7</v>
      </c>
      <c r="M292" s="63">
        <f t="shared" si="22"/>
        <v>-1.0429074043290782E-7</v>
      </c>
      <c r="N292" s="63">
        <f t="shared" si="23"/>
        <v>-2.1767345205968744E-7</v>
      </c>
      <c r="O292" s="30">
        <f>IF(OR(LEFT($D292,5)="Solar",$D292="Wind"),INDEX(Land_Use[AVG],MATCH(LEFT($D292,5),Land_Use[Tech],0)),0)*$E292</f>
        <v>0</v>
      </c>
      <c r="P292" s="30">
        <f>IF(OR(LEFT($D292,5)="Solar",$D292="Wind"),INDEX(Land_Use[MIN],MATCH(LEFT($D292,5),Land_Use[Tech],0)),0)*$E292</f>
        <v>0</v>
      </c>
      <c r="Q292" s="30">
        <f>IF(OR(LEFT($D292,5)="Solar",$D292="Wind"),INDEX(Land_Use[MAX],MATCH(LEFT($D292,5),Land_Use[Tech],0)),0)*$E292</f>
        <v>0</v>
      </c>
      <c r="R292" s="31">
        <f>IFERROR(INDEX(WaterUseH2[Average Direct Water Consumption (Gal/ kg h2)],MATCH(LEFT(D292,3),WaterUseH2[Key],0)),0)</f>
        <v>0</v>
      </c>
      <c r="S292" s="15">
        <f t="shared" si="24"/>
        <v>0</v>
      </c>
    </row>
    <row r="293" spans="1:19" x14ac:dyDescent="0.35">
      <c r="A293" t="s">
        <v>107</v>
      </c>
      <c r="B293">
        <v>2042</v>
      </c>
      <c r="C293" t="s">
        <v>41</v>
      </c>
      <c r="D293" t="s">
        <v>86</v>
      </c>
      <c r="E293" s="12">
        <f>SUMIFS(Electricity!$R:$R,Electricity!$P:$P,$B293,Electricity!$O:$O,$D293,Electricity!$M:$M,$A293)</f>
        <v>1000</v>
      </c>
      <c r="F293" t="s">
        <v>81</v>
      </c>
      <c r="G293" s="31">
        <f>H293/Assumptions!$B$23/1000000000000</f>
        <v>7.6783093509339316E-3</v>
      </c>
      <c r="H293" s="13">
        <f>IF(C293="Electricity",E293*SUMIFS(Electricity!S:S,Electricity!P:P,Predev_Scenarios!B293,Electricity!M:M,Predev_Scenarios!A293,Electricity!O:O,Predev_Scenarios!D293),"")</f>
        <v>2132968.8355243672</v>
      </c>
      <c r="I293" s="59">
        <f>SUMIFS(Electricity!U:U,Electricity!$M:$M,Predev_Scenarios!$A293,Electricity!$P:$P,Predev_Scenarios!$B293,Electricity!$O:$O,Predev_Scenarios!$D293)*-1</f>
        <v>7.2223670599999901E-2</v>
      </c>
      <c r="J293" s="59">
        <f>SUMIFS(Electricity!V:V,Electricity!$M:$M,Predev_Scenarios!$A293,Electricity!$P:$P,Predev_Scenarios!$B293,Electricity!$O:$O,Predev_Scenarios!$D293)*-1</f>
        <v>4.4368089450000092E-2</v>
      </c>
      <c r="K293" s="59">
        <f>SUMIFS(Electricity!W:W,Electricity!$M:$M,Predev_Scenarios!$A293,Electricity!$P:$P,Predev_Scenarios!$B293,Electricity!$O:$O,Predev_Scenarios!$D293)*-1</f>
        <v>0.10007925075000002</v>
      </c>
      <c r="L293" s="63">
        <f t="shared" si="21"/>
        <v>-1.5405083857697725E-7</v>
      </c>
      <c r="M293" s="63">
        <f t="shared" si="22"/>
        <v>-9.4635752088607655E-8</v>
      </c>
      <c r="N293" s="63">
        <f t="shared" si="23"/>
        <v>-2.1346592293237866E-7</v>
      </c>
      <c r="O293" s="30">
        <f>IF(OR(LEFT($D293,5)="Solar",$D293="Wind"),INDEX(Land_Use[AVG],MATCH(LEFT($D293,5),Land_Use[Tech],0)),0)*$E293</f>
        <v>0</v>
      </c>
      <c r="P293" s="30">
        <f>IF(OR(LEFT($D293,5)="Solar",$D293="Wind"),INDEX(Land_Use[MIN],MATCH(LEFT($D293,5),Land_Use[Tech],0)),0)*$E293</f>
        <v>0</v>
      </c>
      <c r="Q293" s="30">
        <f>IF(OR(LEFT($D293,5)="Solar",$D293="Wind"),INDEX(Land_Use[MAX],MATCH(LEFT($D293,5),Land_Use[Tech],0)),0)*$E293</f>
        <v>0</v>
      </c>
      <c r="R293" s="31">
        <f>IFERROR(INDEX(WaterUseH2[Average Direct Water Consumption (Gal/ kg h2)],MATCH(LEFT(D293,3),WaterUseH2[Key],0)),0)</f>
        <v>0</v>
      </c>
      <c r="S293" s="15">
        <f t="shared" si="24"/>
        <v>0</v>
      </c>
    </row>
    <row r="294" spans="1:19" x14ac:dyDescent="0.35">
      <c r="A294" t="s">
        <v>107</v>
      </c>
      <c r="B294">
        <v>2043</v>
      </c>
      <c r="C294" t="s">
        <v>41</v>
      </c>
      <c r="D294" t="s">
        <v>86</v>
      </c>
      <c r="E294" s="12">
        <f>SUMIFS(Electricity!$R:$R,Electricity!$P:$P,$B294,Electricity!$O:$O,$D294,Electricity!$M:$M,$A294)</f>
        <v>1000</v>
      </c>
      <c r="F294" t="s">
        <v>81</v>
      </c>
      <c r="G294" s="31">
        <f>H294/Assumptions!$B$23/1000000000000</f>
        <v>7.7761710970005284E-3</v>
      </c>
      <c r="H294" s="13">
        <f>IF(C294="Electricity",E294*SUMIFS(Electricity!S:S,Electricity!P:P,Predev_Scenarios!B294,Electricity!M:M,Predev_Scenarios!A294,Electricity!O:O,Predev_Scenarios!D294),"")</f>
        <v>2160153.9937421279</v>
      </c>
      <c r="I294" s="59">
        <f>SUMIFS(Electricity!U:U,Electricity!$M:$M,Predev_Scenarios!$A294,Electricity!$P:$P,Predev_Scenarios!$B294,Electricity!$O:$O,Predev_Scenarios!$D294)*-1</f>
        <v>6.7999746399999894E-2</v>
      </c>
      <c r="J294" s="59">
        <f>SUMIFS(Electricity!V:V,Electricity!$M:$M,Predev_Scenarios!$A294,Electricity!$P:$P,Predev_Scenarios!$B294,Electricity!$O:$O,Predev_Scenarios!$D294)*-1</f>
        <v>3.9210322300000093E-2</v>
      </c>
      <c r="K294" s="59">
        <f>SUMIFS(Electricity!W:W,Electricity!$M:$M,Predev_Scenarios!$A294,Electricity!$P:$P,Predev_Scenarios!$B294,Electricity!$O:$O,Predev_Scenarios!$D294)*-1</f>
        <v>9.6789169500000008E-2</v>
      </c>
      <c r="L294" s="63">
        <f t="shared" si="21"/>
        <v>-1.4688992375941165E-7</v>
      </c>
      <c r="M294" s="63">
        <f t="shared" si="22"/>
        <v>-8.4700334312261215E-8</v>
      </c>
      <c r="N294" s="63">
        <f t="shared" si="23"/>
        <v>-2.0907951104640877E-7</v>
      </c>
      <c r="O294" s="30">
        <f>IF(OR(LEFT($D294,5)="Solar",$D294="Wind"),INDEX(Land_Use[AVG],MATCH(LEFT($D294,5),Land_Use[Tech],0)),0)*$E294</f>
        <v>0</v>
      </c>
      <c r="P294" s="30">
        <f>IF(OR(LEFT($D294,5)="Solar",$D294="Wind"),INDEX(Land_Use[MIN],MATCH(LEFT($D294,5),Land_Use[Tech],0)),0)*$E294</f>
        <v>0</v>
      </c>
      <c r="Q294" s="30">
        <f>IF(OR(LEFT($D294,5)="Solar",$D294="Wind"),INDEX(Land_Use[MAX],MATCH(LEFT($D294,5),Land_Use[Tech],0)),0)*$E294</f>
        <v>0</v>
      </c>
      <c r="R294" s="31">
        <f>IFERROR(INDEX(WaterUseH2[Average Direct Water Consumption (Gal/ kg h2)],MATCH(LEFT(D294,3),WaterUseH2[Key],0)),0)</f>
        <v>0</v>
      </c>
      <c r="S294" s="15">
        <f t="shared" si="24"/>
        <v>0</v>
      </c>
    </row>
    <row r="295" spans="1:19" x14ac:dyDescent="0.35">
      <c r="A295" t="s">
        <v>107</v>
      </c>
      <c r="B295">
        <v>2044</v>
      </c>
      <c r="C295" t="s">
        <v>41</v>
      </c>
      <c r="D295" t="s">
        <v>86</v>
      </c>
      <c r="E295" s="12">
        <f>SUMIFS(Electricity!$R:$R,Electricity!$P:$P,$B295,Electricity!$O:$O,$D295,Electricity!$M:$M,$A295)</f>
        <v>2000</v>
      </c>
      <c r="F295" t="s">
        <v>81</v>
      </c>
      <c r="G295" s="31">
        <f>H295/Assumptions!$B$23/1000000000000</f>
        <v>1.5748065686134256E-2</v>
      </c>
      <c r="H295" s="13">
        <f>IF(C295="Electricity",E295*SUMIFS(Electricity!S:S,Electricity!P:P,Predev_Scenarios!B295,Electricity!M:M,Predev_Scenarios!A295,Electricity!O:O,Predev_Scenarios!D295),"")</f>
        <v>4374678.3039197782</v>
      </c>
      <c r="I295" s="59">
        <f>SUMIFS(Electricity!U:U,Electricity!$M:$M,Predev_Scenarios!$A295,Electricity!$P:$P,Predev_Scenarios!$B295,Electricity!$O:$O,Predev_Scenarios!$D295)*-1</f>
        <v>6.3775822199999888E-2</v>
      </c>
      <c r="J295" s="59">
        <f>SUMIFS(Electricity!V:V,Electricity!$M:$M,Predev_Scenarios!$A295,Electricity!$P:$P,Predev_Scenarios!$B295,Electricity!$O:$O,Predev_Scenarios!$D295)*-1</f>
        <v>3.4052555150000094E-2</v>
      </c>
      <c r="K295" s="59">
        <f>SUMIFS(Electricity!W:W,Electricity!$M:$M,Predev_Scenarios!$A295,Electricity!$P:$P,Predev_Scenarios!$B295,Electricity!$O:$O,Predev_Scenarios!$D295)*-1</f>
        <v>9.3499088250000001E-2</v>
      </c>
      <c r="L295" s="63">
        <f t="shared" si="21"/>
        <v>-2.7899870569298482E-7</v>
      </c>
      <c r="M295" s="63">
        <f t="shared" si="22"/>
        <v>-1.4896897420773713E-7</v>
      </c>
      <c r="N295" s="63">
        <f t="shared" si="23"/>
        <v>-4.0902843280355568E-7</v>
      </c>
      <c r="O295" s="30">
        <f>IF(OR(LEFT($D295,5)="Solar",$D295="Wind"),INDEX(Land_Use[AVG],MATCH(LEFT($D295,5),Land_Use[Tech],0)),0)*$E295</f>
        <v>0</v>
      </c>
      <c r="P295" s="30">
        <f>IF(OR(LEFT($D295,5)="Solar",$D295="Wind"),INDEX(Land_Use[MIN],MATCH(LEFT($D295,5),Land_Use[Tech],0)),0)*$E295</f>
        <v>0</v>
      </c>
      <c r="Q295" s="30">
        <f>IF(OR(LEFT($D295,5)="Solar",$D295="Wind"),INDEX(Land_Use[MAX],MATCH(LEFT($D295,5),Land_Use[Tech],0)),0)*$E295</f>
        <v>0</v>
      </c>
      <c r="R295" s="31">
        <f>IFERROR(INDEX(WaterUseH2[Average Direct Water Consumption (Gal/ kg h2)],MATCH(LEFT(D295,3),WaterUseH2[Key],0)),0)</f>
        <v>0</v>
      </c>
      <c r="S295" s="15">
        <f t="shared" si="24"/>
        <v>0</v>
      </c>
    </row>
    <row r="296" spans="1:19" x14ac:dyDescent="0.35">
      <c r="A296" t="s">
        <v>107</v>
      </c>
      <c r="B296">
        <v>2045</v>
      </c>
      <c r="C296" t="s">
        <v>41</v>
      </c>
      <c r="D296" t="s">
        <v>86</v>
      </c>
      <c r="E296" s="12">
        <f>SUMIFS(Electricity!$R:$R,Electricity!$P:$P,$B296,Electricity!$O:$O,$D296,Electricity!$M:$M,$A296)</f>
        <v>2000</v>
      </c>
      <c r="F296" t="s">
        <v>81</v>
      </c>
      <c r="G296" s="31">
        <f>H296/Assumptions!$B$23/1000000000000</f>
        <v>1.5943789178267449E-2</v>
      </c>
      <c r="H296" s="13">
        <f>IF(C296="Electricity",E296*SUMIFS(Electricity!S:S,Electricity!P:P,Predev_Scenarios!B296,Electricity!M:M,Predev_Scenarios!A296,Electricity!O:O,Predev_Scenarios!D296),"")</f>
        <v>4429048.6203552997</v>
      </c>
      <c r="I296" s="59">
        <f>SUMIFS(Electricity!U:U,Electricity!$M:$M,Predev_Scenarios!$A296,Electricity!$P:$P,Predev_Scenarios!$B296,Electricity!$O:$O,Predev_Scenarios!$D296)*-1</f>
        <v>5.9551897999999888E-2</v>
      </c>
      <c r="J296" s="59">
        <f>SUMIFS(Electricity!V:V,Electricity!$M:$M,Predev_Scenarios!$A296,Electricity!$P:$P,Predev_Scenarios!$B296,Electricity!$O:$O,Predev_Scenarios!$D296)*-1</f>
        <v>2.8894788000000095E-2</v>
      </c>
      <c r="K296" s="59">
        <f>SUMIFS(Electricity!W:W,Electricity!$M:$M,Predev_Scenarios!$A296,Electricity!$P:$P,Predev_Scenarios!$B296,Electricity!$O:$O,Predev_Scenarios!$D296)*-1</f>
        <v>9.0209006999999994E-2</v>
      </c>
      <c r="L296" s="63">
        <f t="shared" si="21"/>
        <v>-2.6375825167643906E-7</v>
      </c>
      <c r="M296" s="63">
        <f t="shared" si="22"/>
        <v>-1.2797642092685929E-7</v>
      </c>
      <c r="N296" s="63">
        <f t="shared" si="23"/>
        <v>-3.9954007799697155E-7</v>
      </c>
      <c r="O296" s="30">
        <f>IF(OR(LEFT($D296,5)="Solar",$D296="Wind"),INDEX(Land_Use[AVG],MATCH(LEFT($D296,5),Land_Use[Tech],0)),0)*$E296</f>
        <v>0</v>
      </c>
      <c r="P296" s="30">
        <f>IF(OR(LEFT($D296,5)="Solar",$D296="Wind"),INDEX(Land_Use[MIN],MATCH(LEFT($D296,5),Land_Use[Tech],0)),0)*$E296</f>
        <v>0</v>
      </c>
      <c r="Q296" s="30">
        <f>IF(OR(LEFT($D296,5)="Solar",$D296="Wind"),INDEX(Land_Use[MAX],MATCH(LEFT($D296,5),Land_Use[Tech],0)),0)*$E296</f>
        <v>0</v>
      </c>
      <c r="R296" s="31">
        <f>IFERROR(INDEX(WaterUseH2[Average Direct Water Consumption (Gal/ kg h2)],MATCH(LEFT(D296,3),WaterUseH2[Key],0)),0)</f>
        <v>0</v>
      </c>
      <c r="S296" s="15">
        <f t="shared" si="24"/>
        <v>0</v>
      </c>
    </row>
    <row r="297" spans="1:19" x14ac:dyDescent="0.35">
      <c r="A297" t="s">
        <v>76</v>
      </c>
      <c r="B297">
        <v>2025</v>
      </c>
      <c r="C297" t="s">
        <v>41</v>
      </c>
      <c r="D297" t="s">
        <v>85</v>
      </c>
      <c r="E297" s="12">
        <f>SUMIFS(Electricity!$R:$R,Electricity!$P:$P,$B297,Electricity!$O:$O,$D297,Electricity!$M:$M,$A297)</f>
        <v>588.13652173913044</v>
      </c>
      <c r="F297" t="s">
        <v>81</v>
      </c>
      <c r="G297" s="31">
        <f>H297/Assumptions!$B$23/1000000000000</f>
        <v>2.4794342815320932E-3</v>
      </c>
      <c r="H297" s="13">
        <f>IF(C297="Electricity",E297*SUMIFS(Electricity!S:S,Electricity!P:P,Predev_Scenarios!B297,Electricity!M:M,Predev_Scenarios!A297,Electricity!O:O,Predev_Scenarios!D297),"")</f>
        <v>688765.69183754548</v>
      </c>
      <c r="I297" s="59">
        <f>SUMIFS(Electricity!U:U,Electricity!$M:$M,Predev_Scenarios!$A297,Electricity!$P:$P,Predev_Scenarios!$B297,Electricity!$O:$O,Predev_Scenarios!$D297)*-1</f>
        <v>0.14403038200000001</v>
      </c>
      <c r="J297" s="59">
        <f>SUMIFS(Electricity!V:V,Electricity!$M:$M,Predev_Scenarios!$A297,Electricity!$P:$P,Predev_Scenarios!$B297,Electricity!$O:$O,Predev_Scenarios!$D297)*-1</f>
        <v>0.13205013099999999</v>
      </c>
      <c r="K297" s="59">
        <f>SUMIFS(Electricity!W:W,Electricity!$M:$M,Predev_Scenarios!$A297,Electricity!$P:$P,Predev_Scenarios!$B297,Electricity!$O:$O,Predev_Scenarios!$D297)*-1</f>
        <v>0.15601063200000001</v>
      </c>
      <c r="L297" s="63">
        <f t="shared" si="21"/>
        <v>-9.9203185703855965E-8</v>
      </c>
      <c r="M297" s="63">
        <f t="shared" si="22"/>
        <v>-9.0951599835453498E-8</v>
      </c>
      <c r="N297" s="63">
        <f t="shared" si="23"/>
        <v>-1.0745477088349272E-7</v>
      </c>
      <c r="O297" s="30">
        <f>IF(OR(LEFT($D297,5)="Solar",$D297="Wind"),INDEX(Land_Use[AVG],MATCH(LEFT($D297,5),Land_Use[Tech],0)),0)*$E297</f>
        <v>0</v>
      </c>
      <c r="P297" s="30">
        <f>IF(OR(LEFT($D297,5)="Solar",$D297="Wind"),INDEX(Land_Use[MIN],MATCH(LEFT($D297,5),Land_Use[Tech],0)),0)*$E297</f>
        <v>0</v>
      </c>
      <c r="Q297" s="30">
        <f>IF(OR(LEFT($D297,5)="Solar",$D297="Wind"),INDEX(Land_Use[MAX],MATCH(LEFT($D297,5),Land_Use[Tech],0)),0)*$E297</f>
        <v>0</v>
      </c>
      <c r="R297" s="31">
        <f>IFERROR(INDEX(WaterUseH2[Average Direct Water Consumption (Gal/ kg h2)],MATCH(LEFT(D297,3),WaterUseH2[Key],0)),0)</f>
        <v>0</v>
      </c>
      <c r="S297" s="15">
        <f t="shared" si="24"/>
        <v>0</v>
      </c>
    </row>
    <row r="298" spans="1:19" x14ac:dyDescent="0.35">
      <c r="A298" t="s">
        <v>76</v>
      </c>
      <c r="B298">
        <v>2026</v>
      </c>
      <c r="C298" t="s">
        <v>41</v>
      </c>
      <c r="D298" t="s">
        <v>85</v>
      </c>
      <c r="E298" s="12">
        <f>SUMIFS(Electricity!$R:$R,Electricity!$P:$P,$B298,Electricity!$O:$O,$D298,Electricity!$M:$M,$A298)</f>
        <v>1176.2730434782609</v>
      </c>
      <c r="F298" t="s">
        <v>81</v>
      </c>
      <c r="G298" s="31">
        <f>H298/Assumptions!$B$23/1000000000000</f>
        <v>4.9588685630641864E-3</v>
      </c>
      <c r="H298" s="13">
        <f>IF(C298="Electricity",E298*SUMIFS(Electricity!S:S,Electricity!P:P,Predev_Scenarios!B298,Electricity!M:M,Predev_Scenarios!A298,Electricity!O:O,Predev_Scenarios!D298),"")</f>
        <v>1377531.383675091</v>
      </c>
      <c r="I298" s="59">
        <f>SUMIFS(Electricity!U:U,Electricity!$M:$M,Predev_Scenarios!$A298,Electricity!$P:$P,Predev_Scenarios!$B298,Electricity!$O:$O,Predev_Scenarios!$D298)*-1</f>
        <v>0.13980645780000001</v>
      </c>
      <c r="J298" s="59">
        <f>SUMIFS(Electricity!V:V,Electricity!$M:$M,Predev_Scenarios!$A298,Electricity!$P:$P,Predev_Scenarios!$B298,Electricity!$O:$O,Predev_Scenarios!$D298)*-1</f>
        <v>0.12689236385</v>
      </c>
      <c r="K298" s="59">
        <f>SUMIFS(Electricity!W:W,Electricity!$M:$M,Predev_Scenarios!$A298,Electricity!$P:$P,Predev_Scenarios!$B298,Electricity!$O:$O,Predev_Scenarios!$D298)*-1</f>
        <v>0.15272055075000002</v>
      </c>
      <c r="L298" s="63">
        <f t="shared" si="21"/>
        <v>-1.9258778325994722E-7</v>
      </c>
      <c r="M298" s="63">
        <f t="shared" si="22"/>
        <v>-1.7479821355209359E-7</v>
      </c>
      <c r="N298" s="63">
        <f t="shared" si="23"/>
        <v>-2.1037735159026948E-7</v>
      </c>
      <c r="O298" s="30">
        <f>IF(OR(LEFT($D298,5)="Solar",$D298="Wind"),INDEX(Land_Use[AVG],MATCH(LEFT($D298,5),Land_Use[Tech],0)),0)*$E298</f>
        <v>0</v>
      </c>
      <c r="P298" s="30">
        <f>IF(OR(LEFT($D298,5)="Solar",$D298="Wind"),INDEX(Land_Use[MIN],MATCH(LEFT($D298,5),Land_Use[Tech],0)),0)*$E298</f>
        <v>0</v>
      </c>
      <c r="Q298" s="30">
        <f>IF(OR(LEFT($D298,5)="Solar",$D298="Wind"),INDEX(Land_Use[MAX],MATCH(LEFT($D298,5),Land_Use[Tech],0)),0)*$E298</f>
        <v>0</v>
      </c>
      <c r="R298" s="31">
        <f>IFERROR(INDEX(WaterUseH2[Average Direct Water Consumption (Gal/ kg h2)],MATCH(LEFT(D298,3),WaterUseH2[Key],0)),0)</f>
        <v>0</v>
      </c>
      <c r="S298" s="15">
        <f t="shared" si="24"/>
        <v>0</v>
      </c>
    </row>
    <row r="299" spans="1:19" x14ac:dyDescent="0.35">
      <c r="A299" t="s">
        <v>76</v>
      </c>
      <c r="B299">
        <v>2027</v>
      </c>
      <c r="C299" t="s">
        <v>41</v>
      </c>
      <c r="D299" t="s">
        <v>85</v>
      </c>
      <c r="E299" s="12">
        <f>SUMIFS(Electricity!$R:$R,Electricity!$P:$P,$B299,Electricity!$O:$O,$D299,Electricity!$M:$M,$A299)</f>
        <v>1764.4095652173914</v>
      </c>
      <c r="F299" t="s">
        <v>81</v>
      </c>
      <c r="G299" s="31">
        <f>H299/Assumptions!$B$23/1000000000000</f>
        <v>7.43830284459628E-3</v>
      </c>
      <c r="H299" s="13">
        <f>IF(C299="Electricity",E299*SUMIFS(Electricity!S:S,Electricity!P:P,Predev_Scenarios!B299,Electricity!M:M,Predev_Scenarios!A299,Electricity!O:O,Predev_Scenarios!D299),"")</f>
        <v>2066297.0755126367</v>
      </c>
      <c r="I299" s="59">
        <f>SUMIFS(Electricity!U:U,Electricity!$M:$M,Predev_Scenarios!$A299,Electricity!$P:$P,Predev_Scenarios!$B299,Electricity!$O:$O,Predev_Scenarios!$D299)*-1</f>
        <v>0.1355825336</v>
      </c>
      <c r="J299" s="59">
        <f>SUMIFS(Electricity!V:V,Electricity!$M:$M,Predev_Scenarios!$A299,Electricity!$P:$P,Predev_Scenarios!$B299,Electricity!$O:$O,Predev_Scenarios!$D299)*-1</f>
        <v>0.1217345967</v>
      </c>
      <c r="K299" s="59">
        <f>SUMIFS(Electricity!W:W,Electricity!$M:$M,Predev_Scenarios!$A299,Electricity!$P:$P,Predev_Scenarios!$B299,Electricity!$O:$O,Predev_Scenarios!$D299)*-1</f>
        <v>0.14943046950000002</v>
      </c>
      <c r="L299" s="63">
        <f t="shared" si="21"/>
        <v>-2.8015379266827381E-7</v>
      </c>
      <c r="M299" s="63">
        <f t="shared" si="22"/>
        <v>-2.5153984114992027E-7</v>
      </c>
      <c r="N299" s="63">
        <f t="shared" si="23"/>
        <v>-3.0876774212033029E-7</v>
      </c>
      <c r="O299" s="30">
        <f>IF(OR(LEFT($D299,5)="Solar",$D299="Wind"),INDEX(Land_Use[AVG],MATCH(LEFT($D299,5),Land_Use[Tech],0)),0)*$E299</f>
        <v>0</v>
      </c>
      <c r="P299" s="30">
        <f>IF(OR(LEFT($D299,5)="Solar",$D299="Wind"),INDEX(Land_Use[MIN],MATCH(LEFT($D299,5),Land_Use[Tech],0)),0)*$E299</f>
        <v>0</v>
      </c>
      <c r="Q299" s="30">
        <f>IF(OR(LEFT($D299,5)="Solar",$D299="Wind"),INDEX(Land_Use[MAX],MATCH(LEFT($D299,5),Land_Use[Tech],0)),0)*$E299</f>
        <v>0</v>
      </c>
      <c r="R299" s="31">
        <f>IFERROR(INDEX(WaterUseH2[Average Direct Water Consumption (Gal/ kg h2)],MATCH(LEFT(D299,3),WaterUseH2[Key],0)),0)</f>
        <v>0</v>
      </c>
      <c r="S299" s="15">
        <f t="shared" si="24"/>
        <v>0</v>
      </c>
    </row>
    <row r="300" spans="1:19" x14ac:dyDescent="0.35">
      <c r="A300" t="s">
        <v>76</v>
      </c>
      <c r="B300">
        <v>2028</v>
      </c>
      <c r="C300" t="s">
        <v>41</v>
      </c>
      <c r="D300" t="s">
        <v>85</v>
      </c>
      <c r="E300" s="12">
        <f>SUMIFS(Electricity!$R:$R,Electricity!$P:$P,$B300,Electricity!$O:$O,$D300,Electricity!$M:$M,$A300)</f>
        <v>2352.5460869565218</v>
      </c>
      <c r="F300" t="s">
        <v>81</v>
      </c>
      <c r="G300" s="31">
        <f>H300/Assumptions!$B$23/1000000000000</f>
        <v>9.9177371261283728E-3</v>
      </c>
      <c r="H300" s="13">
        <f>IF(C300="Electricity",E300*SUMIFS(Electricity!S:S,Electricity!P:P,Predev_Scenarios!B300,Electricity!M:M,Predev_Scenarios!A300,Electricity!O:O,Predev_Scenarios!D300),"")</f>
        <v>2755062.7673501819</v>
      </c>
      <c r="I300" s="59">
        <f>SUMIFS(Electricity!U:U,Electricity!$M:$M,Predev_Scenarios!$A300,Electricity!$P:$P,Predev_Scenarios!$B300,Electricity!$O:$O,Predev_Scenarios!$D300)*-1</f>
        <v>0.13135860939999999</v>
      </c>
      <c r="J300" s="59">
        <f>SUMIFS(Electricity!V:V,Electricity!$M:$M,Predev_Scenarios!$A300,Electricity!$P:$P,Predev_Scenarios!$B300,Electricity!$O:$O,Predev_Scenarios!$D300)*-1</f>
        <v>0.11657682955000001</v>
      </c>
      <c r="K300" s="59">
        <f>SUMIFS(Electricity!W:W,Electricity!$M:$M,Predev_Scenarios!$A300,Electricity!$P:$P,Predev_Scenarios!$B300,Electricity!$O:$O,Predev_Scenarios!$D300)*-1</f>
        <v>0.14614038825000003</v>
      </c>
      <c r="L300" s="63">
        <f t="shared" si="21"/>
        <v>-3.6190121392883561E-7</v>
      </c>
      <c r="M300" s="63">
        <f t="shared" si="22"/>
        <v>-3.2117648262893347E-7</v>
      </c>
      <c r="N300" s="63">
        <f t="shared" si="23"/>
        <v>-4.0262594247367506E-7</v>
      </c>
      <c r="O300" s="30">
        <f>IF(OR(LEFT($D300,5)="Solar",$D300="Wind"),INDEX(Land_Use[AVG],MATCH(LEFT($D300,5),Land_Use[Tech],0)),0)*$E300</f>
        <v>0</v>
      </c>
      <c r="P300" s="30">
        <f>IF(OR(LEFT($D300,5)="Solar",$D300="Wind"),INDEX(Land_Use[MIN],MATCH(LEFT($D300,5),Land_Use[Tech],0)),0)*$E300</f>
        <v>0</v>
      </c>
      <c r="Q300" s="30">
        <f>IF(OR(LEFT($D300,5)="Solar",$D300="Wind"),INDEX(Land_Use[MAX],MATCH(LEFT($D300,5),Land_Use[Tech],0)),0)*$E300</f>
        <v>0</v>
      </c>
      <c r="R300" s="31">
        <f>IFERROR(INDEX(WaterUseH2[Average Direct Water Consumption (Gal/ kg h2)],MATCH(LEFT(D300,3),WaterUseH2[Key],0)),0)</f>
        <v>0</v>
      </c>
      <c r="S300" s="15">
        <f t="shared" si="24"/>
        <v>0</v>
      </c>
    </row>
    <row r="301" spans="1:19" x14ac:dyDescent="0.35">
      <c r="A301" t="s">
        <v>76</v>
      </c>
      <c r="B301">
        <v>2029</v>
      </c>
      <c r="C301" t="s">
        <v>41</v>
      </c>
      <c r="D301" t="s">
        <v>85</v>
      </c>
      <c r="E301" s="12">
        <f>SUMIFS(Electricity!$R:$R,Electricity!$P:$P,$B301,Electricity!$O:$O,$D301,Electricity!$M:$M,$A301)</f>
        <v>2940.6826086956521</v>
      </c>
      <c r="F301" t="s">
        <v>81</v>
      </c>
      <c r="G301" s="31">
        <f>H301/Assumptions!$B$23/1000000000000</f>
        <v>1.2397171407660465E-2</v>
      </c>
      <c r="H301" s="13">
        <f>IF(C301="Electricity",E301*SUMIFS(Electricity!S:S,Electricity!P:P,Predev_Scenarios!B301,Electricity!M:M,Predev_Scenarios!A301,Electricity!O:O,Predev_Scenarios!D301),"")</f>
        <v>3443828.4591877274</v>
      </c>
      <c r="I301" s="59">
        <f>SUMIFS(Electricity!U:U,Electricity!$M:$M,Predev_Scenarios!$A301,Electricity!$P:$P,Predev_Scenarios!$B301,Electricity!$O:$O,Predev_Scenarios!$D301)*-1</f>
        <v>0.12713468519999999</v>
      </c>
      <c r="J301" s="59">
        <f>SUMIFS(Electricity!V:V,Electricity!$M:$M,Predev_Scenarios!$A301,Electricity!$P:$P,Predev_Scenarios!$B301,Electricity!$O:$O,Predev_Scenarios!$D301)*-1</f>
        <v>0.11141906240000002</v>
      </c>
      <c r="K301" s="59">
        <f>SUMIFS(Electricity!W:W,Electricity!$M:$M,Predev_Scenarios!$A301,Electricity!$P:$P,Predev_Scenarios!$B301,Electricity!$O:$O,Predev_Scenarios!$D301)*-1</f>
        <v>0.14285030700000004</v>
      </c>
      <c r="L301" s="63">
        <f t="shared" si="21"/>
        <v>-4.3783004704163274E-7</v>
      </c>
      <c r="M301" s="63">
        <f t="shared" si="22"/>
        <v>-3.8370813798913332E-7</v>
      </c>
      <c r="N301" s="63">
        <f t="shared" si="23"/>
        <v>-4.9195195265030393E-7</v>
      </c>
      <c r="O301" s="30">
        <f>IF(OR(LEFT($D301,5)="Solar",$D301="Wind"),INDEX(Land_Use[AVG],MATCH(LEFT($D301,5),Land_Use[Tech],0)),0)*$E301</f>
        <v>0</v>
      </c>
      <c r="P301" s="30">
        <f>IF(OR(LEFT($D301,5)="Solar",$D301="Wind"),INDEX(Land_Use[MIN],MATCH(LEFT($D301,5),Land_Use[Tech],0)),0)*$E301</f>
        <v>0</v>
      </c>
      <c r="Q301" s="30">
        <f>IF(OR(LEFT($D301,5)="Solar",$D301="Wind"),INDEX(Land_Use[MAX],MATCH(LEFT($D301,5),Land_Use[Tech],0)),0)*$E301</f>
        <v>0</v>
      </c>
      <c r="R301" s="31">
        <f>IFERROR(INDEX(WaterUseH2[Average Direct Water Consumption (Gal/ kg h2)],MATCH(LEFT(D301,3),WaterUseH2[Key],0)),0)</f>
        <v>0</v>
      </c>
      <c r="S301" s="15">
        <f t="shared" si="24"/>
        <v>0</v>
      </c>
    </row>
    <row r="302" spans="1:19" x14ac:dyDescent="0.35">
      <c r="A302" t="s">
        <v>76</v>
      </c>
      <c r="B302">
        <v>2030</v>
      </c>
      <c r="C302" t="s">
        <v>41</v>
      </c>
      <c r="D302" t="s">
        <v>85</v>
      </c>
      <c r="E302" s="12">
        <f>SUMIFS(Electricity!$R:$R,Electricity!$P:$P,$B302,Electricity!$O:$O,$D302,Electricity!$M:$M,$A302)</f>
        <v>3528.8191304347824</v>
      </c>
      <c r="F302" t="s">
        <v>81</v>
      </c>
      <c r="G302" s="31">
        <f>H302/Assumptions!$B$23/1000000000000</f>
        <v>1.4876605689192558E-2</v>
      </c>
      <c r="H302" s="13">
        <f>IF(C302="Electricity",E302*SUMIFS(Electricity!S:S,Electricity!P:P,Predev_Scenarios!B302,Electricity!M:M,Predev_Scenarios!A302,Electricity!O:O,Predev_Scenarios!D302),"")</f>
        <v>4132594.1510252729</v>
      </c>
      <c r="I302" s="59">
        <f>SUMIFS(Electricity!U:U,Electricity!$M:$M,Predev_Scenarios!$A302,Electricity!$P:$P,Predev_Scenarios!$B302,Electricity!$O:$O,Predev_Scenarios!$D302)*-1</f>
        <v>0.12291076099999998</v>
      </c>
      <c r="J302" s="59">
        <f>SUMIFS(Electricity!V:V,Electricity!$M:$M,Predev_Scenarios!$A302,Electricity!$P:$P,Predev_Scenarios!$B302,Electricity!$O:$O,Predev_Scenarios!$D302)*-1</f>
        <v>0.10626129525000003</v>
      </c>
      <c r="K302" s="59">
        <f>SUMIFS(Electricity!W:W,Electricity!$M:$M,Predev_Scenarios!$A302,Electricity!$P:$P,Predev_Scenarios!$B302,Electricity!$O:$O,Predev_Scenarios!$D302)*-1</f>
        <v>0.13956022575000004</v>
      </c>
      <c r="L302" s="63">
        <f t="shared" si="21"/>
        <v>-5.0794029200666507E-7</v>
      </c>
      <c r="M302" s="63">
        <f t="shared" si="22"/>
        <v>-4.3913480723051971E-7</v>
      </c>
      <c r="N302" s="63">
        <f t="shared" si="23"/>
        <v>-5.7674577265021684E-7</v>
      </c>
      <c r="O302" s="30">
        <f>IF(OR(LEFT($D302,5)="Solar",$D302="Wind"),INDEX(Land_Use[AVG],MATCH(LEFT($D302,5),Land_Use[Tech],0)),0)*$E302</f>
        <v>0</v>
      </c>
      <c r="P302" s="30">
        <f>IF(OR(LEFT($D302,5)="Solar",$D302="Wind"),INDEX(Land_Use[MIN],MATCH(LEFT($D302,5),Land_Use[Tech],0)),0)*$E302</f>
        <v>0</v>
      </c>
      <c r="Q302" s="30">
        <f>IF(OR(LEFT($D302,5)="Solar",$D302="Wind"),INDEX(Land_Use[MAX],MATCH(LEFT($D302,5),Land_Use[Tech],0)),0)*$E302</f>
        <v>0</v>
      </c>
      <c r="R302" s="31">
        <f>IFERROR(INDEX(WaterUseH2[Average Direct Water Consumption (Gal/ kg h2)],MATCH(LEFT(D302,3),WaterUseH2[Key],0)),0)</f>
        <v>0</v>
      </c>
      <c r="S302" s="15">
        <f t="shared" si="24"/>
        <v>0</v>
      </c>
    </row>
    <row r="303" spans="1:19" x14ac:dyDescent="0.35">
      <c r="A303" t="s">
        <v>76</v>
      </c>
      <c r="B303">
        <v>2031</v>
      </c>
      <c r="C303" t="s">
        <v>41</v>
      </c>
      <c r="D303" t="s">
        <v>85</v>
      </c>
      <c r="E303" s="12">
        <f>SUMIFS(Electricity!$R:$R,Electricity!$P:$P,$B303,Electricity!$O:$O,$D303,Electricity!$M:$M,$A303)</f>
        <v>4116.9556521739132</v>
      </c>
      <c r="F303" t="s">
        <v>81</v>
      </c>
      <c r="G303" s="31">
        <f>H303/Assumptions!$B$23/1000000000000</f>
        <v>1.7356039970724654E-2</v>
      </c>
      <c r="H303" s="13">
        <f>IF(C303="Electricity",E303*SUMIFS(Electricity!S:S,Electricity!P:P,Predev_Scenarios!B303,Electricity!M:M,Predev_Scenarios!A303,Electricity!O:O,Predev_Scenarios!D303),"")</f>
        <v>4821359.8428628193</v>
      </c>
      <c r="I303" s="59">
        <f>SUMIFS(Electricity!U:U,Electricity!$M:$M,Predev_Scenarios!$A303,Electricity!$P:$P,Predev_Scenarios!$B303,Electricity!$O:$O,Predev_Scenarios!$D303)*-1</f>
        <v>0.11868683679999997</v>
      </c>
      <c r="J303" s="59">
        <f>SUMIFS(Electricity!V:V,Electricity!$M:$M,Predev_Scenarios!$A303,Electricity!$P:$P,Predev_Scenarios!$B303,Electricity!$O:$O,Predev_Scenarios!$D303)*-1</f>
        <v>0.10110352810000003</v>
      </c>
      <c r="K303" s="59">
        <f>SUMIFS(Electricity!W:W,Electricity!$M:$M,Predev_Scenarios!$A303,Electricity!$P:$P,Predev_Scenarios!$B303,Electricity!$O:$O,Predev_Scenarios!$D303)*-1</f>
        <v>0.13627014450000005</v>
      </c>
      <c r="L303" s="63">
        <f t="shared" si="21"/>
        <v>-5.7223194882393294E-7</v>
      </c>
      <c r="M303" s="63">
        <f t="shared" si="22"/>
        <v>-4.874564903530928E-7</v>
      </c>
      <c r="N303" s="63">
        <f t="shared" si="23"/>
        <v>-6.5700740247341389E-7</v>
      </c>
      <c r="O303" s="30">
        <f>IF(OR(LEFT($D303,5)="Solar",$D303="Wind"),INDEX(Land_Use[AVG],MATCH(LEFT($D303,5),Land_Use[Tech],0)),0)*$E303</f>
        <v>0</v>
      </c>
      <c r="P303" s="30">
        <f>IF(OR(LEFT($D303,5)="Solar",$D303="Wind"),INDEX(Land_Use[MIN],MATCH(LEFT($D303,5),Land_Use[Tech],0)),0)*$E303</f>
        <v>0</v>
      </c>
      <c r="Q303" s="30">
        <f>IF(OR(LEFT($D303,5)="Solar",$D303="Wind"),INDEX(Land_Use[MAX],MATCH(LEFT($D303,5),Land_Use[Tech],0)),0)*$E303</f>
        <v>0</v>
      </c>
      <c r="R303" s="31">
        <f>IFERROR(INDEX(WaterUseH2[Average Direct Water Consumption (Gal/ kg h2)],MATCH(LEFT(D303,3),WaterUseH2[Key],0)),0)</f>
        <v>0</v>
      </c>
      <c r="S303" s="15">
        <f t="shared" si="24"/>
        <v>0</v>
      </c>
    </row>
    <row r="304" spans="1:19" x14ac:dyDescent="0.35">
      <c r="A304" t="s">
        <v>76</v>
      </c>
      <c r="B304">
        <v>2032</v>
      </c>
      <c r="C304" t="s">
        <v>41</v>
      </c>
      <c r="D304" t="s">
        <v>85</v>
      </c>
      <c r="E304" s="12">
        <f>SUMIFS(Electricity!$R:$R,Electricity!$P:$P,$B304,Electricity!$O:$O,$D304,Electricity!$M:$M,$A304)</f>
        <v>4705.0921739130436</v>
      </c>
      <c r="F304" t="s">
        <v>81</v>
      </c>
      <c r="G304" s="31">
        <f>H304/Assumptions!$B$23/1000000000000</f>
        <v>1.9835474252256746E-2</v>
      </c>
      <c r="H304" s="13">
        <f>IF(C304="Electricity",E304*SUMIFS(Electricity!S:S,Electricity!P:P,Predev_Scenarios!B304,Electricity!M:M,Predev_Scenarios!A304,Electricity!O:O,Predev_Scenarios!D304),"")</f>
        <v>5510125.5347003639</v>
      </c>
      <c r="I304" s="59">
        <f>SUMIFS(Electricity!U:U,Electricity!$M:$M,Predev_Scenarios!$A304,Electricity!$P:$P,Predev_Scenarios!$B304,Electricity!$O:$O,Predev_Scenarios!$D304)*-1</f>
        <v>0.11446291259999997</v>
      </c>
      <c r="J304" s="59">
        <f>SUMIFS(Electricity!V:V,Electricity!$M:$M,Predev_Scenarios!$A304,Electricity!$P:$P,Predev_Scenarios!$B304,Electricity!$O:$O,Predev_Scenarios!$D304)*-1</f>
        <v>9.5945760950000042E-2</v>
      </c>
      <c r="K304" s="59">
        <f>SUMIFS(Electricity!W:W,Electricity!$M:$M,Predev_Scenarios!$A304,Electricity!$P:$P,Predev_Scenarios!$B304,Electricity!$O:$O,Predev_Scenarios!$D304)*-1</f>
        <v>0.13298006325000006</v>
      </c>
      <c r="L304" s="63">
        <f t="shared" si="21"/>
        <v>-6.307050174934358E-7</v>
      </c>
      <c r="M304" s="63">
        <f t="shared" si="22"/>
        <v>-5.2867318735685228E-7</v>
      </c>
      <c r="N304" s="63">
        <f t="shared" si="23"/>
        <v>-7.3273684211989478E-7</v>
      </c>
      <c r="O304" s="30">
        <f>IF(OR(LEFT($D304,5)="Solar",$D304="Wind"),INDEX(Land_Use[AVG],MATCH(LEFT($D304,5),Land_Use[Tech],0)),0)*$E304</f>
        <v>0</v>
      </c>
      <c r="P304" s="30">
        <f>IF(OR(LEFT($D304,5)="Solar",$D304="Wind"),INDEX(Land_Use[MIN],MATCH(LEFT($D304,5),Land_Use[Tech],0)),0)*$E304</f>
        <v>0</v>
      </c>
      <c r="Q304" s="30">
        <f>IF(OR(LEFT($D304,5)="Solar",$D304="Wind"),INDEX(Land_Use[MAX],MATCH(LEFT($D304,5),Land_Use[Tech],0)),0)*$E304</f>
        <v>0</v>
      </c>
      <c r="R304" s="31">
        <f>IFERROR(INDEX(WaterUseH2[Average Direct Water Consumption (Gal/ kg h2)],MATCH(LEFT(D304,3),WaterUseH2[Key],0)),0)</f>
        <v>0</v>
      </c>
      <c r="S304" s="15">
        <f t="shared" si="24"/>
        <v>0</v>
      </c>
    </row>
    <row r="305" spans="1:19" x14ac:dyDescent="0.35">
      <c r="A305" t="s">
        <v>76</v>
      </c>
      <c r="B305">
        <v>2033</v>
      </c>
      <c r="C305" t="s">
        <v>41</v>
      </c>
      <c r="D305" t="s">
        <v>85</v>
      </c>
      <c r="E305" s="12">
        <f>SUMIFS(Electricity!$R:$R,Electricity!$P:$P,$B305,Electricity!$O:$O,$D305,Electricity!$M:$M,$A305)</f>
        <v>5293.2286956521739</v>
      </c>
      <c r="F305" t="s">
        <v>81</v>
      </c>
      <c r="G305" s="31">
        <f>H305/Assumptions!$B$23/1000000000000</f>
        <v>2.2314908533788837E-2</v>
      </c>
      <c r="H305" s="13">
        <f>IF(C305="Electricity",E305*SUMIFS(Electricity!S:S,Electricity!P:P,Predev_Scenarios!B305,Electricity!M:M,Predev_Scenarios!A305,Electricity!O:O,Predev_Scenarios!D305),"")</f>
        <v>6198891.2265379094</v>
      </c>
      <c r="I305" s="59">
        <f>SUMIFS(Electricity!U:U,Electricity!$M:$M,Predev_Scenarios!$A305,Electricity!$P:$P,Predev_Scenarios!$B305,Electricity!$O:$O,Predev_Scenarios!$D305)*-1</f>
        <v>0.11023898839999996</v>
      </c>
      <c r="J305" s="59">
        <f>SUMIFS(Electricity!V:V,Electricity!$M:$M,Predev_Scenarios!$A305,Electricity!$P:$P,Predev_Scenarios!$B305,Electricity!$O:$O,Predev_Scenarios!$D305)*-1</f>
        <v>9.078799380000005E-2</v>
      </c>
      <c r="K305" s="59">
        <f>SUMIFS(Electricity!W:W,Electricity!$M:$M,Predev_Scenarios!$A305,Electricity!$P:$P,Predev_Scenarios!$B305,Electricity!$O:$O,Predev_Scenarios!$D305)*-1</f>
        <v>0.12968998200000006</v>
      </c>
      <c r="L305" s="63">
        <f t="shared" si="21"/>
        <v>-6.833594980151741E-7</v>
      </c>
      <c r="M305" s="63">
        <f t="shared" si="22"/>
        <v>-5.6278489824179847E-7</v>
      </c>
      <c r="N305" s="63">
        <f t="shared" si="23"/>
        <v>-8.0393409158965981E-7</v>
      </c>
      <c r="O305" s="30">
        <f>IF(OR(LEFT($D305,5)="Solar",$D305="Wind"),INDEX(Land_Use[AVG],MATCH(LEFT($D305,5),Land_Use[Tech],0)),0)*$E305</f>
        <v>0</v>
      </c>
      <c r="P305" s="30">
        <f>IF(OR(LEFT($D305,5)="Solar",$D305="Wind"),INDEX(Land_Use[MIN],MATCH(LEFT($D305,5),Land_Use[Tech],0)),0)*$E305</f>
        <v>0</v>
      </c>
      <c r="Q305" s="30">
        <f>IF(OR(LEFT($D305,5)="Solar",$D305="Wind"),INDEX(Land_Use[MAX],MATCH(LEFT($D305,5),Land_Use[Tech],0)),0)*$E305</f>
        <v>0</v>
      </c>
      <c r="R305" s="31">
        <f>IFERROR(INDEX(WaterUseH2[Average Direct Water Consumption (Gal/ kg h2)],MATCH(LEFT(D305,3),WaterUseH2[Key],0)),0)</f>
        <v>0</v>
      </c>
      <c r="S305" s="15">
        <f t="shared" si="24"/>
        <v>0</v>
      </c>
    </row>
    <row r="306" spans="1:19" x14ac:dyDescent="0.35">
      <c r="A306" t="s">
        <v>76</v>
      </c>
      <c r="B306">
        <v>2034</v>
      </c>
      <c r="C306" t="s">
        <v>41</v>
      </c>
      <c r="D306" t="s">
        <v>85</v>
      </c>
      <c r="E306" s="12">
        <f>SUMIFS(Electricity!$R:$R,Electricity!$P:$P,$B306,Electricity!$O:$O,$D306,Electricity!$M:$M,$A306)</f>
        <v>5881.3652173913042</v>
      </c>
      <c r="F306" t="s">
        <v>81</v>
      </c>
      <c r="G306" s="31">
        <f>H306/Assumptions!$B$23/1000000000000</f>
        <v>2.4794342815320929E-2</v>
      </c>
      <c r="H306" s="13">
        <f>IF(C306="Electricity",E306*SUMIFS(Electricity!S:S,Electricity!P:P,Predev_Scenarios!B306,Electricity!M:M,Predev_Scenarios!A306,Electricity!O:O,Predev_Scenarios!D306),"")</f>
        <v>6887656.9183754548</v>
      </c>
      <c r="I306" s="59">
        <f>SUMIFS(Electricity!U:U,Electricity!$M:$M,Predev_Scenarios!$A306,Electricity!$P:$P,Predev_Scenarios!$B306,Electricity!$O:$O,Predev_Scenarios!$D306)*-1</f>
        <v>0.10601506419999995</v>
      </c>
      <c r="J306" s="59">
        <f>SUMIFS(Electricity!V:V,Electricity!$M:$M,Predev_Scenarios!$A306,Electricity!$P:$P,Predev_Scenarios!$B306,Electricity!$O:$O,Predev_Scenarios!$D306)*-1</f>
        <v>8.5630226650000058E-2</v>
      </c>
      <c r="K306" s="59">
        <f>SUMIFS(Electricity!W:W,Electricity!$M:$M,Predev_Scenarios!$A306,Electricity!$P:$P,Predev_Scenarios!$B306,Electricity!$O:$O,Predev_Scenarios!$D306)*-1</f>
        <v>0.12639990075000007</v>
      </c>
      <c r="L306" s="63">
        <f t="shared" si="21"/>
        <v>-7.3019539038914771E-7</v>
      </c>
      <c r="M306" s="63">
        <f t="shared" si="22"/>
        <v>-5.8979162300793114E-7</v>
      </c>
      <c r="N306" s="63">
        <f t="shared" si="23"/>
        <v>-8.7059915088270888E-7</v>
      </c>
      <c r="O306" s="30">
        <f>IF(OR(LEFT($D306,5)="Solar",$D306="Wind"),INDEX(Land_Use[AVG],MATCH(LEFT($D306,5),Land_Use[Tech],0)),0)*$E306</f>
        <v>0</v>
      </c>
      <c r="P306" s="30">
        <f>IF(OR(LEFT($D306,5)="Solar",$D306="Wind"),INDEX(Land_Use[MIN],MATCH(LEFT($D306,5),Land_Use[Tech],0)),0)*$E306</f>
        <v>0</v>
      </c>
      <c r="Q306" s="30">
        <f>IF(OR(LEFT($D306,5)="Solar",$D306="Wind"),INDEX(Land_Use[MAX],MATCH(LEFT($D306,5),Land_Use[Tech],0)),0)*$E306</f>
        <v>0</v>
      </c>
      <c r="R306" s="31">
        <f>IFERROR(INDEX(WaterUseH2[Average Direct Water Consumption (Gal/ kg h2)],MATCH(LEFT(D306,3),WaterUseH2[Key],0)),0)</f>
        <v>0</v>
      </c>
      <c r="S306" s="15">
        <f t="shared" si="24"/>
        <v>0</v>
      </c>
    </row>
    <row r="307" spans="1:19" x14ac:dyDescent="0.35">
      <c r="A307" t="s">
        <v>76</v>
      </c>
      <c r="B307">
        <v>2035</v>
      </c>
      <c r="C307" t="s">
        <v>41</v>
      </c>
      <c r="D307" t="s">
        <v>85</v>
      </c>
      <c r="E307" s="12">
        <f>SUMIFS(Electricity!$R:$R,Electricity!$P:$P,$B307,Electricity!$O:$O,$D307,Electricity!$M:$M,$A307)</f>
        <v>6469.5017391304345</v>
      </c>
      <c r="F307" t="s">
        <v>81</v>
      </c>
      <c r="G307" s="31">
        <f>H307/Assumptions!$B$23/1000000000000</f>
        <v>2.7273777096853025E-2</v>
      </c>
      <c r="H307" s="13">
        <f>IF(C307="Electricity",E307*SUMIFS(Electricity!S:S,Electricity!P:P,Predev_Scenarios!B307,Electricity!M:M,Predev_Scenarios!A307,Electricity!O:O,Predev_Scenarios!D307),"")</f>
        <v>7576422.6102130003</v>
      </c>
      <c r="I307" s="59">
        <f>SUMIFS(Electricity!U:U,Electricity!$M:$M,Predev_Scenarios!$A307,Electricity!$P:$P,Predev_Scenarios!$B307,Electricity!$O:$O,Predev_Scenarios!$D307)*-1</f>
        <v>0.10179113999999995</v>
      </c>
      <c r="J307" s="59">
        <f>SUMIFS(Electricity!V:V,Electricity!$M:$M,Predev_Scenarios!$A307,Electricity!$P:$P,Predev_Scenarios!$B307,Electricity!$O:$O,Predev_Scenarios!$D307)*-1</f>
        <v>8.0472459500000065E-2</v>
      </c>
      <c r="K307" s="59">
        <f>SUMIFS(Electricity!W:W,Electricity!$M:$M,Predev_Scenarios!$A307,Electricity!$P:$P,Predev_Scenarios!$B307,Electricity!$O:$O,Predev_Scenarios!$D307)*-1</f>
        <v>0.12310981950000006</v>
      </c>
      <c r="L307" s="63">
        <f t="shared" si="21"/>
        <v>-7.7121269461535653E-7</v>
      </c>
      <c r="M307" s="63">
        <f t="shared" si="22"/>
        <v>-6.0969336165525041E-7</v>
      </c>
      <c r="N307" s="63">
        <f t="shared" si="23"/>
        <v>-9.3273201999904188E-7</v>
      </c>
      <c r="O307" s="30">
        <f>IF(OR(LEFT($D307,5)="Solar",$D307="Wind"),INDEX(Land_Use[AVG],MATCH(LEFT($D307,5),Land_Use[Tech],0)),0)*$E307</f>
        <v>0</v>
      </c>
      <c r="P307" s="30">
        <f>IF(OR(LEFT($D307,5)="Solar",$D307="Wind"),INDEX(Land_Use[MIN],MATCH(LEFT($D307,5),Land_Use[Tech],0)),0)*$E307</f>
        <v>0</v>
      </c>
      <c r="Q307" s="30">
        <f>IF(OR(LEFT($D307,5)="Solar",$D307="Wind"),INDEX(Land_Use[MAX],MATCH(LEFT($D307,5),Land_Use[Tech],0)),0)*$E307</f>
        <v>0</v>
      </c>
      <c r="R307" s="31">
        <f>IFERROR(INDEX(WaterUseH2[Average Direct Water Consumption (Gal/ kg h2)],MATCH(LEFT(D307,3),WaterUseH2[Key],0)),0)</f>
        <v>0</v>
      </c>
      <c r="S307" s="15">
        <f t="shared" si="24"/>
        <v>0</v>
      </c>
    </row>
    <row r="308" spans="1:19" x14ac:dyDescent="0.35">
      <c r="A308" t="s">
        <v>76</v>
      </c>
      <c r="B308">
        <v>2036</v>
      </c>
      <c r="C308" t="s">
        <v>41</v>
      </c>
      <c r="D308" t="s">
        <v>85</v>
      </c>
      <c r="E308" s="12">
        <f>SUMIFS(Electricity!$R:$R,Electricity!$P:$P,$B308,Electricity!$O:$O,$D308,Electricity!$M:$M,$A308)</f>
        <v>6469.5017391304345</v>
      </c>
      <c r="F308" t="s">
        <v>81</v>
      </c>
      <c r="G308" s="31">
        <f>H308/Assumptions!$B$23/1000000000000</f>
        <v>2.7273777096853025E-2</v>
      </c>
      <c r="H308" s="13">
        <f>IF(C308="Electricity",E308*SUMIFS(Electricity!S:S,Electricity!P:P,Predev_Scenarios!B308,Electricity!M:M,Predev_Scenarios!A308,Electricity!O:O,Predev_Scenarios!D308),"")</f>
        <v>7576422.6102130003</v>
      </c>
      <c r="I308" s="59">
        <f>SUMIFS(Electricity!U:U,Electricity!$M:$M,Predev_Scenarios!$A308,Electricity!$P:$P,Predev_Scenarios!$B308,Electricity!$O:$O,Predev_Scenarios!$D308)*-1</f>
        <v>9.756721579999994E-2</v>
      </c>
      <c r="J308" s="59">
        <f>SUMIFS(Electricity!V:V,Electricity!$M:$M,Predev_Scenarios!$A308,Electricity!$P:$P,Predev_Scenarios!$B308,Electricity!$O:$O,Predev_Scenarios!$D308)*-1</f>
        <v>7.5314692350000073E-2</v>
      </c>
      <c r="K308" s="59">
        <f>SUMIFS(Electricity!W:W,Electricity!$M:$M,Predev_Scenarios!$A308,Electricity!$P:$P,Predev_Scenarios!$B308,Electricity!$O:$O,Predev_Scenarios!$D308)*-1</f>
        <v>0.11981973825000006</v>
      </c>
      <c r="L308" s="63">
        <f t="shared" si="21"/>
        <v>-7.3921045980265063E-7</v>
      </c>
      <c r="M308" s="63">
        <f t="shared" si="22"/>
        <v>-5.7061593800177664E-7</v>
      </c>
      <c r="N308" s="63">
        <f t="shared" si="23"/>
        <v>-9.0780497402710395E-7</v>
      </c>
      <c r="O308" s="30">
        <f>IF(OR(LEFT($D308,5)="Solar",$D308="Wind"),INDEX(Land_Use[AVG],MATCH(LEFT($D308,5),Land_Use[Tech],0)),0)*$E308</f>
        <v>0</v>
      </c>
      <c r="P308" s="30">
        <f>IF(OR(LEFT($D308,5)="Solar",$D308="Wind"),INDEX(Land_Use[MIN],MATCH(LEFT($D308,5),Land_Use[Tech],0)),0)*$E308</f>
        <v>0</v>
      </c>
      <c r="Q308" s="30">
        <f>IF(OR(LEFT($D308,5)="Solar",$D308="Wind"),INDEX(Land_Use[MAX],MATCH(LEFT($D308,5),Land_Use[Tech],0)),0)*$E308</f>
        <v>0</v>
      </c>
      <c r="R308" s="31">
        <f>IFERROR(INDEX(WaterUseH2[Average Direct Water Consumption (Gal/ kg h2)],MATCH(LEFT(D308,3),WaterUseH2[Key],0)),0)</f>
        <v>0</v>
      </c>
      <c r="S308" s="15">
        <f t="shared" si="24"/>
        <v>0</v>
      </c>
    </row>
    <row r="309" spans="1:19" x14ac:dyDescent="0.35">
      <c r="A309" t="s">
        <v>76</v>
      </c>
      <c r="B309">
        <v>2037</v>
      </c>
      <c r="C309" t="s">
        <v>41</v>
      </c>
      <c r="D309" t="s">
        <v>85</v>
      </c>
      <c r="E309" s="12">
        <f>SUMIFS(Electricity!$R:$R,Electricity!$P:$P,$B309,Electricity!$O:$O,$D309,Electricity!$M:$M,$A309)</f>
        <v>6469.5017391304345</v>
      </c>
      <c r="F309" t="s">
        <v>81</v>
      </c>
      <c r="G309" s="31">
        <f>H309/Assumptions!$B$23/1000000000000</f>
        <v>2.7273777096853025E-2</v>
      </c>
      <c r="H309" s="13">
        <f>IF(C309="Electricity",E309*SUMIFS(Electricity!S:S,Electricity!P:P,Predev_Scenarios!B309,Electricity!M:M,Predev_Scenarios!A309,Electricity!O:O,Predev_Scenarios!D309),"")</f>
        <v>7576422.6102130003</v>
      </c>
      <c r="I309" s="59">
        <f>SUMIFS(Electricity!U:U,Electricity!$M:$M,Predev_Scenarios!$A309,Electricity!$P:$P,Predev_Scenarios!$B309,Electricity!$O:$O,Predev_Scenarios!$D309)*-1</f>
        <v>9.3343291599999934E-2</v>
      </c>
      <c r="J309" s="59">
        <f>SUMIFS(Electricity!V:V,Electricity!$M:$M,Predev_Scenarios!$A309,Electricity!$P:$P,Predev_Scenarios!$B309,Electricity!$O:$O,Predev_Scenarios!$D309)*-1</f>
        <v>7.0156925200000081E-2</v>
      </c>
      <c r="K309" s="59">
        <f>SUMIFS(Electricity!W:W,Electricity!$M:$M,Predev_Scenarios!$A309,Electricity!$P:$P,Predev_Scenarios!$B309,Electricity!$O:$O,Predev_Scenarios!$D309)*-1</f>
        <v>0.11652965700000005</v>
      </c>
      <c r="L309" s="63">
        <f t="shared" si="21"/>
        <v>-7.0720822498994472E-7</v>
      </c>
      <c r="M309" s="63">
        <f t="shared" si="22"/>
        <v>-5.3153851434830288E-7</v>
      </c>
      <c r="N309" s="63">
        <f t="shared" si="23"/>
        <v>-8.8287792805516601E-7</v>
      </c>
      <c r="O309" s="30">
        <f>IF(OR(LEFT($D309,5)="Solar",$D309="Wind"),INDEX(Land_Use[AVG],MATCH(LEFT($D309,5),Land_Use[Tech],0)),0)*$E309</f>
        <v>0</v>
      </c>
      <c r="P309" s="30">
        <f>IF(OR(LEFT($D309,5)="Solar",$D309="Wind"),INDEX(Land_Use[MIN],MATCH(LEFT($D309,5),Land_Use[Tech],0)),0)*$E309</f>
        <v>0</v>
      </c>
      <c r="Q309" s="30">
        <f>IF(OR(LEFT($D309,5)="Solar",$D309="Wind"),INDEX(Land_Use[MAX],MATCH(LEFT($D309,5),Land_Use[Tech],0)),0)*$E309</f>
        <v>0</v>
      </c>
      <c r="R309" s="31">
        <f>IFERROR(INDEX(WaterUseH2[Average Direct Water Consumption (Gal/ kg h2)],MATCH(LEFT(D309,3),WaterUseH2[Key],0)),0)</f>
        <v>0</v>
      </c>
      <c r="S309" s="15">
        <f t="shared" si="24"/>
        <v>0</v>
      </c>
    </row>
    <row r="310" spans="1:19" x14ac:dyDescent="0.35">
      <c r="A310" t="s">
        <v>76</v>
      </c>
      <c r="B310">
        <v>2038</v>
      </c>
      <c r="C310" t="s">
        <v>41</v>
      </c>
      <c r="D310" t="s">
        <v>85</v>
      </c>
      <c r="E310" s="12">
        <f>SUMIFS(Electricity!$R:$R,Electricity!$P:$P,$B310,Electricity!$O:$O,$D310,Electricity!$M:$M,$A310)</f>
        <v>6469.5017391304345</v>
      </c>
      <c r="F310" t="s">
        <v>81</v>
      </c>
      <c r="G310" s="31">
        <f>H310/Assumptions!$B$23/1000000000000</f>
        <v>2.7273777096853025E-2</v>
      </c>
      <c r="H310" s="13">
        <f>IF(C310="Electricity",E310*SUMIFS(Electricity!S:S,Electricity!P:P,Predev_Scenarios!B310,Electricity!M:M,Predev_Scenarios!A310,Electricity!O:O,Predev_Scenarios!D310),"")</f>
        <v>7576422.6102130003</v>
      </c>
      <c r="I310" s="59">
        <f>SUMIFS(Electricity!U:U,Electricity!$M:$M,Predev_Scenarios!$A310,Electricity!$P:$P,Predev_Scenarios!$B310,Electricity!$O:$O,Predev_Scenarios!$D310)*-1</f>
        <v>8.9119367399999927E-2</v>
      </c>
      <c r="J310" s="59">
        <f>SUMIFS(Electricity!V:V,Electricity!$M:$M,Predev_Scenarios!$A310,Electricity!$P:$P,Predev_Scenarios!$B310,Electricity!$O:$O,Predev_Scenarios!$D310)*-1</f>
        <v>6.4999158050000089E-2</v>
      </c>
      <c r="K310" s="59">
        <f>SUMIFS(Electricity!W:W,Electricity!$M:$M,Predev_Scenarios!$A310,Electricity!$P:$P,Predev_Scenarios!$B310,Electricity!$O:$O,Predev_Scenarios!$D310)*-1</f>
        <v>0.11323957575000004</v>
      </c>
      <c r="L310" s="63">
        <f t="shared" si="21"/>
        <v>-6.7520599017723882E-7</v>
      </c>
      <c r="M310" s="63">
        <f t="shared" si="22"/>
        <v>-4.92461090694829E-7</v>
      </c>
      <c r="N310" s="63">
        <f t="shared" si="23"/>
        <v>-8.5795088208322808E-7</v>
      </c>
      <c r="O310" s="30">
        <f>IF(OR(LEFT($D310,5)="Solar",$D310="Wind"),INDEX(Land_Use[AVG],MATCH(LEFT($D310,5),Land_Use[Tech],0)),0)*$E310</f>
        <v>0</v>
      </c>
      <c r="P310" s="30">
        <f>IF(OR(LEFT($D310,5)="Solar",$D310="Wind"),INDEX(Land_Use[MIN],MATCH(LEFT($D310,5),Land_Use[Tech],0)),0)*$E310</f>
        <v>0</v>
      </c>
      <c r="Q310" s="30">
        <f>IF(OR(LEFT($D310,5)="Solar",$D310="Wind"),INDEX(Land_Use[MAX],MATCH(LEFT($D310,5),Land_Use[Tech],0)),0)*$E310</f>
        <v>0</v>
      </c>
      <c r="R310" s="31">
        <f>IFERROR(INDEX(WaterUseH2[Average Direct Water Consumption (Gal/ kg h2)],MATCH(LEFT(D310,3),WaterUseH2[Key],0)),0)</f>
        <v>0</v>
      </c>
      <c r="S310" s="15">
        <f t="shared" si="24"/>
        <v>0</v>
      </c>
    </row>
    <row r="311" spans="1:19" x14ac:dyDescent="0.35">
      <c r="A311" t="s">
        <v>76</v>
      </c>
      <c r="B311">
        <v>2039</v>
      </c>
      <c r="C311" t="s">
        <v>41</v>
      </c>
      <c r="D311" t="s">
        <v>85</v>
      </c>
      <c r="E311" s="12">
        <f>SUMIFS(Electricity!$R:$R,Electricity!$P:$P,$B311,Electricity!$O:$O,$D311,Electricity!$M:$M,$A311)</f>
        <v>6469.5017391304345</v>
      </c>
      <c r="F311" t="s">
        <v>81</v>
      </c>
      <c r="G311" s="31">
        <f>H311/Assumptions!$B$23/1000000000000</f>
        <v>2.7273777096853025E-2</v>
      </c>
      <c r="H311" s="13">
        <f>IF(C311="Electricity",E311*SUMIFS(Electricity!S:S,Electricity!P:P,Predev_Scenarios!B311,Electricity!M:M,Predev_Scenarios!A311,Electricity!O:O,Predev_Scenarios!D311),"")</f>
        <v>7576422.6102130003</v>
      </c>
      <c r="I311" s="59">
        <f>SUMIFS(Electricity!U:U,Electricity!$M:$M,Predev_Scenarios!$A311,Electricity!$P:$P,Predev_Scenarios!$B311,Electricity!$O:$O,Predev_Scenarios!$D311)*-1</f>
        <v>8.489544319999992E-2</v>
      </c>
      <c r="J311" s="59">
        <f>SUMIFS(Electricity!V:V,Electricity!$M:$M,Predev_Scenarios!$A311,Electricity!$P:$P,Predev_Scenarios!$B311,Electricity!$O:$O,Predev_Scenarios!$D311)*-1</f>
        <v>5.984139090000009E-2</v>
      </c>
      <c r="K311" s="59">
        <f>SUMIFS(Electricity!W:W,Electricity!$M:$M,Predev_Scenarios!$A311,Electricity!$P:$P,Predev_Scenarios!$B311,Electricity!$O:$O,Predev_Scenarios!$D311)*-1</f>
        <v>0.10994949450000004</v>
      </c>
      <c r="L311" s="63">
        <f t="shared" si="21"/>
        <v>-6.4320375536453292E-7</v>
      </c>
      <c r="M311" s="63">
        <f t="shared" si="22"/>
        <v>-4.5338366704135518E-7</v>
      </c>
      <c r="N311" s="63">
        <f t="shared" si="23"/>
        <v>-8.3302383611129025E-7</v>
      </c>
      <c r="O311" s="30">
        <f>IF(OR(LEFT($D311,5)="Solar",$D311="Wind"),INDEX(Land_Use[AVG],MATCH(LEFT($D311,5),Land_Use[Tech],0)),0)*$E311</f>
        <v>0</v>
      </c>
      <c r="P311" s="30">
        <f>IF(OR(LEFT($D311,5)="Solar",$D311="Wind"),INDEX(Land_Use[MIN],MATCH(LEFT($D311,5),Land_Use[Tech],0)),0)*$E311</f>
        <v>0</v>
      </c>
      <c r="Q311" s="30">
        <f>IF(OR(LEFT($D311,5)="Solar",$D311="Wind"),INDEX(Land_Use[MAX],MATCH(LEFT($D311,5),Land_Use[Tech],0)),0)*$E311</f>
        <v>0</v>
      </c>
      <c r="R311" s="31">
        <f>IFERROR(INDEX(WaterUseH2[Average Direct Water Consumption (Gal/ kg h2)],MATCH(LEFT(D311,3),WaterUseH2[Key],0)),0)</f>
        <v>0</v>
      </c>
      <c r="S311" s="15">
        <f t="shared" si="24"/>
        <v>0</v>
      </c>
    </row>
    <row r="312" spans="1:19" x14ac:dyDescent="0.35">
      <c r="A312" t="s">
        <v>76</v>
      </c>
      <c r="B312">
        <v>2040</v>
      </c>
      <c r="C312" t="s">
        <v>41</v>
      </c>
      <c r="D312" t="s">
        <v>85</v>
      </c>
      <c r="E312" s="12">
        <f>SUMIFS(Electricity!$R:$R,Electricity!$P:$P,$B312,Electricity!$O:$O,$D312,Electricity!$M:$M,$A312)</f>
        <v>6469.5017391304345</v>
      </c>
      <c r="F312" t="s">
        <v>81</v>
      </c>
      <c r="G312" s="31">
        <f>H312/Assumptions!$B$23/1000000000000</f>
        <v>2.7273777096853025E-2</v>
      </c>
      <c r="H312" s="13">
        <f>IF(C312="Electricity",E312*SUMIFS(Electricity!S:S,Electricity!P:P,Predev_Scenarios!B312,Electricity!M:M,Predev_Scenarios!A312,Electricity!O:O,Predev_Scenarios!D312),"")</f>
        <v>7576422.6102130003</v>
      </c>
      <c r="I312" s="59">
        <f>SUMIFS(Electricity!U:U,Electricity!$M:$M,Predev_Scenarios!$A312,Electricity!$P:$P,Predev_Scenarios!$B312,Electricity!$O:$O,Predev_Scenarios!$D312)*-1</f>
        <v>8.0671518999999914E-2</v>
      </c>
      <c r="J312" s="59">
        <f>SUMIFS(Electricity!V:V,Electricity!$M:$M,Predev_Scenarios!$A312,Electricity!$P:$P,Predev_Scenarios!$B312,Electricity!$O:$O,Predev_Scenarios!$D312)*-1</f>
        <v>5.468362375000009E-2</v>
      </c>
      <c r="K312" s="59">
        <f>SUMIFS(Electricity!W:W,Electricity!$M:$M,Predev_Scenarios!$A312,Electricity!$P:$P,Predev_Scenarios!$B312,Electricity!$O:$O,Predev_Scenarios!$D312)*-1</f>
        <v>0.10665941325000003</v>
      </c>
      <c r="L312" s="63">
        <f t="shared" si="21"/>
        <v>-6.1120152055182701E-7</v>
      </c>
      <c r="M312" s="63">
        <f t="shared" si="22"/>
        <v>-4.1430624338788131E-7</v>
      </c>
      <c r="N312" s="63">
        <f t="shared" si="23"/>
        <v>-8.0809679013935232E-7</v>
      </c>
      <c r="O312" s="30">
        <f>IF(OR(LEFT($D312,5)="Solar",$D312="Wind"),INDEX(Land_Use[AVG],MATCH(LEFT($D312,5),Land_Use[Tech],0)),0)*$E312</f>
        <v>0</v>
      </c>
      <c r="P312" s="30">
        <f>IF(OR(LEFT($D312,5)="Solar",$D312="Wind"),INDEX(Land_Use[MIN],MATCH(LEFT($D312,5),Land_Use[Tech],0)),0)*$E312</f>
        <v>0</v>
      </c>
      <c r="Q312" s="30">
        <f>IF(OR(LEFT($D312,5)="Solar",$D312="Wind"),INDEX(Land_Use[MAX],MATCH(LEFT($D312,5),Land_Use[Tech],0)),0)*$E312</f>
        <v>0</v>
      </c>
      <c r="R312" s="31">
        <f>IFERROR(INDEX(WaterUseH2[Average Direct Water Consumption (Gal/ kg h2)],MATCH(LEFT(D312,3),WaterUseH2[Key],0)),0)</f>
        <v>0</v>
      </c>
      <c r="S312" s="15">
        <f t="shared" si="24"/>
        <v>0</v>
      </c>
    </row>
    <row r="313" spans="1:19" x14ac:dyDescent="0.35">
      <c r="A313" t="s">
        <v>76</v>
      </c>
      <c r="B313">
        <v>2041</v>
      </c>
      <c r="C313" t="s">
        <v>41</v>
      </c>
      <c r="D313" t="s">
        <v>85</v>
      </c>
      <c r="E313" s="12">
        <f>SUMIFS(Electricity!$R:$R,Electricity!$P:$P,$B313,Electricity!$O:$O,$D313,Electricity!$M:$M,$A313)</f>
        <v>6469.5017391304345</v>
      </c>
      <c r="F313" t="s">
        <v>81</v>
      </c>
      <c r="G313" s="31">
        <f>H313/Assumptions!$B$23/1000000000000</f>
        <v>2.7273777096853025E-2</v>
      </c>
      <c r="H313" s="13">
        <f>IF(C313="Electricity",E313*SUMIFS(Electricity!S:S,Electricity!P:P,Predev_Scenarios!B313,Electricity!M:M,Predev_Scenarios!A313,Electricity!O:O,Predev_Scenarios!D313),"")</f>
        <v>7576422.6102130003</v>
      </c>
      <c r="I313" s="59">
        <f>SUMIFS(Electricity!U:U,Electricity!$M:$M,Predev_Scenarios!$A313,Electricity!$P:$P,Predev_Scenarios!$B313,Electricity!$O:$O,Predev_Scenarios!$D313)*-1</f>
        <v>7.6447594799999907E-2</v>
      </c>
      <c r="J313" s="59">
        <f>SUMIFS(Electricity!V:V,Electricity!$M:$M,Predev_Scenarios!$A313,Electricity!$P:$P,Predev_Scenarios!$B313,Electricity!$O:$O,Predev_Scenarios!$D313)*-1</f>
        <v>4.9525856600000091E-2</v>
      </c>
      <c r="K313" s="59">
        <f>SUMIFS(Electricity!W:W,Electricity!$M:$M,Predev_Scenarios!$A313,Electricity!$P:$P,Predev_Scenarios!$B313,Electricity!$O:$O,Predev_Scenarios!$D313)*-1</f>
        <v>0.10336933200000002</v>
      </c>
      <c r="L313" s="63">
        <f t="shared" si="21"/>
        <v>-5.7919928573912111E-7</v>
      </c>
      <c r="M313" s="63">
        <f t="shared" si="22"/>
        <v>-3.7522881973440743E-7</v>
      </c>
      <c r="N313" s="63">
        <f t="shared" si="23"/>
        <v>-7.8316974416741438E-7</v>
      </c>
      <c r="O313" s="30">
        <f>IF(OR(LEFT($D313,5)="Solar",$D313="Wind"),INDEX(Land_Use[AVG],MATCH(LEFT($D313,5),Land_Use[Tech],0)),0)*$E313</f>
        <v>0</v>
      </c>
      <c r="P313" s="30">
        <f>IF(OR(LEFT($D313,5)="Solar",$D313="Wind"),INDEX(Land_Use[MIN],MATCH(LEFT($D313,5),Land_Use[Tech],0)),0)*$E313</f>
        <v>0</v>
      </c>
      <c r="Q313" s="30">
        <f>IF(OR(LEFT($D313,5)="Solar",$D313="Wind"),INDEX(Land_Use[MAX],MATCH(LEFT($D313,5),Land_Use[Tech],0)),0)*$E313</f>
        <v>0</v>
      </c>
      <c r="R313" s="31">
        <f>IFERROR(INDEX(WaterUseH2[Average Direct Water Consumption (Gal/ kg h2)],MATCH(LEFT(D313,3),WaterUseH2[Key],0)),0)</f>
        <v>0</v>
      </c>
      <c r="S313" s="15">
        <f t="shared" si="24"/>
        <v>0</v>
      </c>
    </row>
    <row r="314" spans="1:19" x14ac:dyDescent="0.35">
      <c r="A314" t="s">
        <v>76</v>
      </c>
      <c r="B314">
        <v>2042</v>
      </c>
      <c r="C314" t="s">
        <v>41</v>
      </c>
      <c r="D314" t="s">
        <v>85</v>
      </c>
      <c r="E314" s="12">
        <f>SUMIFS(Electricity!$R:$R,Electricity!$P:$P,$B314,Electricity!$O:$O,$D314,Electricity!$M:$M,$A314)</f>
        <v>6469.5017391304345</v>
      </c>
      <c r="F314" t="s">
        <v>81</v>
      </c>
      <c r="G314" s="31">
        <f>H314/Assumptions!$B$23/1000000000000</f>
        <v>2.7273777096853025E-2</v>
      </c>
      <c r="H314" s="13">
        <f>IF(C314="Electricity",E314*SUMIFS(Electricity!S:S,Electricity!P:P,Predev_Scenarios!B314,Electricity!M:M,Predev_Scenarios!A314,Electricity!O:O,Predev_Scenarios!D314),"")</f>
        <v>7576422.6102130003</v>
      </c>
      <c r="I314" s="59">
        <f>SUMIFS(Electricity!U:U,Electricity!$M:$M,Predev_Scenarios!$A314,Electricity!$P:$P,Predev_Scenarios!$B314,Electricity!$O:$O,Predev_Scenarios!$D314)*-1</f>
        <v>7.2223670599999901E-2</v>
      </c>
      <c r="J314" s="59">
        <f>SUMIFS(Electricity!V:V,Electricity!$M:$M,Predev_Scenarios!$A314,Electricity!$P:$P,Predev_Scenarios!$B314,Electricity!$O:$O,Predev_Scenarios!$D314)*-1</f>
        <v>4.4368089450000092E-2</v>
      </c>
      <c r="K314" s="59">
        <f>SUMIFS(Electricity!W:W,Electricity!$M:$M,Predev_Scenarios!$A314,Electricity!$P:$P,Predev_Scenarios!$B314,Electricity!$O:$O,Predev_Scenarios!$D314)*-1</f>
        <v>0.10007925075000002</v>
      </c>
      <c r="L314" s="63">
        <f t="shared" si="21"/>
        <v>-5.471970509264152E-7</v>
      </c>
      <c r="M314" s="63">
        <f t="shared" si="22"/>
        <v>-3.3615139608093361E-7</v>
      </c>
      <c r="N314" s="63">
        <f t="shared" si="23"/>
        <v>-7.5824269819547645E-7</v>
      </c>
      <c r="O314" s="30">
        <f>IF(OR(LEFT($D314,5)="Solar",$D314="Wind"),INDEX(Land_Use[AVG],MATCH(LEFT($D314,5),Land_Use[Tech],0)),0)*$E314</f>
        <v>0</v>
      </c>
      <c r="P314" s="30">
        <f>IF(OR(LEFT($D314,5)="Solar",$D314="Wind"),INDEX(Land_Use[MIN],MATCH(LEFT($D314,5),Land_Use[Tech],0)),0)*$E314</f>
        <v>0</v>
      </c>
      <c r="Q314" s="30">
        <f>IF(OR(LEFT($D314,5)="Solar",$D314="Wind"),INDEX(Land_Use[MAX],MATCH(LEFT($D314,5),Land_Use[Tech],0)),0)*$E314</f>
        <v>0</v>
      </c>
      <c r="R314" s="31">
        <f>IFERROR(INDEX(WaterUseH2[Average Direct Water Consumption (Gal/ kg h2)],MATCH(LEFT(D314,3),WaterUseH2[Key],0)),0)</f>
        <v>0</v>
      </c>
      <c r="S314" s="15">
        <f t="shared" si="24"/>
        <v>0</v>
      </c>
    </row>
    <row r="315" spans="1:19" x14ac:dyDescent="0.35">
      <c r="A315" t="s">
        <v>76</v>
      </c>
      <c r="B315">
        <v>2043</v>
      </c>
      <c r="C315" t="s">
        <v>41</v>
      </c>
      <c r="D315" t="s">
        <v>85</v>
      </c>
      <c r="E315" s="12">
        <f>SUMIFS(Electricity!$R:$R,Electricity!$P:$P,$B315,Electricity!$O:$O,$D315,Electricity!$M:$M,$A315)</f>
        <v>6469.5017391304345</v>
      </c>
      <c r="F315" t="s">
        <v>81</v>
      </c>
      <c r="G315" s="31">
        <f>H315/Assumptions!$B$23/1000000000000</f>
        <v>2.7273777096853025E-2</v>
      </c>
      <c r="H315" s="13">
        <f>IF(C315="Electricity",E315*SUMIFS(Electricity!S:S,Electricity!P:P,Predev_Scenarios!B315,Electricity!M:M,Predev_Scenarios!A315,Electricity!O:O,Predev_Scenarios!D315),"")</f>
        <v>7576422.6102130003</v>
      </c>
      <c r="I315" s="59">
        <f>SUMIFS(Electricity!U:U,Electricity!$M:$M,Predev_Scenarios!$A315,Electricity!$P:$P,Predev_Scenarios!$B315,Electricity!$O:$O,Predev_Scenarios!$D315)*-1</f>
        <v>6.7999746399999894E-2</v>
      </c>
      <c r="J315" s="59">
        <f>SUMIFS(Electricity!V:V,Electricity!$M:$M,Predev_Scenarios!$A315,Electricity!$P:$P,Predev_Scenarios!$B315,Electricity!$O:$O,Predev_Scenarios!$D315)*-1</f>
        <v>3.9210322300000093E-2</v>
      </c>
      <c r="K315" s="59">
        <f>SUMIFS(Electricity!W:W,Electricity!$M:$M,Predev_Scenarios!$A315,Electricity!$P:$P,Predev_Scenarios!$B315,Electricity!$O:$O,Predev_Scenarios!$D315)*-1</f>
        <v>9.6789169500000008E-2</v>
      </c>
      <c r="L315" s="63">
        <f t="shared" si="21"/>
        <v>-5.151948161137093E-7</v>
      </c>
      <c r="M315" s="63">
        <f t="shared" si="22"/>
        <v>-2.9707397242745974E-7</v>
      </c>
      <c r="N315" s="63">
        <f t="shared" si="23"/>
        <v>-7.3331565222353862E-7</v>
      </c>
      <c r="O315" s="30">
        <f>IF(OR(LEFT($D315,5)="Solar",$D315="Wind"),INDEX(Land_Use[AVG],MATCH(LEFT($D315,5),Land_Use[Tech],0)),0)*$E315</f>
        <v>0</v>
      </c>
      <c r="P315" s="30">
        <f>IF(OR(LEFT($D315,5)="Solar",$D315="Wind"),INDEX(Land_Use[MIN],MATCH(LEFT($D315,5),Land_Use[Tech],0)),0)*$E315</f>
        <v>0</v>
      </c>
      <c r="Q315" s="30">
        <f>IF(OR(LEFT($D315,5)="Solar",$D315="Wind"),INDEX(Land_Use[MAX],MATCH(LEFT($D315,5),Land_Use[Tech],0)),0)*$E315</f>
        <v>0</v>
      </c>
      <c r="R315" s="31">
        <f>IFERROR(INDEX(WaterUseH2[Average Direct Water Consumption (Gal/ kg h2)],MATCH(LEFT(D315,3),WaterUseH2[Key],0)),0)</f>
        <v>0</v>
      </c>
      <c r="S315" s="15">
        <f t="shared" si="24"/>
        <v>0</v>
      </c>
    </row>
    <row r="316" spans="1:19" x14ac:dyDescent="0.35">
      <c r="A316" t="s">
        <v>76</v>
      </c>
      <c r="B316">
        <v>2044</v>
      </c>
      <c r="C316" t="s">
        <v>41</v>
      </c>
      <c r="D316" t="s">
        <v>85</v>
      </c>
      <c r="E316" s="12">
        <f>SUMIFS(Electricity!$R:$R,Electricity!$P:$P,$B316,Electricity!$O:$O,$D316,Electricity!$M:$M,$A316)</f>
        <v>6469.5017391304345</v>
      </c>
      <c r="F316" t="s">
        <v>81</v>
      </c>
      <c r="G316" s="31">
        <f>H316/Assumptions!$B$23/1000000000000</f>
        <v>2.7273777096853025E-2</v>
      </c>
      <c r="H316" s="13">
        <f>IF(C316="Electricity",E316*SUMIFS(Electricity!S:S,Electricity!P:P,Predev_Scenarios!B316,Electricity!M:M,Predev_Scenarios!A316,Electricity!O:O,Predev_Scenarios!D316),"")</f>
        <v>7576422.6102130003</v>
      </c>
      <c r="I316" s="59">
        <f>SUMIFS(Electricity!U:U,Electricity!$M:$M,Predev_Scenarios!$A316,Electricity!$P:$P,Predev_Scenarios!$B316,Electricity!$O:$O,Predev_Scenarios!$D316)*-1</f>
        <v>6.3775822199999888E-2</v>
      </c>
      <c r="J316" s="59">
        <f>SUMIFS(Electricity!V:V,Electricity!$M:$M,Predev_Scenarios!$A316,Electricity!$P:$P,Predev_Scenarios!$B316,Electricity!$O:$O,Predev_Scenarios!$D316)*-1</f>
        <v>3.4052555150000094E-2</v>
      </c>
      <c r="K316" s="59">
        <f>SUMIFS(Electricity!W:W,Electricity!$M:$M,Predev_Scenarios!$A316,Electricity!$P:$P,Predev_Scenarios!$B316,Electricity!$O:$O,Predev_Scenarios!$D316)*-1</f>
        <v>9.3499088250000001E-2</v>
      </c>
      <c r="L316" s="63">
        <f t="shared" si="21"/>
        <v>-4.8319258130100339E-7</v>
      </c>
      <c r="M316" s="63">
        <f t="shared" si="22"/>
        <v>-2.5799654877398586E-7</v>
      </c>
      <c r="N316" s="63">
        <f t="shared" si="23"/>
        <v>-7.0838860625160069E-7</v>
      </c>
      <c r="O316" s="30">
        <f>IF(OR(LEFT($D316,5)="Solar",$D316="Wind"),INDEX(Land_Use[AVG],MATCH(LEFT($D316,5),Land_Use[Tech],0)),0)*$E316</f>
        <v>0</v>
      </c>
      <c r="P316" s="30">
        <f>IF(OR(LEFT($D316,5)="Solar",$D316="Wind"),INDEX(Land_Use[MIN],MATCH(LEFT($D316,5),Land_Use[Tech],0)),0)*$E316</f>
        <v>0</v>
      </c>
      <c r="Q316" s="30">
        <f>IF(OR(LEFT($D316,5)="Solar",$D316="Wind"),INDEX(Land_Use[MAX],MATCH(LEFT($D316,5),Land_Use[Tech],0)),0)*$E316</f>
        <v>0</v>
      </c>
      <c r="R316" s="31">
        <f>IFERROR(INDEX(WaterUseH2[Average Direct Water Consumption (Gal/ kg h2)],MATCH(LEFT(D316,3),WaterUseH2[Key],0)),0)</f>
        <v>0</v>
      </c>
      <c r="S316" s="15">
        <f t="shared" si="24"/>
        <v>0</v>
      </c>
    </row>
    <row r="317" spans="1:19" x14ac:dyDescent="0.35">
      <c r="A317" t="s">
        <v>76</v>
      </c>
      <c r="B317">
        <v>2045</v>
      </c>
      <c r="C317" t="s">
        <v>41</v>
      </c>
      <c r="D317" t="s">
        <v>85</v>
      </c>
      <c r="E317" s="12">
        <f>SUMIFS(Electricity!$R:$R,Electricity!$P:$P,$B317,Electricity!$O:$O,$D317,Electricity!$M:$M,$A317)</f>
        <v>6469.5017391304345</v>
      </c>
      <c r="F317" t="s">
        <v>81</v>
      </c>
      <c r="G317" s="31">
        <f>H317/Assumptions!$B$23/1000000000000</f>
        <v>2.7273777096853025E-2</v>
      </c>
      <c r="H317" s="13">
        <f>IF(C317="Electricity",E317*SUMIFS(Electricity!S:S,Electricity!P:P,Predev_Scenarios!B317,Electricity!M:M,Predev_Scenarios!A317,Electricity!O:O,Predev_Scenarios!D317),"")</f>
        <v>7576422.6102130003</v>
      </c>
      <c r="I317" s="59">
        <f>SUMIFS(Electricity!U:U,Electricity!$M:$M,Predev_Scenarios!$A317,Electricity!$P:$P,Predev_Scenarios!$B317,Electricity!$O:$O,Predev_Scenarios!$D317)*-1</f>
        <v>5.9551897999999888E-2</v>
      </c>
      <c r="J317" s="59">
        <f>SUMIFS(Electricity!V:V,Electricity!$M:$M,Predev_Scenarios!$A317,Electricity!$P:$P,Predev_Scenarios!$B317,Electricity!$O:$O,Predev_Scenarios!$D317)*-1</f>
        <v>2.8894788000000095E-2</v>
      </c>
      <c r="K317" s="59">
        <f>SUMIFS(Electricity!W:W,Electricity!$M:$M,Predev_Scenarios!$A317,Electricity!$P:$P,Predev_Scenarios!$B317,Electricity!$O:$O,Predev_Scenarios!$D317)*-1</f>
        <v>9.0209006999999994E-2</v>
      </c>
      <c r="L317" s="63">
        <f t="shared" si="21"/>
        <v>-4.5119034648829749E-7</v>
      </c>
      <c r="M317" s="63">
        <f t="shared" si="22"/>
        <v>-2.1891912512051199E-7</v>
      </c>
      <c r="N317" s="63">
        <f t="shared" si="23"/>
        <v>-6.8346156027966275E-7</v>
      </c>
      <c r="O317" s="30">
        <f>IF(OR(LEFT($D317,5)="Solar",$D317="Wind"),INDEX(Land_Use[AVG],MATCH(LEFT($D317,5),Land_Use[Tech],0)),0)*$E317</f>
        <v>0</v>
      </c>
      <c r="P317" s="30">
        <f>IF(OR(LEFT($D317,5)="Solar",$D317="Wind"),INDEX(Land_Use[MIN],MATCH(LEFT($D317,5),Land_Use[Tech],0)),0)*$E317</f>
        <v>0</v>
      </c>
      <c r="Q317" s="30">
        <f>IF(OR(LEFT($D317,5)="Solar",$D317="Wind"),INDEX(Land_Use[MAX],MATCH(LEFT($D317,5),Land_Use[Tech],0)),0)*$E317</f>
        <v>0</v>
      </c>
      <c r="R317" s="31">
        <f>IFERROR(INDEX(WaterUseH2[Average Direct Water Consumption (Gal/ kg h2)],MATCH(LEFT(D317,3),WaterUseH2[Key],0)),0)</f>
        <v>0</v>
      </c>
      <c r="S317" s="15">
        <f t="shared" si="24"/>
        <v>0</v>
      </c>
    </row>
    <row r="318" spans="1:19" x14ac:dyDescent="0.35">
      <c r="A318" t="s">
        <v>107</v>
      </c>
      <c r="B318">
        <v>2025</v>
      </c>
      <c r="C318" t="s">
        <v>41</v>
      </c>
      <c r="D318" t="s">
        <v>85</v>
      </c>
      <c r="E318" s="12">
        <f>SUMIFS(Electricity!$R:$R,Electricity!$P:$P,$B318,Electricity!$O:$O,$D318,Electricity!$M:$M,$A318)</f>
        <v>588.13652173913044</v>
      </c>
      <c r="F318" t="s">
        <v>81</v>
      </c>
      <c r="G318" s="31">
        <f>H318/Assumptions!$B$23/1000000000000</f>
        <v>2.4794342815320932E-3</v>
      </c>
      <c r="H318" s="13">
        <f>IF(C318="Electricity",E318*SUMIFS(Electricity!S:S,Electricity!P:P,Predev_Scenarios!B318,Electricity!M:M,Predev_Scenarios!A318,Electricity!O:O,Predev_Scenarios!D318),"")</f>
        <v>688765.69183754548</v>
      </c>
      <c r="I318" s="59">
        <f>SUMIFS(Electricity!U:U,Electricity!$M:$M,Predev_Scenarios!$A318,Electricity!$P:$P,Predev_Scenarios!$B318,Electricity!$O:$O,Predev_Scenarios!$D318)*-1</f>
        <v>0.14403038200000001</v>
      </c>
      <c r="J318" s="59">
        <f>SUMIFS(Electricity!V:V,Electricity!$M:$M,Predev_Scenarios!$A318,Electricity!$P:$P,Predev_Scenarios!$B318,Electricity!$O:$O,Predev_Scenarios!$D318)*-1</f>
        <v>0.13205013099999999</v>
      </c>
      <c r="K318" s="59">
        <f>SUMIFS(Electricity!W:W,Electricity!$M:$M,Predev_Scenarios!$A318,Electricity!$P:$P,Predev_Scenarios!$B318,Electricity!$O:$O,Predev_Scenarios!$D318)*-1</f>
        <v>0.15601063200000001</v>
      </c>
      <c r="L318" s="63">
        <f t="shared" si="21"/>
        <v>-9.9203185703855965E-8</v>
      </c>
      <c r="M318" s="63">
        <f t="shared" si="22"/>
        <v>-9.0951599835453498E-8</v>
      </c>
      <c r="N318" s="63">
        <f t="shared" si="23"/>
        <v>-1.0745477088349272E-7</v>
      </c>
      <c r="O318" s="30">
        <f>IF(OR(LEFT($D318,5)="Solar",$D318="Wind"),INDEX(Land_Use[AVG],MATCH(LEFT($D318,5),Land_Use[Tech],0)),0)*$E318</f>
        <v>0</v>
      </c>
      <c r="P318" s="30">
        <f>IF(OR(LEFT($D318,5)="Solar",$D318="Wind"),INDEX(Land_Use[MIN],MATCH(LEFT($D318,5),Land_Use[Tech],0)),0)*$E318</f>
        <v>0</v>
      </c>
      <c r="Q318" s="30">
        <f>IF(OR(LEFT($D318,5)="Solar",$D318="Wind"),INDEX(Land_Use[MAX],MATCH(LEFT($D318,5),Land_Use[Tech],0)),0)*$E318</f>
        <v>0</v>
      </c>
      <c r="R318" s="31">
        <f>IFERROR(INDEX(WaterUseH2[Average Direct Water Consumption (Gal/ kg h2)],MATCH(LEFT(D318,3),WaterUseH2[Key],0)),0)</f>
        <v>0</v>
      </c>
      <c r="S318" s="15">
        <f t="shared" si="24"/>
        <v>0</v>
      </c>
    </row>
    <row r="319" spans="1:19" x14ac:dyDescent="0.35">
      <c r="A319" t="s">
        <v>107</v>
      </c>
      <c r="B319">
        <v>2026</v>
      </c>
      <c r="C319" t="s">
        <v>41</v>
      </c>
      <c r="D319" t="s">
        <v>85</v>
      </c>
      <c r="E319" s="12">
        <f>SUMIFS(Electricity!$R:$R,Electricity!$P:$P,$B319,Electricity!$O:$O,$D319,Electricity!$M:$M,$A319)</f>
        <v>1176.2730434782609</v>
      </c>
      <c r="F319" t="s">
        <v>81</v>
      </c>
      <c r="G319" s="31">
        <f>H319/Assumptions!$B$23/1000000000000</f>
        <v>4.9588685630641864E-3</v>
      </c>
      <c r="H319" s="13">
        <f>IF(C319="Electricity",E319*SUMIFS(Electricity!S:S,Electricity!P:P,Predev_Scenarios!B319,Electricity!M:M,Predev_Scenarios!A319,Electricity!O:O,Predev_Scenarios!D319),"")</f>
        <v>1377531.383675091</v>
      </c>
      <c r="I319" s="59">
        <f>SUMIFS(Electricity!U:U,Electricity!$M:$M,Predev_Scenarios!$A319,Electricity!$P:$P,Predev_Scenarios!$B319,Electricity!$O:$O,Predev_Scenarios!$D319)*-1</f>
        <v>0.13980645780000001</v>
      </c>
      <c r="J319" s="59">
        <f>SUMIFS(Electricity!V:V,Electricity!$M:$M,Predev_Scenarios!$A319,Electricity!$P:$P,Predev_Scenarios!$B319,Electricity!$O:$O,Predev_Scenarios!$D319)*-1</f>
        <v>0.12689236385</v>
      </c>
      <c r="K319" s="59">
        <f>SUMIFS(Electricity!W:W,Electricity!$M:$M,Predev_Scenarios!$A319,Electricity!$P:$P,Predev_Scenarios!$B319,Electricity!$O:$O,Predev_Scenarios!$D319)*-1</f>
        <v>0.15272055075000002</v>
      </c>
      <c r="L319" s="63">
        <f t="shared" si="21"/>
        <v>-1.9258778325994722E-7</v>
      </c>
      <c r="M319" s="63">
        <f t="shared" si="22"/>
        <v>-1.7479821355209359E-7</v>
      </c>
      <c r="N319" s="63">
        <f t="shared" si="23"/>
        <v>-2.1037735159026948E-7</v>
      </c>
      <c r="O319" s="30">
        <f>IF(OR(LEFT($D319,5)="Solar",$D319="Wind"),INDEX(Land_Use[AVG],MATCH(LEFT($D319,5),Land_Use[Tech],0)),0)*$E319</f>
        <v>0</v>
      </c>
      <c r="P319" s="30">
        <f>IF(OR(LEFT($D319,5)="Solar",$D319="Wind"),INDEX(Land_Use[MIN],MATCH(LEFT($D319,5),Land_Use[Tech],0)),0)*$E319</f>
        <v>0</v>
      </c>
      <c r="Q319" s="30">
        <f>IF(OR(LEFT($D319,5)="Solar",$D319="Wind"),INDEX(Land_Use[MAX],MATCH(LEFT($D319,5),Land_Use[Tech],0)),0)*$E319</f>
        <v>0</v>
      </c>
      <c r="R319" s="31">
        <f>IFERROR(INDEX(WaterUseH2[Average Direct Water Consumption (Gal/ kg h2)],MATCH(LEFT(D319,3),WaterUseH2[Key],0)),0)</f>
        <v>0</v>
      </c>
      <c r="S319" s="15">
        <f t="shared" si="24"/>
        <v>0</v>
      </c>
    </row>
    <row r="320" spans="1:19" x14ac:dyDescent="0.35">
      <c r="A320" t="s">
        <v>107</v>
      </c>
      <c r="B320">
        <v>2027</v>
      </c>
      <c r="C320" t="s">
        <v>41</v>
      </c>
      <c r="D320" t="s">
        <v>85</v>
      </c>
      <c r="E320" s="12">
        <f>SUMIFS(Electricity!$R:$R,Electricity!$P:$P,$B320,Electricity!$O:$O,$D320,Electricity!$M:$M,$A320)</f>
        <v>1764.4095652173914</v>
      </c>
      <c r="F320" t="s">
        <v>81</v>
      </c>
      <c r="G320" s="31">
        <f>H320/Assumptions!$B$23/1000000000000</f>
        <v>7.43830284459628E-3</v>
      </c>
      <c r="H320" s="13">
        <f>IF(C320="Electricity",E320*SUMIFS(Electricity!S:S,Electricity!P:P,Predev_Scenarios!B320,Electricity!M:M,Predev_Scenarios!A320,Electricity!O:O,Predev_Scenarios!D320),"")</f>
        <v>2066297.0755126367</v>
      </c>
      <c r="I320" s="59">
        <f>SUMIFS(Electricity!U:U,Electricity!$M:$M,Predev_Scenarios!$A320,Electricity!$P:$P,Predev_Scenarios!$B320,Electricity!$O:$O,Predev_Scenarios!$D320)*-1</f>
        <v>0.1355825336</v>
      </c>
      <c r="J320" s="59">
        <f>SUMIFS(Electricity!V:V,Electricity!$M:$M,Predev_Scenarios!$A320,Electricity!$P:$P,Predev_Scenarios!$B320,Electricity!$O:$O,Predev_Scenarios!$D320)*-1</f>
        <v>0.1217345967</v>
      </c>
      <c r="K320" s="59">
        <f>SUMIFS(Electricity!W:W,Electricity!$M:$M,Predev_Scenarios!$A320,Electricity!$P:$P,Predev_Scenarios!$B320,Electricity!$O:$O,Predev_Scenarios!$D320)*-1</f>
        <v>0.14943046950000002</v>
      </c>
      <c r="L320" s="63">
        <f t="shared" si="21"/>
        <v>-2.8015379266827381E-7</v>
      </c>
      <c r="M320" s="63">
        <f t="shared" si="22"/>
        <v>-2.5153984114992027E-7</v>
      </c>
      <c r="N320" s="63">
        <f t="shared" si="23"/>
        <v>-3.0876774212033029E-7</v>
      </c>
      <c r="O320" s="30">
        <f>IF(OR(LEFT($D320,5)="Solar",$D320="Wind"),INDEX(Land_Use[AVG],MATCH(LEFT($D320,5),Land_Use[Tech],0)),0)*$E320</f>
        <v>0</v>
      </c>
      <c r="P320" s="30">
        <f>IF(OR(LEFT($D320,5)="Solar",$D320="Wind"),INDEX(Land_Use[MIN],MATCH(LEFT($D320,5),Land_Use[Tech],0)),0)*$E320</f>
        <v>0</v>
      </c>
      <c r="Q320" s="30">
        <f>IF(OR(LEFT($D320,5)="Solar",$D320="Wind"),INDEX(Land_Use[MAX],MATCH(LEFT($D320,5),Land_Use[Tech],0)),0)*$E320</f>
        <v>0</v>
      </c>
      <c r="R320" s="31">
        <f>IFERROR(INDEX(WaterUseH2[Average Direct Water Consumption (Gal/ kg h2)],MATCH(LEFT(D320,3),WaterUseH2[Key],0)),0)</f>
        <v>0</v>
      </c>
      <c r="S320" s="15">
        <f t="shared" si="24"/>
        <v>0</v>
      </c>
    </row>
    <row r="321" spans="1:19" x14ac:dyDescent="0.35">
      <c r="A321" t="s">
        <v>107</v>
      </c>
      <c r="B321">
        <v>2028</v>
      </c>
      <c r="C321" t="s">
        <v>41</v>
      </c>
      <c r="D321" t="s">
        <v>85</v>
      </c>
      <c r="E321" s="12">
        <f>SUMIFS(Electricity!$R:$R,Electricity!$P:$P,$B321,Electricity!$O:$O,$D321,Electricity!$M:$M,$A321)</f>
        <v>2352.5460869565218</v>
      </c>
      <c r="F321" t="s">
        <v>81</v>
      </c>
      <c r="G321" s="31">
        <f>H321/Assumptions!$B$23/1000000000000</f>
        <v>9.9177371261283728E-3</v>
      </c>
      <c r="H321" s="13">
        <f>IF(C321="Electricity",E321*SUMIFS(Electricity!S:S,Electricity!P:P,Predev_Scenarios!B321,Electricity!M:M,Predev_Scenarios!A321,Electricity!O:O,Predev_Scenarios!D321),"")</f>
        <v>2755062.7673501819</v>
      </c>
      <c r="I321" s="59">
        <f>SUMIFS(Electricity!U:U,Electricity!$M:$M,Predev_Scenarios!$A321,Electricity!$P:$P,Predev_Scenarios!$B321,Electricity!$O:$O,Predev_Scenarios!$D321)*-1</f>
        <v>0.13135860939999999</v>
      </c>
      <c r="J321" s="59">
        <f>SUMIFS(Electricity!V:V,Electricity!$M:$M,Predev_Scenarios!$A321,Electricity!$P:$P,Predev_Scenarios!$B321,Electricity!$O:$O,Predev_Scenarios!$D321)*-1</f>
        <v>0.11657682955000001</v>
      </c>
      <c r="K321" s="59">
        <f>SUMIFS(Electricity!W:W,Electricity!$M:$M,Predev_Scenarios!$A321,Electricity!$P:$P,Predev_Scenarios!$B321,Electricity!$O:$O,Predev_Scenarios!$D321)*-1</f>
        <v>0.14614038825000003</v>
      </c>
      <c r="L321" s="63">
        <f t="shared" si="21"/>
        <v>-3.6190121392883561E-7</v>
      </c>
      <c r="M321" s="63">
        <f t="shared" si="22"/>
        <v>-3.2117648262893347E-7</v>
      </c>
      <c r="N321" s="63">
        <f t="shared" si="23"/>
        <v>-4.0262594247367506E-7</v>
      </c>
      <c r="O321" s="30">
        <f>IF(OR(LEFT($D321,5)="Solar",$D321="Wind"),INDEX(Land_Use[AVG],MATCH(LEFT($D321,5),Land_Use[Tech],0)),0)*$E321</f>
        <v>0</v>
      </c>
      <c r="P321" s="30">
        <f>IF(OR(LEFT($D321,5)="Solar",$D321="Wind"),INDEX(Land_Use[MIN],MATCH(LEFT($D321,5),Land_Use[Tech],0)),0)*$E321</f>
        <v>0</v>
      </c>
      <c r="Q321" s="30">
        <f>IF(OR(LEFT($D321,5)="Solar",$D321="Wind"),INDEX(Land_Use[MAX],MATCH(LEFT($D321,5),Land_Use[Tech],0)),0)*$E321</f>
        <v>0</v>
      </c>
      <c r="R321" s="31">
        <f>IFERROR(INDEX(WaterUseH2[Average Direct Water Consumption (Gal/ kg h2)],MATCH(LEFT(D321,3),WaterUseH2[Key],0)),0)</f>
        <v>0</v>
      </c>
      <c r="S321" s="15">
        <f t="shared" si="24"/>
        <v>0</v>
      </c>
    </row>
    <row r="322" spans="1:19" x14ac:dyDescent="0.35">
      <c r="A322" t="s">
        <v>107</v>
      </c>
      <c r="B322">
        <v>2029</v>
      </c>
      <c r="C322" t="s">
        <v>41</v>
      </c>
      <c r="D322" t="s">
        <v>85</v>
      </c>
      <c r="E322" s="12">
        <f>SUMIFS(Electricity!$R:$R,Electricity!$P:$P,$B322,Electricity!$O:$O,$D322,Electricity!$M:$M,$A322)</f>
        <v>2940.6826086956521</v>
      </c>
      <c r="F322" t="s">
        <v>81</v>
      </c>
      <c r="G322" s="31">
        <f>H322/Assumptions!$B$23/1000000000000</f>
        <v>1.2397171407660465E-2</v>
      </c>
      <c r="H322" s="13">
        <f>IF(C322="Electricity",E322*SUMIFS(Electricity!S:S,Electricity!P:P,Predev_Scenarios!B322,Electricity!M:M,Predev_Scenarios!A322,Electricity!O:O,Predev_Scenarios!D322),"")</f>
        <v>3443828.4591877274</v>
      </c>
      <c r="I322" s="59">
        <f>SUMIFS(Electricity!U:U,Electricity!$M:$M,Predev_Scenarios!$A322,Electricity!$P:$P,Predev_Scenarios!$B322,Electricity!$O:$O,Predev_Scenarios!$D322)*-1</f>
        <v>0.12713468519999999</v>
      </c>
      <c r="J322" s="59">
        <f>SUMIFS(Electricity!V:V,Electricity!$M:$M,Predev_Scenarios!$A322,Electricity!$P:$P,Predev_Scenarios!$B322,Electricity!$O:$O,Predev_Scenarios!$D322)*-1</f>
        <v>0.11141906240000002</v>
      </c>
      <c r="K322" s="59">
        <f>SUMIFS(Electricity!W:W,Electricity!$M:$M,Predev_Scenarios!$A322,Electricity!$P:$P,Predev_Scenarios!$B322,Electricity!$O:$O,Predev_Scenarios!$D322)*-1</f>
        <v>0.14285030700000004</v>
      </c>
      <c r="L322" s="63">
        <f t="shared" si="21"/>
        <v>-4.3783004704163274E-7</v>
      </c>
      <c r="M322" s="63">
        <f t="shared" si="22"/>
        <v>-3.8370813798913332E-7</v>
      </c>
      <c r="N322" s="63">
        <f t="shared" si="23"/>
        <v>-4.9195195265030393E-7</v>
      </c>
      <c r="O322" s="30">
        <f>IF(OR(LEFT($D322,5)="Solar",$D322="Wind"),INDEX(Land_Use[AVG],MATCH(LEFT($D322,5),Land_Use[Tech],0)),0)*$E322</f>
        <v>0</v>
      </c>
      <c r="P322" s="30">
        <f>IF(OR(LEFT($D322,5)="Solar",$D322="Wind"),INDEX(Land_Use[MIN],MATCH(LEFT($D322,5),Land_Use[Tech],0)),0)*$E322</f>
        <v>0</v>
      </c>
      <c r="Q322" s="30">
        <f>IF(OR(LEFT($D322,5)="Solar",$D322="Wind"),INDEX(Land_Use[MAX],MATCH(LEFT($D322,5),Land_Use[Tech],0)),0)*$E322</f>
        <v>0</v>
      </c>
      <c r="R322" s="31">
        <f>IFERROR(INDEX(WaterUseH2[Average Direct Water Consumption (Gal/ kg h2)],MATCH(LEFT(D322,3),WaterUseH2[Key],0)),0)</f>
        <v>0</v>
      </c>
      <c r="S322" s="15">
        <f t="shared" si="24"/>
        <v>0</v>
      </c>
    </row>
    <row r="323" spans="1:19" x14ac:dyDescent="0.35">
      <c r="A323" t="s">
        <v>107</v>
      </c>
      <c r="B323">
        <v>2030</v>
      </c>
      <c r="C323" t="s">
        <v>41</v>
      </c>
      <c r="D323" t="s">
        <v>85</v>
      </c>
      <c r="E323" s="12">
        <f>SUMIFS(Electricity!$R:$R,Electricity!$P:$P,$B323,Electricity!$O:$O,$D323,Electricity!$M:$M,$A323)</f>
        <v>3528.8191304347824</v>
      </c>
      <c r="F323" t="s">
        <v>81</v>
      </c>
      <c r="G323" s="31">
        <f>H323/Assumptions!$B$23/1000000000000</f>
        <v>1.4876605689192558E-2</v>
      </c>
      <c r="H323" s="13">
        <f>IF(C323="Electricity",E323*SUMIFS(Electricity!S:S,Electricity!P:P,Predev_Scenarios!B323,Electricity!M:M,Predev_Scenarios!A323,Electricity!O:O,Predev_Scenarios!D323),"")</f>
        <v>4132594.1510252729</v>
      </c>
      <c r="I323" s="59">
        <f>SUMIFS(Electricity!U:U,Electricity!$M:$M,Predev_Scenarios!$A323,Electricity!$P:$P,Predev_Scenarios!$B323,Electricity!$O:$O,Predev_Scenarios!$D323)*-1</f>
        <v>0.12291076099999998</v>
      </c>
      <c r="J323" s="59">
        <f>SUMIFS(Electricity!V:V,Electricity!$M:$M,Predev_Scenarios!$A323,Electricity!$P:$P,Predev_Scenarios!$B323,Electricity!$O:$O,Predev_Scenarios!$D323)*-1</f>
        <v>0.10626129525000003</v>
      </c>
      <c r="K323" s="59">
        <f>SUMIFS(Electricity!W:W,Electricity!$M:$M,Predev_Scenarios!$A323,Electricity!$P:$P,Predev_Scenarios!$B323,Electricity!$O:$O,Predev_Scenarios!$D323)*-1</f>
        <v>0.13956022575000004</v>
      </c>
      <c r="L323" s="63">
        <f t="shared" si="21"/>
        <v>-5.0794029200666507E-7</v>
      </c>
      <c r="M323" s="63">
        <f t="shared" si="22"/>
        <v>-4.3913480723051971E-7</v>
      </c>
      <c r="N323" s="63">
        <f t="shared" si="23"/>
        <v>-5.7674577265021684E-7</v>
      </c>
      <c r="O323" s="30">
        <f>IF(OR(LEFT($D323,5)="Solar",$D323="Wind"),INDEX(Land_Use[AVG],MATCH(LEFT($D323,5),Land_Use[Tech],0)),0)*$E323</f>
        <v>0</v>
      </c>
      <c r="P323" s="30">
        <f>IF(OR(LEFT($D323,5)="Solar",$D323="Wind"),INDEX(Land_Use[MIN],MATCH(LEFT($D323,5),Land_Use[Tech],0)),0)*$E323</f>
        <v>0</v>
      </c>
      <c r="Q323" s="30">
        <f>IF(OR(LEFT($D323,5)="Solar",$D323="Wind"),INDEX(Land_Use[MAX],MATCH(LEFT($D323,5),Land_Use[Tech],0)),0)*$E323</f>
        <v>0</v>
      </c>
      <c r="R323" s="31">
        <f>IFERROR(INDEX(WaterUseH2[Average Direct Water Consumption (Gal/ kg h2)],MATCH(LEFT(D323,3),WaterUseH2[Key],0)),0)</f>
        <v>0</v>
      </c>
      <c r="S323" s="15">
        <f t="shared" si="24"/>
        <v>0</v>
      </c>
    </row>
    <row r="324" spans="1:19" x14ac:dyDescent="0.35">
      <c r="A324" t="s">
        <v>107</v>
      </c>
      <c r="B324">
        <v>2031</v>
      </c>
      <c r="C324" t="s">
        <v>41</v>
      </c>
      <c r="D324" t="s">
        <v>85</v>
      </c>
      <c r="E324" s="12">
        <f>SUMIFS(Electricity!$R:$R,Electricity!$P:$P,$B324,Electricity!$O:$O,$D324,Electricity!$M:$M,$A324)</f>
        <v>4116.9556521739132</v>
      </c>
      <c r="F324" t="s">
        <v>81</v>
      </c>
      <c r="G324" s="31">
        <f>H324/Assumptions!$B$23/1000000000000</f>
        <v>1.7356039970724654E-2</v>
      </c>
      <c r="H324" s="13">
        <f>IF(C324="Electricity",E324*SUMIFS(Electricity!S:S,Electricity!P:P,Predev_Scenarios!B324,Electricity!M:M,Predev_Scenarios!A324,Electricity!O:O,Predev_Scenarios!D324),"")</f>
        <v>4821359.8428628193</v>
      </c>
      <c r="I324" s="59">
        <f>SUMIFS(Electricity!U:U,Electricity!$M:$M,Predev_Scenarios!$A324,Electricity!$P:$P,Predev_Scenarios!$B324,Electricity!$O:$O,Predev_Scenarios!$D324)*-1</f>
        <v>0.11868683679999997</v>
      </c>
      <c r="J324" s="59">
        <f>SUMIFS(Electricity!V:V,Electricity!$M:$M,Predev_Scenarios!$A324,Electricity!$P:$P,Predev_Scenarios!$B324,Electricity!$O:$O,Predev_Scenarios!$D324)*-1</f>
        <v>0.10110352810000003</v>
      </c>
      <c r="K324" s="59">
        <f>SUMIFS(Electricity!W:W,Electricity!$M:$M,Predev_Scenarios!$A324,Electricity!$P:$P,Predev_Scenarios!$B324,Electricity!$O:$O,Predev_Scenarios!$D324)*-1</f>
        <v>0.13627014450000005</v>
      </c>
      <c r="L324" s="63">
        <f t="shared" si="21"/>
        <v>-5.7223194882393294E-7</v>
      </c>
      <c r="M324" s="63">
        <f t="shared" si="22"/>
        <v>-4.874564903530928E-7</v>
      </c>
      <c r="N324" s="63">
        <f t="shared" si="23"/>
        <v>-6.5700740247341389E-7</v>
      </c>
      <c r="O324" s="30">
        <f>IF(OR(LEFT($D324,5)="Solar",$D324="Wind"),INDEX(Land_Use[AVG],MATCH(LEFT($D324,5),Land_Use[Tech],0)),0)*$E324</f>
        <v>0</v>
      </c>
      <c r="P324" s="30">
        <f>IF(OR(LEFT($D324,5)="Solar",$D324="Wind"),INDEX(Land_Use[MIN],MATCH(LEFT($D324,5),Land_Use[Tech],0)),0)*$E324</f>
        <v>0</v>
      </c>
      <c r="Q324" s="30">
        <f>IF(OR(LEFT($D324,5)="Solar",$D324="Wind"),INDEX(Land_Use[MAX],MATCH(LEFT($D324,5),Land_Use[Tech],0)),0)*$E324</f>
        <v>0</v>
      </c>
      <c r="R324" s="31">
        <f>IFERROR(INDEX(WaterUseH2[Average Direct Water Consumption (Gal/ kg h2)],MATCH(LEFT(D324,3),WaterUseH2[Key],0)),0)</f>
        <v>0</v>
      </c>
      <c r="S324" s="15">
        <f t="shared" si="24"/>
        <v>0</v>
      </c>
    </row>
    <row r="325" spans="1:19" x14ac:dyDescent="0.35">
      <c r="A325" t="s">
        <v>107</v>
      </c>
      <c r="B325">
        <v>2032</v>
      </c>
      <c r="C325" t="s">
        <v>41</v>
      </c>
      <c r="D325" t="s">
        <v>85</v>
      </c>
      <c r="E325" s="12">
        <f>SUMIFS(Electricity!$R:$R,Electricity!$P:$P,$B325,Electricity!$O:$O,$D325,Electricity!$M:$M,$A325)</f>
        <v>4705.0921739130436</v>
      </c>
      <c r="F325" t="s">
        <v>81</v>
      </c>
      <c r="G325" s="31">
        <f>H325/Assumptions!$B$23/1000000000000</f>
        <v>1.9835474252256746E-2</v>
      </c>
      <c r="H325" s="13">
        <f>IF(C325="Electricity",E325*SUMIFS(Electricity!S:S,Electricity!P:P,Predev_Scenarios!B325,Electricity!M:M,Predev_Scenarios!A325,Electricity!O:O,Predev_Scenarios!D325),"")</f>
        <v>5510125.5347003639</v>
      </c>
      <c r="I325" s="59">
        <f>SUMIFS(Electricity!U:U,Electricity!$M:$M,Predev_Scenarios!$A325,Electricity!$P:$P,Predev_Scenarios!$B325,Electricity!$O:$O,Predev_Scenarios!$D325)*-1</f>
        <v>0.11446291259999997</v>
      </c>
      <c r="J325" s="59">
        <f>SUMIFS(Electricity!V:V,Electricity!$M:$M,Predev_Scenarios!$A325,Electricity!$P:$P,Predev_Scenarios!$B325,Electricity!$O:$O,Predev_Scenarios!$D325)*-1</f>
        <v>9.5945760950000042E-2</v>
      </c>
      <c r="K325" s="59">
        <f>SUMIFS(Electricity!W:W,Electricity!$M:$M,Predev_Scenarios!$A325,Electricity!$P:$P,Predev_Scenarios!$B325,Electricity!$O:$O,Predev_Scenarios!$D325)*-1</f>
        <v>0.13298006325000006</v>
      </c>
      <c r="L325" s="63">
        <f t="shared" si="21"/>
        <v>-6.307050174934358E-7</v>
      </c>
      <c r="M325" s="63">
        <f t="shared" si="22"/>
        <v>-5.2867318735685228E-7</v>
      </c>
      <c r="N325" s="63">
        <f t="shared" si="23"/>
        <v>-7.3273684211989478E-7</v>
      </c>
      <c r="O325" s="30">
        <f>IF(OR(LEFT($D325,5)="Solar",$D325="Wind"),INDEX(Land_Use[AVG],MATCH(LEFT($D325,5),Land_Use[Tech],0)),0)*$E325</f>
        <v>0</v>
      </c>
      <c r="P325" s="30">
        <f>IF(OR(LEFT($D325,5)="Solar",$D325="Wind"),INDEX(Land_Use[MIN],MATCH(LEFT($D325,5),Land_Use[Tech],0)),0)*$E325</f>
        <v>0</v>
      </c>
      <c r="Q325" s="30">
        <f>IF(OR(LEFT($D325,5)="Solar",$D325="Wind"),INDEX(Land_Use[MAX],MATCH(LEFT($D325,5),Land_Use[Tech],0)),0)*$E325</f>
        <v>0</v>
      </c>
      <c r="R325" s="31">
        <f>IFERROR(INDEX(WaterUseH2[Average Direct Water Consumption (Gal/ kg h2)],MATCH(LEFT(D325,3),WaterUseH2[Key],0)),0)</f>
        <v>0</v>
      </c>
      <c r="S325" s="15">
        <f t="shared" si="24"/>
        <v>0</v>
      </c>
    </row>
    <row r="326" spans="1:19" x14ac:dyDescent="0.35">
      <c r="A326" t="s">
        <v>107</v>
      </c>
      <c r="B326">
        <v>2033</v>
      </c>
      <c r="C326" t="s">
        <v>41</v>
      </c>
      <c r="D326" t="s">
        <v>85</v>
      </c>
      <c r="E326" s="12">
        <f>SUMIFS(Electricity!$R:$R,Electricity!$P:$P,$B326,Electricity!$O:$O,$D326,Electricity!$M:$M,$A326)</f>
        <v>5293.2286956521739</v>
      </c>
      <c r="F326" t="s">
        <v>81</v>
      </c>
      <c r="G326" s="31">
        <f>H326/Assumptions!$B$23/1000000000000</f>
        <v>2.2314908533788837E-2</v>
      </c>
      <c r="H326" s="13">
        <f>IF(C326="Electricity",E326*SUMIFS(Electricity!S:S,Electricity!P:P,Predev_Scenarios!B326,Electricity!M:M,Predev_Scenarios!A326,Electricity!O:O,Predev_Scenarios!D326),"")</f>
        <v>6198891.2265379094</v>
      </c>
      <c r="I326" s="59">
        <f>SUMIFS(Electricity!U:U,Electricity!$M:$M,Predev_Scenarios!$A326,Electricity!$P:$P,Predev_Scenarios!$B326,Electricity!$O:$O,Predev_Scenarios!$D326)*-1</f>
        <v>0.11023898839999996</v>
      </c>
      <c r="J326" s="59">
        <f>SUMIFS(Electricity!V:V,Electricity!$M:$M,Predev_Scenarios!$A326,Electricity!$P:$P,Predev_Scenarios!$B326,Electricity!$O:$O,Predev_Scenarios!$D326)*-1</f>
        <v>9.078799380000005E-2</v>
      </c>
      <c r="K326" s="59">
        <f>SUMIFS(Electricity!W:W,Electricity!$M:$M,Predev_Scenarios!$A326,Electricity!$P:$P,Predev_Scenarios!$B326,Electricity!$O:$O,Predev_Scenarios!$D326)*-1</f>
        <v>0.12968998200000006</v>
      </c>
      <c r="L326" s="63">
        <f t="shared" si="21"/>
        <v>-6.833594980151741E-7</v>
      </c>
      <c r="M326" s="63">
        <f t="shared" si="22"/>
        <v>-5.6278489824179847E-7</v>
      </c>
      <c r="N326" s="63">
        <f t="shared" si="23"/>
        <v>-8.0393409158965981E-7</v>
      </c>
      <c r="O326" s="30">
        <f>IF(OR(LEFT($D326,5)="Solar",$D326="Wind"),INDEX(Land_Use[AVG],MATCH(LEFT($D326,5),Land_Use[Tech],0)),0)*$E326</f>
        <v>0</v>
      </c>
      <c r="P326" s="30">
        <f>IF(OR(LEFT($D326,5)="Solar",$D326="Wind"),INDEX(Land_Use[MIN],MATCH(LEFT($D326,5),Land_Use[Tech],0)),0)*$E326</f>
        <v>0</v>
      </c>
      <c r="Q326" s="30">
        <f>IF(OR(LEFT($D326,5)="Solar",$D326="Wind"),INDEX(Land_Use[MAX],MATCH(LEFT($D326,5),Land_Use[Tech],0)),0)*$E326</f>
        <v>0</v>
      </c>
      <c r="R326" s="31">
        <f>IFERROR(INDEX(WaterUseH2[Average Direct Water Consumption (Gal/ kg h2)],MATCH(LEFT(D326,3),WaterUseH2[Key],0)),0)</f>
        <v>0</v>
      </c>
      <c r="S326" s="15">
        <f t="shared" si="24"/>
        <v>0</v>
      </c>
    </row>
    <row r="327" spans="1:19" x14ac:dyDescent="0.35">
      <c r="A327" t="s">
        <v>107</v>
      </c>
      <c r="B327">
        <v>2034</v>
      </c>
      <c r="C327" t="s">
        <v>41</v>
      </c>
      <c r="D327" t="s">
        <v>85</v>
      </c>
      <c r="E327" s="12">
        <f>SUMIFS(Electricity!$R:$R,Electricity!$P:$P,$B327,Electricity!$O:$O,$D327,Electricity!$M:$M,$A327)</f>
        <v>5881.3652173913042</v>
      </c>
      <c r="F327" t="s">
        <v>81</v>
      </c>
      <c r="G327" s="31">
        <f>H327/Assumptions!$B$23/1000000000000</f>
        <v>2.4794342815320929E-2</v>
      </c>
      <c r="H327" s="13">
        <f>IF(C327="Electricity",E327*SUMIFS(Electricity!S:S,Electricity!P:P,Predev_Scenarios!B327,Electricity!M:M,Predev_Scenarios!A327,Electricity!O:O,Predev_Scenarios!D327),"")</f>
        <v>6887656.9183754548</v>
      </c>
      <c r="I327" s="59">
        <f>SUMIFS(Electricity!U:U,Electricity!$M:$M,Predev_Scenarios!$A327,Electricity!$P:$P,Predev_Scenarios!$B327,Electricity!$O:$O,Predev_Scenarios!$D327)*-1</f>
        <v>0.10601506419999995</v>
      </c>
      <c r="J327" s="59">
        <f>SUMIFS(Electricity!V:V,Electricity!$M:$M,Predev_Scenarios!$A327,Electricity!$P:$P,Predev_Scenarios!$B327,Electricity!$O:$O,Predev_Scenarios!$D327)*-1</f>
        <v>8.5630226650000058E-2</v>
      </c>
      <c r="K327" s="59">
        <f>SUMIFS(Electricity!W:W,Electricity!$M:$M,Predev_Scenarios!$A327,Electricity!$P:$P,Predev_Scenarios!$B327,Electricity!$O:$O,Predev_Scenarios!$D327)*-1</f>
        <v>0.12639990075000007</v>
      </c>
      <c r="L327" s="63">
        <f t="shared" si="21"/>
        <v>-7.3019539038914771E-7</v>
      </c>
      <c r="M327" s="63">
        <f t="shared" si="22"/>
        <v>-5.8979162300793114E-7</v>
      </c>
      <c r="N327" s="63">
        <f t="shared" si="23"/>
        <v>-8.7059915088270888E-7</v>
      </c>
      <c r="O327" s="30">
        <f>IF(OR(LEFT($D327,5)="Solar",$D327="Wind"),INDEX(Land_Use[AVG],MATCH(LEFT($D327,5),Land_Use[Tech],0)),0)*$E327</f>
        <v>0</v>
      </c>
      <c r="P327" s="30">
        <f>IF(OR(LEFT($D327,5)="Solar",$D327="Wind"),INDEX(Land_Use[MIN],MATCH(LEFT($D327,5),Land_Use[Tech],0)),0)*$E327</f>
        <v>0</v>
      </c>
      <c r="Q327" s="30">
        <f>IF(OR(LEFT($D327,5)="Solar",$D327="Wind"),INDEX(Land_Use[MAX],MATCH(LEFT($D327,5),Land_Use[Tech],0)),0)*$E327</f>
        <v>0</v>
      </c>
      <c r="R327" s="31">
        <f>IFERROR(INDEX(WaterUseH2[Average Direct Water Consumption (Gal/ kg h2)],MATCH(LEFT(D327,3),WaterUseH2[Key],0)),0)</f>
        <v>0</v>
      </c>
      <c r="S327" s="15">
        <f t="shared" si="24"/>
        <v>0</v>
      </c>
    </row>
    <row r="328" spans="1:19" x14ac:dyDescent="0.35">
      <c r="A328" t="s">
        <v>107</v>
      </c>
      <c r="B328">
        <v>2035</v>
      </c>
      <c r="C328" t="s">
        <v>41</v>
      </c>
      <c r="D328" t="s">
        <v>85</v>
      </c>
      <c r="E328" s="12">
        <f>SUMIFS(Electricity!$R:$R,Electricity!$P:$P,$B328,Electricity!$O:$O,$D328,Electricity!$M:$M,$A328)</f>
        <v>6469.5017391304345</v>
      </c>
      <c r="F328" t="s">
        <v>81</v>
      </c>
      <c r="G328" s="31">
        <f>H328/Assumptions!$B$23/1000000000000</f>
        <v>2.7273777096853025E-2</v>
      </c>
      <c r="H328" s="13">
        <f>IF(C328="Electricity",E328*SUMIFS(Electricity!S:S,Electricity!P:P,Predev_Scenarios!B328,Electricity!M:M,Predev_Scenarios!A328,Electricity!O:O,Predev_Scenarios!D328),"")</f>
        <v>7576422.6102130003</v>
      </c>
      <c r="I328" s="59">
        <f>SUMIFS(Electricity!U:U,Electricity!$M:$M,Predev_Scenarios!$A328,Electricity!$P:$P,Predev_Scenarios!$B328,Electricity!$O:$O,Predev_Scenarios!$D328)*-1</f>
        <v>0.10179113999999995</v>
      </c>
      <c r="J328" s="59">
        <f>SUMIFS(Electricity!V:V,Electricity!$M:$M,Predev_Scenarios!$A328,Electricity!$P:$P,Predev_Scenarios!$B328,Electricity!$O:$O,Predev_Scenarios!$D328)*-1</f>
        <v>8.0472459500000065E-2</v>
      </c>
      <c r="K328" s="59">
        <f>SUMIFS(Electricity!W:W,Electricity!$M:$M,Predev_Scenarios!$A328,Electricity!$P:$P,Predev_Scenarios!$B328,Electricity!$O:$O,Predev_Scenarios!$D328)*-1</f>
        <v>0.12310981950000006</v>
      </c>
      <c r="L328" s="63">
        <f t="shared" si="21"/>
        <v>-7.7121269461535653E-7</v>
      </c>
      <c r="M328" s="63">
        <f t="shared" si="22"/>
        <v>-6.0969336165525041E-7</v>
      </c>
      <c r="N328" s="63">
        <f t="shared" si="23"/>
        <v>-9.3273201999904188E-7</v>
      </c>
      <c r="O328" s="30">
        <f>IF(OR(LEFT($D328,5)="Solar",$D328="Wind"),INDEX(Land_Use[AVG],MATCH(LEFT($D328,5),Land_Use[Tech],0)),0)*$E328</f>
        <v>0</v>
      </c>
      <c r="P328" s="30">
        <f>IF(OR(LEFT($D328,5)="Solar",$D328="Wind"),INDEX(Land_Use[MIN],MATCH(LEFT($D328,5),Land_Use[Tech],0)),0)*$E328</f>
        <v>0</v>
      </c>
      <c r="Q328" s="30">
        <f>IF(OR(LEFT($D328,5)="Solar",$D328="Wind"),INDEX(Land_Use[MAX],MATCH(LEFT($D328,5),Land_Use[Tech],0)),0)*$E328</f>
        <v>0</v>
      </c>
      <c r="R328" s="31">
        <f>IFERROR(INDEX(WaterUseH2[Average Direct Water Consumption (Gal/ kg h2)],MATCH(LEFT(D328,3),WaterUseH2[Key],0)),0)</f>
        <v>0</v>
      </c>
      <c r="S328" s="15">
        <f t="shared" si="24"/>
        <v>0</v>
      </c>
    </row>
    <row r="329" spans="1:19" x14ac:dyDescent="0.35">
      <c r="A329" t="s">
        <v>107</v>
      </c>
      <c r="B329">
        <v>2036</v>
      </c>
      <c r="C329" t="s">
        <v>41</v>
      </c>
      <c r="D329" t="s">
        <v>85</v>
      </c>
      <c r="E329" s="12">
        <f>SUMIFS(Electricity!$R:$R,Electricity!$P:$P,$B329,Electricity!$O:$O,$D329,Electricity!$M:$M,$A329)</f>
        <v>7057.6382608695649</v>
      </c>
      <c r="F329" t="s">
        <v>81</v>
      </c>
      <c r="G329" s="31">
        <f>H329/Assumptions!$B$23/1000000000000</f>
        <v>2.9753211378385117E-2</v>
      </c>
      <c r="H329" s="13">
        <f>IF(C329="Electricity",E329*SUMIFS(Electricity!S:S,Electricity!P:P,Predev_Scenarios!B329,Electricity!M:M,Predev_Scenarios!A329,Electricity!O:O,Predev_Scenarios!D329),"")</f>
        <v>8265188.3020505458</v>
      </c>
      <c r="I329" s="59">
        <f>SUMIFS(Electricity!U:U,Electricity!$M:$M,Predev_Scenarios!$A329,Electricity!$P:$P,Predev_Scenarios!$B329,Electricity!$O:$O,Predev_Scenarios!$D329)*-1</f>
        <v>9.756721579999994E-2</v>
      </c>
      <c r="J329" s="59">
        <f>SUMIFS(Electricity!V:V,Electricity!$M:$M,Predev_Scenarios!$A329,Electricity!$P:$P,Predev_Scenarios!$B329,Electricity!$O:$O,Predev_Scenarios!$D329)*-1</f>
        <v>7.5314692350000073E-2</v>
      </c>
      <c r="K329" s="59">
        <f>SUMIFS(Electricity!W:W,Electricity!$M:$M,Predev_Scenarios!$A329,Electricity!$P:$P,Predev_Scenarios!$B329,Electricity!$O:$O,Predev_Scenarios!$D329)*-1</f>
        <v>0.11981973825000006</v>
      </c>
      <c r="L329" s="63">
        <f t="shared" si="21"/>
        <v>-8.0641141069380068E-7</v>
      </c>
      <c r="M329" s="63">
        <f t="shared" si="22"/>
        <v>-6.2249011418375628E-7</v>
      </c>
      <c r="N329" s="63">
        <f t="shared" si="23"/>
        <v>-9.9033269893865872E-7</v>
      </c>
      <c r="O329" s="30">
        <f>IF(OR(LEFT($D329,5)="Solar",$D329="Wind"),INDEX(Land_Use[AVG],MATCH(LEFT($D329,5),Land_Use[Tech],0)),0)*$E329</f>
        <v>0</v>
      </c>
      <c r="P329" s="30">
        <f>IF(OR(LEFT($D329,5)="Solar",$D329="Wind"),INDEX(Land_Use[MIN],MATCH(LEFT($D329,5),Land_Use[Tech],0)),0)*$E329</f>
        <v>0</v>
      </c>
      <c r="Q329" s="30">
        <f>IF(OR(LEFT($D329,5)="Solar",$D329="Wind"),INDEX(Land_Use[MAX],MATCH(LEFT($D329,5),Land_Use[Tech],0)),0)*$E329</f>
        <v>0</v>
      </c>
      <c r="R329" s="31">
        <f>IFERROR(INDEX(WaterUseH2[Average Direct Water Consumption (Gal/ kg h2)],MATCH(LEFT(D329,3),WaterUseH2[Key],0)),0)</f>
        <v>0</v>
      </c>
      <c r="S329" s="15">
        <f t="shared" si="24"/>
        <v>0</v>
      </c>
    </row>
    <row r="330" spans="1:19" x14ac:dyDescent="0.35">
      <c r="A330" t="s">
        <v>107</v>
      </c>
      <c r="B330">
        <v>2037</v>
      </c>
      <c r="C330" t="s">
        <v>41</v>
      </c>
      <c r="D330" t="s">
        <v>85</v>
      </c>
      <c r="E330" s="12">
        <f>SUMIFS(Electricity!$R:$R,Electricity!$P:$P,$B330,Electricity!$O:$O,$D330,Electricity!$M:$M,$A330)</f>
        <v>7645.7747826086952</v>
      </c>
      <c r="F330" t="s">
        <v>81</v>
      </c>
      <c r="G330" s="31">
        <f>H330/Assumptions!$B$23/1000000000000</f>
        <v>3.2232645659917208E-2</v>
      </c>
      <c r="H330" s="13">
        <f>IF(C330="Electricity",E330*SUMIFS(Electricity!S:S,Electricity!P:P,Predev_Scenarios!B330,Electricity!M:M,Predev_Scenarios!A330,Electricity!O:O,Predev_Scenarios!D330),"")</f>
        <v>8953953.9938880913</v>
      </c>
      <c r="I330" s="59">
        <f>SUMIFS(Electricity!U:U,Electricity!$M:$M,Predev_Scenarios!$A330,Electricity!$P:$P,Predev_Scenarios!$B330,Electricity!$O:$O,Predev_Scenarios!$D330)*-1</f>
        <v>9.3343291599999934E-2</v>
      </c>
      <c r="J330" s="59">
        <f>SUMIFS(Electricity!V:V,Electricity!$M:$M,Predev_Scenarios!$A330,Electricity!$P:$P,Predev_Scenarios!$B330,Electricity!$O:$O,Predev_Scenarios!$D330)*-1</f>
        <v>7.0156925200000081E-2</v>
      </c>
      <c r="K330" s="59">
        <f>SUMIFS(Electricity!W:W,Electricity!$M:$M,Predev_Scenarios!$A330,Electricity!$P:$P,Predev_Scenarios!$B330,Electricity!$O:$O,Predev_Scenarios!$D330)*-1</f>
        <v>0.11652965700000005</v>
      </c>
      <c r="L330" s="63">
        <f t="shared" si="21"/>
        <v>-8.3579153862448014E-7</v>
      </c>
      <c r="M330" s="63">
        <f t="shared" si="22"/>
        <v>-6.2818188059344885E-7</v>
      </c>
      <c r="N330" s="63">
        <f t="shared" si="23"/>
        <v>-1.0434011877015599E-6</v>
      </c>
      <c r="O330" s="30">
        <f>IF(OR(LEFT($D330,5)="Solar",$D330="Wind"),INDEX(Land_Use[AVG],MATCH(LEFT($D330,5),Land_Use[Tech],0)),0)*$E330</f>
        <v>0</v>
      </c>
      <c r="P330" s="30">
        <f>IF(OR(LEFT($D330,5)="Solar",$D330="Wind"),INDEX(Land_Use[MIN],MATCH(LEFT($D330,5),Land_Use[Tech],0)),0)*$E330</f>
        <v>0</v>
      </c>
      <c r="Q330" s="30">
        <f>IF(OR(LEFT($D330,5)="Solar",$D330="Wind"),INDEX(Land_Use[MAX],MATCH(LEFT($D330,5),Land_Use[Tech],0)),0)*$E330</f>
        <v>0</v>
      </c>
      <c r="R330" s="31">
        <f>IFERROR(INDEX(WaterUseH2[Average Direct Water Consumption (Gal/ kg h2)],MATCH(LEFT(D330,3),WaterUseH2[Key],0)),0)</f>
        <v>0</v>
      </c>
      <c r="S330" s="15">
        <f t="shared" si="24"/>
        <v>0</v>
      </c>
    </row>
    <row r="331" spans="1:19" x14ac:dyDescent="0.35">
      <c r="A331" t="s">
        <v>107</v>
      </c>
      <c r="B331">
        <v>2038</v>
      </c>
      <c r="C331" t="s">
        <v>41</v>
      </c>
      <c r="D331" t="s">
        <v>85</v>
      </c>
      <c r="E331" s="12">
        <f>SUMIFS(Electricity!$R:$R,Electricity!$P:$P,$B331,Electricity!$O:$O,$D331,Electricity!$M:$M,$A331)</f>
        <v>8233.9113043478264</v>
      </c>
      <c r="F331" t="s">
        <v>81</v>
      </c>
      <c r="G331" s="31">
        <f>H331/Assumptions!$B$23/1000000000000</f>
        <v>3.4712079941449307E-2</v>
      </c>
      <c r="H331" s="13">
        <f>IF(C331="Electricity",E331*SUMIFS(Electricity!S:S,Electricity!P:P,Predev_Scenarios!B331,Electricity!M:M,Predev_Scenarios!A331,Electricity!O:O,Predev_Scenarios!D331),"")</f>
        <v>9642719.6857256386</v>
      </c>
      <c r="I331" s="59">
        <f>SUMIFS(Electricity!U:U,Electricity!$M:$M,Predev_Scenarios!$A331,Electricity!$P:$P,Predev_Scenarios!$B331,Electricity!$O:$O,Predev_Scenarios!$D331)*-1</f>
        <v>8.9119367399999927E-2</v>
      </c>
      <c r="J331" s="59">
        <f>SUMIFS(Electricity!V:V,Electricity!$M:$M,Predev_Scenarios!$A331,Electricity!$P:$P,Predev_Scenarios!$B331,Electricity!$O:$O,Predev_Scenarios!$D331)*-1</f>
        <v>6.4999158050000089E-2</v>
      </c>
      <c r="K331" s="59">
        <f>SUMIFS(Electricity!W:W,Electricity!$M:$M,Predev_Scenarios!$A331,Electricity!$P:$P,Predev_Scenarios!$B331,Electricity!$O:$O,Predev_Scenarios!$D331)*-1</f>
        <v>0.11323957575000004</v>
      </c>
      <c r="L331" s="63">
        <f t="shared" si="21"/>
        <v>-8.5935307840739492E-7</v>
      </c>
      <c r="M331" s="63">
        <f t="shared" si="22"/>
        <v>-6.2676866088432792E-7</v>
      </c>
      <c r="N331" s="63">
        <f t="shared" si="23"/>
        <v>-1.091937486287745E-6</v>
      </c>
      <c r="O331" s="30">
        <f>IF(OR(LEFT($D331,5)="Solar",$D331="Wind"),INDEX(Land_Use[AVG],MATCH(LEFT($D331,5),Land_Use[Tech],0)),0)*$E331</f>
        <v>0</v>
      </c>
      <c r="P331" s="30">
        <f>IF(OR(LEFT($D331,5)="Solar",$D331="Wind"),INDEX(Land_Use[MIN],MATCH(LEFT($D331,5),Land_Use[Tech],0)),0)*$E331</f>
        <v>0</v>
      </c>
      <c r="Q331" s="30">
        <f>IF(OR(LEFT($D331,5)="Solar",$D331="Wind"),INDEX(Land_Use[MAX],MATCH(LEFT($D331,5),Land_Use[Tech],0)),0)*$E331</f>
        <v>0</v>
      </c>
      <c r="R331" s="31">
        <f>IFERROR(INDEX(WaterUseH2[Average Direct Water Consumption (Gal/ kg h2)],MATCH(LEFT(D331,3),WaterUseH2[Key],0)),0)</f>
        <v>0</v>
      </c>
      <c r="S331" s="15">
        <f t="shared" si="24"/>
        <v>0</v>
      </c>
    </row>
    <row r="332" spans="1:19" x14ac:dyDescent="0.35">
      <c r="A332" t="s">
        <v>107</v>
      </c>
      <c r="B332">
        <v>2039</v>
      </c>
      <c r="C332" t="s">
        <v>41</v>
      </c>
      <c r="D332" t="s">
        <v>85</v>
      </c>
      <c r="E332" s="12">
        <f>SUMIFS(Electricity!$R:$R,Electricity!$P:$P,$B332,Electricity!$O:$O,$D332,Electricity!$M:$M,$A332)</f>
        <v>8822.0478260869568</v>
      </c>
      <c r="F332" t="s">
        <v>81</v>
      </c>
      <c r="G332" s="31">
        <f>H332/Assumptions!$B$23/1000000000000</f>
        <v>3.7191514222981399E-2</v>
      </c>
      <c r="H332" s="13">
        <f>IF(C332="Electricity",E332*SUMIFS(Electricity!S:S,Electricity!P:P,Predev_Scenarios!B332,Electricity!M:M,Predev_Scenarios!A332,Electricity!O:O,Predev_Scenarios!D332),"")</f>
        <v>10331485.377563184</v>
      </c>
      <c r="I332" s="59">
        <f>SUMIFS(Electricity!U:U,Electricity!$M:$M,Predev_Scenarios!$A332,Electricity!$P:$P,Predev_Scenarios!$B332,Electricity!$O:$O,Predev_Scenarios!$D332)*-1</f>
        <v>8.489544319999992E-2</v>
      </c>
      <c r="J332" s="59">
        <f>SUMIFS(Electricity!V:V,Electricity!$M:$M,Predev_Scenarios!$A332,Electricity!$P:$P,Predev_Scenarios!$B332,Electricity!$O:$O,Predev_Scenarios!$D332)*-1</f>
        <v>5.984139090000009E-2</v>
      </c>
      <c r="K332" s="59">
        <f>SUMIFS(Electricity!W:W,Electricity!$M:$M,Predev_Scenarios!$A332,Electricity!$P:$P,Predev_Scenarios!$B332,Electricity!$O:$O,Predev_Scenarios!$D332)*-1</f>
        <v>0.10994949450000004</v>
      </c>
      <c r="L332" s="63">
        <f t="shared" si="21"/>
        <v>-8.7709603004254502E-7</v>
      </c>
      <c r="M332" s="63">
        <f t="shared" si="22"/>
        <v>-6.1825045505639358E-7</v>
      </c>
      <c r="N332" s="63">
        <f t="shared" si="23"/>
        <v>-1.1359415946972141E-6</v>
      </c>
      <c r="O332" s="30">
        <f>IF(OR(LEFT($D332,5)="Solar",$D332="Wind"),INDEX(Land_Use[AVG],MATCH(LEFT($D332,5),Land_Use[Tech],0)),0)*$E332</f>
        <v>0</v>
      </c>
      <c r="P332" s="30">
        <f>IF(OR(LEFT($D332,5)="Solar",$D332="Wind"),INDEX(Land_Use[MIN],MATCH(LEFT($D332,5),Land_Use[Tech],0)),0)*$E332</f>
        <v>0</v>
      </c>
      <c r="Q332" s="30">
        <f>IF(OR(LEFT($D332,5)="Solar",$D332="Wind"),INDEX(Land_Use[MAX],MATCH(LEFT($D332,5),Land_Use[Tech],0)),0)*$E332</f>
        <v>0</v>
      </c>
      <c r="R332" s="31">
        <f>IFERROR(INDEX(WaterUseH2[Average Direct Water Consumption (Gal/ kg h2)],MATCH(LEFT(D332,3),WaterUseH2[Key],0)),0)</f>
        <v>0</v>
      </c>
      <c r="S332" s="15">
        <f t="shared" si="24"/>
        <v>0</v>
      </c>
    </row>
    <row r="333" spans="1:19" x14ac:dyDescent="0.35">
      <c r="A333" t="s">
        <v>107</v>
      </c>
      <c r="B333">
        <v>2040</v>
      </c>
      <c r="C333" t="s">
        <v>41</v>
      </c>
      <c r="D333" t="s">
        <v>85</v>
      </c>
      <c r="E333" s="12">
        <f>SUMIFS(Electricity!$R:$R,Electricity!$P:$P,$B333,Electricity!$O:$O,$D333,Electricity!$M:$M,$A333)</f>
        <v>9410.1843478260871</v>
      </c>
      <c r="F333" t="s">
        <v>81</v>
      </c>
      <c r="G333" s="31">
        <f>H333/Assumptions!$B$23/1000000000000</f>
        <v>3.9670948504513491E-2</v>
      </c>
      <c r="H333" s="13">
        <f>IF(C333="Electricity",E333*SUMIFS(Electricity!S:S,Electricity!P:P,Predev_Scenarios!B333,Electricity!M:M,Predev_Scenarios!A333,Electricity!O:O,Predev_Scenarios!D333),"")</f>
        <v>11020251.069400728</v>
      </c>
      <c r="I333" s="59">
        <f>SUMIFS(Electricity!U:U,Electricity!$M:$M,Predev_Scenarios!$A333,Electricity!$P:$P,Predev_Scenarios!$B333,Electricity!$O:$O,Predev_Scenarios!$D333)*-1</f>
        <v>8.0671518999999914E-2</v>
      </c>
      <c r="J333" s="59">
        <f>SUMIFS(Electricity!V:V,Electricity!$M:$M,Predev_Scenarios!$A333,Electricity!$P:$P,Predev_Scenarios!$B333,Electricity!$O:$O,Predev_Scenarios!$D333)*-1</f>
        <v>5.468362375000009E-2</v>
      </c>
      <c r="K333" s="59">
        <f>SUMIFS(Electricity!W:W,Electricity!$M:$M,Predev_Scenarios!$A333,Electricity!$P:$P,Predev_Scenarios!$B333,Electricity!$O:$O,Predev_Scenarios!$D333)*-1</f>
        <v>0.10665941325000003</v>
      </c>
      <c r="L333" s="63">
        <f t="shared" si="21"/>
        <v>-8.8902039352993012E-7</v>
      </c>
      <c r="M333" s="63">
        <f t="shared" si="22"/>
        <v>-6.0262726310964552E-7</v>
      </c>
      <c r="N333" s="63">
        <f t="shared" si="23"/>
        <v>-1.1754135129299669E-6</v>
      </c>
      <c r="O333" s="30">
        <f>IF(OR(LEFT($D333,5)="Solar",$D333="Wind"),INDEX(Land_Use[AVG],MATCH(LEFT($D333,5),Land_Use[Tech],0)),0)*$E333</f>
        <v>0</v>
      </c>
      <c r="P333" s="30">
        <f>IF(OR(LEFT($D333,5)="Solar",$D333="Wind"),INDEX(Land_Use[MIN],MATCH(LEFT($D333,5),Land_Use[Tech],0)),0)*$E333</f>
        <v>0</v>
      </c>
      <c r="Q333" s="30">
        <f>IF(OR(LEFT($D333,5)="Solar",$D333="Wind"),INDEX(Land_Use[MAX],MATCH(LEFT($D333,5),Land_Use[Tech],0)),0)*$E333</f>
        <v>0</v>
      </c>
      <c r="R333" s="31">
        <f>IFERROR(INDEX(WaterUseH2[Average Direct Water Consumption (Gal/ kg h2)],MATCH(LEFT(D333,3),WaterUseH2[Key],0)),0)</f>
        <v>0</v>
      </c>
      <c r="S333" s="15">
        <f t="shared" si="24"/>
        <v>0</v>
      </c>
    </row>
    <row r="334" spans="1:19" x14ac:dyDescent="0.35">
      <c r="A334" t="s">
        <v>107</v>
      </c>
      <c r="B334">
        <v>2041</v>
      </c>
      <c r="C334" t="s">
        <v>41</v>
      </c>
      <c r="D334" t="s">
        <v>85</v>
      </c>
      <c r="E334" s="12">
        <f>SUMIFS(Electricity!$R:$R,Electricity!$P:$P,$B334,Electricity!$O:$O,$D334,Electricity!$M:$M,$A334)</f>
        <v>9998.3208695652174</v>
      </c>
      <c r="F334" t="s">
        <v>81</v>
      </c>
      <c r="G334" s="31">
        <f>H334/Assumptions!$B$23/1000000000000</f>
        <v>4.2150382786045576E-2</v>
      </c>
      <c r="H334" s="13">
        <f>IF(C334="Electricity",E334*SUMIFS(Electricity!S:S,Electricity!P:P,Predev_Scenarios!B334,Electricity!M:M,Predev_Scenarios!A334,Electricity!O:O,Predev_Scenarios!D334),"")</f>
        <v>11709016.761238273</v>
      </c>
      <c r="I334" s="59">
        <f>SUMIFS(Electricity!U:U,Electricity!$M:$M,Predev_Scenarios!$A334,Electricity!$P:$P,Predev_Scenarios!$B334,Electricity!$O:$O,Predev_Scenarios!$D334)*-1</f>
        <v>7.6447594799999907E-2</v>
      </c>
      <c r="J334" s="59">
        <f>SUMIFS(Electricity!V:V,Electricity!$M:$M,Predev_Scenarios!$A334,Electricity!$P:$P,Predev_Scenarios!$B334,Electricity!$O:$O,Predev_Scenarios!$D334)*-1</f>
        <v>4.9525856600000091E-2</v>
      </c>
      <c r="K334" s="59">
        <f>SUMIFS(Electricity!W:W,Electricity!$M:$M,Predev_Scenarios!$A334,Electricity!$P:$P,Predev_Scenarios!$B334,Electricity!$O:$O,Predev_Scenarios!$D334)*-1</f>
        <v>0.10336933200000002</v>
      </c>
      <c r="L334" s="63">
        <f t="shared" si="21"/>
        <v>-8.9512616886955086E-7</v>
      </c>
      <c r="M334" s="63">
        <f t="shared" si="22"/>
        <v>-5.7989908504408427E-7</v>
      </c>
      <c r="N334" s="63">
        <f t="shared" si="23"/>
        <v>-1.210353240986004E-6</v>
      </c>
      <c r="O334" s="30">
        <f>IF(OR(LEFT($D334,5)="Solar",$D334="Wind"),INDEX(Land_Use[AVG],MATCH(LEFT($D334,5),Land_Use[Tech],0)),0)*$E334</f>
        <v>0</v>
      </c>
      <c r="P334" s="30">
        <f>IF(OR(LEFT($D334,5)="Solar",$D334="Wind"),INDEX(Land_Use[MIN],MATCH(LEFT($D334,5),Land_Use[Tech],0)),0)*$E334</f>
        <v>0</v>
      </c>
      <c r="Q334" s="30">
        <f>IF(OR(LEFT($D334,5)="Solar",$D334="Wind"),INDEX(Land_Use[MAX],MATCH(LEFT($D334,5),Land_Use[Tech],0)),0)*$E334</f>
        <v>0</v>
      </c>
      <c r="R334" s="31">
        <f>IFERROR(INDEX(WaterUseH2[Average Direct Water Consumption (Gal/ kg h2)],MATCH(LEFT(D334,3),WaterUseH2[Key],0)),0)</f>
        <v>0</v>
      </c>
      <c r="S334" s="15">
        <f t="shared" si="24"/>
        <v>0</v>
      </c>
    </row>
    <row r="335" spans="1:19" x14ac:dyDescent="0.35">
      <c r="A335" t="s">
        <v>107</v>
      </c>
      <c r="B335">
        <v>2042</v>
      </c>
      <c r="C335" t="s">
        <v>41</v>
      </c>
      <c r="D335" t="s">
        <v>85</v>
      </c>
      <c r="E335" s="12">
        <f>SUMIFS(Electricity!$R:$R,Electricity!$P:$P,$B335,Electricity!$O:$O,$D335,Electricity!$M:$M,$A335)</f>
        <v>10586.457391304348</v>
      </c>
      <c r="F335" t="s">
        <v>81</v>
      </c>
      <c r="G335" s="31">
        <f>H335/Assumptions!$B$23/1000000000000</f>
        <v>4.4629817067577675E-2</v>
      </c>
      <c r="H335" s="13">
        <f>IF(C335="Electricity",E335*SUMIFS(Electricity!S:S,Electricity!P:P,Predev_Scenarios!B335,Electricity!M:M,Predev_Scenarios!A335,Electricity!O:O,Predev_Scenarios!D335),"")</f>
        <v>12397782.453075819</v>
      </c>
      <c r="I335" s="59">
        <f>SUMIFS(Electricity!U:U,Electricity!$M:$M,Predev_Scenarios!$A335,Electricity!$P:$P,Predev_Scenarios!$B335,Electricity!$O:$O,Predev_Scenarios!$D335)*-1</f>
        <v>7.2223670599999901E-2</v>
      </c>
      <c r="J335" s="59">
        <f>SUMIFS(Electricity!V:V,Electricity!$M:$M,Predev_Scenarios!$A335,Electricity!$P:$P,Predev_Scenarios!$B335,Electricity!$O:$O,Predev_Scenarios!$D335)*-1</f>
        <v>4.4368089450000092E-2</v>
      </c>
      <c r="K335" s="59">
        <f>SUMIFS(Electricity!W:W,Electricity!$M:$M,Predev_Scenarios!$A335,Electricity!$P:$P,Predev_Scenarios!$B335,Electricity!$O:$O,Predev_Scenarios!$D335)*-1</f>
        <v>0.10007925075000002</v>
      </c>
      <c r="L335" s="63">
        <f t="shared" si="21"/>
        <v>-8.954133560614066E-7</v>
      </c>
      <c r="M335" s="63">
        <f t="shared" si="22"/>
        <v>-5.5006592085970951E-7</v>
      </c>
      <c r="N335" s="63">
        <f t="shared" si="23"/>
        <v>-1.2407607788653251E-6</v>
      </c>
      <c r="O335" s="30">
        <f>IF(OR(LEFT($D335,5)="Solar",$D335="Wind"),INDEX(Land_Use[AVG],MATCH(LEFT($D335,5),Land_Use[Tech],0)),0)*$E335</f>
        <v>0</v>
      </c>
      <c r="P335" s="30">
        <f>IF(OR(LEFT($D335,5)="Solar",$D335="Wind"),INDEX(Land_Use[MIN],MATCH(LEFT($D335,5),Land_Use[Tech],0)),0)*$E335</f>
        <v>0</v>
      </c>
      <c r="Q335" s="30">
        <f>IF(OR(LEFT($D335,5)="Solar",$D335="Wind"),INDEX(Land_Use[MAX],MATCH(LEFT($D335,5),Land_Use[Tech],0)),0)*$E335</f>
        <v>0</v>
      </c>
      <c r="R335" s="31">
        <f>IFERROR(INDEX(WaterUseH2[Average Direct Water Consumption (Gal/ kg h2)],MATCH(LEFT(D335,3),WaterUseH2[Key],0)),0)</f>
        <v>0</v>
      </c>
      <c r="S335" s="15">
        <f t="shared" si="24"/>
        <v>0</v>
      </c>
    </row>
    <row r="336" spans="1:19" x14ac:dyDescent="0.35">
      <c r="A336" t="s">
        <v>107</v>
      </c>
      <c r="B336">
        <v>2043</v>
      </c>
      <c r="C336" t="s">
        <v>41</v>
      </c>
      <c r="D336" t="s">
        <v>85</v>
      </c>
      <c r="E336" s="12">
        <f>SUMIFS(Electricity!$R:$R,Electricity!$P:$P,$B336,Electricity!$O:$O,$D336,Electricity!$M:$M,$A336)</f>
        <v>11174.593913043478</v>
      </c>
      <c r="F336" t="s">
        <v>81</v>
      </c>
      <c r="G336" s="31">
        <f>H336/Assumptions!$B$23/1000000000000</f>
        <v>4.7109251349109767E-2</v>
      </c>
      <c r="H336" s="13">
        <f>IF(C336="Electricity",E336*SUMIFS(Electricity!S:S,Electricity!P:P,Predev_Scenarios!B336,Electricity!M:M,Predev_Scenarios!A336,Electricity!O:O,Predev_Scenarios!D336),"")</f>
        <v>13086548.144913364</v>
      </c>
      <c r="I336" s="59">
        <f>SUMIFS(Electricity!U:U,Electricity!$M:$M,Predev_Scenarios!$A336,Electricity!$P:$P,Predev_Scenarios!$B336,Electricity!$O:$O,Predev_Scenarios!$D336)*-1</f>
        <v>6.7999746399999894E-2</v>
      </c>
      <c r="J336" s="59">
        <f>SUMIFS(Electricity!V:V,Electricity!$M:$M,Predev_Scenarios!$A336,Electricity!$P:$P,Predev_Scenarios!$B336,Electricity!$O:$O,Predev_Scenarios!$D336)*-1</f>
        <v>3.9210322300000093E-2</v>
      </c>
      <c r="K336" s="59">
        <f>SUMIFS(Electricity!W:W,Electricity!$M:$M,Predev_Scenarios!$A336,Electricity!$P:$P,Predev_Scenarios!$B336,Electricity!$O:$O,Predev_Scenarios!$D336)*-1</f>
        <v>9.6789169500000008E-2</v>
      </c>
      <c r="L336" s="63">
        <f t="shared" si="21"/>
        <v>-8.8988195510549776E-7</v>
      </c>
      <c r="M336" s="63">
        <f t="shared" si="22"/>
        <v>-5.1312777055652135E-7</v>
      </c>
      <c r="N336" s="63">
        <f t="shared" si="23"/>
        <v>-1.2666361265679301E-6</v>
      </c>
      <c r="O336" s="30">
        <f>IF(OR(LEFT($D336,5)="Solar",$D336="Wind"),INDEX(Land_Use[AVG],MATCH(LEFT($D336,5),Land_Use[Tech],0)),0)*$E336</f>
        <v>0</v>
      </c>
      <c r="P336" s="30">
        <f>IF(OR(LEFT($D336,5)="Solar",$D336="Wind"),INDEX(Land_Use[MIN],MATCH(LEFT($D336,5),Land_Use[Tech],0)),0)*$E336</f>
        <v>0</v>
      </c>
      <c r="Q336" s="30">
        <f>IF(OR(LEFT($D336,5)="Solar",$D336="Wind"),INDEX(Land_Use[MAX],MATCH(LEFT($D336,5),Land_Use[Tech],0)),0)*$E336</f>
        <v>0</v>
      </c>
      <c r="R336" s="31">
        <f>IFERROR(INDEX(WaterUseH2[Average Direct Water Consumption (Gal/ kg h2)],MATCH(LEFT(D336,3),WaterUseH2[Key],0)),0)</f>
        <v>0</v>
      </c>
      <c r="S336" s="15">
        <f t="shared" si="24"/>
        <v>0</v>
      </c>
    </row>
    <row r="337" spans="1:19" x14ac:dyDescent="0.35">
      <c r="A337" t="s">
        <v>107</v>
      </c>
      <c r="B337">
        <v>2044</v>
      </c>
      <c r="C337" t="s">
        <v>41</v>
      </c>
      <c r="D337" t="s">
        <v>85</v>
      </c>
      <c r="E337" s="12">
        <f>SUMIFS(Electricity!$R:$R,Electricity!$P:$P,$B337,Electricity!$O:$O,$D337,Electricity!$M:$M,$A337)</f>
        <v>11762.730434782608</v>
      </c>
      <c r="F337" t="s">
        <v>81</v>
      </c>
      <c r="G337" s="31">
        <f>H337/Assumptions!$B$23/1000000000000</f>
        <v>4.9588685630641859E-2</v>
      </c>
      <c r="H337" s="13">
        <f>IF(C337="Electricity",E337*SUMIFS(Electricity!S:S,Electricity!P:P,Predev_Scenarios!B337,Electricity!M:M,Predev_Scenarios!A337,Electricity!O:O,Predev_Scenarios!D337),"")</f>
        <v>13775313.83675091</v>
      </c>
      <c r="I337" s="59">
        <f>SUMIFS(Electricity!U:U,Electricity!$M:$M,Predev_Scenarios!$A337,Electricity!$P:$P,Predev_Scenarios!$B337,Electricity!$O:$O,Predev_Scenarios!$D337)*-1</f>
        <v>6.3775822199999888E-2</v>
      </c>
      <c r="J337" s="59">
        <f>SUMIFS(Electricity!V:V,Electricity!$M:$M,Predev_Scenarios!$A337,Electricity!$P:$P,Predev_Scenarios!$B337,Electricity!$O:$O,Predev_Scenarios!$D337)*-1</f>
        <v>3.4052555150000094E-2</v>
      </c>
      <c r="K337" s="59">
        <f>SUMIFS(Electricity!W:W,Electricity!$M:$M,Predev_Scenarios!$A337,Electricity!$P:$P,Predev_Scenarios!$B337,Electricity!$O:$O,Predev_Scenarios!$D337)*-1</f>
        <v>9.3499088250000001E-2</v>
      </c>
      <c r="L337" s="63">
        <f t="shared" si="21"/>
        <v>-8.7853196600182425E-7</v>
      </c>
      <c r="M337" s="63">
        <f t="shared" si="22"/>
        <v>-4.6908463413451973E-7</v>
      </c>
      <c r="N337" s="63">
        <f t="shared" si="23"/>
        <v>-1.2879792840938195E-6</v>
      </c>
      <c r="O337" s="30">
        <f>IF(OR(LEFT($D337,5)="Solar",$D337="Wind"),INDEX(Land_Use[AVG],MATCH(LEFT($D337,5),Land_Use[Tech],0)),0)*$E337</f>
        <v>0</v>
      </c>
      <c r="P337" s="30">
        <f>IF(OR(LEFT($D337,5)="Solar",$D337="Wind"),INDEX(Land_Use[MIN],MATCH(LEFT($D337,5),Land_Use[Tech],0)),0)*$E337</f>
        <v>0</v>
      </c>
      <c r="Q337" s="30">
        <f>IF(OR(LEFT($D337,5)="Solar",$D337="Wind"),INDEX(Land_Use[MAX],MATCH(LEFT($D337,5),Land_Use[Tech],0)),0)*$E337</f>
        <v>0</v>
      </c>
      <c r="R337" s="31">
        <f>IFERROR(INDEX(WaterUseH2[Average Direct Water Consumption (Gal/ kg h2)],MATCH(LEFT(D337,3),WaterUseH2[Key],0)),0)</f>
        <v>0</v>
      </c>
      <c r="S337" s="15">
        <f t="shared" si="24"/>
        <v>0</v>
      </c>
    </row>
    <row r="338" spans="1:19" x14ac:dyDescent="0.35">
      <c r="A338" t="s">
        <v>107</v>
      </c>
      <c r="B338">
        <v>2045</v>
      </c>
      <c r="C338" t="s">
        <v>41</v>
      </c>
      <c r="D338" t="s">
        <v>85</v>
      </c>
      <c r="E338" s="12">
        <f>SUMIFS(Electricity!$R:$R,Electricity!$P:$P,$B338,Electricity!$O:$O,$D338,Electricity!$M:$M,$A338)</f>
        <v>12350.866956521739</v>
      </c>
      <c r="F338" t="s">
        <v>81</v>
      </c>
      <c r="G338" s="31">
        <f>H338/Assumptions!$B$23/1000000000000</f>
        <v>5.206811991217395E-2</v>
      </c>
      <c r="H338" s="13">
        <f>IF(C338="Electricity",E338*SUMIFS(Electricity!S:S,Electricity!P:P,Predev_Scenarios!B338,Electricity!M:M,Predev_Scenarios!A338,Electricity!O:O,Predev_Scenarios!D338),"")</f>
        <v>14464079.528588455</v>
      </c>
      <c r="I338" s="59">
        <f>SUMIFS(Electricity!U:U,Electricity!$M:$M,Predev_Scenarios!$A338,Electricity!$P:$P,Predev_Scenarios!$B338,Electricity!$O:$O,Predev_Scenarios!$D338)*-1</f>
        <v>5.9551897999999888E-2</v>
      </c>
      <c r="J338" s="59">
        <f>SUMIFS(Electricity!V:V,Electricity!$M:$M,Predev_Scenarios!$A338,Electricity!$P:$P,Predev_Scenarios!$B338,Electricity!$O:$O,Predev_Scenarios!$D338)*-1</f>
        <v>2.8894788000000095E-2</v>
      </c>
      <c r="K338" s="59">
        <f>SUMIFS(Electricity!W:W,Electricity!$M:$M,Predev_Scenarios!$A338,Electricity!$P:$P,Predev_Scenarios!$B338,Electricity!$O:$O,Predev_Scenarios!$D338)*-1</f>
        <v>9.0209006999999994E-2</v>
      </c>
      <c r="L338" s="63">
        <f t="shared" si="21"/>
        <v>-8.6136338875038616E-7</v>
      </c>
      <c r="M338" s="63">
        <f t="shared" si="22"/>
        <v>-4.1793651159370471E-7</v>
      </c>
      <c r="N338" s="63">
        <f t="shared" si="23"/>
        <v>-1.3047902514429926E-6</v>
      </c>
      <c r="O338" s="30">
        <f>IF(OR(LEFT($D338,5)="Solar",$D338="Wind"),INDEX(Land_Use[AVG],MATCH(LEFT($D338,5),Land_Use[Tech],0)),0)*$E338</f>
        <v>0</v>
      </c>
      <c r="P338" s="30">
        <f>IF(OR(LEFT($D338,5)="Solar",$D338="Wind"),INDEX(Land_Use[MIN],MATCH(LEFT($D338,5),Land_Use[Tech],0)),0)*$E338</f>
        <v>0</v>
      </c>
      <c r="Q338" s="30">
        <f>IF(OR(LEFT($D338,5)="Solar",$D338="Wind"),INDEX(Land_Use[MAX],MATCH(LEFT($D338,5),Land_Use[Tech],0)),0)*$E338</f>
        <v>0</v>
      </c>
      <c r="R338" s="31">
        <f>IFERROR(INDEX(WaterUseH2[Average Direct Water Consumption (Gal/ kg h2)],MATCH(LEFT(D338,3),WaterUseH2[Key],0)),0)</f>
        <v>0</v>
      </c>
      <c r="S338" s="15">
        <f t="shared" si="24"/>
        <v>0</v>
      </c>
    </row>
    <row r="339" spans="1:19" x14ac:dyDescent="0.35">
      <c r="A339" t="s">
        <v>76</v>
      </c>
      <c r="B339">
        <v>2025</v>
      </c>
      <c r="C339" t="s">
        <v>87</v>
      </c>
      <c r="D339" t="s">
        <v>88</v>
      </c>
      <c r="E339" s="13">
        <f>SUMIFS(Biogas!$U:$U,Biogas!$O:$O,Predev_Scenarios!A339,Biogas!$S:$S,Predev_Scenarios!B339,Biogas!$P:$P,Predev_Scenarios!D339)</f>
        <v>6027.7777777777783</v>
      </c>
      <c r="F339" t="s">
        <v>89</v>
      </c>
      <c r="G339">
        <f>SUMIFS(Biogas!$T:$T,Biogas!$O:$O,Predev_Scenarios!A339,Biogas!$S:$S,Predev_Scenarios!B339,Biogas!$P:$P,Predev_Scenarios!D339)</f>
        <v>6.5883611111111108E-3</v>
      </c>
      <c r="H339" s="13" t="str">
        <f>IF(C339="Electricity",E339*SUMIFS(Electricity!S:S,Electricity!P:P,Predev_Scenarios!B339,Electricity!M:M,Predev_Scenarios!A339,Electricity!O:O,Predev_Scenarios!D339),"")</f>
        <v/>
      </c>
      <c r="I339" s="12">
        <f>IFERROR(INDEX(Assumptions!C$112:C$113,MATCH(LEFT($D339,2),Assumptions!$B$112:$B$113,0)),0)</f>
        <v>-150</v>
      </c>
      <c r="J339" s="12">
        <f>IFERROR(INDEX(Assumptions!D$112:D$113,MATCH(LEFT($D339,2),Assumptions!$B$112:$B$113,0)),0)</f>
        <v>-132.51</v>
      </c>
      <c r="K339" s="12">
        <f>IFERROR(INDEX(Assumptions!E$112:E$113,MATCH(LEFT($D339,2),Assumptions!$B$112:$B$113,0)),0)</f>
        <v>-328.81697478991583</v>
      </c>
      <c r="L339" s="63">
        <f t="shared" si="13"/>
        <v>0.98825416666666666</v>
      </c>
      <c r="M339" s="63">
        <f t="shared" si="14"/>
        <v>0.87302373083333318</v>
      </c>
      <c r="N339" s="63">
        <f t="shared" si="15"/>
        <v>2.1663649693790838</v>
      </c>
      <c r="O339" s="30">
        <f>IF(OR(LEFT($D339,5)="Solar",$D339="Wind"),INDEX(Land_Use[AVG],MATCH(LEFT($D339,5),Land_Use[Tech],0)),0)*$E339</f>
        <v>0</v>
      </c>
      <c r="P339" s="30">
        <f>IF(OR(LEFT($D339,5)="Solar",$D339="Wind"),INDEX(Land_Use[MIN],MATCH(LEFT($D339,5),Land_Use[Tech],0)),0)*$E339</f>
        <v>0</v>
      </c>
      <c r="Q339" s="30">
        <f>IF(OR(LEFT($D339,5)="Solar",$D339="Wind"),INDEX(Land_Use[MAX],MATCH(LEFT($D339,5),Land_Use[Tech],0)),0)*$E339</f>
        <v>0</v>
      </c>
      <c r="R339" s="31">
        <f>IFERROR(INDEX(WaterUseH2[Average Direct Water Consumption (Gal/ kg h2)],MATCH(LEFT(D339,3),WaterUseH2[Key],0)),0)</f>
        <v>0</v>
      </c>
      <c r="S339" s="15">
        <f t="shared" si="16"/>
        <v>0</v>
      </c>
    </row>
    <row r="340" spans="1:19" x14ac:dyDescent="0.35">
      <c r="A340" t="s">
        <v>76</v>
      </c>
      <c r="B340">
        <v>2026</v>
      </c>
      <c r="C340" t="s">
        <v>87</v>
      </c>
      <c r="D340" t="s">
        <v>88</v>
      </c>
      <c r="E340" s="13">
        <f>SUMIFS(Biogas!$U:$U,Biogas!$O:$O,Predev_Scenarios!A340,Biogas!$S:$S,Predev_Scenarios!B340,Biogas!$P:$P,Predev_Scenarios!D340)</f>
        <v>6027.7777777777783</v>
      </c>
      <c r="F340" t="s">
        <v>89</v>
      </c>
      <c r="G340">
        <f>SUMIFS(Biogas!$T:$T,Biogas!$O:$O,Predev_Scenarios!A340,Biogas!$S:$S,Predev_Scenarios!B340,Biogas!$P:$P,Predev_Scenarios!D340)</f>
        <v>6.5883611111111108E-3</v>
      </c>
      <c r="H340" s="13" t="str">
        <f>IF(C340="Electricity",E340*SUMIFS(Electricity!S:S,Electricity!P:P,Predev_Scenarios!B340,Electricity!M:M,Predev_Scenarios!A340,Electricity!O:O,Predev_Scenarios!D340),"")</f>
        <v/>
      </c>
      <c r="I340" s="12">
        <f>IFERROR(INDEX(Assumptions!C$112:C$113,MATCH(LEFT($D340,2),Assumptions!$B$112:$B$113,0)),0)</f>
        <v>-150</v>
      </c>
      <c r="J340" s="12">
        <f>IFERROR(INDEX(Assumptions!D$112:D$113,MATCH(LEFT($D340,2),Assumptions!$B$112:$B$113,0)),0)</f>
        <v>-132.51</v>
      </c>
      <c r="K340" s="12">
        <f>IFERROR(INDEX(Assumptions!E$112:E$113,MATCH(LEFT($D340,2),Assumptions!$B$112:$B$113,0)),0)</f>
        <v>-328.81697478991583</v>
      </c>
      <c r="L340" s="63">
        <f t="shared" si="13"/>
        <v>0.98825416666666666</v>
      </c>
      <c r="M340" s="63">
        <f t="shared" si="14"/>
        <v>0.87302373083333318</v>
      </c>
      <c r="N340" s="63">
        <f t="shared" si="15"/>
        <v>2.1663649693790838</v>
      </c>
      <c r="O340" s="30">
        <f>IF(OR(LEFT($D340,5)="Solar",$D340="Wind"),INDEX(Land_Use[AVG],MATCH(LEFT($D340,5),Land_Use[Tech],0)),0)*$E340</f>
        <v>0</v>
      </c>
      <c r="P340" s="30">
        <f>IF(OR(LEFT($D340,5)="Solar",$D340="Wind"),INDEX(Land_Use[MIN],MATCH(LEFT($D340,5),Land_Use[Tech],0)),0)*$E340</f>
        <v>0</v>
      </c>
      <c r="Q340" s="30">
        <f>IF(OR(LEFT($D340,5)="Solar",$D340="Wind"),INDEX(Land_Use[MAX],MATCH(LEFT($D340,5),Land_Use[Tech],0)),0)*$E340</f>
        <v>0</v>
      </c>
      <c r="R340" s="31">
        <f>IFERROR(INDEX(WaterUseH2[Average Direct Water Consumption (Gal/ kg h2)],MATCH(LEFT(D340,3),WaterUseH2[Key],0)),0)</f>
        <v>0</v>
      </c>
      <c r="S340" s="15">
        <f t="shared" si="16"/>
        <v>0</v>
      </c>
    </row>
    <row r="341" spans="1:19" x14ac:dyDescent="0.35">
      <c r="A341" t="s">
        <v>76</v>
      </c>
      <c r="B341">
        <v>2027</v>
      </c>
      <c r="C341" t="s">
        <v>87</v>
      </c>
      <c r="D341" t="s">
        <v>88</v>
      </c>
      <c r="E341" s="13">
        <f>SUMIFS(Biogas!$U:$U,Biogas!$O:$O,Predev_Scenarios!A341,Biogas!$S:$S,Predev_Scenarios!B341,Biogas!$P:$P,Predev_Scenarios!D341)</f>
        <v>6027.7777777777783</v>
      </c>
      <c r="F341" t="s">
        <v>89</v>
      </c>
      <c r="G341">
        <f>SUMIFS(Biogas!$T:$T,Biogas!$O:$O,Predev_Scenarios!A341,Biogas!$S:$S,Predev_Scenarios!B341,Biogas!$P:$P,Predev_Scenarios!D341)</f>
        <v>6.5883611111111108E-3</v>
      </c>
      <c r="H341" s="13" t="str">
        <f>IF(C341="Electricity",E341*SUMIFS(Electricity!S:S,Electricity!P:P,Predev_Scenarios!B341,Electricity!M:M,Predev_Scenarios!A341,Electricity!O:O,Predev_Scenarios!D341),"")</f>
        <v/>
      </c>
      <c r="I341" s="12">
        <f>IFERROR(INDEX(Assumptions!C$112:C$113,MATCH(LEFT($D341,2),Assumptions!$B$112:$B$113,0)),0)</f>
        <v>-150</v>
      </c>
      <c r="J341" s="12">
        <f>IFERROR(INDEX(Assumptions!D$112:D$113,MATCH(LEFT($D341,2),Assumptions!$B$112:$B$113,0)),0)</f>
        <v>-132.51</v>
      </c>
      <c r="K341" s="12">
        <f>IFERROR(INDEX(Assumptions!E$112:E$113,MATCH(LEFT($D341,2),Assumptions!$B$112:$B$113,0)),0)</f>
        <v>-328.81697478991583</v>
      </c>
      <c r="L341" s="63">
        <f t="shared" si="13"/>
        <v>0.98825416666666666</v>
      </c>
      <c r="M341" s="63">
        <f t="shared" si="14"/>
        <v>0.87302373083333318</v>
      </c>
      <c r="N341" s="63">
        <f t="shared" si="15"/>
        <v>2.1663649693790838</v>
      </c>
      <c r="O341" s="30">
        <f>IF(OR(LEFT($D341,5)="Solar",$D341="Wind"),INDEX(Land_Use[AVG],MATCH(LEFT($D341,5),Land_Use[Tech],0)),0)*$E341</f>
        <v>0</v>
      </c>
      <c r="P341" s="30">
        <f>IF(OR(LEFT($D341,5)="Solar",$D341="Wind"),INDEX(Land_Use[MIN],MATCH(LEFT($D341,5),Land_Use[Tech],0)),0)*$E341</f>
        <v>0</v>
      </c>
      <c r="Q341" s="30">
        <f>IF(OR(LEFT($D341,5)="Solar",$D341="Wind"),INDEX(Land_Use[MAX],MATCH(LEFT($D341,5),Land_Use[Tech],0)),0)*$E341</f>
        <v>0</v>
      </c>
      <c r="R341" s="31">
        <f>IFERROR(INDEX(WaterUseH2[Average Direct Water Consumption (Gal/ kg h2)],MATCH(LEFT(D341,3),WaterUseH2[Key],0)),0)</f>
        <v>0</v>
      </c>
      <c r="S341" s="15">
        <f t="shared" si="16"/>
        <v>0</v>
      </c>
    </row>
    <row r="342" spans="1:19" x14ac:dyDescent="0.35">
      <c r="A342" t="s">
        <v>76</v>
      </c>
      <c r="B342">
        <v>2028</v>
      </c>
      <c r="C342" t="s">
        <v>87</v>
      </c>
      <c r="D342" t="s">
        <v>88</v>
      </c>
      <c r="E342" s="13">
        <f>SUMIFS(Biogas!$U:$U,Biogas!$O:$O,Predev_Scenarios!A342,Biogas!$S:$S,Predev_Scenarios!B342,Biogas!$P:$P,Predev_Scenarios!D342)</f>
        <v>7233.333333333333</v>
      </c>
      <c r="F342" t="s">
        <v>89</v>
      </c>
      <c r="G342">
        <f>SUMIFS(Biogas!$T:$T,Biogas!$O:$O,Predev_Scenarios!A342,Biogas!$S:$S,Predev_Scenarios!B342,Biogas!$P:$P,Predev_Scenarios!D342)</f>
        <v>7.906033333333333E-3</v>
      </c>
      <c r="H342" s="13" t="str">
        <f>IF(C342="Electricity",E342*SUMIFS(Electricity!S:S,Electricity!P:P,Predev_Scenarios!B342,Electricity!M:M,Predev_Scenarios!A342,Electricity!O:O,Predev_Scenarios!D342),"")</f>
        <v/>
      </c>
      <c r="I342" s="12">
        <f>IFERROR(INDEX(Assumptions!C$112:C$113,MATCH(LEFT($D342,2),Assumptions!$B$112:$B$113,0)),0)</f>
        <v>-150</v>
      </c>
      <c r="J342" s="12">
        <f>IFERROR(INDEX(Assumptions!D$112:D$113,MATCH(LEFT($D342,2),Assumptions!$B$112:$B$113,0)),0)</f>
        <v>-132.51</v>
      </c>
      <c r="K342" s="12">
        <f>IFERROR(INDEX(Assumptions!E$112:E$113,MATCH(LEFT($D342,2),Assumptions!$B$112:$B$113,0)),0)</f>
        <v>-328.81697478991583</v>
      </c>
      <c r="L342" s="63">
        <f t="shared" si="13"/>
        <v>1.185905</v>
      </c>
      <c r="M342" s="63">
        <f t="shared" si="14"/>
        <v>1.0476284769999999</v>
      </c>
      <c r="N342" s="63">
        <f t="shared" si="15"/>
        <v>2.5996379632549007</v>
      </c>
      <c r="O342" s="30">
        <f>IF(OR(LEFT($D342,5)="Solar",$D342="Wind"),INDEX(Land_Use[AVG],MATCH(LEFT($D342,5),Land_Use[Tech],0)),0)*$E342</f>
        <v>0</v>
      </c>
      <c r="P342" s="30">
        <f>IF(OR(LEFT($D342,5)="Solar",$D342="Wind"),INDEX(Land_Use[MIN],MATCH(LEFT($D342,5),Land_Use[Tech],0)),0)*$E342</f>
        <v>0</v>
      </c>
      <c r="Q342" s="30">
        <f>IF(OR(LEFT($D342,5)="Solar",$D342="Wind"),INDEX(Land_Use[MAX],MATCH(LEFT($D342,5),Land_Use[Tech],0)),0)*$E342</f>
        <v>0</v>
      </c>
      <c r="R342" s="31">
        <f>IFERROR(INDEX(WaterUseH2[Average Direct Water Consumption (Gal/ kg h2)],MATCH(LEFT(D342,3),WaterUseH2[Key],0)),0)</f>
        <v>0</v>
      </c>
      <c r="S342" s="15">
        <f t="shared" si="16"/>
        <v>0</v>
      </c>
    </row>
    <row r="343" spans="1:19" x14ac:dyDescent="0.35">
      <c r="A343" t="s">
        <v>76</v>
      </c>
      <c r="B343">
        <v>2029</v>
      </c>
      <c r="C343" t="s">
        <v>87</v>
      </c>
      <c r="D343" t="s">
        <v>88</v>
      </c>
      <c r="E343" s="13">
        <f>SUMIFS(Biogas!$U:$U,Biogas!$O:$O,Predev_Scenarios!A343,Biogas!$S:$S,Predev_Scenarios!B343,Biogas!$P:$P,Predev_Scenarios!D343)</f>
        <v>7233.333333333333</v>
      </c>
      <c r="F343" t="s">
        <v>89</v>
      </c>
      <c r="G343">
        <f>SUMIFS(Biogas!$T:$T,Biogas!$O:$O,Predev_Scenarios!A343,Biogas!$S:$S,Predev_Scenarios!B343,Biogas!$P:$P,Predev_Scenarios!D343)</f>
        <v>7.906033333333333E-3</v>
      </c>
      <c r="H343" s="13" t="str">
        <f>IF(C343="Electricity",E343*SUMIFS(Electricity!S:S,Electricity!P:P,Predev_Scenarios!B343,Electricity!M:M,Predev_Scenarios!A343,Electricity!O:O,Predev_Scenarios!D343),"")</f>
        <v/>
      </c>
      <c r="I343" s="12">
        <f>IFERROR(INDEX(Assumptions!C$112:C$113,MATCH(LEFT($D343,2),Assumptions!$B$112:$B$113,0)),0)</f>
        <v>-150</v>
      </c>
      <c r="J343" s="12">
        <f>IFERROR(INDEX(Assumptions!D$112:D$113,MATCH(LEFT($D343,2),Assumptions!$B$112:$B$113,0)),0)</f>
        <v>-132.51</v>
      </c>
      <c r="K343" s="12">
        <f>IFERROR(INDEX(Assumptions!E$112:E$113,MATCH(LEFT($D343,2),Assumptions!$B$112:$B$113,0)),0)</f>
        <v>-328.81697478991583</v>
      </c>
      <c r="L343" s="63">
        <f t="shared" si="13"/>
        <v>1.185905</v>
      </c>
      <c r="M343" s="63">
        <f t="shared" si="14"/>
        <v>1.0476284769999999</v>
      </c>
      <c r="N343" s="63">
        <f t="shared" si="15"/>
        <v>2.5996379632549007</v>
      </c>
      <c r="O343" s="30">
        <f>IF(OR(LEFT($D343,5)="Solar",$D343="Wind"),INDEX(Land_Use[AVG],MATCH(LEFT($D343,5),Land_Use[Tech],0)),0)*$E343</f>
        <v>0</v>
      </c>
      <c r="P343" s="30">
        <f>IF(OR(LEFT($D343,5)="Solar",$D343="Wind"),INDEX(Land_Use[MIN],MATCH(LEFT($D343,5),Land_Use[Tech],0)),0)*$E343</f>
        <v>0</v>
      </c>
      <c r="Q343" s="30">
        <f>IF(OR(LEFT($D343,5)="Solar",$D343="Wind"),INDEX(Land_Use[MAX],MATCH(LEFT($D343,5),Land_Use[Tech],0)),0)*$E343</f>
        <v>0</v>
      </c>
      <c r="R343" s="31">
        <f>IFERROR(INDEX(WaterUseH2[Average Direct Water Consumption (Gal/ kg h2)],MATCH(LEFT(D343,3),WaterUseH2[Key],0)),0)</f>
        <v>0</v>
      </c>
      <c r="S343" s="15">
        <f t="shared" si="16"/>
        <v>0</v>
      </c>
    </row>
    <row r="344" spans="1:19" x14ac:dyDescent="0.35">
      <c r="A344" t="s">
        <v>76</v>
      </c>
      <c r="B344">
        <v>2030</v>
      </c>
      <c r="C344" t="s">
        <v>87</v>
      </c>
      <c r="D344" t="s">
        <v>88</v>
      </c>
      <c r="E344" s="13">
        <f>SUMIFS(Biogas!$U:$U,Biogas!$O:$O,Predev_Scenarios!A344,Biogas!$S:$S,Predev_Scenarios!B344,Biogas!$P:$P,Predev_Scenarios!D344)</f>
        <v>7233.333333333333</v>
      </c>
      <c r="F344" t="s">
        <v>89</v>
      </c>
      <c r="G344">
        <f>SUMIFS(Biogas!$T:$T,Biogas!$O:$O,Predev_Scenarios!A344,Biogas!$S:$S,Predev_Scenarios!B344,Biogas!$P:$P,Predev_Scenarios!D344)</f>
        <v>7.906033333333333E-3</v>
      </c>
      <c r="H344" s="13" t="str">
        <f>IF(C344="Electricity",E344*SUMIFS(Electricity!S:S,Electricity!P:P,Predev_Scenarios!B344,Electricity!M:M,Predev_Scenarios!A344,Electricity!O:O,Predev_Scenarios!D344),"")</f>
        <v/>
      </c>
      <c r="I344" s="12">
        <f>IFERROR(INDEX(Assumptions!C$112:C$113,MATCH(LEFT($D344,2),Assumptions!$B$112:$B$113,0)),0)</f>
        <v>-150</v>
      </c>
      <c r="J344" s="12">
        <f>IFERROR(INDEX(Assumptions!D$112:D$113,MATCH(LEFT($D344,2),Assumptions!$B$112:$B$113,0)),0)</f>
        <v>-132.51</v>
      </c>
      <c r="K344" s="12">
        <f>IFERROR(INDEX(Assumptions!E$112:E$113,MATCH(LEFT($D344,2),Assumptions!$B$112:$B$113,0)),0)</f>
        <v>-328.81697478991583</v>
      </c>
      <c r="L344" s="63">
        <f t="shared" si="13"/>
        <v>1.185905</v>
      </c>
      <c r="M344" s="63">
        <f t="shared" si="14"/>
        <v>1.0476284769999999</v>
      </c>
      <c r="N344" s="63">
        <f t="shared" si="15"/>
        <v>2.5996379632549007</v>
      </c>
      <c r="O344" s="30">
        <f>IF(OR(LEFT($D344,5)="Solar",$D344="Wind"),INDEX(Land_Use[AVG],MATCH(LEFT($D344,5),Land_Use[Tech],0)),0)*$E344</f>
        <v>0</v>
      </c>
      <c r="P344" s="30">
        <f>IF(OR(LEFT($D344,5)="Solar",$D344="Wind"),INDEX(Land_Use[MIN],MATCH(LEFT($D344,5),Land_Use[Tech],0)),0)*$E344</f>
        <v>0</v>
      </c>
      <c r="Q344" s="30">
        <f>IF(OR(LEFT($D344,5)="Solar",$D344="Wind"),INDEX(Land_Use[MAX],MATCH(LEFT($D344,5),Land_Use[Tech],0)),0)*$E344</f>
        <v>0</v>
      </c>
      <c r="R344" s="31">
        <f>IFERROR(INDEX(WaterUseH2[Average Direct Water Consumption (Gal/ kg h2)],MATCH(LEFT(D344,3),WaterUseH2[Key],0)),0)</f>
        <v>0</v>
      </c>
      <c r="S344" s="15">
        <f t="shared" si="16"/>
        <v>0</v>
      </c>
    </row>
    <row r="345" spans="1:19" x14ac:dyDescent="0.35">
      <c r="A345" t="s">
        <v>76</v>
      </c>
      <c r="B345">
        <v>2031</v>
      </c>
      <c r="C345" t="s">
        <v>87</v>
      </c>
      <c r="D345" t="s">
        <v>88</v>
      </c>
      <c r="E345" s="13">
        <f>SUMIFS(Biogas!$U:$U,Biogas!$O:$O,Predev_Scenarios!A345,Biogas!$S:$S,Predev_Scenarios!B345,Biogas!$P:$P,Predev_Scenarios!D345)</f>
        <v>7233.333333333333</v>
      </c>
      <c r="F345" t="s">
        <v>89</v>
      </c>
      <c r="G345">
        <f>SUMIFS(Biogas!$T:$T,Biogas!$O:$O,Predev_Scenarios!A345,Biogas!$S:$S,Predev_Scenarios!B345,Biogas!$P:$P,Predev_Scenarios!D345)</f>
        <v>7.906033333333333E-3</v>
      </c>
      <c r="H345" s="13" t="str">
        <f>IF(C345="Electricity",E345*SUMIFS(Electricity!S:S,Electricity!P:P,Predev_Scenarios!B345,Electricity!M:M,Predev_Scenarios!A345,Electricity!O:O,Predev_Scenarios!D345),"")</f>
        <v/>
      </c>
      <c r="I345" s="12">
        <f>IFERROR(INDEX(Assumptions!C$112:C$113,MATCH(LEFT($D345,2),Assumptions!$B$112:$B$113,0)),0)</f>
        <v>-150</v>
      </c>
      <c r="J345" s="12">
        <f>IFERROR(INDEX(Assumptions!D$112:D$113,MATCH(LEFT($D345,2),Assumptions!$B$112:$B$113,0)),0)</f>
        <v>-132.51</v>
      </c>
      <c r="K345" s="12">
        <f>IFERROR(INDEX(Assumptions!E$112:E$113,MATCH(LEFT($D345,2),Assumptions!$B$112:$B$113,0)),0)</f>
        <v>-328.81697478991583</v>
      </c>
      <c r="L345" s="63">
        <f t="shared" si="13"/>
        <v>1.185905</v>
      </c>
      <c r="M345" s="63">
        <f t="shared" si="14"/>
        <v>1.0476284769999999</v>
      </c>
      <c r="N345" s="63">
        <f t="shared" si="15"/>
        <v>2.5996379632549007</v>
      </c>
      <c r="O345" s="30">
        <f>IF(OR(LEFT($D345,5)="Solar",$D345="Wind"),INDEX(Land_Use[AVG],MATCH(LEFT($D345,5),Land_Use[Tech],0)),0)*$E345</f>
        <v>0</v>
      </c>
      <c r="P345" s="30">
        <f>IF(OR(LEFT($D345,5)="Solar",$D345="Wind"),INDEX(Land_Use[MIN],MATCH(LEFT($D345,5),Land_Use[Tech],0)),0)*$E345</f>
        <v>0</v>
      </c>
      <c r="Q345" s="30">
        <f>IF(OR(LEFT($D345,5)="Solar",$D345="Wind"),INDEX(Land_Use[MAX],MATCH(LEFT($D345,5),Land_Use[Tech],0)),0)*$E345</f>
        <v>0</v>
      </c>
      <c r="R345" s="31">
        <f>IFERROR(INDEX(WaterUseH2[Average Direct Water Consumption (Gal/ kg h2)],MATCH(LEFT(D345,3),WaterUseH2[Key],0)),0)</f>
        <v>0</v>
      </c>
      <c r="S345" s="15">
        <f t="shared" si="16"/>
        <v>0</v>
      </c>
    </row>
    <row r="346" spans="1:19" x14ac:dyDescent="0.35">
      <c r="A346" t="s">
        <v>76</v>
      </c>
      <c r="B346">
        <v>2032</v>
      </c>
      <c r="C346" t="s">
        <v>87</v>
      </c>
      <c r="D346" t="s">
        <v>88</v>
      </c>
      <c r="E346" s="13">
        <f>SUMIFS(Biogas!$U:$U,Biogas!$O:$O,Predev_Scenarios!A346,Biogas!$S:$S,Predev_Scenarios!B346,Biogas!$P:$P,Predev_Scenarios!D346)</f>
        <v>7233.333333333333</v>
      </c>
      <c r="F346" t="s">
        <v>89</v>
      </c>
      <c r="G346">
        <f>SUMIFS(Biogas!$T:$T,Biogas!$O:$O,Predev_Scenarios!A346,Biogas!$S:$S,Predev_Scenarios!B346,Biogas!$P:$P,Predev_Scenarios!D346)</f>
        <v>7.906033333333333E-3</v>
      </c>
      <c r="H346" s="13" t="str">
        <f>IF(C346="Electricity",E346*SUMIFS(Electricity!S:S,Electricity!P:P,Predev_Scenarios!B346,Electricity!M:M,Predev_Scenarios!A346,Electricity!O:O,Predev_Scenarios!D346),"")</f>
        <v/>
      </c>
      <c r="I346" s="12">
        <f>IFERROR(INDEX(Assumptions!C$112:C$113,MATCH(LEFT($D346,2),Assumptions!$B$112:$B$113,0)),0)</f>
        <v>-150</v>
      </c>
      <c r="J346" s="12">
        <f>IFERROR(INDEX(Assumptions!D$112:D$113,MATCH(LEFT($D346,2),Assumptions!$B$112:$B$113,0)),0)</f>
        <v>-132.51</v>
      </c>
      <c r="K346" s="12">
        <f>IFERROR(INDEX(Assumptions!E$112:E$113,MATCH(LEFT($D346,2),Assumptions!$B$112:$B$113,0)),0)</f>
        <v>-328.81697478991583</v>
      </c>
      <c r="L346" s="63">
        <f t="shared" si="13"/>
        <v>1.185905</v>
      </c>
      <c r="M346" s="63">
        <f t="shared" si="14"/>
        <v>1.0476284769999999</v>
      </c>
      <c r="N346" s="63">
        <f t="shared" si="15"/>
        <v>2.5996379632549007</v>
      </c>
      <c r="O346" s="30">
        <f>IF(OR(LEFT($D346,5)="Solar",$D346="Wind"),INDEX(Land_Use[AVG],MATCH(LEFT($D346,5),Land_Use[Tech],0)),0)*$E346</f>
        <v>0</v>
      </c>
      <c r="P346" s="30">
        <f>IF(OR(LEFT($D346,5)="Solar",$D346="Wind"),INDEX(Land_Use[MIN],MATCH(LEFT($D346,5),Land_Use[Tech],0)),0)*$E346</f>
        <v>0</v>
      </c>
      <c r="Q346" s="30">
        <f>IF(OR(LEFT($D346,5)="Solar",$D346="Wind"),INDEX(Land_Use[MAX],MATCH(LEFT($D346,5),Land_Use[Tech],0)),0)*$E346</f>
        <v>0</v>
      </c>
      <c r="R346" s="31">
        <f>IFERROR(INDEX(WaterUseH2[Average Direct Water Consumption (Gal/ kg h2)],MATCH(LEFT(D346,3),WaterUseH2[Key],0)),0)</f>
        <v>0</v>
      </c>
      <c r="S346" s="15">
        <f t="shared" si="16"/>
        <v>0</v>
      </c>
    </row>
    <row r="347" spans="1:19" x14ac:dyDescent="0.35">
      <c r="A347" t="s">
        <v>76</v>
      </c>
      <c r="B347">
        <v>2033</v>
      </c>
      <c r="C347" t="s">
        <v>87</v>
      </c>
      <c r="D347" t="s">
        <v>88</v>
      </c>
      <c r="E347" s="13">
        <f>SUMIFS(Biogas!$U:$U,Biogas!$O:$O,Predev_Scenarios!A347,Biogas!$S:$S,Predev_Scenarios!B347,Biogas!$P:$P,Predev_Scenarios!D347)</f>
        <v>7233.333333333333</v>
      </c>
      <c r="F347" t="s">
        <v>89</v>
      </c>
      <c r="G347">
        <f>SUMIFS(Biogas!$T:$T,Biogas!$O:$O,Predev_Scenarios!A347,Biogas!$S:$S,Predev_Scenarios!B347,Biogas!$P:$P,Predev_Scenarios!D347)</f>
        <v>7.906033333333333E-3</v>
      </c>
      <c r="H347" s="13" t="str">
        <f>IF(C347="Electricity",E347*SUMIFS(Electricity!S:S,Electricity!P:P,Predev_Scenarios!B347,Electricity!M:M,Predev_Scenarios!A347,Electricity!O:O,Predev_Scenarios!D347),"")</f>
        <v/>
      </c>
      <c r="I347" s="12">
        <f>IFERROR(INDEX(Assumptions!C$112:C$113,MATCH(LEFT($D347,2),Assumptions!$B$112:$B$113,0)),0)</f>
        <v>-150</v>
      </c>
      <c r="J347" s="12">
        <f>IFERROR(INDEX(Assumptions!D$112:D$113,MATCH(LEFT($D347,2),Assumptions!$B$112:$B$113,0)),0)</f>
        <v>-132.51</v>
      </c>
      <c r="K347" s="12">
        <f>IFERROR(INDEX(Assumptions!E$112:E$113,MATCH(LEFT($D347,2),Assumptions!$B$112:$B$113,0)),0)</f>
        <v>-328.81697478991583</v>
      </c>
      <c r="L347" s="63">
        <f t="shared" si="13"/>
        <v>1.185905</v>
      </c>
      <c r="M347" s="63">
        <f t="shared" si="14"/>
        <v>1.0476284769999999</v>
      </c>
      <c r="N347" s="63">
        <f t="shared" si="15"/>
        <v>2.5996379632549007</v>
      </c>
      <c r="O347" s="30">
        <f>IF(OR(LEFT($D347,5)="Solar",$D347="Wind"),INDEX(Land_Use[AVG],MATCH(LEFT($D347,5),Land_Use[Tech],0)),0)*$E347</f>
        <v>0</v>
      </c>
      <c r="P347" s="30">
        <f>IF(OR(LEFT($D347,5)="Solar",$D347="Wind"),INDEX(Land_Use[MIN],MATCH(LEFT($D347,5),Land_Use[Tech],0)),0)*$E347</f>
        <v>0</v>
      </c>
      <c r="Q347" s="30">
        <f>IF(OR(LEFT($D347,5)="Solar",$D347="Wind"),INDEX(Land_Use[MAX],MATCH(LEFT($D347,5),Land_Use[Tech],0)),0)*$E347</f>
        <v>0</v>
      </c>
      <c r="R347" s="31">
        <f>IFERROR(INDEX(WaterUseH2[Average Direct Water Consumption (Gal/ kg h2)],MATCH(LEFT(D347,3),WaterUseH2[Key],0)),0)</f>
        <v>0</v>
      </c>
      <c r="S347" s="15">
        <f t="shared" si="16"/>
        <v>0</v>
      </c>
    </row>
    <row r="348" spans="1:19" x14ac:dyDescent="0.35">
      <c r="A348" t="s">
        <v>76</v>
      </c>
      <c r="B348">
        <v>2034</v>
      </c>
      <c r="C348" t="s">
        <v>87</v>
      </c>
      <c r="D348" t="s">
        <v>88</v>
      </c>
      <c r="E348" s="13">
        <f>SUMIFS(Biogas!$U:$U,Biogas!$O:$O,Predev_Scenarios!A348,Biogas!$S:$S,Predev_Scenarios!B348,Biogas!$P:$P,Predev_Scenarios!D348)</f>
        <v>8679.9999999999982</v>
      </c>
      <c r="F348" t="s">
        <v>89</v>
      </c>
      <c r="G348">
        <f>SUMIFS(Biogas!$T:$T,Biogas!$O:$O,Predev_Scenarios!A348,Biogas!$S:$S,Predev_Scenarios!B348,Biogas!$P:$P,Predev_Scenarios!D348)</f>
        <v>9.4872399999999992E-3</v>
      </c>
      <c r="H348" s="13" t="str">
        <f>IF(C348="Electricity",E348*SUMIFS(Electricity!S:S,Electricity!P:P,Predev_Scenarios!B348,Electricity!M:M,Predev_Scenarios!A348,Electricity!O:O,Predev_Scenarios!D348),"")</f>
        <v/>
      </c>
      <c r="I348" s="12">
        <f>IFERROR(INDEX(Assumptions!C$112:C$113,MATCH(LEFT($D348,2),Assumptions!$B$112:$B$113,0)),0)</f>
        <v>-150</v>
      </c>
      <c r="J348" s="12">
        <f>IFERROR(INDEX(Assumptions!D$112:D$113,MATCH(LEFT($D348,2),Assumptions!$B$112:$B$113,0)),0)</f>
        <v>-132.51</v>
      </c>
      <c r="K348" s="12">
        <f>IFERROR(INDEX(Assumptions!E$112:E$113,MATCH(LEFT($D348,2),Assumptions!$B$112:$B$113,0)),0)</f>
        <v>-328.81697478991583</v>
      </c>
      <c r="L348" s="63">
        <f t="shared" si="13"/>
        <v>1.4230859999999999</v>
      </c>
      <c r="M348" s="63">
        <f t="shared" si="14"/>
        <v>1.2571541723999997</v>
      </c>
      <c r="N348" s="63">
        <f t="shared" si="15"/>
        <v>3.119565555905881</v>
      </c>
      <c r="O348" s="30">
        <f>IF(OR(LEFT($D348,5)="Solar",$D348="Wind"),INDEX(Land_Use[AVG],MATCH(LEFT($D348,5),Land_Use[Tech],0)),0)*$E348</f>
        <v>0</v>
      </c>
      <c r="P348" s="30">
        <f>IF(OR(LEFT($D348,5)="Solar",$D348="Wind"),INDEX(Land_Use[MIN],MATCH(LEFT($D348,5),Land_Use[Tech],0)),0)*$E348</f>
        <v>0</v>
      </c>
      <c r="Q348" s="30">
        <f>IF(OR(LEFT($D348,5)="Solar",$D348="Wind"),INDEX(Land_Use[MAX],MATCH(LEFT($D348,5),Land_Use[Tech],0)),0)*$E348</f>
        <v>0</v>
      </c>
      <c r="R348" s="31">
        <f>IFERROR(INDEX(WaterUseH2[Average Direct Water Consumption (Gal/ kg h2)],MATCH(LEFT(D348,3),WaterUseH2[Key],0)),0)</f>
        <v>0</v>
      </c>
      <c r="S348" s="15">
        <f t="shared" si="16"/>
        <v>0</v>
      </c>
    </row>
    <row r="349" spans="1:19" x14ac:dyDescent="0.35">
      <c r="A349" t="s">
        <v>76</v>
      </c>
      <c r="B349">
        <v>2035</v>
      </c>
      <c r="C349" t="s">
        <v>87</v>
      </c>
      <c r="D349" t="s">
        <v>88</v>
      </c>
      <c r="E349" s="13">
        <f>SUMIFS(Biogas!$U:$U,Biogas!$O:$O,Predev_Scenarios!A349,Biogas!$S:$S,Predev_Scenarios!B349,Biogas!$P:$P,Predev_Scenarios!D349)</f>
        <v>8679.9999999999982</v>
      </c>
      <c r="F349" t="s">
        <v>89</v>
      </c>
      <c r="G349">
        <f>SUMIFS(Biogas!$T:$T,Biogas!$O:$O,Predev_Scenarios!A349,Biogas!$S:$S,Predev_Scenarios!B349,Biogas!$P:$P,Predev_Scenarios!D349)</f>
        <v>9.4872399999999992E-3</v>
      </c>
      <c r="H349" s="13" t="str">
        <f>IF(C349="Electricity",E349*SUMIFS(Electricity!S:S,Electricity!P:P,Predev_Scenarios!B349,Electricity!M:M,Predev_Scenarios!A349,Electricity!O:O,Predev_Scenarios!D349),"")</f>
        <v/>
      </c>
      <c r="I349" s="12">
        <f>IFERROR(INDEX(Assumptions!C$112:C$113,MATCH(LEFT($D349,2),Assumptions!$B$112:$B$113,0)),0)</f>
        <v>-150</v>
      </c>
      <c r="J349" s="12">
        <f>IFERROR(INDEX(Assumptions!D$112:D$113,MATCH(LEFT($D349,2),Assumptions!$B$112:$B$113,0)),0)</f>
        <v>-132.51</v>
      </c>
      <c r="K349" s="12">
        <f>IFERROR(INDEX(Assumptions!E$112:E$113,MATCH(LEFT($D349,2),Assumptions!$B$112:$B$113,0)),0)</f>
        <v>-328.81697478991583</v>
      </c>
      <c r="L349" s="63">
        <f t="shared" si="13"/>
        <v>1.4230859999999999</v>
      </c>
      <c r="M349" s="63">
        <f t="shared" si="14"/>
        <v>1.2571541723999997</v>
      </c>
      <c r="N349" s="63">
        <f t="shared" si="15"/>
        <v>3.119565555905881</v>
      </c>
      <c r="O349" s="30">
        <f>IF(OR(LEFT($D349,5)="Solar",$D349="Wind"),INDEX(Land_Use[AVG],MATCH(LEFT($D349,5),Land_Use[Tech],0)),0)*$E349</f>
        <v>0</v>
      </c>
      <c r="P349" s="30">
        <f>IF(OR(LEFT($D349,5)="Solar",$D349="Wind"),INDEX(Land_Use[MIN],MATCH(LEFT($D349,5),Land_Use[Tech],0)),0)*$E349</f>
        <v>0</v>
      </c>
      <c r="Q349" s="30">
        <f>IF(OR(LEFT($D349,5)="Solar",$D349="Wind"),INDEX(Land_Use[MAX],MATCH(LEFT($D349,5),Land_Use[Tech],0)),0)*$E349</f>
        <v>0</v>
      </c>
      <c r="R349" s="31">
        <f>IFERROR(INDEX(WaterUseH2[Average Direct Water Consumption (Gal/ kg h2)],MATCH(LEFT(D349,3),WaterUseH2[Key],0)),0)</f>
        <v>0</v>
      </c>
      <c r="S349" s="15">
        <f t="shared" si="16"/>
        <v>0</v>
      </c>
    </row>
    <row r="350" spans="1:19" x14ac:dyDescent="0.35">
      <c r="A350" t="s">
        <v>76</v>
      </c>
      <c r="B350">
        <v>2036</v>
      </c>
      <c r="C350" t="s">
        <v>87</v>
      </c>
      <c r="D350" t="s">
        <v>88</v>
      </c>
      <c r="E350" s="13">
        <f>SUMIFS(Biogas!$U:$U,Biogas!$O:$O,Predev_Scenarios!A350,Biogas!$S:$S,Predev_Scenarios!B350,Biogas!$P:$P,Predev_Scenarios!D350)</f>
        <v>8679.9999999999982</v>
      </c>
      <c r="F350" t="s">
        <v>89</v>
      </c>
      <c r="G350">
        <f>SUMIFS(Biogas!$T:$T,Biogas!$O:$O,Predev_Scenarios!A350,Biogas!$S:$S,Predev_Scenarios!B350,Biogas!$P:$P,Predev_Scenarios!D350)</f>
        <v>9.4872399999999992E-3</v>
      </c>
      <c r="H350" s="13" t="str">
        <f>IF(C350="Electricity",E350*SUMIFS(Electricity!S:S,Electricity!P:P,Predev_Scenarios!B350,Electricity!M:M,Predev_Scenarios!A350,Electricity!O:O,Predev_Scenarios!D350),"")</f>
        <v/>
      </c>
      <c r="I350" s="12">
        <f>IFERROR(INDEX(Assumptions!C$112:C$113,MATCH(LEFT($D350,2),Assumptions!$B$112:$B$113,0)),0)</f>
        <v>-150</v>
      </c>
      <c r="J350" s="12">
        <f>IFERROR(INDEX(Assumptions!D$112:D$113,MATCH(LEFT($D350,2),Assumptions!$B$112:$B$113,0)),0)</f>
        <v>-132.51</v>
      </c>
      <c r="K350" s="12">
        <f>IFERROR(INDEX(Assumptions!E$112:E$113,MATCH(LEFT($D350,2),Assumptions!$B$112:$B$113,0)),0)</f>
        <v>-328.81697478991583</v>
      </c>
      <c r="L350" s="63">
        <f t="shared" si="13"/>
        <v>1.4230859999999999</v>
      </c>
      <c r="M350" s="63">
        <f t="shared" si="14"/>
        <v>1.2571541723999997</v>
      </c>
      <c r="N350" s="63">
        <f t="shared" si="15"/>
        <v>3.119565555905881</v>
      </c>
      <c r="O350" s="30">
        <f>IF(OR(LEFT($D350,5)="Solar",$D350="Wind"),INDEX(Land_Use[AVG],MATCH(LEFT($D350,5),Land_Use[Tech],0)),0)*$E350</f>
        <v>0</v>
      </c>
      <c r="P350" s="30">
        <f>IF(OR(LEFT($D350,5)="Solar",$D350="Wind"),INDEX(Land_Use[MIN],MATCH(LEFT($D350,5),Land_Use[Tech],0)),0)*$E350</f>
        <v>0</v>
      </c>
      <c r="Q350" s="30">
        <f>IF(OR(LEFT($D350,5)="Solar",$D350="Wind"),INDEX(Land_Use[MAX],MATCH(LEFT($D350,5),Land_Use[Tech],0)),0)*$E350</f>
        <v>0</v>
      </c>
      <c r="R350" s="31">
        <f>IFERROR(INDEX(WaterUseH2[Average Direct Water Consumption (Gal/ kg h2)],MATCH(LEFT(D350,3),WaterUseH2[Key],0)),0)</f>
        <v>0</v>
      </c>
      <c r="S350" s="15">
        <f t="shared" si="16"/>
        <v>0</v>
      </c>
    </row>
    <row r="351" spans="1:19" x14ac:dyDescent="0.35">
      <c r="A351" t="s">
        <v>76</v>
      </c>
      <c r="B351">
        <v>2037</v>
      </c>
      <c r="C351" t="s">
        <v>87</v>
      </c>
      <c r="D351" t="s">
        <v>88</v>
      </c>
      <c r="E351" s="13">
        <f>SUMIFS(Biogas!$U:$U,Biogas!$O:$O,Predev_Scenarios!A351,Biogas!$S:$S,Predev_Scenarios!B351,Biogas!$P:$P,Predev_Scenarios!D351)</f>
        <v>8679.9999999999982</v>
      </c>
      <c r="F351" t="s">
        <v>89</v>
      </c>
      <c r="G351">
        <f>SUMIFS(Biogas!$T:$T,Biogas!$O:$O,Predev_Scenarios!A351,Biogas!$S:$S,Predev_Scenarios!B351,Biogas!$P:$P,Predev_Scenarios!D351)</f>
        <v>9.4872399999999992E-3</v>
      </c>
      <c r="H351" s="13" t="str">
        <f>IF(C351="Electricity",E351*SUMIFS(Electricity!S:S,Electricity!P:P,Predev_Scenarios!B351,Electricity!M:M,Predev_Scenarios!A351,Electricity!O:O,Predev_Scenarios!D351),"")</f>
        <v/>
      </c>
      <c r="I351" s="12">
        <f>IFERROR(INDEX(Assumptions!C$112:C$113,MATCH(LEFT($D351,2),Assumptions!$B$112:$B$113,0)),0)</f>
        <v>-150</v>
      </c>
      <c r="J351" s="12">
        <f>IFERROR(INDEX(Assumptions!D$112:D$113,MATCH(LEFT($D351,2),Assumptions!$B$112:$B$113,0)),0)</f>
        <v>-132.51</v>
      </c>
      <c r="K351" s="12">
        <f>IFERROR(INDEX(Assumptions!E$112:E$113,MATCH(LEFT($D351,2),Assumptions!$B$112:$B$113,0)),0)</f>
        <v>-328.81697478991583</v>
      </c>
      <c r="L351" s="63">
        <f t="shared" si="13"/>
        <v>1.4230859999999999</v>
      </c>
      <c r="M351" s="63">
        <f t="shared" si="14"/>
        <v>1.2571541723999997</v>
      </c>
      <c r="N351" s="63">
        <f t="shared" si="15"/>
        <v>3.119565555905881</v>
      </c>
      <c r="O351" s="30">
        <f>IF(OR(LEFT($D351,5)="Solar",$D351="Wind"),INDEX(Land_Use[AVG],MATCH(LEFT($D351,5),Land_Use[Tech],0)),0)*$E351</f>
        <v>0</v>
      </c>
      <c r="P351" s="30">
        <f>IF(OR(LEFT($D351,5)="Solar",$D351="Wind"),INDEX(Land_Use[MIN],MATCH(LEFT($D351,5),Land_Use[Tech],0)),0)*$E351</f>
        <v>0</v>
      </c>
      <c r="Q351" s="30">
        <f>IF(OR(LEFT($D351,5)="Solar",$D351="Wind"),INDEX(Land_Use[MAX],MATCH(LEFT($D351,5),Land_Use[Tech],0)),0)*$E351</f>
        <v>0</v>
      </c>
      <c r="R351" s="31">
        <f>IFERROR(INDEX(WaterUseH2[Average Direct Water Consumption (Gal/ kg h2)],MATCH(LEFT(D351,3),WaterUseH2[Key],0)),0)</f>
        <v>0</v>
      </c>
      <c r="S351" s="15">
        <f t="shared" si="16"/>
        <v>0</v>
      </c>
    </row>
    <row r="352" spans="1:19" x14ac:dyDescent="0.35">
      <c r="A352" t="s">
        <v>76</v>
      </c>
      <c r="B352">
        <v>2038</v>
      </c>
      <c r="C352" t="s">
        <v>87</v>
      </c>
      <c r="D352" t="s">
        <v>88</v>
      </c>
      <c r="E352" s="13">
        <f>SUMIFS(Biogas!$U:$U,Biogas!$O:$O,Predev_Scenarios!A352,Biogas!$S:$S,Predev_Scenarios!B352,Biogas!$P:$P,Predev_Scenarios!D352)</f>
        <v>8679.9999999999982</v>
      </c>
      <c r="F352" t="s">
        <v>89</v>
      </c>
      <c r="G352">
        <f>SUMIFS(Biogas!$T:$T,Biogas!$O:$O,Predev_Scenarios!A352,Biogas!$S:$S,Predev_Scenarios!B352,Biogas!$P:$P,Predev_Scenarios!D352)</f>
        <v>9.4872399999999992E-3</v>
      </c>
      <c r="H352" s="13" t="str">
        <f>IF(C352="Electricity",E352*SUMIFS(Electricity!S:S,Electricity!P:P,Predev_Scenarios!B352,Electricity!M:M,Predev_Scenarios!A352,Electricity!O:O,Predev_Scenarios!D352),"")</f>
        <v/>
      </c>
      <c r="I352" s="12">
        <f>IFERROR(INDEX(Assumptions!C$112:C$113,MATCH(LEFT($D352,2),Assumptions!$B$112:$B$113,0)),0)</f>
        <v>-150</v>
      </c>
      <c r="J352" s="12">
        <f>IFERROR(INDEX(Assumptions!D$112:D$113,MATCH(LEFT($D352,2),Assumptions!$B$112:$B$113,0)),0)</f>
        <v>-132.51</v>
      </c>
      <c r="K352" s="12">
        <f>IFERROR(INDEX(Assumptions!E$112:E$113,MATCH(LEFT($D352,2),Assumptions!$B$112:$B$113,0)),0)</f>
        <v>-328.81697478991583</v>
      </c>
      <c r="L352" s="63">
        <f t="shared" si="13"/>
        <v>1.4230859999999999</v>
      </c>
      <c r="M352" s="63">
        <f t="shared" si="14"/>
        <v>1.2571541723999997</v>
      </c>
      <c r="N352" s="63">
        <f t="shared" si="15"/>
        <v>3.119565555905881</v>
      </c>
      <c r="O352" s="30">
        <f>IF(OR(LEFT($D352,5)="Solar",$D352="Wind"),INDEX(Land_Use[AVG],MATCH(LEFT($D352,5),Land_Use[Tech],0)),0)*$E352</f>
        <v>0</v>
      </c>
      <c r="P352" s="30">
        <f>IF(OR(LEFT($D352,5)="Solar",$D352="Wind"),INDEX(Land_Use[MIN],MATCH(LEFT($D352,5),Land_Use[Tech],0)),0)*$E352</f>
        <v>0</v>
      </c>
      <c r="Q352" s="30">
        <f>IF(OR(LEFT($D352,5)="Solar",$D352="Wind"),INDEX(Land_Use[MAX],MATCH(LEFT($D352,5),Land_Use[Tech],0)),0)*$E352</f>
        <v>0</v>
      </c>
      <c r="R352" s="31">
        <f>IFERROR(INDEX(WaterUseH2[Average Direct Water Consumption (Gal/ kg h2)],MATCH(LEFT(D352,3),WaterUseH2[Key],0)),0)</f>
        <v>0</v>
      </c>
      <c r="S352" s="15">
        <f t="shared" si="16"/>
        <v>0</v>
      </c>
    </row>
    <row r="353" spans="1:19" x14ac:dyDescent="0.35">
      <c r="A353" t="s">
        <v>76</v>
      </c>
      <c r="B353">
        <v>2039</v>
      </c>
      <c r="C353" t="s">
        <v>87</v>
      </c>
      <c r="D353" t="s">
        <v>88</v>
      </c>
      <c r="E353" s="13">
        <f>SUMIFS(Biogas!$U:$U,Biogas!$O:$O,Predev_Scenarios!A353,Biogas!$S:$S,Predev_Scenarios!B353,Biogas!$P:$P,Predev_Scenarios!D353)</f>
        <v>8679.9999999999982</v>
      </c>
      <c r="F353" t="s">
        <v>89</v>
      </c>
      <c r="G353">
        <f>SUMIFS(Biogas!$T:$T,Biogas!$O:$O,Predev_Scenarios!A353,Biogas!$S:$S,Predev_Scenarios!B353,Biogas!$P:$P,Predev_Scenarios!D353)</f>
        <v>9.4872399999999992E-3</v>
      </c>
      <c r="H353" s="13" t="str">
        <f>IF(C353="Electricity",E353*SUMIFS(Electricity!S:S,Electricity!P:P,Predev_Scenarios!B353,Electricity!M:M,Predev_Scenarios!A353,Electricity!O:O,Predev_Scenarios!D353),"")</f>
        <v/>
      </c>
      <c r="I353" s="12">
        <f>IFERROR(INDEX(Assumptions!C$112:C$113,MATCH(LEFT($D353,2),Assumptions!$B$112:$B$113,0)),0)</f>
        <v>-150</v>
      </c>
      <c r="J353" s="12">
        <f>IFERROR(INDEX(Assumptions!D$112:D$113,MATCH(LEFT($D353,2),Assumptions!$B$112:$B$113,0)),0)</f>
        <v>-132.51</v>
      </c>
      <c r="K353" s="12">
        <f>IFERROR(INDEX(Assumptions!E$112:E$113,MATCH(LEFT($D353,2),Assumptions!$B$112:$B$113,0)),0)</f>
        <v>-328.81697478991583</v>
      </c>
      <c r="L353" s="63">
        <f t="shared" si="13"/>
        <v>1.4230859999999999</v>
      </c>
      <c r="M353" s="63">
        <f t="shared" si="14"/>
        <v>1.2571541723999997</v>
      </c>
      <c r="N353" s="63">
        <f t="shared" si="15"/>
        <v>3.119565555905881</v>
      </c>
      <c r="O353" s="30">
        <f>IF(OR(LEFT($D353,5)="Solar",$D353="Wind"),INDEX(Land_Use[AVG],MATCH(LEFT($D353,5),Land_Use[Tech],0)),0)*$E353</f>
        <v>0</v>
      </c>
      <c r="P353" s="30">
        <f>IF(OR(LEFT($D353,5)="Solar",$D353="Wind"),INDEX(Land_Use[MIN],MATCH(LEFT($D353,5),Land_Use[Tech],0)),0)*$E353</f>
        <v>0</v>
      </c>
      <c r="Q353" s="30">
        <f>IF(OR(LEFT($D353,5)="Solar",$D353="Wind"),INDEX(Land_Use[MAX],MATCH(LEFT($D353,5),Land_Use[Tech],0)),0)*$E353</f>
        <v>0</v>
      </c>
      <c r="R353" s="31">
        <f>IFERROR(INDEX(WaterUseH2[Average Direct Water Consumption (Gal/ kg h2)],MATCH(LEFT(D353,3),WaterUseH2[Key],0)),0)</f>
        <v>0</v>
      </c>
      <c r="S353" s="15">
        <f t="shared" si="16"/>
        <v>0</v>
      </c>
    </row>
    <row r="354" spans="1:19" x14ac:dyDescent="0.35">
      <c r="A354" t="s">
        <v>76</v>
      </c>
      <c r="B354">
        <v>2040</v>
      </c>
      <c r="C354" t="s">
        <v>87</v>
      </c>
      <c r="D354" t="s">
        <v>88</v>
      </c>
      <c r="E354" s="13">
        <f>SUMIFS(Biogas!$U:$U,Biogas!$O:$O,Predev_Scenarios!A354,Biogas!$S:$S,Predev_Scenarios!B354,Biogas!$P:$P,Predev_Scenarios!D354)</f>
        <v>10415.999999999998</v>
      </c>
      <c r="F354" t="s">
        <v>89</v>
      </c>
      <c r="G354">
        <f>SUMIFS(Biogas!$T:$T,Biogas!$O:$O,Predev_Scenarios!A354,Biogas!$S:$S,Predev_Scenarios!B354,Biogas!$P:$P,Predev_Scenarios!D354)</f>
        <v>1.1384687999999999E-2</v>
      </c>
      <c r="H354" s="13" t="str">
        <f>IF(C354="Electricity",E354*SUMIFS(Electricity!S:S,Electricity!P:P,Predev_Scenarios!B354,Electricity!M:M,Predev_Scenarios!A354,Electricity!O:O,Predev_Scenarios!D354),"")</f>
        <v/>
      </c>
      <c r="I354" s="12">
        <f>IFERROR(INDEX(Assumptions!C$112:C$113,MATCH(LEFT($D354,2),Assumptions!$B$112:$B$113,0)),0)</f>
        <v>-150</v>
      </c>
      <c r="J354" s="12">
        <f>IFERROR(INDEX(Assumptions!D$112:D$113,MATCH(LEFT($D354,2),Assumptions!$B$112:$B$113,0)),0)</f>
        <v>-132.51</v>
      </c>
      <c r="K354" s="12">
        <f>IFERROR(INDEX(Assumptions!E$112:E$113,MATCH(LEFT($D354,2),Assumptions!$B$112:$B$113,0)),0)</f>
        <v>-328.81697478991583</v>
      </c>
      <c r="L354" s="63">
        <f t="shared" si="13"/>
        <v>1.7077031999999999</v>
      </c>
      <c r="M354" s="63">
        <f t="shared" si="14"/>
        <v>1.5085850068799997</v>
      </c>
      <c r="N354" s="63">
        <f t="shared" si="15"/>
        <v>3.7434786670870568</v>
      </c>
      <c r="O354" s="30">
        <f>IF(OR(LEFT($D354,5)="Solar",$D354="Wind"),INDEX(Land_Use[AVG],MATCH(LEFT($D354,5),Land_Use[Tech],0)),0)*$E354</f>
        <v>0</v>
      </c>
      <c r="P354" s="30">
        <f>IF(OR(LEFT($D354,5)="Solar",$D354="Wind"),INDEX(Land_Use[MIN],MATCH(LEFT($D354,5),Land_Use[Tech],0)),0)*$E354</f>
        <v>0</v>
      </c>
      <c r="Q354" s="30">
        <f>IF(OR(LEFT($D354,5)="Solar",$D354="Wind"),INDEX(Land_Use[MAX],MATCH(LEFT($D354,5),Land_Use[Tech],0)),0)*$E354</f>
        <v>0</v>
      </c>
      <c r="R354" s="31">
        <f>IFERROR(INDEX(WaterUseH2[Average Direct Water Consumption (Gal/ kg h2)],MATCH(LEFT(D354,3),WaterUseH2[Key],0)),0)</f>
        <v>0</v>
      </c>
      <c r="S354" s="15">
        <f t="shared" si="16"/>
        <v>0</v>
      </c>
    </row>
    <row r="355" spans="1:19" x14ac:dyDescent="0.35">
      <c r="A355" t="s">
        <v>76</v>
      </c>
      <c r="B355">
        <v>2041</v>
      </c>
      <c r="C355" t="s">
        <v>87</v>
      </c>
      <c r="D355" t="s">
        <v>88</v>
      </c>
      <c r="E355" s="13">
        <f>SUMIFS(Biogas!$U:$U,Biogas!$O:$O,Predev_Scenarios!A355,Biogas!$S:$S,Predev_Scenarios!B355,Biogas!$P:$P,Predev_Scenarios!D355)</f>
        <v>10415.999999999998</v>
      </c>
      <c r="F355" t="s">
        <v>89</v>
      </c>
      <c r="G355">
        <f>SUMIFS(Biogas!$T:$T,Biogas!$O:$O,Predev_Scenarios!A355,Biogas!$S:$S,Predev_Scenarios!B355,Biogas!$P:$P,Predev_Scenarios!D355)</f>
        <v>1.1384687999999999E-2</v>
      </c>
      <c r="H355" s="13" t="str">
        <f>IF(C355="Electricity",E355*SUMIFS(Electricity!S:S,Electricity!P:P,Predev_Scenarios!B355,Electricity!M:M,Predev_Scenarios!A355,Electricity!O:O,Predev_Scenarios!D355),"")</f>
        <v/>
      </c>
      <c r="I355" s="12">
        <f>IFERROR(INDEX(Assumptions!C$112:C$113,MATCH(LEFT($D355,2),Assumptions!$B$112:$B$113,0)),0)</f>
        <v>-150</v>
      </c>
      <c r="J355" s="12">
        <f>IFERROR(INDEX(Assumptions!D$112:D$113,MATCH(LEFT($D355,2),Assumptions!$B$112:$B$113,0)),0)</f>
        <v>-132.51</v>
      </c>
      <c r="K355" s="12">
        <f>IFERROR(INDEX(Assumptions!E$112:E$113,MATCH(LEFT($D355,2),Assumptions!$B$112:$B$113,0)),0)</f>
        <v>-328.81697478991583</v>
      </c>
      <c r="L355" s="63">
        <f t="shared" si="13"/>
        <v>1.7077031999999999</v>
      </c>
      <c r="M355" s="63">
        <f t="shared" si="14"/>
        <v>1.5085850068799997</v>
      </c>
      <c r="N355" s="63">
        <f t="shared" si="15"/>
        <v>3.7434786670870568</v>
      </c>
      <c r="O355" s="30">
        <f>IF(OR(LEFT($D355,5)="Solar",$D355="Wind"),INDEX(Land_Use[AVG],MATCH(LEFT($D355,5),Land_Use[Tech],0)),0)*$E355</f>
        <v>0</v>
      </c>
      <c r="P355" s="30">
        <f>IF(OR(LEFT($D355,5)="Solar",$D355="Wind"),INDEX(Land_Use[MIN],MATCH(LEFT($D355,5),Land_Use[Tech],0)),0)*$E355</f>
        <v>0</v>
      </c>
      <c r="Q355" s="30">
        <f>IF(OR(LEFT($D355,5)="Solar",$D355="Wind"),INDEX(Land_Use[MAX],MATCH(LEFT($D355,5),Land_Use[Tech],0)),0)*$E355</f>
        <v>0</v>
      </c>
      <c r="R355" s="31">
        <f>IFERROR(INDEX(WaterUseH2[Average Direct Water Consumption (Gal/ kg h2)],MATCH(LEFT(D355,3),WaterUseH2[Key],0)),0)</f>
        <v>0</v>
      </c>
      <c r="S355" s="15">
        <f t="shared" si="16"/>
        <v>0</v>
      </c>
    </row>
    <row r="356" spans="1:19" x14ac:dyDescent="0.35">
      <c r="A356" t="s">
        <v>76</v>
      </c>
      <c r="B356">
        <v>2042</v>
      </c>
      <c r="C356" t="s">
        <v>87</v>
      </c>
      <c r="D356" t="s">
        <v>88</v>
      </c>
      <c r="E356" s="13">
        <f>SUMIFS(Biogas!$U:$U,Biogas!$O:$O,Predev_Scenarios!A356,Biogas!$S:$S,Predev_Scenarios!B356,Biogas!$P:$P,Predev_Scenarios!D356)</f>
        <v>10415.999999999998</v>
      </c>
      <c r="F356" t="s">
        <v>89</v>
      </c>
      <c r="G356">
        <f>SUMIFS(Biogas!$T:$T,Biogas!$O:$O,Predev_Scenarios!A356,Biogas!$S:$S,Predev_Scenarios!B356,Biogas!$P:$P,Predev_Scenarios!D356)</f>
        <v>1.1384687999999999E-2</v>
      </c>
      <c r="H356" s="13" t="str">
        <f>IF(C356="Electricity",E356*SUMIFS(Electricity!S:S,Electricity!P:P,Predev_Scenarios!B356,Electricity!M:M,Predev_Scenarios!A356,Electricity!O:O,Predev_Scenarios!D356),"")</f>
        <v/>
      </c>
      <c r="I356" s="12">
        <f>IFERROR(INDEX(Assumptions!C$112:C$113,MATCH(LEFT($D356,2),Assumptions!$B$112:$B$113,0)),0)</f>
        <v>-150</v>
      </c>
      <c r="J356" s="12">
        <f>IFERROR(INDEX(Assumptions!D$112:D$113,MATCH(LEFT($D356,2),Assumptions!$B$112:$B$113,0)),0)</f>
        <v>-132.51</v>
      </c>
      <c r="K356" s="12">
        <f>IFERROR(INDEX(Assumptions!E$112:E$113,MATCH(LEFT($D356,2),Assumptions!$B$112:$B$113,0)),0)</f>
        <v>-328.81697478991583</v>
      </c>
      <c r="L356" s="63">
        <f t="shared" si="13"/>
        <v>1.7077031999999999</v>
      </c>
      <c r="M356" s="63">
        <f t="shared" si="14"/>
        <v>1.5085850068799997</v>
      </c>
      <c r="N356" s="63">
        <f t="shared" si="15"/>
        <v>3.7434786670870568</v>
      </c>
      <c r="O356" s="30">
        <f>IF(OR(LEFT($D356,5)="Solar",$D356="Wind"),INDEX(Land_Use[AVG],MATCH(LEFT($D356,5),Land_Use[Tech],0)),0)*$E356</f>
        <v>0</v>
      </c>
      <c r="P356" s="30">
        <f>IF(OR(LEFT($D356,5)="Solar",$D356="Wind"),INDEX(Land_Use[MIN],MATCH(LEFT($D356,5),Land_Use[Tech],0)),0)*$E356</f>
        <v>0</v>
      </c>
      <c r="Q356" s="30">
        <f>IF(OR(LEFT($D356,5)="Solar",$D356="Wind"),INDEX(Land_Use[MAX],MATCH(LEFT($D356,5),Land_Use[Tech],0)),0)*$E356</f>
        <v>0</v>
      </c>
      <c r="R356" s="31">
        <f>IFERROR(INDEX(WaterUseH2[Average Direct Water Consumption (Gal/ kg h2)],MATCH(LEFT(D356,3),WaterUseH2[Key],0)),0)</f>
        <v>0</v>
      </c>
      <c r="S356" s="15">
        <f t="shared" si="16"/>
        <v>0</v>
      </c>
    </row>
    <row r="357" spans="1:19" x14ac:dyDescent="0.35">
      <c r="A357" t="s">
        <v>76</v>
      </c>
      <c r="B357">
        <v>2043</v>
      </c>
      <c r="C357" t="s">
        <v>87</v>
      </c>
      <c r="D357" t="s">
        <v>88</v>
      </c>
      <c r="E357" s="13">
        <f>SUMIFS(Biogas!$U:$U,Biogas!$O:$O,Predev_Scenarios!A357,Biogas!$S:$S,Predev_Scenarios!B357,Biogas!$P:$P,Predev_Scenarios!D357)</f>
        <v>10415.999999999998</v>
      </c>
      <c r="F357" t="s">
        <v>89</v>
      </c>
      <c r="G357">
        <f>SUMIFS(Biogas!$T:$T,Biogas!$O:$O,Predev_Scenarios!A357,Biogas!$S:$S,Predev_Scenarios!B357,Biogas!$P:$P,Predev_Scenarios!D357)</f>
        <v>1.1384687999999999E-2</v>
      </c>
      <c r="H357" s="13" t="str">
        <f>IF(C357="Electricity",E357*SUMIFS(Electricity!S:S,Electricity!P:P,Predev_Scenarios!B357,Electricity!M:M,Predev_Scenarios!A357,Electricity!O:O,Predev_Scenarios!D357),"")</f>
        <v/>
      </c>
      <c r="I357" s="12">
        <f>IFERROR(INDEX(Assumptions!C$112:C$113,MATCH(LEFT($D357,2),Assumptions!$B$112:$B$113,0)),0)</f>
        <v>-150</v>
      </c>
      <c r="J357" s="12">
        <f>IFERROR(INDEX(Assumptions!D$112:D$113,MATCH(LEFT($D357,2),Assumptions!$B$112:$B$113,0)),0)</f>
        <v>-132.51</v>
      </c>
      <c r="K357" s="12">
        <f>IFERROR(INDEX(Assumptions!E$112:E$113,MATCH(LEFT($D357,2),Assumptions!$B$112:$B$113,0)),0)</f>
        <v>-328.81697478991583</v>
      </c>
      <c r="L357" s="63">
        <f t="shared" si="13"/>
        <v>1.7077031999999999</v>
      </c>
      <c r="M357" s="63">
        <f t="shared" si="14"/>
        <v>1.5085850068799997</v>
      </c>
      <c r="N357" s="63">
        <f t="shared" si="15"/>
        <v>3.7434786670870568</v>
      </c>
      <c r="O357" s="30">
        <f>IF(OR(LEFT($D357,5)="Solar",$D357="Wind"),INDEX(Land_Use[AVG],MATCH(LEFT($D357,5),Land_Use[Tech],0)),0)*$E357</f>
        <v>0</v>
      </c>
      <c r="P357" s="30">
        <f>IF(OR(LEFT($D357,5)="Solar",$D357="Wind"),INDEX(Land_Use[MIN],MATCH(LEFT($D357,5),Land_Use[Tech],0)),0)*$E357</f>
        <v>0</v>
      </c>
      <c r="Q357" s="30">
        <f>IF(OR(LEFT($D357,5)="Solar",$D357="Wind"),INDEX(Land_Use[MAX],MATCH(LEFT($D357,5),Land_Use[Tech],0)),0)*$E357</f>
        <v>0</v>
      </c>
      <c r="R357" s="31">
        <f>IFERROR(INDEX(WaterUseH2[Average Direct Water Consumption (Gal/ kg h2)],MATCH(LEFT(D357,3),WaterUseH2[Key],0)),0)</f>
        <v>0</v>
      </c>
      <c r="S357" s="15">
        <f t="shared" si="16"/>
        <v>0</v>
      </c>
    </row>
    <row r="358" spans="1:19" x14ac:dyDescent="0.35">
      <c r="A358" t="s">
        <v>76</v>
      </c>
      <c r="B358">
        <v>2044</v>
      </c>
      <c r="C358" t="s">
        <v>87</v>
      </c>
      <c r="D358" t="s">
        <v>88</v>
      </c>
      <c r="E358" s="13">
        <f>SUMIFS(Biogas!$U:$U,Biogas!$O:$O,Predev_Scenarios!A358,Biogas!$S:$S,Predev_Scenarios!B358,Biogas!$P:$P,Predev_Scenarios!D358)</f>
        <v>10415.999999999998</v>
      </c>
      <c r="F358" t="s">
        <v>89</v>
      </c>
      <c r="G358">
        <f>SUMIFS(Biogas!$T:$T,Biogas!$O:$O,Predev_Scenarios!A358,Biogas!$S:$S,Predev_Scenarios!B358,Biogas!$P:$P,Predev_Scenarios!D358)</f>
        <v>1.1384687999999999E-2</v>
      </c>
      <c r="H358" s="13" t="str">
        <f>IF(C358="Electricity",E358*SUMIFS(Electricity!S:S,Electricity!P:P,Predev_Scenarios!B358,Electricity!M:M,Predev_Scenarios!A358,Electricity!O:O,Predev_Scenarios!D358),"")</f>
        <v/>
      </c>
      <c r="I358" s="12">
        <f>IFERROR(INDEX(Assumptions!C$112:C$113,MATCH(LEFT($D358,2),Assumptions!$B$112:$B$113,0)),0)</f>
        <v>-150</v>
      </c>
      <c r="J358" s="12">
        <f>IFERROR(INDEX(Assumptions!D$112:D$113,MATCH(LEFT($D358,2),Assumptions!$B$112:$B$113,0)),0)</f>
        <v>-132.51</v>
      </c>
      <c r="K358" s="12">
        <f>IFERROR(INDEX(Assumptions!E$112:E$113,MATCH(LEFT($D358,2),Assumptions!$B$112:$B$113,0)),0)</f>
        <v>-328.81697478991583</v>
      </c>
      <c r="L358" s="63">
        <f t="shared" si="13"/>
        <v>1.7077031999999999</v>
      </c>
      <c r="M358" s="63">
        <f t="shared" si="14"/>
        <v>1.5085850068799997</v>
      </c>
      <c r="N358" s="63">
        <f t="shared" si="15"/>
        <v>3.7434786670870568</v>
      </c>
      <c r="O358" s="30">
        <f>IF(OR(LEFT($D358,5)="Solar",$D358="Wind"),INDEX(Land_Use[AVG],MATCH(LEFT($D358,5),Land_Use[Tech],0)),0)*$E358</f>
        <v>0</v>
      </c>
      <c r="P358" s="30">
        <f>IF(OR(LEFT($D358,5)="Solar",$D358="Wind"),INDEX(Land_Use[MIN],MATCH(LEFT($D358,5),Land_Use[Tech],0)),0)*$E358</f>
        <v>0</v>
      </c>
      <c r="Q358" s="30">
        <f>IF(OR(LEFT($D358,5)="Solar",$D358="Wind"),INDEX(Land_Use[MAX],MATCH(LEFT($D358,5),Land_Use[Tech],0)),0)*$E358</f>
        <v>0</v>
      </c>
      <c r="R358" s="31">
        <f>IFERROR(INDEX(WaterUseH2[Average Direct Water Consumption (Gal/ kg h2)],MATCH(LEFT(D358,3),WaterUseH2[Key],0)),0)</f>
        <v>0</v>
      </c>
      <c r="S358" s="15">
        <f t="shared" si="16"/>
        <v>0</v>
      </c>
    </row>
    <row r="359" spans="1:19" x14ac:dyDescent="0.35">
      <c r="A359" t="s">
        <v>76</v>
      </c>
      <c r="B359">
        <v>2045</v>
      </c>
      <c r="C359" t="s">
        <v>87</v>
      </c>
      <c r="D359" t="s">
        <v>88</v>
      </c>
      <c r="E359" s="13">
        <f>SUMIFS(Biogas!$U:$U,Biogas!$O:$O,Predev_Scenarios!A359,Biogas!$S:$S,Predev_Scenarios!B359,Biogas!$P:$P,Predev_Scenarios!D359)</f>
        <v>10415.999999999998</v>
      </c>
      <c r="F359" t="s">
        <v>89</v>
      </c>
      <c r="G359">
        <f>SUMIFS(Biogas!$T:$T,Biogas!$O:$O,Predev_Scenarios!A359,Biogas!$S:$S,Predev_Scenarios!B359,Biogas!$P:$P,Predev_Scenarios!D359)</f>
        <v>1.1384687999999999E-2</v>
      </c>
      <c r="H359" s="13" t="str">
        <f>IF(C359="Electricity",E359*SUMIFS(Electricity!S:S,Electricity!P:P,Predev_Scenarios!B359,Electricity!M:M,Predev_Scenarios!A359,Electricity!O:O,Predev_Scenarios!D359),"")</f>
        <v/>
      </c>
      <c r="I359" s="12">
        <f>IFERROR(INDEX(Assumptions!C$112:C$113,MATCH(LEFT($D359,2),Assumptions!$B$112:$B$113,0)),0)</f>
        <v>-150</v>
      </c>
      <c r="J359" s="12">
        <f>IFERROR(INDEX(Assumptions!D$112:D$113,MATCH(LEFT($D359,2),Assumptions!$B$112:$B$113,0)),0)</f>
        <v>-132.51</v>
      </c>
      <c r="K359" s="12">
        <f>IFERROR(INDEX(Assumptions!E$112:E$113,MATCH(LEFT($D359,2),Assumptions!$B$112:$B$113,0)),0)</f>
        <v>-328.81697478991583</v>
      </c>
      <c r="L359" s="63">
        <f t="shared" si="13"/>
        <v>1.7077031999999999</v>
      </c>
      <c r="M359" s="63">
        <f t="shared" si="14"/>
        <v>1.5085850068799997</v>
      </c>
      <c r="N359" s="63">
        <f t="shared" si="15"/>
        <v>3.7434786670870568</v>
      </c>
      <c r="O359" s="30">
        <f>IF(OR(LEFT($D359,5)="Solar",$D359="Wind"),INDEX(Land_Use[AVG],MATCH(LEFT($D359,5),Land_Use[Tech],0)),0)*$E359</f>
        <v>0</v>
      </c>
      <c r="P359" s="30">
        <f>IF(OR(LEFT($D359,5)="Solar",$D359="Wind"),INDEX(Land_Use[MIN],MATCH(LEFT($D359,5),Land_Use[Tech],0)),0)*$E359</f>
        <v>0</v>
      </c>
      <c r="Q359" s="30">
        <f>IF(OR(LEFT($D359,5)="Solar",$D359="Wind"),INDEX(Land_Use[MAX],MATCH(LEFT($D359,5),Land_Use[Tech],0)),0)*$E359</f>
        <v>0</v>
      </c>
      <c r="R359" s="31">
        <f>IFERROR(INDEX(WaterUseH2[Average Direct Water Consumption (Gal/ kg h2)],MATCH(LEFT(D359,3),WaterUseH2[Key],0)),0)</f>
        <v>0</v>
      </c>
      <c r="S359" s="15">
        <f t="shared" si="16"/>
        <v>0</v>
      </c>
    </row>
    <row r="360" spans="1:19" x14ac:dyDescent="0.35">
      <c r="A360" t="s">
        <v>107</v>
      </c>
      <c r="B360">
        <v>2025</v>
      </c>
      <c r="C360" t="s">
        <v>87</v>
      </c>
      <c r="D360" t="s">
        <v>88</v>
      </c>
      <c r="E360" s="13">
        <f>SUMIFS(Biogas!$U:$U,Biogas!$O:$O,Predev_Scenarios!A360,Biogas!$S:$S,Predev_Scenarios!B360,Biogas!$P:$P,Predev_Scenarios!D360)</f>
        <v>6172.4444444444443</v>
      </c>
      <c r="F360" t="s">
        <v>89</v>
      </c>
      <c r="G360">
        <f>SUMIFS(Biogas!$T:$T,Biogas!$O:$O,Predev_Scenarios!A360,Biogas!$S:$S,Predev_Scenarios!B360,Biogas!$P:$P,Predev_Scenarios!D360)</f>
        <v>6.7464817777777774E-3</v>
      </c>
      <c r="H360" s="13" t="str">
        <f>IF(C360="Electricity",E360*SUMIFS(Electricity!S:S,Electricity!P:P,Predev_Scenarios!B360,Electricity!M:M,Predev_Scenarios!A360,Electricity!O:O,Predev_Scenarios!D360),"")</f>
        <v/>
      </c>
      <c r="I360" s="12">
        <f>IFERROR(INDEX(Assumptions!C$112:C$113,MATCH(LEFT($D360,2),Assumptions!$B$112:$B$113,0)),0)</f>
        <v>-150</v>
      </c>
      <c r="J360" s="12">
        <f>IFERROR(INDEX(Assumptions!D$112:D$113,MATCH(LEFT($D360,2),Assumptions!$B$112:$B$113,0)),0)</f>
        <v>-132.51</v>
      </c>
      <c r="K360" s="12">
        <f>IFERROR(INDEX(Assumptions!E$112:E$113,MATCH(LEFT($D360,2),Assumptions!$B$112:$B$113,0)),0)</f>
        <v>-328.81697478991583</v>
      </c>
      <c r="L360" s="63">
        <f t="shared" si="13"/>
        <v>1.0119722666666666</v>
      </c>
      <c r="M360" s="63">
        <f t="shared" si="14"/>
        <v>0.8939763003733332</v>
      </c>
      <c r="N360" s="63">
        <f t="shared" si="15"/>
        <v>2.218357728644182</v>
      </c>
      <c r="O360" s="30">
        <f>IF(OR(LEFT($D360,5)="Solar",$D360="Wind"),INDEX(Land_Use[AVG],MATCH(LEFT($D360,5),Land_Use[Tech],0)),0)*$E360</f>
        <v>0</v>
      </c>
      <c r="P360" s="30">
        <f>IF(OR(LEFT($D360,5)="Solar",$D360="Wind"),INDEX(Land_Use[MIN],MATCH(LEFT($D360,5),Land_Use[Tech],0)),0)*$E360</f>
        <v>0</v>
      </c>
      <c r="Q360" s="30">
        <f>IF(OR(LEFT($D360,5)="Solar",$D360="Wind"),INDEX(Land_Use[MAX],MATCH(LEFT($D360,5),Land_Use[Tech],0)),0)*$E360</f>
        <v>0</v>
      </c>
      <c r="R360" s="31">
        <f>IFERROR(INDEX(WaterUseH2[Average Direct Water Consumption (Gal/ kg h2)],MATCH(LEFT(D360,3),WaterUseH2[Key],0)),0)</f>
        <v>0</v>
      </c>
      <c r="S360" s="15">
        <f t="shared" si="16"/>
        <v>0</v>
      </c>
    </row>
    <row r="361" spans="1:19" x14ac:dyDescent="0.35">
      <c r="A361" t="s">
        <v>107</v>
      </c>
      <c r="B361">
        <v>2026</v>
      </c>
      <c r="C361" t="s">
        <v>87</v>
      </c>
      <c r="D361" t="s">
        <v>88</v>
      </c>
      <c r="E361" s="13">
        <f>SUMIFS(Biogas!$U:$U,Biogas!$O:$O,Predev_Scenarios!A361,Biogas!$S:$S,Predev_Scenarios!B361,Biogas!$P:$P,Predev_Scenarios!D361)</f>
        <v>6172.4444444444443</v>
      </c>
      <c r="F361" t="s">
        <v>89</v>
      </c>
      <c r="G361">
        <f>SUMIFS(Biogas!$T:$T,Biogas!$O:$O,Predev_Scenarios!A361,Biogas!$S:$S,Predev_Scenarios!B361,Biogas!$P:$P,Predev_Scenarios!D361)</f>
        <v>6.7464817777777774E-3</v>
      </c>
      <c r="H361" s="13" t="str">
        <f>IF(C361="Electricity",E361*SUMIFS(Electricity!S:S,Electricity!P:P,Predev_Scenarios!B361,Electricity!M:M,Predev_Scenarios!A361,Electricity!O:O,Predev_Scenarios!D361),"")</f>
        <v/>
      </c>
      <c r="I361" s="12">
        <f>IFERROR(INDEX(Assumptions!C$112:C$113,MATCH(LEFT($D361,2),Assumptions!$B$112:$B$113,0)),0)</f>
        <v>-150</v>
      </c>
      <c r="J361" s="12">
        <f>IFERROR(INDEX(Assumptions!D$112:D$113,MATCH(LEFT($D361,2),Assumptions!$B$112:$B$113,0)),0)</f>
        <v>-132.51</v>
      </c>
      <c r="K361" s="12">
        <f>IFERROR(INDEX(Assumptions!E$112:E$113,MATCH(LEFT($D361,2),Assumptions!$B$112:$B$113,0)),0)</f>
        <v>-328.81697478991583</v>
      </c>
      <c r="L361" s="63">
        <f t="shared" si="13"/>
        <v>1.0119722666666666</v>
      </c>
      <c r="M361" s="63">
        <f t="shared" si="14"/>
        <v>0.8939763003733332</v>
      </c>
      <c r="N361" s="63">
        <f t="shared" si="15"/>
        <v>2.218357728644182</v>
      </c>
      <c r="O361" s="30">
        <f>IF(OR(LEFT($D361,5)="Solar",$D361="Wind"),INDEX(Land_Use[AVG],MATCH(LEFT($D361,5),Land_Use[Tech],0)),0)*$E361</f>
        <v>0</v>
      </c>
      <c r="P361" s="30">
        <f>IF(OR(LEFT($D361,5)="Solar",$D361="Wind"),INDEX(Land_Use[MIN],MATCH(LEFT($D361,5),Land_Use[Tech],0)),0)*$E361</f>
        <v>0</v>
      </c>
      <c r="Q361" s="30">
        <f>IF(OR(LEFT($D361,5)="Solar",$D361="Wind"),INDEX(Land_Use[MAX],MATCH(LEFT($D361,5),Land_Use[Tech],0)),0)*$E361</f>
        <v>0</v>
      </c>
      <c r="R361" s="31">
        <f>IFERROR(INDEX(WaterUseH2[Average Direct Water Consumption (Gal/ kg h2)],MATCH(LEFT(D361,3),WaterUseH2[Key],0)),0)</f>
        <v>0</v>
      </c>
      <c r="S361" s="15">
        <f t="shared" si="16"/>
        <v>0</v>
      </c>
    </row>
    <row r="362" spans="1:19" x14ac:dyDescent="0.35">
      <c r="A362" t="s">
        <v>107</v>
      </c>
      <c r="B362">
        <v>2027</v>
      </c>
      <c r="C362" t="s">
        <v>87</v>
      </c>
      <c r="D362" t="s">
        <v>88</v>
      </c>
      <c r="E362" s="13">
        <f>SUMIFS(Biogas!$U:$U,Biogas!$O:$O,Predev_Scenarios!A362,Biogas!$S:$S,Predev_Scenarios!B362,Biogas!$P:$P,Predev_Scenarios!D362)</f>
        <v>6172.4444444444443</v>
      </c>
      <c r="F362" t="s">
        <v>89</v>
      </c>
      <c r="G362">
        <f>SUMIFS(Biogas!$T:$T,Biogas!$O:$O,Predev_Scenarios!A362,Biogas!$S:$S,Predev_Scenarios!B362,Biogas!$P:$P,Predev_Scenarios!D362)</f>
        <v>6.7464817777777774E-3</v>
      </c>
      <c r="H362" s="13" t="str">
        <f>IF(C362="Electricity",E362*SUMIFS(Electricity!S:S,Electricity!P:P,Predev_Scenarios!B362,Electricity!M:M,Predev_Scenarios!A362,Electricity!O:O,Predev_Scenarios!D362),"")</f>
        <v/>
      </c>
      <c r="I362" s="12">
        <f>IFERROR(INDEX(Assumptions!C$112:C$113,MATCH(LEFT($D362,2),Assumptions!$B$112:$B$113,0)),0)</f>
        <v>-150</v>
      </c>
      <c r="J362" s="12">
        <f>IFERROR(INDEX(Assumptions!D$112:D$113,MATCH(LEFT($D362,2),Assumptions!$B$112:$B$113,0)),0)</f>
        <v>-132.51</v>
      </c>
      <c r="K362" s="12">
        <f>IFERROR(INDEX(Assumptions!E$112:E$113,MATCH(LEFT($D362,2),Assumptions!$B$112:$B$113,0)),0)</f>
        <v>-328.81697478991583</v>
      </c>
      <c r="L362" s="63">
        <f t="shared" si="13"/>
        <v>1.0119722666666666</v>
      </c>
      <c r="M362" s="63">
        <f t="shared" si="14"/>
        <v>0.8939763003733332</v>
      </c>
      <c r="N362" s="63">
        <f t="shared" si="15"/>
        <v>2.218357728644182</v>
      </c>
      <c r="O362" s="30">
        <f>IF(OR(LEFT($D362,5)="Solar",$D362="Wind"),INDEX(Land_Use[AVG],MATCH(LEFT($D362,5),Land_Use[Tech],0)),0)*$E362</f>
        <v>0</v>
      </c>
      <c r="P362" s="30">
        <f>IF(OR(LEFT($D362,5)="Solar",$D362="Wind"),INDEX(Land_Use[MIN],MATCH(LEFT($D362,5),Land_Use[Tech],0)),0)*$E362</f>
        <v>0</v>
      </c>
      <c r="Q362" s="30">
        <f>IF(OR(LEFT($D362,5)="Solar",$D362="Wind"),INDEX(Land_Use[MAX],MATCH(LEFT($D362,5),Land_Use[Tech],0)),0)*$E362</f>
        <v>0</v>
      </c>
      <c r="R362" s="31">
        <f>IFERROR(INDEX(WaterUseH2[Average Direct Water Consumption (Gal/ kg h2)],MATCH(LEFT(D362,3),WaterUseH2[Key],0)),0)</f>
        <v>0</v>
      </c>
      <c r="S362" s="15">
        <f t="shared" si="16"/>
        <v>0</v>
      </c>
    </row>
    <row r="363" spans="1:19" x14ac:dyDescent="0.35">
      <c r="A363" t="s">
        <v>107</v>
      </c>
      <c r="B363">
        <v>2028</v>
      </c>
      <c r="C363" t="s">
        <v>87</v>
      </c>
      <c r="D363" t="s">
        <v>88</v>
      </c>
      <c r="E363" s="13">
        <f>SUMIFS(Biogas!$U:$U,Biogas!$O:$O,Predev_Scenarios!A363,Biogas!$S:$S,Predev_Scenarios!B363,Biogas!$P:$P,Predev_Scenarios!D363)</f>
        <v>9258.6666666666661</v>
      </c>
      <c r="F363" t="s">
        <v>89</v>
      </c>
      <c r="G363">
        <f>SUMIFS(Biogas!$T:$T,Biogas!$O:$O,Predev_Scenarios!A363,Biogas!$S:$S,Predev_Scenarios!B363,Biogas!$P:$P,Predev_Scenarios!D363)</f>
        <v>1.0119722666666666E-2</v>
      </c>
      <c r="H363" s="13" t="str">
        <f>IF(C363="Electricity",E363*SUMIFS(Electricity!S:S,Electricity!P:P,Predev_Scenarios!B363,Electricity!M:M,Predev_Scenarios!A363,Electricity!O:O,Predev_Scenarios!D363),"")</f>
        <v/>
      </c>
      <c r="I363" s="12">
        <f>IFERROR(INDEX(Assumptions!C$112:C$113,MATCH(LEFT($D363,2),Assumptions!$B$112:$B$113,0)),0)</f>
        <v>-150</v>
      </c>
      <c r="J363" s="12">
        <f>IFERROR(INDEX(Assumptions!D$112:D$113,MATCH(LEFT($D363,2),Assumptions!$B$112:$B$113,0)),0)</f>
        <v>-132.51</v>
      </c>
      <c r="K363" s="12">
        <f>IFERROR(INDEX(Assumptions!E$112:E$113,MATCH(LEFT($D363,2),Assumptions!$B$112:$B$113,0)),0)</f>
        <v>-328.81697478991583</v>
      </c>
      <c r="L363" s="63">
        <f t="shared" si="13"/>
        <v>1.5179583999999999</v>
      </c>
      <c r="M363" s="63">
        <f t="shared" si="14"/>
        <v>1.3409644505599998</v>
      </c>
      <c r="N363" s="63">
        <f t="shared" si="15"/>
        <v>3.3275365929662728</v>
      </c>
      <c r="O363" s="30">
        <f>IF(OR(LEFT($D363,5)="Solar",$D363="Wind"),INDEX(Land_Use[AVG],MATCH(LEFT($D363,5),Land_Use[Tech],0)),0)*$E363</f>
        <v>0</v>
      </c>
      <c r="P363" s="30">
        <f>IF(OR(LEFT($D363,5)="Solar",$D363="Wind"),INDEX(Land_Use[MIN],MATCH(LEFT($D363,5),Land_Use[Tech],0)),0)*$E363</f>
        <v>0</v>
      </c>
      <c r="Q363" s="30">
        <f>IF(OR(LEFT($D363,5)="Solar",$D363="Wind"),INDEX(Land_Use[MAX],MATCH(LEFT($D363,5),Land_Use[Tech],0)),0)*$E363</f>
        <v>0</v>
      </c>
      <c r="R363" s="31">
        <f>IFERROR(INDEX(WaterUseH2[Average Direct Water Consumption (Gal/ kg h2)],MATCH(LEFT(D363,3),WaterUseH2[Key],0)),0)</f>
        <v>0</v>
      </c>
      <c r="S363" s="15">
        <f t="shared" si="16"/>
        <v>0</v>
      </c>
    </row>
    <row r="364" spans="1:19" x14ac:dyDescent="0.35">
      <c r="A364" t="s">
        <v>107</v>
      </c>
      <c r="B364">
        <v>2029</v>
      </c>
      <c r="C364" t="s">
        <v>87</v>
      </c>
      <c r="D364" t="s">
        <v>88</v>
      </c>
      <c r="E364" s="13">
        <f>SUMIFS(Biogas!$U:$U,Biogas!$O:$O,Predev_Scenarios!A364,Biogas!$S:$S,Predev_Scenarios!B364,Biogas!$P:$P,Predev_Scenarios!D364)</f>
        <v>9258.6666666666661</v>
      </c>
      <c r="F364" t="s">
        <v>89</v>
      </c>
      <c r="G364">
        <f>SUMIFS(Biogas!$T:$T,Biogas!$O:$O,Predev_Scenarios!A364,Biogas!$S:$S,Predev_Scenarios!B364,Biogas!$P:$P,Predev_Scenarios!D364)</f>
        <v>1.0119722666666666E-2</v>
      </c>
      <c r="H364" s="13" t="str">
        <f>IF(C364="Electricity",E364*SUMIFS(Electricity!S:S,Electricity!P:P,Predev_Scenarios!B364,Electricity!M:M,Predev_Scenarios!A364,Electricity!O:O,Predev_Scenarios!D364),"")</f>
        <v/>
      </c>
      <c r="I364" s="12">
        <f>IFERROR(INDEX(Assumptions!C$112:C$113,MATCH(LEFT($D364,2),Assumptions!$B$112:$B$113,0)),0)</f>
        <v>-150</v>
      </c>
      <c r="J364" s="12">
        <f>IFERROR(INDEX(Assumptions!D$112:D$113,MATCH(LEFT($D364,2),Assumptions!$B$112:$B$113,0)),0)</f>
        <v>-132.51</v>
      </c>
      <c r="K364" s="12">
        <f>IFERROR(INDEX(Assumptions!E$112:E$113,MATCH(LEFT($D364,2),Assumptions!$B$112:$B$113,0)),0)</f>
        <v>-328.81697478991583</v>
      </c>
      <c r="L364" s="63">
        <f t="shared" si="13"/>
        <v>1.5179583999999999</v>
      </c>
      <c r="M364" s="63">
        <f t="shared" si="14"/>
        <v>1.3409644505599998</v>
      </c>
      <c r="N364" s="63">
        <f t="shared" si="15"/>
        <v>3.3275365929662728</v>
      </c>
      <c r="O364" s="30">
        <f>IF(OR(LEFT($D364,5)="Solar",$D364="Wind"),INDEX(Land_Use[AVG],MATCH(LEFT($D364,5),Land_Use[Tech],0)),0)*$E364</f>
        <v>0</v>
      </c>
      <c r="P364" s="30">
        <f>IF(OR(LEFT($D364,5)="Solar",$D364="Wind"),INDEX(Land_Use[MIN],MATCH(LEFT($D364,5),Land_Use[Tech],0)),0)*$E364</f>
        <v>0</v>
      </c>
      <c r="Q364" s="30">
        <f>IF(OR(LEFT($D364,5)="Solar",$D364="Wind"),INDEX(Land_Use[MAX],MATCH(LEFT($D364,5),Land_Use[Tech],0)),0)*$E364</f>
        <v>0</v>
      </c>
      <c r="R364" s="31">
        <f>IFERROR(INDEX(WaterUseH2[Average Direct Water Consumption (Gal/ kg h2)],MATCH(LEFT(D364,3),WaterUseH2[Key],0)),0)</f>
        <v>0</v>
      </c>
      <c r="S364" s="15">
        <f t="shared" si="16"/>
        <v>0</v>
      </c>
    </row>
    <row r="365" spans="1:19" x14ac:dyDescent="0.35">
      <c r="A365" t="s">
        <v>107</v>
      </c>
      <c r="B365">
        <v>2030</v>
      </c>
      <c r="C365" t="s">
        <v>87</v>
      </c>
      <c r="D365" t="s">
        <v>88</v>
      </c>
      <c r="E365" s="13">
        <f>SUMIFS(Biogas!$U:$U,Biogas!$O:$O,Predev_Scenarios!A365,Biogas!$S:$S,Predev_Scenarios!B365,Biogas!$P:$P,Predev_Scenarios!D365)</f>
        <v>9258.6666666666661</v>
      </c>
      <c r="F365" t="s">
        <v>89</v>
      </c>
      <c r="G365">
        <f>SUMIFS(Biogas!$T:$T,Biogas!$O:$O,Predev_Scenarios!A365,Biogas!$S:$S,Predev_Scenarios!B365,Biogas!$P:$P,Predev_Scenarios!D365)</f>
        <v>1.0119722666666666E-2</v>
      </c>
      <c r="H365" s="13" t="str">
        <f>IF(C365="Electricity",E365*SUMIFS(Electricity!S:S,Electricity!P:P,Predev_Scenarios!B365,Electricity!M:M,Predev_Scenarios!A365,Electricity!O:O,Predev_Scenarios!D365),"")</f>
        <v/>
      </c>
      <c r="I365" s="12">
        <f>IFERROR(INDEX(Assumptions!C$112:C$113,MATCH(LEFT($D365,2),Assumptions!$B$112:$B$113,0)),0)</f>
        <v>-150</v>
      </c>
      <c r="J365" s="12">
        <f>IFERROR(INDEX(Assumptions!D$112:D$113,MATCH(LEFT($D365,2),Assumptions!$B$112:$B$113,0)),0)</f>
        <v>-132.51</v>
      </c>
      <c r="K365" s="12">
        <f>IFERROR(INDEX(Assumptions!E$112:E$113,MATCH(LEFT($D365,2),Assumptions!$B$112:$B$113,0)),0)</f>
        <v>-328.81697478991583</v>
      </c>
      <c r="L365" s="63">
        <f t="shared" si="13"/>
        <v>1.5179583999999999</v>
      </c>
      <c r="M365" s="63">
        <f t="shared" si="14"/>
        <v>1.3409644505599998</v>
      </c>
      <c r="N365" s="63">
        <f t="shared" si="15"/>
        <v>3.3275365929662728</v>
      </c>
      <c r="O365" s="30">
        <f>IF(OR(LEFT($D365,5)="Solar",$D365="Wind"),INDEX(Land_Use[AVG],MATCH(LEFT($D365,5),Land_Use[Tech],0)),0)*$E365</f>
        <v>0</v>
      </c>
      <c r="P365" s="30">
        <f>IF(OR(LEFT($D365,5)="Solar",$D365="Wind"),INDEX(Land_Use[MIN],MATCH(LEFT($D365,5),Land_Use[Tech],0)),0)*$E365</f>
        <v>0</v>
      </c>
      <c r="Q365" s="30">
        <f>IF(OR(LEFT($D365,5)="Solar",$D365="Wind"),INDEX(Land_Use[MAX],MATCH(LEFT($D365,5),Land_Use[Tech],0)),0)*$E365</f>
        <v>0</v>
      </c>
      <c r="R365" s="31">
        <f>IFERROR(INDEX(WaterUseH2[Average Direct Water Consumption (Gal/ kg h2)],MATCH(LEFT(D365,3),WaterUseH2[Key],0)),0)</f>
        <v>0</v>
      </c>
      <c r="S365" s="15">
        <f t="shared" si="16"/>
        <v>0</v>
      </c>
    </row>
    <row r="366" spans="1:19" x14ac:dyDescent="0.35">
      <c r="A366" t="s">
        <v>107</v>
      </c>
      <c r="B366">
        <v>2031</v>
      </c>
      <c r="C366" t="s">
        <v>87</v>
      </c>
      <c r="D366" t="s">
        <v>88</v>
      </c>
      <c r="E366" s="13">
        <f>SUMIFS(Biogas!$U:$U,Biogas!$O:$O,Predev_Scenarios!A366,Biogas!$S:$S,Predev_Scenarios!B366,Biogas!$P:$P,Predev_Scenarios!D366)</f>
        <v>9258.6666666666661</v>
      </c>
      <c r="F366" t="s">
        <v>89</v>
      </c>
      <c r="G366">
        <f>SUMIFS(Biogas!$T:$T,Biogas!$O:$O,Predev_Scenarios!A366,Biogas!$S:$S,Predev_Scenarios!B366,Biogas!$P:$P,Predev_Scenarios!D366)</f>
        <v>1.0119722666666666E-2</v>
      </c>
      <c r="H366" s="13" t="str">
        <f>IF(C366="Electricity",E366*SUMIFS(Electricity!S:S,Electricity!P:P,Predev_Scenarios!B366,Electricity!M:M,Predev_Scenarios!A366,Electricity!O:O,Predev_Scenarios!D366),"")</f>
        <v/>
      </c>
      <c r="I366" s="12">
        <f>IFERROR(INDEX(Assumptions!C$112:C$113,MATCH(LEFT($D366,2),Assumptions!$B$112:$B$113,0)),0)</f>
        <v>-150</v>
      </c>
      <c r="J366" s="12">
        <f>IFERROR(INDEX(Assumptions!D$112:D$113,MATCH(LEFT($D366,2),Assumptions!$B$112:$B$113,0)),0)</f>
        <v>-132.51</v>
      </c>
      <c r="K366" s="12">
        <f>IFERROR(INDEX(Assumptions!E$112:E$113,MATCH(LEFT($D366,2),Assumptions!$B$112:$B$113,0)),0)</f>
        <v>-328.81697478991583</v>
      </c>
      <c r="L366" s="63">
        <f t="shared" si="13"/>
        <v>1.5179583999999999</v>
      </c>
      <c r="M366" s="63">
        <f t="shared" si="14"/>
        <v>1.3409644505599998</v>
      </c>
      <c r="N366" s="63">
        <f t="shared" si="15"/>
        <v>3.3275365929662728</v>
      </c>
      <c r="O366" s="30">
        <f>IF(OR(LEFT($D366,5)="Solar",$D366="Wind"),INDEX(Land_Use[AVG],MATCH(LEFT($D366,5),Land_Use[Tech],0)),0)*$E366</f>
        <v>0</v>
      </c>
      <c r="P366" s="30">
        <f>IF(OR(LEFT($D366,5)="Solar",$D366="Wind"),INDEX(Land_Use[MIN],MATCH(LEFT($D366,5),Land_Use[Tech],0)),0)*$E366</f>
        <v>0</v>
      </c>
      <c r="Q366" s="30">
        <f>IF(OR(LEFT($D366,5)="Solar",$D366="Wind"),INDEX(Land_Use[MAX],MATCH(LEFT($D366,5),Land_Use[Tech],0)),0)*$E366</f>
        <v>0</v>
      </c>
      <c r="R366" s="31">
        <f>IFERROR(INDEX(WaterUseH2[Average Direct Water Consumption (Gal/ kg h2)],MATCH(LEFT(D366,3),WaterUseH2[Key],0)),0)</f>
        <v>0</v>
      </c>
      <c r="S366" s="15">
        <f t="shared" si="16"/>
        <v>0</v>
      </c>
    </row>
    <row r="367" spans="1:19" x14ac:dyDescent="0.35">
      <c r="A367" t="s">
        <v>107</v>
      </c>
      <c r="B367">
        <v>2032</v>
      </c>
      <c r="C367" t="s">
        <v>87</v>
      </c>
      <c r="D367" t="s">
        <v>88</v>
      </c>
      <c r="E367" s="13">
        <f>SUMIFS(Biogas!$U:$U,Biogas!$O:$O,Predev_Scenarios!A367,Biogas!$S:$S,Predev_Scenarios!B367,Biogas!$P:$P,Predev_Scenarios!D367)</f>
        <v>9258.6666666666661</v>
      </c>
      <c r="F367" t="s">
        <v>89</v>
      </c>
      <c r="G367">
        <f>SUMIFS(Biogas!$T:$T,Biogas!$O:$O,Predev_Scenarios!A367,Biogas!$S:$S,Predev_Scenarios!B367,Biogas!$P:$P,Predev_Scenarios!D367)</f>
        <v>1.0119722666666666E-2</v>
      </c>
      <c r="H367" s="13" t="str">
        <f>IF(C367="Electricity",E367*SUMIFS(Electricity!S:S,Electricity!P:P,Predev_Scenarios!B367,Electricity!M:M,Predev_Scenarios!A367,Electricity!O:O,Predev_Scenarios!D367),"")</f>
        <v/>
      </c>
      <c r="I367" s="12">
        <f>IFERROR(INDEX(Assumptions!C$112:C$113,MATCH(LEFT($D367,2),Assumptions!$B$112:$B$113,0)),0)</f>
        <v>-150</v>
      </c>
      <c r="J367" s="12">
        <f>IFERROR(INDEX(Assumptions!D$112:D$113,MATCH(LEFT($D367,2),Assumptions!$B$112:$B$113,0)),0)</f>
        <v>-132.51</v>
      </c>
      <c r="K367" s="12">
        <f>IFERROR(INDEX(Assumptions!E$112:E$113,MATCH(LEFT($D367,2),Assumptions!$B$112:$B$113,0)),0)</f>
        <v>-328.81697478991583</v>
      </c>
      <c r="L367" s="63">
        <f t="shared" si="13"/>
        <v>1.5179583999999999</v>
      </c>
      <c r="M367" s="63">
        <f t="shared" si="14"/>
        <v>1.3409644505599998</v>
      </c>
      <c r="N367" s="63">
        <f t="shared" si="15"/>
        <v>3.3275365929662728</v>
      </c>
      <c r="O367" s="30">
        <f>IF(OR(LEFT($D367,5)="Solar",$D367="Wind"),INDEX(Land_Use[AVG],MATCH(LEFT($D367,5),Land_Use[Tech],0)),0)*$E367</f>
        <v>0</v>
      </c>
      <c r="P367" s="30">
        <f>IF(OR(LEFT($D367,5)="Solar",$D367="Wind"),INDEX(Land_Use[MIN],MATCH(LEFT($D367,5),Land_Use[Tech],0)),0)*$E367</f>
        <v>0</v>
      </c>
      <c r="Q367" s="30">
        <f>IF(OR(LEFT($D367,5)="Solar",$D367="Wind"),INDEX(Land_Use[MAX],MATCH(LEFT($D367,5),Land_Use[Tech],0)),0)*$E367</f>
        <v>0</v>
      </c>
      <c r="R367" s="31">
        <f>IFERROR(INDEX(WaterUseH2[Average Direct Water Consumption (Gal/ kg h2)],MATCH(LEFT(D367,3),WaterUseH2[Key],0)),0)</f>
        <v>0</v>
      </c>
      <c r="S367" s="15">
        <f t="shared" si="16"/>
        <v>0</v>
      </c>
    </row>
    <row r="368" spans="1:19" x14ac:dyDescent="0.35">
      <c r="A368" t="s">
        <v>107</v>
      </c>
      <c r="B368">
        <v>2033</v>
      </c>
      <c r="C368" t="s">
        <v>87</v>
      </c>
      <c r="D368" t="s">
        <v>88</v>
      </c>
      <c r="E368" s="13">
        <f>SUMIFS(Biogas!$U:$U,Biogas!$O:$O,Predev_Scenarios!A368,Biogas!$S:$S,Predev_Scenarios!B368,Biogas!$P:$P,Predev_Scenarios!D368)</f>
        <v>9258.6666666666661</v>
      </c>
      <c r="F368" t="s">
        <v>89</v>
      </c>
      <c r="G368">
        <f>SUMIFS(Biogas!$T:$T,Biogas!$O:$O,Predev_Scenarios!A368,Biogas!$S:$S,Predev_Scenarios!B368,Biogas!$P:$P,Predev_Scenarios!D368)</f>
        <v>1.0119722666666666E-2</v>
      </c>
      <c r="H368" s="13" t="str">
        <f>IF(C368="Electricity",E368*SUMIFS(Electricity!S:S,Electricity!P:P,Predev_Scenarios!B368,Electricity!M:M,Predev_Scenarios!A368,Electricity!O:O,Predev_Scenarios!D368),"")</f>
        <v/>
      </c>
      <c r="I368" s="12">
        <f>IFERROR(INDEX(Assumptions!C$112:C$113,MATCH(LEFT($D368,2),Assumptions!$B$112:$B$113,0)),0)</f>
        <v>-150</v>
      </c>
      <c r="J368" s="12">
        <f>IFERROR(INDEX(Assumptions!D$112:D$113,MATCH(LEFT($D368,2),Assumptions!$B$112:$B$113,0)),0)</f>
        <v>-132.51</v>
      </c>
      <c r="K368" s="12">
        <f>IFERROR(INDEX(Assumptions!E$112:E$113,MATCH(LEFT($D368,2),Assumptions!$B$112:$B$113,0)),0)</f>
        <v>-328.81697478991583</v>
      </c>
      <c r="L368" s="63">
        <f t="shared" si="13"/>
        <v>1.5179583999999999</v>
      </c>
      <c r="M368" s="63">
        <f t="shared" si="14"/>
        <v>1.3409644505599998</v>
      </c>
      <c r="N368" s="63">
        <f t="shared" si="15"/>
        <v>3.3275365929662728</v>
      </c>
      <c r="O368" s="30">
        <f>IF(OR(LEFT($D368,5)="Solar",$D368="Wind"),INDEX(Land_Use[AVG],MATCH(LEFT($D368,5),Land_Use[Tech],0)),0)*$E368</f>
        <v>0</v>
      </c>
      <c r="P368" s="30">
        <f>IF(OR(LEFT($D368,5)="Solar",$D368="Wind"),INDEX(Land_Use[MIN],MATCH(LEFT($D368,5),Land_Use[Tech],0)),0)*$E368</f>
        <v>0</v>
      </c>
      <c r="Q368" s="30">
        <f>IF(OR(LEFT($D368,5)="Solar",$D368="Wind"),INDEX(Land_Use[MAX],MATCH(LEFT($D368,5),Land_Use[Tech],0)),0)*$E368</f>
        <v>0</v>
      </c>
      <c r="R368" s="31">
        <f>IFERROR(INDEX(WaterUseH2[Average Direct Water Consumption (Gal/ kg h2)],MATCH(LEFT(D368,3),WaterUseH2[Key],0)),0)</f>
        <v>0</v>
      </c>
      <c r="S368" s="15">
        <f t="shared" si="16"/>
        <v>0</v>
      </c>
    </row>
    <row r="369" spans="1:19" x14ac:dyDescent="0.35">
      <c r="A369" t="s">
        <v>107</v>
      </c>
      <c r="B369">
        <v>2034</v>
      </c>
      <c r="C369" t="s">
        <v>87</v>
      </c>
      <c r="D369" t="s">
        <v>88</v>
      </c>
      <c r="E369" s="13">
        <f>SUMIFS(Biogas!$U:$U,Biogas!$O:$O,Predev_Scenarios!A369,Biogas!$S:$S,Predev_Scenarios!B369,Biogas!$P:$P,Predev_Scenarios!D369)</f>
        <v>13887.999999999996</v>
      </c>
      <c r="F369" t="s">
        <v>89</v>
      </c>
      <c r="G369">
        <f>SUMIFS(Biogas!$T:$T,Biogas!$O:$O,Predev_Scenarios!A369,Biogas!$S:$S,Predev_Scenarios!B369,Biogas!$P:$P,Predev_Scenarios!D369)</f>
        <v>1.5179583999999998E-2</v>
      </c>
      <c r="H369" s="13" t="str">
        <f>IF(C369="Electricity",E369*SUMIFS(Electricity!S:S,Electricity!P:P,Predev_Scenarios!B369,Electricity!M:M,Predev_Scenarios!A369,Electricity!O:O,Predev_Scenarios!D369),"")</f>
        <v/>
      </c>
      <c r="I369" s="12">
        <f>IFERROR(INDEX(Assumptions!C$112:C$113,MATCH(LEFT($D369,2),Assumptions!$B$112:$B$113,0)),0)</f>
        <v>-150</v>
      </c>
      <c r="J369" s="12">
        <f>IFERROR(INDEX(Assumptions!D$112:D$113,MATCH(LEFT($D369,2),Assumptions!$B$112:$B$113,0)),0)</f>
        <v>-132.51</v>
      </c>
      <c r="K369" s="12">
        <f>IFERROR(INDEX(Assumptions!E$112:E$113,MATCH(LEFT($D369,2),Assumptions!$B$112:$B$113,0)),0)</f>
        <v>-328.81697478991583</v>
      </c>
      <c r="L369" s="63">
        <f t="shared" si="13"/>
        <v>2.2769375999999997</v>
      </c>
      <c r="M369" s="63">
        <f t="shared" si="14"/>
        <v>2.0114466758399994</v>
      </c>
      <c r="N369" s="63">
        <f t="shared" si="15"/>
        <v>4.9913048894494088</v>
      </c>
      <c r="O369" s="30">
        <f>IF(OR(LEFT($D369,5)="Solar",$D369="Wind"),INDEX(Land_Use[AVG],MATCH(LEFT($D369,5),Land_Use[Tech],0)),0)*$E369</f>
        <v>0</v>
      </c>
      <c r="P369" s="30">
        <f>IF(OR(LEFT($D369,5)="Solar",$D369="Wind"),INDEX(Land_Use[MIN],MATCH(LEFT($D369,5),Land_Use[Tech],0)),0)*$E369</f>
        <v>0</v>
      </c>
      <c r="Q369" s="30">
        <f>IF(OR(LEFT($D369,5)="Solar",$D369="Wind"),INDEX(Land_Use[MAX],MATCH(LEFT($D369,5),Land_Use[Tech],0)),0)*$E369</f>
        <v>0</v>
      </c>
      <c r="R369" s="31">
        <f>IFERROR(INDEX(WaterUseH2[Average Direct Water Consumption (Gal/ kg h2)],MATCH(LEFT(D369,3),WaterUseH2[Key],0)),0)</f>
        <v>0</v>
      </c>
      <c r="S369" s="15">
        <f t="shared" si="16"/>
        <v>0</v>
      </c>
    </row>
    <row r="370" spans="1:19" x14ac:dyDescent="0.35">
      <c r="A370" t="s">
        <v>107</v>
      </c>
      <c r="B370">
        <v>2035</v>
      </c>
      <c r="C370" t="s">
        <v>87</v>
      </c>
      <c r="D370" t="s">
        <v>88</v>
      </c>
      <c r="E370" s="13">
        <f>SUMIFS(Biogas!$U:$U,Biogas!$O:$O,Predev_Scenarios!A370,Biogas!$S:$S,Predev_Scenarios!B370,Biogas!$P:$P,Predev_Scenarios!D370)</f>
        <v>13887.999999999996</v>
      </c>
      <c r="F370" t="s">
        <v>89</v>
      </c>
      <c r="G370">
        <f>SUMIFS(Biogas!$T:$T,Biogas!$O:$O,Predev_Scenarios!A370,Biogas!$S:$S,Predev_Scenarios!B370,Biogas!$P:$P,Predev_Scenarios!D370)</f>
        <v>1.5179583999999998E-2</v>
      </c>
      <c r="H370" s="13" t="str">
        <f>IF(C370="Electricity",E370*SUMIFS(Electricity!S:S,Electricity!P:P,Predev_Scenarios!B370,Electricity!M:M,Predev_Scenarios!A370,Electricity!O:O,Predev_Scenarios!D370),"")</f>
        <v/>
      </c>
      <c r="I370" s="12">
        <f>IFERROR(INDEX(Assumptions!C$112:C$113,MATCH(LEFT($D370,2),Assumptions!$B$112:$B$113,0)),0)</f>
        <v>-150</v>
      </c>
      <c r="J370" s="12">
        <f>IFERROR(INDEX(Assumptions!D$112:D$113,MATCH(LEFT($D370,2),Assumptions!$B$112:$B$113,0)),0)</f>
        <v>-132.51</v>
      </c>
      <c r="K370" s="12">
        <f>IFERROR(INDEX(Assumptions!E$112:E$113,MATCH(LEFT($D370,2),Assumptions!$B$112:$B$113,0)),0)</f>
        <v>-328.81697478991583</v>
      </c>
      <c r="L370" s="63">
        <f t="shared" si="13"/>
        <v>2.2769375999999997</v>
      </c>
      <c r="M370" s="63">
        <f t="shared" si="14"/>
        <v>2.0114466758399994</v>
      </c>
      <c r="N370" s="63">
        <f t="shared" si="15"/>
        <v>4.9913048894494088</v>
      </c>
      <c r="O370" s="30">
        <f>IF(OR(LEFT($D370,5)="Solar",$D370="Wind"),INDEX(Land_Use[AVG],MATCH(LEFT($D370,5),Land_Use[Tech],0)),0)*$E370</f>
        <v>0</v>
      </c>
      <c r="P370" s="30">
        <f>IF(OR(LEFT($D370,5)="Solar",$D370="Wind"),INDEX(Land_Use[MIN],MATCH(LEFT($D370,5),Land_Use[Tech],0)),0)*$E370</f>
        <v>0</v>
      </c>
      <c r="Q370" s="30">
        <f>IF(OR(LEFT($D370,5)="Solar",$D370="Wind"),INDEX(Land_Use[MAX],MATCH(LEFT($D370,5),Land_Use[Tech],0)),0)*$E370</f>
        <v>0</v>
      </c>
      <c r="R370" s="31">
        <f>IFERROR(INDEX(WaterUseH2[Average Direct Water Consumption (Gal/ kg h2)],MATCH(LEFT(D370,3),WaterUseH2[Key],0)),0)</f>
        <v>0</v>
      </c>
      <c r="S370" s="15">
        <f t="shared" si="16"/>
        <v>0</v>
      </c>
    </row>
    <row r="371" spans="1:19" x14ac:dyDescent="0.35">
      <c r="A371" t="s">
        <v>107</v>
      </c>
      <c r="B371">
        <v>2036</v>
      </c>
      <c r="C371" t="s">
        <v>87</v>
      </c>
      <c r="D371" t="s">
        <v>88</v>
      </c>
      <c r="E371" s="13">
        <f>SUMIFS(Biogas!$U:$U,Biogas!$O:$O,Predev_Scenarios!A371,Biogas!$S:$S,Predev_Scenarios!B371,Biogas!$P:$P,Predev_Scenarios!D371)</f>
        <v>13887.999999999996</v>
      </c>
      <c r="F371" t="s">
        <v>89</v>
      </c>
      <c r="G371">
        <f>SUMIFS(Biogas!$T:$T,Biogas!$O:$O,Predev_Scenarios!A371,Biogas!$S:$S,Predev_Scenarios!B371,Biogas!$P:$P,Predev_Scenarios!D371)</f>
        <v>1.5179583999999998E-2</v>
      </c>
      <c r="H371" s="13" t="str">
        <f>IF(C371="Electricity",E371*SUMIFS(Electricity!S:S,Electricity!P:P,Predev_Scenarios!B371,Electricity!M:M,Predev_Scenarios!A371,Electricity!O:O,Predev_Scenarios!D371),"")</f>
        <v/>
      </c>
      <c r="I371" s="12">
        <f>IFERROR(INDEX(Assumptions!C$112:C$113,MATCH(LEFT($D371,2),Assumptions!$B$112:$B$113,0)),0)</f>
        <v>-150</v>
      </c>
      <c r="J371" s="12">
        <f>IFERROR(INDEX(Assumptions!D$112:D$113,MATCH(LEFT($D371,2),Assumptions!$B$112:$B$113,0)),0)</f>
        <v>-132.51</v>
      </c>
      <c r="K371" s="12">
        <f>IFERROR(INDEX(Assumptions!E$112:E$113,MATCH(LEFT($D371,2),Assumptions!$B$112:$B$113,0)),0)</f>
        <v>-328.81697478991583</v>
      </c>
      <c r="L371" s="63">
        <f t="shared" si="13"/>
        <v>2.2769375999999997</v>
      </c>
      <c r="M371" s="63">
        <f t="shared" si="14"/>
        <v>2.0114466758399994</v>
      </c>
      <c r="N371" s="63">
        <f t="shared" si="15"/>
        <v>4.9913048894494088</v>
      </c>
      <c r="O371" s="30">
        <f>IF(OR(LEFT($D371,5)="Solar",$D371="Wind"),INDEX(Land_Use[AVG],MATCH(LEFT($D371,5),Land_Use[Tech],0)),0)*$E371</f>
        <v>0</v>
      </c>
      <c r="P371" s="30">
        <f>IF(OR(LEFT($D371,5)="Solar",$D371="Wind"),INDEX(Land_Use[MIN],MATCH(LEFT($D371,5),Land_Use[Tech],0)),0)*$E371</f>
        <v>0</v>
      </c>
      <c r="Q371" s="30">
        <f>IF(OR(LEFT($D371,5)="Solar",$D371="Wind"),INDEX(Land_Use[MAX],MATCH(LEFT($D371,5),Land_Use[Tech],0)),0)*$E371</f>
        <v>0</v>
      </c>
      <c r="R371" s="31">
        <f>IFERROR(INDEX(WaterUseH2[Average Direct Water Consumption (Gal/ kg h2)],MATCH(LEFT(D371,3),WaterUseH2[Key],0)),0)</f>
        <v>0</v>
      </c>
      <c r="S371" s="15">
        <f t="shared" si="16"/>
        <v>0</v>
      </c>
    </row>
    <row r="372" spans="1:19" x14ac:dyDescent="0.35">
      <c r="A372" t="s">
        <v>107</v>
      </c>
      <c r="B372">
        <v>2037</v>
      </c>
      <c r="C372" t="s">
        <v>87</v>
      </c>
      <c r="D372" t="s">
        <v>88</v>
      </c>
      <c r="E372" s="13">
        <f>SUMIFS(Biogas!$U:$U,Biogas!$O:$O,Predev_Scenarios!A372,Biogas!$S:$S,Predev_Scenarios!B372,Biogas!$P:$P,Predev_Scenarios!D372)</f>
        <v>13887.999999999996</v>
      </c>
      <c r="F372" t="s">
        <v>89</v>
      </c>
      <c r="G372">
        <f>SUMIFS(Biogas!$T:$T,Biogas!$O:$O,Predev_Scenarios!A372,Biogas!$S:$S,Predev_Scenarios!B372,Biogas!$P:$P,Predev_Scenarios!D372)</f>
        <v>1.5179583999999998E-2</v>
      </c>
      <c r="H372" s="13" t="str">
        <f>IF(C372="Electricity",E372*SUMIFS(Electricity!S:S,Electricity!P:P,Predev_Scenarios!B372,Electricity!M:M,Predev_Scenarios!A372,Electricity!O:O,Predev_Scenarios!D372),"")</f>
        <v/>
      </c>
      <c r="I372" s="12">
        <f>IFERROR(INDEX(Assumptions!C$112:C$113,MATCH(LEFT($D372,2),Assumptions!$B$112:$B$113,0)),0)</f>
        <v>-150</v>
      </c>
      <c r="J372" s="12">
        <f>IFERROR(INDEX(Assumptions!D$112:D$113,MATCH(LEFT($D372,2),Assumptions!$B$112:$B$113,0)),0)</f>
        <v>-132.51</v>
      </c>
      <c r="K372" s="12">
        <f>IFERROR(INDEX(Assumptions!E$112:E$113,MATCH(LEFT($D372,2),Assumptions!$B$112:$B$113,0)),0)</f>
        <v>-328.81697478991583</v>
      </c>
      <c r="L372" s="63">
        <f t="shared" si="13"/>
        <v>2.2769375999999997</v>
      </c>
      <c r="M372" s="63">
        <f t="shared" si="14"/>
        <v>2.0114466758399994</v>
      </c>
      <c r="N372" s="63">
        <f t="shared" si="15"/>
        <v>4.9913048894494088</v>
      </c>
      <c r="O372" s="30">
        <f>IF(OR(LEFT($D372,5)="Solar",$D372="Wind"),INDEX(Land_Use[AVG],MATCH(LEFT($D372,5),Land_Use[Tech],0)),0)*$E372</f>
        <v>0</v>
      </c>
      <c r="P372" s="30">
        <f>IF(OR(LEFT($D372,5)="Solar",$D372="Wind"),INDEX(Land_Use[MIN],MATCH(LEFT($D372,5),Land_Use[Tech],0)),0)*$E372</f>
        <v>0</v>
      </c>
      <c r="Q372" s="30">
        <f>IF(OR(LEFT($D372,5)="Solar",$D372="Wind"),INDEX(Land_Use[MAX],MATCH(LEFT($D372,5),Land_Use[Tech],0)),0)*$E372</f>
        <v>0</v>
      </c>
      <c r="R372" s="31">
        <f>IFERROR(INDEX(WaterUseH2[Average Direct Water Consumption (Gal/ kg h2)],MATCH(LEFT(D372,3),WaterUseH2[Key],0)),0)</f>
        <v>0</v>
      </c>
      <c r="S372" s="15">
        <f t="shared" si="16"/>
        <v>0</v>
      </c>
    </row>
    <row r="373" spans="1:19" x14ac:dyDescent="0.35">
      <c r="A373" t="s">
        <v>107</v>
      </c>
      <c r="B373">
        <v>2038</v>
      </c>
      <c r="C373" t="s">
        <v>87</v>
      </c>
      <c r="D373" t="s">
        <v>88</v>
      </c>
      <c r="E373" s="13">
        <f>SUMIFS(Biogas!$U:$U,Biogas!$O:$O,Predev_Scenarios!A373,Biogas!$S:$S,Predev_Scenarios!B373,Biogas!$P:$P,Predev_Scenarios!D373)</f>
        <v>13887.999999999996</v>
      </c>
      <c r="F373" t="s">
        <v>89</v>
      </c>
      <c r="G373">
        <f>SUMIFS(Biogas!$T:$T,Biogas!$O:$O,Predev_Scenarios!A373,Biogas!$S:$S,Predev_Scenarios!B373,Biogas!$P:$P,Predev_Scenarios!D373)</f>
        <v>1.5179583999999998E-2</v>
      </c>
      <c r="H373" s="13" t="str">
        <f>IF(C373="Electricity",E373*SUMIFS(Electricity!S:S,Electricity!P:P,Predev_Scenarios!B373,Electricity!M:M,Predev_Scenarios!A373,Electricity!O:O,Predev_Scenarios!D373),"")</f>
        <v/>
      </c>
      <c r="I373" s="12">
        <f>IFERROR(INDEX(Assumptions!C$112:C$113,MATCH(LEFT($D373,2),Assumptions!$B$112:$B$113,0)),0)</f>
        <v>-150</v>
      </c>
      <c r="J373" s="12">
        <f>IFERROR(INDEX(Assumptions!D$112:D$113,MATCH(LEFT($D373,2),Assumptions!$B$112:$B$113,0)),0)</f>
        <v>-132.51</v>
      </c>
      <c r="K373" s="12">
        <f>IFERROR(INDEX(Assumptions!E$112:E$113,MATCH(LEFT($D373,2),Assumptions!$B$112:$B$113,0)),0)</f>
        <v>-328.81697478991583</v>
      </c>
      <c r="L373" s="63">
        <f t="shared" si="13"/>
        <v>2.2769375999999997</v>
      </c>
      <c r="M373" s="63">
        <f t="shared" si="14"/>
        <v>2.0114466758399994</v>
      </c>
      <c r="N373" s="63">
        <f t="shared" si="15"/>
        <v>4.9913048894494088</v>
      </c>
      <c r="O373" s="30">
        <f>IF(OR(LEFT($D373,5)="Solar",$D373="Wind"),INDEX(Land_Use[AVG],MATCH(LEFT($D373,5),Land_Use[Tech],0)),0)*$E373</f>
        <v>0</v>
      </c>
      <c r="P373" s="30">
        <f>IF(OR(LEFT($D373,5)="Solar",$D373="Wind"),INDEX(Land_Use[MIN],MATCH(LEFT($D373,5),Land_Use[Tech],0)),0)*$E373</f>
        <v>0</v>
      </c>
      <c r="Q373" s="30">
        <f>IF(OR(LEFT($D373,5)="Solar",$D373="Wind"),INDEX(Land_Use[MAX],MATCH(LEFT($D373,5),Land_Use[Tech],0)),0)*$E373</f>
        <v>0</v>
      </c>
      <c r="R373" s="31">
        <f>IFERROR(INDEX(WaterUseH2[Average Direct Water Consumption (Gal/ kg h2)],MATCH(LEFT(D373,3),WaterUseH2[Key],0)),0)</f>
        <v>0</v>
      </c>
      <c r="S373" s="15">
        <f t="shared" si="16"/>
        <v>0</v>
      </c>
    </row>
    <row r="374" spans="1:19" x14ac:dyDescent="0.35">
      <c r="A374" t="s">
        <v>107</v>
      </c>
      <c r="B374">
        <v>2039</v>
      </c>
      <c r="C374" t="s">
        <v>87</v>
      </c>
      <c r="D374" t="s">
        <v>88</v>
      </c>
      <c r="E374" s="13">
        <f>SUMIFS(Biogas!$U:$U,Biogas!$O:$O,Predev_Scenarios!A374,Biogas!$S:$S,Predev_Scenarios!B374,Biogas!$P:$P,Predev_Scenarios!D374)</f>
        <v>13887.999999999996</v>
      </c>
      <c r="F374" t="s">
        <v>89</v>
      </c>
      <c r="G374">
        <f>SUMIFS(Biogas!$T:$T,Biogas!$O:$O,Predev_Scenarios!A374,Biogas!$S:$S,Predev_Scenarios!B374,Biogas!$P:$P,Predev_Scenarios!D374)</f>
        <v>1.5179583999999998E-2</v>
      </c>
      <c r="H374" s="13" t="str">
        <f>IF(C374="Electricity",E374*SUMIFS(Electricity!S:S,Electricity!P:P,Predev_Scenarios!B374,Electricity!M:M,Predev_Scenarios!A374,Electricity!O:O,Predev_Scenarios!D374),"")</f>
        <v/>
      </c>
      <c r="I374" s="12">
        <f>IFERROR(INDEX(Assumptions!C$112:C$113,MATCH(LEFT($D374,2),Assumptions!$B$112:$B$113,0)),0)</f>
        <v>-150</v>
      </c>
      <c r="J374" s="12">
        <f>IFERROR(INDEX(Assumptions!D$112:D$113,MATCH(LEFT($D374,2),Assumptions!$B$112:$B$113,0)),0)</f>
        <v>-132.51</v>
      </c>
      <c r="K374" s="12">
        <f>IFERROR(INDEX(Assumptions!E$112:E$113,MATCH(LEFT($D374,2),Assumptions!$B$112:$B$113,0)),0)</f>
        <v>-328.81697478991583</v>
      </c>
      <c r="L374" s="63">
        <f t="shared" si="13"/>
        <v>2.2769375999999997</v>
      </c>
      <c r="M374" s="63">
        <f t="shared" si="14"/>
        <v>2.0114466758399994</v>
      </c>
      <c r="N374" s="63">
        <f t="shared" si="15"/>
        <v>4.9913048894494088</v>
      </c>
      <c r="O374" s="30">
        <f>IF(OR(LEFT($D374,5)="Solar",$D374="Wind"),INDEX(Land_Use[AVG],MATCH(LEFT($D374,5),Land_Use[Tech],0)),0)*$E374</f>
        <v>0</v>
      </c>
      <c r="P374" s="30">
        <f>IF(OR(LEFT($D374,5)="Solar",$D374="Wind"),INDEX(Land_Use[MIN],MATCH(LEFT($D374,5),Land_Use[Tech],0)),0)*$E374</f>
        <v>0</v>
      </c>
      <c r="Q374" s="30">
        <f>IF(OR(LEFT($D374,5)="Solar",$D374="Wind"),INDEX(Land_Use[MAX],MATCH(LEFT($D374,5),Land_Use[Tech],0)),0)*$E374</f>
        <v>0</v>
      </c>
      <c r="R374" s="31">
        <f>IFERROR(INDEX(WaterUseH2[Average Direct Water Consumption (Gal/ kg h2)],MATCH(LEFT(D374,3),WaterUseH2[Key],0)),0)</f>
        <v>0</v>
      </c>
      <c r="S374" s="15">
        <f t="shared" si="16"/>
        <v>0</v>
      </c>
    </row>
    <row r="375" spans="1:19" x14ac:dyDescent="0.35">
      <c r="A375" t="s">
        <v>107</v>
      </c>
      <c r="B375">
        <v>2040</v>
      </c>
      <c r="C375" t="s">
        <v>87</v>
      </c>
      <c r="D375" t="s">
        <v>88</v>
      </c>
      <c r="E375" s="13">
        <f>SUMIFS(Biogas!$U:$U,Biogas!$O:$O,Predev_Scenarios!A375,Biogas!$S:$S,Predev_Scenarios!B375,Biogas!$P:$P,Predev_Scenarios!D375)</f>
        <v>20831.999999999996</v>
      </c>
      <c r="F375" t="s">
        <v>89</v>
      </c>
      <c r="G375">
        <f>SUMIFS(Biogas!$T:$T,Biogas!$O:$O,Predev_Scenarios!A375,Biogas!$S:$S,Predev_Scenarios!B375,Biogas!$P:$P,Predev_Scenarios!D375)</f>
        <v>2.2769375999999997E-2</v>
      </c>
      <c r="H375" s="13" t="str">
        <f>IF(C375="Electricity",E375*SUMIFS(Electricity!S:S,Electricity!P:P,Predev_Scenarios!B375,Electricity!M:M,Predev_Scenarios!A375,Electricity!O:O,Predev_Scenarios!D375),"")</f>
        <v/>
      </c>
      <c r="I375" s="12">
        <f>IFERROR(INDEX(Assumptions!C$112:C$113,MATCH(LEFT($D375,2),Assumptions!$B$112:$B$113,0)),0)</f>
        <v>-150</v>
      </c>
      <c r="J375" s="12">
        <f>IFERROR(INDEX(Assumptions!D$112:D$113,MATCH(LEFT($D375,2),Assumptions!$B$112:$B$113,0)),0)</f>
        <v>-132.51</v>
      </c>
      <c r="K375" s="12">
        <f>IFERROR(INDEX(Assumptions!E$112:E$113,MATCH(LEFT($D375,2),Assumptions!$B$112:$B$113,0)),0)</f>
        <v>-328.81697478991583</v>
      </c>
      <c r="L375" s="63">
        <f t="shared" si="13"/>
        <v>3.4154063999999997</v>
      </c>
      <c r="M375" s="63">
        <f t="shared" si="14"/>
        <v>3.0171700137599995</v>
      </c>
      <c r="N375" s="63">
        <f t="shared" si="15"/>
        <v>7.4869573341741136</v>
      </c>
      <c r="O375" s="30">
        <f>IF(OR(LEFT($D375,5)="Solar",$D375="Wind"),INDEX(Land_Use[AVG],MATCH(LEFT($D375,5),Land_Use[Tech],0)),0)*$E375</f>
        <v>0</v>
      </c>
      <c r="P375" s="30">
        <f>IF(OR(LEFT($D375,5)="Solar",$D375="Wind"),INDEX(Land_Use[MIN],MATCH(LEFT($D375,5),Land_Use[Tech],0)),0)*$E375</f>
        <v>0</v>
      </c>
      <c r="Q375" s="30">
        <f>IF(OR(LEFT($D375,5)="Solar",$D375="Wind"),INDEX(Land_Use[MAX],MATCH(LEFT($D375,5),Land_Use[Tech],0)),0)*$E375</f>
        <v>0</v>
      </c>
      <c r="R375" s="31">
        <f>IFERROR(INDEX(WaterUseH2[Average Direct Water Consumption (Gal/ kg h2)],MATCH(LEFT(D375,3),WaterUseH2[Key],0)),0)</f>
        <v>0</v>
      </c>
      <c r="S375" s="15">
        <f t="shared" si="16"/>
        <v>0</v>
      </c>
    </row>
    <row r="376" spans="1:19" x14ac:dyDescent="0.35">
      <c r="A376" t="s">
        <v>107</v>
      </c>
      <c r="B376">
        <v>2041</v>
      </c>
      <c r="C376" t="s">
        <v>87</v>
      </c>
      <c r="D376" t="s">
        <v>88</v>
      </c>
      <c r="E376" s="13">
        <f>SUMIFS(Biogas!$U:$U,Biogas!$O:$O,Predev_Scenarios!A376,Biogas!$S:$S,Predev_Scenarios!B376,Biogas!$P:$P,Predev_Scenarios!D376)</f>
        <v>20831.999999999996</v>
      </c>
      <c r="F376" t="s">
        <v>89</v>
      </c>
      <c r="G376">
        <f>SUMIFS(Biogas!$T:$T,Biogas!$O:$O,Predev_Scenarios!A376,Biogas!$S:$S,Predev_Scenarios!B376,Biogas!$P:$P,Predev_Scenarios!D376)</f>
        <v>2.2769375999999997E-2</v>
      </c>
      <c r="H376" s="13" t="str">
        <f>IF(C376="Electricity",E376*SUMIFS(Electricity!S:S,Electricity!P:P,Predev_Scenarios!B376,Electricity!M:M,Predev_Scenarios!A376,Electricity!O:O,Predev_Scenarios!D376),"")</f>
        <v/>
      </c>
      <c r="I376" s="12">
        <f>IFERROR(INDEX(Assumptions!C$112:C$113,MATCH(LEFT($D376,2),Assumptions!$B$112:$B$113,0)),0)</f>
        <v>-150</v>
      </c>
      <c r="J376" s="12">
        <f>IFERROR(INDEX(Assumptions!D$112:D$113,MATCH(LEFT($D376,2),Assumptions!$B$112:$B$113,0)),0)</f>
        <v>-132.51</v>
      </c>
      <c r="K376" s="12">
        <f>IFERROR(INDEX(Assumptions!E$112:E$113,MATCH(LEFT($D376,2),Assumptions!$B$112:$B$113,0)),0)</f>
        <v>-328.81697478991583</v>
      </c>
      <c r="L376" s="63">
        <f t="shared" si="13"/>
        <v>3.4154063999999997</v>
      </c>
      <c r="M376" s="63">
        <f t="shared" si="14"/>
        <v>3.0171700137599995</v>
      </c>
      <c r="N376" s="63">
        <f t="shared" si="15"/>
        <v>7.4869573341741136</v>
      </c>
      <c r="O376" s="30">
        <f>IF(OR(LEFT($D376,5)="Solar",$D376="Wind"),INDEX(Land_Use[AVG],MATCH(LEFT($D376,5),Land_Use[Tech],0)),0)*$E376</f>
        <v>0</v>
      </c>
      <c r="P376" s="30">
        <f>IF(OR(LEFT($D376,5)="Solar",$D376="Wind"),INDEX(Land_Use[MIN],MATCH(LEFT($D376,5),Land_Use[Tech],0)),0)*$E376</f>
        <v>0</v>
      </c>
      <c r="Q376" s="30">
        <f>IF(OR(LEFT($D376,5)="Solar",$D376="Wind"),INDEX(Land_Use[MAX],MATCH(LEFT($D376,5),Land_Use[Tech],0)),0)*$E376</f>
        <v>0</v>
      </c>
      <c r="R376" s="31">
        <f>IFERROR(INDEX(WaterUseH2[Average Direct Water Consumption (Gal/ kg h2)],MATCH(LEFT(D376,3),WaterUseH2[Key],0)),0)</f>
        <v>0</v>
      </c>
      <c r="S376" s="15">
        <f t="shared" si="16"/>
        <v>0</v>
      </c>
    </row>
    <row r="377" spans="1:19" x14ac:dyDescent="0.35">
      <c r="A377" t="s">
        <v>107</v>
      </c>
      <c r="B377">
        <v>2042</v>
      </c>
      <c r="C377" t="s">
        <v>87</v>
      </c>
      <c r="D377" t="s">
        <v>88</v>
      </c>
      <c r="E377" s="13">
        <f>SUMIFS(Biogas!$U:$U,Biogas!$O:$O,Predev_Scenarios!A377,Biogas!$S:$S,Predev_Scenarios!B377,Biogas!$P:$P,Predev_Scenarios!D377)</f>
        <v>20831.999999999996</v>
      </c>
      <c r="F377" t="s">
        <v>89</v>
      </c>
      <c r="G377">
        <f>SUMIFS(Biogas!$T:$T,Biogas!$O:$O,Predev_Scenarios!A377,Biogas!$S:$S,Predev_Scenarios!B377,Biogas!$P:$P,Predev_Scenarios!D377)</f>
        <v>2.2769375999999997E-2</v>
      </c>
      <c r="H377" s="13" t="str">
        <f>IF(C377="Electricity",E377*SUMIFS(Electricity!S:S,Electricity!P:P,Predev_Scenarios!B377,Electricity!M:M,Predev_Scenarios!A377,Electricity!O:O,Predev_Scenarios!D377),"")</f>
        <v/>
      </c>
      <c r="I377" s="12">
        <f>IFERROR(INDEX(Assumptions!C$112:C$113,MATCH(LEFT($D377,2),Assumptions!$B$112:$B$113,0)),0)</f>
        <v>-150</v>
      </c>
      <c r="J377" s="12">
        <f>IFERROR(INDEX(Assumptions!D$112:D$113,MATCH(LEFT($D377,2),Assumptions!$B$112:$B$113,0)),0)</f>
        <v>-132.51</v>
      </c>
      <c r="K377" s="12">
        <f>IFERROR(INDEX(Assumptions!E$112:E$113,MATCH(LEFT($D377,2),Assumptions!$B$112:$B$113,0)),0)</f>
        <v>-328.81697478991583</v>
      </c>
      <c r="L377" s="63">
        <f t="shared" si="13"/>
        <v>3.4154063999999997</v>
      </c>
      <c r="M377" s="63">
        <f t="shared" si="14"/>
        <v>3.0171700137599995</v>
      </c>
      <c r="N377" s="63">
        <f t="shared" si="15"/>
        <v>7.4869573341741136</v>
      </c>
      <c r="O377" s="30">
        <f>IF(OR(LEFT($D377,5)="Solar",$D377="Wind"),INDEX(Land_Use[AVG],MATCH(LEFT($D377,5),Land_Use[Tech],0)),0)*$E377</f>
        <v>0</v>
      </c>
      <c r="P377" s="30">
        <f>IF(OR(LEFT($D377,5)="Solar",$D377="Wind"),INDEX(Land_Use[MIN],MATCH(LEFT($D377,5),Land_Use[Tech],0)),0)*$E377</f>
        <v>0</v>
      </c>
      <c r="Q377" s="30">
        <f>IF(OR(LEFT($D377,5)="Solar",$D377="Wind"),INDEX(Land_Use[MAX],MATCH(LEFT($D377,5),Land_Use[Tech],0)),0)*$E377</f>
        <v>0</v>
      </c>
      <c r="R377" s="31">
        <f>IFERROR(INDEX(WaterUseH2[Average Direct Water Consumption (Gal/ kg h2)],MATCH(LEFT(D377,3),WaterUseH2[Key],0)),0)</f>
        <v>0</v>
      </c>
      <c r="S377" s="15">
        <f t="shared" si="16"/>
        <v>0</v>
      </c>
    </row>
    <row r="378" spans="1:19" x14ac:dyDescent="0.35">
      <c r="A378" t="s">
        <v>107</v>
      </c>
      <c r="B378">
        <v>2043</v>
      </c>
      <c r="C378" t="s">
        <v>87</v>
      </c>
      <c r="D378" t="s">
        <v>88</v>
      </c>
      <c r="E378" s="13">
        <f>SUMIFS(Biogas!$U:$U,Biogas!$O:$O,Predev_Scenarios!A378,Biogas!$S:$S,Predev_Scenarios!B378,Biogas!$P:$P,Predev_Scenarios!D378)</f>
        <v>20831.999999999996</v>
      </c>
      <c r="F378" t="s">
        <v>89</v>
      </c>
      <c r="G378">
        <f>SUMIFS(Biogas!$T:$T,Biogas!$O:$O,Predev_Scenarios!A378,Biogas!$S:$S,Predev_Scenarios!B378,Biogas!$P:$P,Predev_Scenarios!D378)</f>
        <v>2.2769375999999997E-2</v>
      </c>
      <c r="H378" s="13" t="str">
        <f>IF(C378="Electricity",E378*SUMIFS(Electricity!S:S,Electricity!P:P,Predev_Scenarios!B378,Electricity!M:M,Predev_Scenarios!A378,Electricity!O:O,Predev_Scenarios!D378),"")</f>
        <v/>
      </c>
      <c r="I378" s="12">
        <f>IFERROR(INDEX(Assumptions!C$112:C$113,MATCH(LEFT($D378,2),Assumptions!$B$112:$B$113,0)),0)</f>
        <v>-150</v>
      </c>
      <c r="J378" s="12">
        <f>IFERROR(INDEX(Assumptions!D$112:D$113,MATCH(LEFT($D378,2),Assumptions!$B$112:$B$113,0)),0)</f>
        <v>-132.51</v>
      </c>
      <c r="K378" s="12">
        <f>IFERROR(INDEX(Assumptions!E$112:E$113,MATCH(LEFT($D378,2),Assumptions!$B$112:$B$113,0)),0)</f>
        <v>-328.81697478991583</v>
      </c>
      <c r="L378" s="63">
        <f t="shared" si="13"/>
        <v>3.4154063999999997</v>
      </c>
      <c r="M378" s="63">
        <f t="shared" si="14"/>
        <v>3.0171700137599995</v>
      </c>
      <c r="N378" s="63">
        <f t="shared" si="15"/>
        <v>7.4869573341741136</v>
      </c>
      <c r="O378" s="30">
        <f>IF(OR(LEFT($D378,5)="Solar",$D378="Wind"),INDEX(Land_Use[AVG],MATCH(LEFT($D378,5),Land_Use[Tech],0)),0)*$E378</f>
        <v>0</v>
      </c>
      <c r="P378" s="30">
        <f>IF(OR(LEFT($D378,5)="Solar",$D378="Wind"),INDEX(Land_Use[MIN],MATCH(LEFT($D378,5),Land_Use[Tech],0)),0)*$E378</f>
        <v>0</v>
      </c>
      <c r="Q378" s="30">
        <f>IF(OR(LEFT($D378,5)="Solar",$D378="Wind"),INDEX(Land_Use[MAX],MATCH(LEFT($D378,5),Land_Use[Tech],0)),0)*$E378</f>
        <v>0</v>
      </c>
      <c r="R378" s="31">
        <f>IFERROR(INDEX(WaterUseH2[Average Direct Water Consumption (Gal/ kg h2)],MATCH(LEFT(D378,3),WaterUseH2[Key],0)),0)</f>
        <v>0</v>
      </c>
      <c r="S378" s="15">
        <f t="shared" si="16"/>
        <v>0</v>
      </c>
    </row>
    <row r="379" spans="1:19" x14ac:dyDescent="0.35">
      <c r="A379" t="s">
        <v>107</v>
      </c>
      <c r="B379">
        <v>2044</v>
      </c>
      <c r="C379" t="s">
        <v>87</v>
      </c>
      <c r="D379" t="s">
        <v>88</v>
      </c>
      <c r="E379" s="13">
        <f>SUMIFS(Biogas!$U:$U,Biogas!$O:$O,Predev_Scenarios!A379,Biogas!$S:$S,Predev_Scenarios!B379,Biogas!$P:$P,Predev_Scenarios!D379)</f>
        <v>20831.999999999996</v>
      </c>
      <c r="F379" t="s">
        <v>89</v>
      </c>
      <c r="G379">
        <f>SUMIFS(Biogas!$T:$T,Biogas!$O:$O,Predev_Scenarios!A379,Biogas!$S:$S,Predev_Scenarios!B379,Biogas!$P:$P,Predev_Scenarios!D379)</f>
        <v>2.2769375999999997E-2</v>
      </c>
      <c r="H379" s="13" t="str">
        <f>IF(C379="Electricity",E379*SUMIFS(Electricity!S:S,Electricity!P:P,Predev_Scenarios!B379,Electricity!M:M,Predev_Scenarios!A379,Electricity!O:O,Predev_Scenarios!D379),"")</f>
        <v/>
      </c>
      <c r="I379" s="12">
        <f>IFERROR(INDEX(Assumptions!C$112:C$113,MATCH(LEFT($D379,2),Assumptions!$B$112:$B$113,0)),0)</f>
        <v>-150</v>
      </c>
      <c r="J379" s="12">
        <f>IFERROR(INDEX(Assumptions!D$112:D$113,MATCH(LEFT($D379,2),Assumptions!$B$112:$B$113,0)),0)</f>
        <v>-132.51</v>
      </c>
      <c r="K379" s="12">
        <f>IFERROR(INDEX(Assumptions!E$112:E$113,MATCH(LEFT($D379,2),Assumptions!$B$112:$B$113,0)),0)</f>
        <v>-328.81697478991583</v>
      </c>
      <c r="L379" s="63">
        <f t="shared" si="13"/>
        <v>3.4154063999999997</v>
      </c>
      <c r="M379" s="63">
        <f t="shared" si="14"/>
        <v>3.0171700137599995</v>
      </c>
      <c r="N379" s="63">
        <f t="shared" si="15"/>
        <v>7.4869573341741136</v>
      </c>
      <c r="O379" s="30">
        <f>IF(OR(LEFT($D379,5)="Solar",$D379="Wind"),INDEX(Land_Use[AVG],MATCH(LEFT($D379,5),Land_Use[Tech],0)),0)*$E379</f>
        <v>0</v>
      </c>
      <c r="P379" s="30">
        <f>IF(OR(LEFT($D379,5)="Solar",$D379="Wind"),INDEX(Land_Use[MIN],MATCH(LEFT($D379,5),Land_Use[Tech],0)),0)*$E379</f>
        <v>0</v>
      </c>
      <c r="Q379" s="30">
        <f>IF(OR(LEFT($D379,5)="Solar",$D379="Wind"),INDEX(Land_Use[MAX],MATCH(LEFT($D379,5),Land_Use[Tech],0)),0)*$E379</f>
        <v>0</v>
      </c>
      <c r="R379" s="31">
        <f>IFERROR(INDEX(WaterUseH2[Average Direct Water Consumption (Gal/ kg h2)],MATCH(LEFT(D379,3),WaterUseH2[Key],0)),0)</f>
        <v>0</v>
      </c>
      <c r="S379" s="15">
        <f t="shared" si="16"/>
        <v>0</v>
      </c>
    </row>
    <row r="380" spans="1:19" x14ac:dyDescent="0.35">
      <c r="A380" t="s">
        <v>107</v>
      </c>
      <c r="B380">
        <v>2045</v>
      </c>
      <c r="C380" t="s">
        <v>87</v>
      </c>
      <c r="D380" t="s">
        <v>88</v>
      </c>
      <c r="E380" s="13">
        <f>SUMIFS(Biogas!$U:$U,Biogas!$O:$O,Predev_Scenarios!A380,Biogas!$S:$S,Predev_Scenarios!B380,Biogas!$P:$P,Predev_Scenarios!D380)</f>
        <v>20831.999999999996</v>
      </c>
      <c r="F380" t="s">
        <v>89</v>
      </c>
      <c r="G380">
        <f>SUMIFS(Biogas!$T:$T,Biogas!$O:$O,Predev_Scenarios!A380,Biogas!$S:$S,Predev_Scenarios!B380,Biogas!$P:$P,Predev_Scenarios!D380)</f>
        <v>2.2769375999999997E-2</v>
      </c>
      <c r="H380" s="13" t="str">
        <f>IF(C380="Electricity",E380*SUMIFS(Electricity!S:S,Electricity!P:P,Predev_Scenarios!B380,Electricity!M:M,Predev_Scenarios!A380,Electricity!O:O,Predev_Scenarios!D380),"")</f>
        <v/>
      </c>
      <c r="I380" s="12">
        <f>IFERROR(INDEX(Assumptions!C$112:C$113,MATCH(LEFT($D380,2),Assumptions!$B$112:$B$113,0)),0)</f>
        <v>-150</v>
      </c>
      <c r="J380" s="12">
        <f>IFERROR(INDEX(Assumptions!D$112:D$113,MATCH(LEFT($D380,2),Assumptions!$B$112:$B$113,0)),0)</f>
        <v>-132.51</v>
      </c>
      <c r="K380" s="12">
        <f>IFERROR(INDEX(Assumptions!E$112:E$113,MATCH(LEFT($D380,2),Assumptions!$B$112:$B$113,0)),0)</f>
        <v>-328.81697478991583</v>
      </c>
      <c r="L380" s="63">
        <f t="shared" si="13"/>
        <v>3.4154063999999997</v>
      </c>
      <c r="M380" s="63">
        <f t="shared" si="14"/>
        <v>3.0171700137599995</v>
      </c>
      <c r="N380" s="63">
        <f t="shared" si="15"/>
        <v>7.4869573341741136</v>
      </c>
      <c r="O380" s="30">
        <f>IF(OR(LEFT($D380,5)="Solar",$D380="Wind"),INDEX(Land_Use[AVG],MATCH(LEFT($D380,5),Land_Use[Tech],0)),0)*$E380</f>
        <v>0</v>
      </c>
      <c r="P380" s="30">
        <f>IF(OR(LEFT($D380,5)="Solar",$D380="Wind"),INDEX(Land_Use[MIN],MATCH(LEFT($D380,5),Land_Use[Tech],0)),0)*$E380</f>
        <v>0</v>
      </c>
      <c r="Q380" s="30">
        <f>IF(OR(LEFT($D380,5)="Solar",$D380="Wind"),INDEX(Land_Use[MAX],MATCH(LEFT($D380,5),Land_Use[Tech],0)),0)*$E380</f>
        <v>0</v>
      </c>
      <c r="R380" s="31">
        <f>IFERROR(INDEX(WaterUseH2[Average Direct Water Consumption (Gal/ kg h2)],MATCH(LEFT(D380,3),WaterUseH2[Key],0)),0)</f>
        <v>0</v>
      </c>
      <c r="S380" s="15">
        <f t="shared" si="16"/>
        <v>0</v>
      </c>
    </row>
    <row r="381" spans="1:19" x14ac:dyDescent="0.35">
      <c r="A381" t="s">
        <v>76</v>
      </c>
      <c r="B381">
        <v>2025</v>
      </c>
      <c r="C381" t="s">
        <v>87</v>
      </c>
      <c r="D381" t="s">
        <v>91</v>
      </c>
      <c r="E381" s="13">
        <f>SUMIFS(Biogas!$U:$U,Biogas!$O:$O,Predev_Scenarios!A381,Biogas!$S:$S,Predev_Scenarios!B381,Biogas!$P:$P,Predev_Scenarios!D381)</f>
        <v>1543.1111111111111</v>
      </c>
      <c r="F381" t="s">
        <v>89</v>
      </c>
      <c r="G381">
        <f>SUMIFS(Biogas!$T:$T,Biogas!$O:$O,Predev_Scenarios!A381,Biogas!$S:$S,Predev_Scenarios!B381,Biogas!$P:$P,Predev_Scenarios!D381)</f>
        <v>1.6866204444444444E-3</v>
      </c>
      <c r="H381" s="13" t="str">
        <f>IF(C381="Electricity",E381*SUMIFS(Electricity!S:S,Electricity!P:P,Predev_Scenarios!B381,Electricity!M:M,Predev_Scenarios!A381,Electricity!O:O,Predev_Scenarios!D381),"")</f>
        <v/>
      </c>
      <c r="I381" s="12">
        <f>IFERROR(INDEX(Assumptions!C$112:C$113,MATCH(LEFT($D381,2),Assumptions!$B$112:$B$113,0)),0)</f>
        <v>45</v>
      </c>
      <c r="J381" s="12">
        <f>IFERROR(INDEX(Assumptions!D$112:D$113,MATCH(LEFT($D381,2),Assumptions!$B$112:$B$113,0)),0)</f>
        <v>45</v>
      </c>
      <c r="K381" s="12">
        <f>IFERROR(INDEX(Assumptions!E$112:E$113,MATCH(LEFT($D381,2),Assumptions!$B$112:$B$113,0)),0)</f>
        <v>-54.055</v>
      </c>
      <c r="L381" s="63">
        <f t="shared" si="13"/>
        <v>-7.5897919999999994E-2</v>
      </c>
      <c r="M381" s="63">
        <f t="shared" si="14"/>
        <v>-7.5897919999999994E-2</v>
      </c>
      <c r="N381" s="63">
        <f t="shared" si="15"/>
        <v>9.117026812444444E-2</v>
      </c>
      <c r="O381" s="30">
        <f>IF(OR(LEFT($D381,5)="Solar",$D381="Wind"),INDEX(Land_Use[AVG],MATCH(LEFT($D381,5),Land_Use[Tech],0)),0)*$E381</f>
        <v>0</v>
      </c>
      <c r="P381" s="30">
        <f>IF(OR(LEFT($D381,5)="Solar",$D381="Wind"),INDEX(Land_Use[MIN],MATCH(LEFT($D381,5),Land_Use[Tech],0)),0)*$E381</f>
        <v>0</v>
      </c>
      <c r="Q381" s="30">
        <f>IF(OR(LEFT($D381,5)="Solar",$D381="Wind"),INDEX(Land_Use[MAX],MATCH(LEFT($D381,5),Land_Use[Tech],0)),0)*$E381</f>
        <v>0</v>
      </c>
      <c r="R381" s="31">
        <f>IFERROR(INDEX(WaterUseH2[Average Direct Water Consumption (Gal/ kg h2)],MATCH(LEFT(D381,3),WaterUseH2[Key],0)),0)</f>
        <v>0</v>
      </c>
      <c r="S381" s="15">
        <f t="shared" si="16"/>
        <v>0</v>
      </c>
    </row>
    <row r="382" spans="1:19" x14ac:dyDescent="0.35">
      <c r="A382" t="s">
        <v>76</v>
      </c>
      <c r="B382">
        <v>2026</v>
      </c>
      <c r="C382" t="s">
        <v>87</v>
      </c>
      <c r="D382" t="s">
        <v>91</v>
      </c>
      <c r="E382" s="13">
        <f>SUMIFS(Biogas!$U:$U,Biogas!$O:$O,Predev_Scenarios!A382,Biogas!$S:$S,Predev_Scenarios!B382,Biogas!$P:$P,Predev_Scenarios!D382)</f>
        <v>1543.1111111111111</v>
      </c>
      <c r="F382" t="s">
        <v>89</v>
      </c>
      <c r="G382">
        <f>SUMIFS(Biogas!$T:$T,Biogas!$O:$O,Predev_Scenarios!A382,Biogas!$S:$S,Predev_Scenarios!B382,Biogas!$P:$P,Predev_Scenarios!D382)</f>
        <v>1.6866204444444444E-3</v>
      </c>
      <c r="H382" s="13" t="str">
        <f>IF(C382="Electricity",E382*SUMIFS(Electricity!S:S,Electricity!P:P,Predev_Scenarios!B382,Electricity!M:M,Predev_Scenarios!A382,Electricity!O:O,Predev_Scenarios!D382),"")</f>
        <v/>
      </c>
      <c r="I382" s="12">
        <f>IFERROR(INDEX(Assumptions!C$112:C$113,MATCH(LEFT($D382,2),Assumptions!$B$112:$B$113,0)),0)</f>
        <v>45</v>
      </c>
      <c r="J382" s="12">
        <f>IFERROR(INDEX(Assumptions!D$112:D$113,MATCH(LEFT($D382,2),Assumptions!$B$112:$B$113,0)),0)</f>
        <v>45</v>
      </c>
      <c r="K382" s="12">
        <f>IFERROR(INDEX(Assumptions!E$112:E$113,MATCH(LEFT($D382,2),Assumptions!$B$112:$B$113,0)),0)</f>
        <v>-54.055</v>
      </c>
      <c r="L382" s="63">
        <f t="shared" si="13"/>
        <v>-7.5897919999999994E-2</v>
      </c>
      <c r="M382" s="63">
        <f t="shared" si="14"/>
        <v>-7.5897919999999994E-2</v>
      </c>
      <c r="N382" s="63">
        <f t="shared" si="15"/>
        <v>9.117026812444444E-2</v>
      </c>
      <c r="O382" s="30">
        <f>IF(OR(LEFT($D382,5)="Solar",$D382="Wind"),INDEX(Land_Use[AVG],MATCH(LEFT($D382,5),Land_Use[Tech],0)),0)*$E382</f>
        <v>0</v>
      </c>
      <c r="P382" s="30">
        <f>IF(OR(LEFT($D382,5)="Solar",$D382="Wind"),INDEX(Land_Use[MIN],MATCH(LEFT($D382,5),Land_Use[Tech],0)),0)*$E382</f>
        <v>0</v>
      </c>
      <c r="Q382" s="30">
        <f>IF(OR(LEFT($D382,5)="Solar",$D382="Wind"),INDEX(Land_Use[MAX],MATCH(LEFT($D382,5),Land_Use[Tech],0)),0)*$E382</f>
        <v>0</v>
      </c>
      <c r="R382" s="31">
        <f>IFERROR(INDEX(WaterUseH2[Average Direct Water Consumption (Gal/ kg h2)],MATCH(LEFT(D382,3),WaterUseH2[Key],0)),0)</f>
        <v>0</v>
      </c>
      <c r="S382" s="15">
        <f t="shared" si="16"/>
        <v>0</v>
      </c>
    </row>
    <row r="383" spans="1:19" x14ac:dyDescent="0.35">
      <c r="A383" t="s">
        <v>76</v>
      </c>
      <c r="B383">
        <v>2027</v>
      </c>
      <c r="C383" t="s">
        <v>87</v>
      </c>
      <c r="D383" t="s">
        <v>91</v>
      </c>
      <c r="E383" s="13">
        <f>SUMIFS(Biogas!$U:$U,Biogas!$O:$O,Predev_Scenarios!A383,Biogas!$S:$S,Predev_Scenarios!B383,Biogas!$P:$P,Predev_Scenarios!D383)</f>
        <v>1543.1111111111111</v>
      </c>
      <c r="F383" t="s">
        <v>89</v>
      </c>
      <c r="G383">
        <f>SUMIFS(Biogas!$T:$T,Biogas!$O:$O,Predev_Scenarios!A383,Biogas!$S:$S,Predev_Scenarios!B383,Biogas!$P:$P,Predev_Scenarios!D383)</f>
        <v>1.6866204444444444E-3</v>
      </c>
      <c r="H383" s="13" t="str">
        <f>IF(C383="Electricity",E383*SUMIFS(Electricity!S:S,Electricity!P:P,Predev_Scenarios!B383,Electricity!M:M,Predev_Scenarios!A383,Electricity!O:O,Predev_Scenarios!D383),"")</f>
        <v/>
      </c>
      <c r="I383" s="12">
        <f>IFERROR(INDEX(Assumptions!C$112:C$113,MATCH(LEFT($D383,2),Assumptions!$B$112:$B$113,0)),0)</f>
        <v>45</v>
      </c>
      <c r="J383" s="12">
        <f>IFERROR(INDEX(Assumptions!D$112:D$113,MATCH(LEFT($D383,2),Assumptions!$B$112:$B$113,0)),0)</f>
        <v>45</v>
      </c>
      <c r="K383" s="12">
        <f>IFERROR(INDEX(Assumptions!E$112:E$113,MATCH(LEFT($D383,2),Assumptions!$B$112:$B$113,0)),0)</f>
        <v>-54.055</v>
      </c>
      <c r="L383" s="63">
        <f t="shared" si="13"/>
        <v>-7.5897919999999994E-2</v>
      </c>
      <c r="M383" s="63">
        <f t="shared" si="14"/>
        <v>-7.5897919999999994E-2</v>
      </c>
      <c r="N383" s="63">
        <f t="shared" si="15"/>
        <v>9.117026812444444E-2</v>
      </c>
      <c r="O383" s="30">
        <f>IF(OR(LEFT($D383,5)="Solar",$D383="Wind"),INDEX(Land_Use[AVG],MATCH(LEFT($D383,5),Land_Use[Tech],0)),0)*$E383</f>
        <v>0</v>
      </c>
      <c r="P383" s="30">
        <f>IF(OR(LEFT($D383,5)="Solar",$D383="Wind"),INDEX(Land_Use[MIN],MATCH(LEFT($D383,5),Land_Use[Tech],0)),0)*$E383</f>
        <v>0</v>
      </c>
      <c r="Q383" s="30">
        <f>IF(OR(LEFT($D383,5)="Solar",$D383="Wind"),INDEX(Land_Use[MAX],MATCH(LEFT($D383,5),Land_Use[Tech],0)),0)*$E383</f>
        <v>0</v>
      </c>
      <c r="R383" s="31">
        <f>IFERROR(INDEX(WaterUseH2[Average Direct Water Consumption (Gal/ kg h2)],MATCH(LEFT(D383,3),WaterUseH2[Key],0)),0)</f>
        <v>0</v>
      </c>
      <c r="S383" s="15">
        <f t="shared" si="16"/>
        <v>0</v>
      </c>
    </row>
    <row r="384" spans="1:19" x14ac:dyDescent="0.35">
      <c r="A384" t="s">
        <v>76</v>
      </c>
      <c r="B384">
        <v>2028</v>
      </c>
      <c r="C384" t="s">
        <v>87</v>
      </c>
      <c r="D384" t="s">
        <v>91</v>
      </c>
      <c r="E384" s="13">
        <f>SUMIFS(Biogas!$U:$U,Biogas!$O:$O,Predev_Scenarios!A384,Biogas!$S:$S,Predev_Scenarios!B384,Biogas!$P:$P,Predev_Scenarios!D384)</f>
        <v>2314.6666666666665</v>
      </c>
      <c r="F384" t="s">
        <v>89</v>
      </c>
      <c r="G384">
        <f>SUMIFS(Biogas!$T:$T,Biogas!$O:$O,Predev_Scenarios!A384,Biogas!$S:$S,Predev_Scenarios!B384,Biogas!$P:$P,Predev_Scenarios!D384)</f>
        <v>2.5299306666666664E-3</v>
      </c>
      <c r="H384" s="13" t="str">
        <f>IF(C384="Electricity",E384*SUMIFS(Electricity!S:S,Electricity!P:P,Predev_Scenarios!B384,Electricity!M:M,Predev_Scenarios!A384,Electricity!O:O,Predev_Scenarios!D384),"")</f>
        <v/>
      </c>
      <c r="I384" s="12">
        <f>IFERROR(INDEX(Assumptions!C$112:C$113,MATCH(LEFT($D384,2),Assumptions!$B$112:$B$113,0)),0)</f>
        <v>45</v>
      </c>
      <c r="J384" s="12">
        <f>IFERROR(INDEX(Assumptions!D$112:D$113,MATCH(LEFT($D384,2),Assumptions!$B$112:$B$113,0)),0)</f>
        <v>45</v>
      </c>
      <c r="K384" s="12">
        <f>IFERROR(INDEX(Assumptions!E$112:E$113,MATCH(LEFT($D384,2),Assumptions!$B$112:$B$113,0)),0)</f>
        <v>-54.055</v>
      </c>
      <c r="L384" s="63">
        <f t="shared" si="13"/>
        <v>-0.11384687999999998</v>
      </c>
      <c r="M384" s="63">
        <f t="shared" si="14"/>
        <v>-0.11384687999999998</v>
      </c>
      <c r="N384" s="63">
        <f t="shared" si="15"/>
        <v>0.13675540218666665</v>
      </c>
      <c r="O384" s="30">
        <f>IF(OR(LEFT($D384,5)="Solar",$D384="Wind"),INDEX(Land_Use[AVG],MATCH(LEFT($D384,5),Land_Use[Tech],0)),0)*$E384</f>
        <v>0</v>
      </c>
      <c r="P384" s="30">
        <f>IF(OR(LEFT($D384,5)="Solar",$D384="Wind"),INDEX(Land_Use[MIN],MATCH(LEFT($D384,5),Land_Use[Tech],0)),0)*$E384</f>
        <v>0</v>
      </c>
      <c r="Q384" s="30">
        <f>IF(OR(LEFT($D384,5)="Solar",$D384="Wind"),INDEX(Land_Use[MAX],MATCH(LEFT($D384,5),Land_Use[Tech],0)),0)*$E384</f>
        <v>0</v>
      </c>
      <c r="R384" s="31">
        <f>IFERROR(INDEX(WaterUseH2[Average Direct Water Consumption (Gal/ kg h2)],MATCH(LEFT(D384,3),WaterUseH2[Key],0)),0)</f>
        <v>0</v>
      </c>
      <c r="S384" s="15">
        <f t="shared" si="16"/>
        <v>0</v>
      </c>
    </row>
    <row r="385" spans="1:19" x14ac:dyDescent="0.35">
      <c r="A385" t="s">
        <v>76</v>
      </c>
      <c r="B385">
        <v>2029</v>
      </c>
      <c r="C385" t="s">
        <v>87</v>
      </c>
      <c r="D385" t="s">
        <v>91</v>
      </c>
      <c r="E385" s="13">
        <f>SUMIFS(Biogas!$U:$U,Biogas!$O:$O,Predev_Scenarios!A385,Biogas!$S:$S,Predev_Scenarios!B385,Biogas!$P:$P,Predev_Scenarios!D385)</f>
        <v>2314.6666666666665</v>
      </c>
      <c r="F385" t="s">
        <v>89</v>
      </c>
      <c r="G385">
        <f>SUMIFS(Biogas!$T:$T,Biogas!$O:$O,Predev_Scenarios!A385,Biogas!$S:$S,Predev_Scenarios!B385,Biogas!$P:$P,Predev_Scenarios!D385)</f>
        <v>2.5299306666666664E-3</v>
      </c>
      <c r="H385" s="13" t="str">
        <f>IF(C385="Electricity",E385*SUMIFS(Electricity!S:S,Electricity!P:P,Predev_Scenarios!B385,Electricity!M:M,Predev_Scenarios!A385,Electricity!O:O,Predev_Scenarios!D385),"")</f>
        <v/>
      </c>
      <c r="I385" s="12">
        <f>IFERROR(INDEX(Assumptions!C$112:C$113,MATCH(LEFT($D385,2),Assumptions!$B$112:$B$113,0)),0)</f>
        <v>45</v>
      </c>
      <c r="J385" s="12">
        <f>IFERROR(INDEX(Assumptions!D$112:D$113,MATCH(LEFT($D385,2),Assumptions!$B$112:$B$113,0)),0)</f>
        <v>45</v>
      </c>
      <c r="K385" s="12">
        <f>IFERROR(INDEX(Assumptions!E$112:E$113,MATCH(LEFT($D385,2),Assumptions!$B$112:$B$113,0)),0)</f>
        <v>-54.055</v>
      </c>
      <c r="L385" s="63">
        <f t="shared" si="13"/>
        <v>-0.11384687999999998</v>
      </c>
      <c r="M385" s="63">
        <f t="shared" si="14"/>
        <v>-0.11384687999999998</v>
      </c>
      <c r="N385" s="63">
        <f t="shared" si="15"/>
        <v>0.13675540218666665</v>
      </c>
      <c r="O385" s="30">
        <f>IF(OR(LEFT($D385,5)="Solar",$D385="Wind"),INDEX(Land_Use[AVG],MATCH(LEFT($D385,5),Land_Use[Tech],0)),0)*$E385</f>
        <v>0</v>
      </c>
      <c r="P385" s="30">
        <f>IF(OR(LEFT($D385,5)="Solar",$D385="Wind"),INDEX(Land_Use[MIN],MATCH(LEFT($D385,5),Land_Use[Tech],0)),0)*$E385</f>
        <v>0</v>
      </c>
      <c r="Q385" s="30">
        <f>IF(OR(LEFT($D385,5)="Solar",$D385="Wind"),INDEX(Land_Use[MAX],MATCH(LEFT($D385,5),Land_Use[Tech],0)),0)*$E385</f>
        <v>0</v>
      </c>
      <c r="R385" s="31">
        <f>IFERROR(INDEX(WaterUseH2[Average Direct Water Consumption (Gal/ kg h2)],MATCH(LEFT(D385,3),WaterUseH2[Key],0)),0)</f>
        <v>0</v>
      </c>
      <c r="S385" s="15">
        <f t="shared" si="16"/>
        <v>0</v>
      </c>
    </row>
    <row r="386" spans="1:19" x14ac:dyDescent="0.35">
      <c r="A386" t="s">
        <v>76</v>
      </c>
      <c r="B386">
        <v>2030</v>
      </c>
      <c r="C386" t="s">
        <v>87</v>
      </c>
      <c r="D386" t="s">
        <v>91</v>
      </c>
      <c r="E386" s="13">
        <f>SUMIFS(Biogas!$U:$U,Biogas!$O:$O,Predev_Scenarios!A386,Biogas!$S:$S,Predev_Scenarios!B386,Biogas!$P:$P,Predev_Scenarios!D386)</f>
        <v>2314.6666666666665</v>
      </c>
      <c r="F386" t="s">
        <v>89</v>
      </c>
      <c r="G386">
        <f>SUMIFS(Biogas!$T:$T,Biogas!$O:$O,Predev_Scenarios!A386,Biogas!$S:$S,Predev_Scenarios!B386,Biogas!$P:$P,Predev_Scenarios!D386)</f>
        <v>2.5299306666666664E-3</v>
      </c>
      <c r="H386" s="13" t="str">
        <f>IF(C386="Electricity",E386*SUMIFS(Electricity!S:S,Electricity!P:P,Predev_Scenarios!B386,Electricity!M:M,Predev_Scenarios!A386,Electricity!O:O,Predev_Scenarios!D386),"")</f>
        <v/>
      </c>
      <c r="I386" s="12">
        <f>IFERROR(INDEX(Assumptions!C$112:C$113,MATCH(LEFT($D386,2),Assumptions!$B$112:$B$113,0)),0)</f>
        <v>45</v>
      </c>
      <c r="J386" s="12">
        <f>IFERROR(INDEX(Assumptions!D$112:D$113,MATCH(LEFT($D386,2),Assumptions!$B$112:$B$113,0)),0)</f>
        <v>45</v>
      </c>
      <c r="K386" s="12">
        <f>IFERROR(INDEX(Assumptions!E$112:E$113,MATCH(LEFT($D386,2),Assumptions!$B$112:$B$113,0)),0)</f>
        <v>-54.055</v>
      </c>
      <c r="L386" s="63">
        <f t="shared" ref="L386:L449" si="25">IF($C386="Electricity",$H386/1000000000000,$G386)*I386*-1</f>
        <v>-0.11384687999999998</v>
      </c>
      <c r="M386" s="63">
        <f t="shared" ref="M386:M449" si="26">IF($C386="Electricity",$H386/1000000000000,$G386)*J386*-1</f>
        <v>-0.11384687999999998</v>
      </c>
      <c r="N386" s="63">
        <f t="shared" ref="N386:N449" si="27">IF($C386="Electricity",$H386/1000000000000,$G386)*K386*-1</f>
        <v>0.13675540218666665</v>
      </c>
      <c r="O386" s="30">
        <f>IF(OR(LEFT($D386,5)="Solar",$D386="Wind"),INDEX(Land_Use[AVG],MATCH(LEFT($D386,5),Land_Use[Tech],0)),0)*$E386</f>
        <v>0</v>
      </c>
      <c r="P386" s="30">
        <f>IF(OR(LEFT($D386,5)="Solar",$D386="Wind"),INDEX(Land_Use[MIN],MATCH(LEFT($D386,5),Land_Use[Tech],0)),0)*$E386</f>
        <v>0</v>
      </c>
      <c r="Q386" s="30">
        <f>IF(OR(LEFT($D386,5)="Solar",$D386="Wind"),INDEX(Land_Use[MAX],MATCH(LEFT($D386,5),Land_Use[Tech],0)),0)*$E386</f>
        <v>0</v>
      </c>
      <c r="R386" s="31">
        <f>IFERROR(INDEX(WaterUseH2[Average Direct Water Consumption (Gal/ kg h2)],MATCH(LEFT(D386,3),WaterUseH2[Key],0)),0)</f>
        <v>0</v>
      </c>
      <c r="S386" s="15">
        <f t="shared" ref="S386:S449" si="28">E386*R386*1000/1000000</f>
        <v>0</v>
      </c>
    </row>
    <row r="387" spans="1:19" x14ac:dyDescent="0.35">
      <c r="A387" t="s">
        <v>76</v>
      </c>
      <c r="B387">
        <v>2031</v>
      </c>
      <c r="C387" t="s">
        <v>87</v>
      </c>
      <c r="D387" t="s">
        <v>91</v>
      </c>
      <c r="E387" s="13">
        <f>SUMIFS(Biogas!$U:$U,Biogas!$O:$O,Predev_Scenarios!A387,Biogas!$S:$S,Predev_Scenarios!B387,Biogas!$P:$P,Predev_Scenarios!D387)</f>
        <v>2314.6666666666665</v>
      </c>
      <c r="F387" t="s">
        <v>89</v>
      </c>
      <c r="G387">
        <f>SUMIFS(Biogas!$T:$T,Biogas!$O:$O,Predev_Scenarios!A387,Biogas!$S:$S,Predev_Scenarios!B387,Biogas!$P:$P,Predev_Scenarios!D387)</f>
        <v>2.5299306666666664E-3</v>
      </c>
      <c r="H387" s="13" t="str">
        <f>IF(C387="Electricity",E387*SUMIFS(Electricity!S:S,Electricity!P:P,Predev_Scenarios!B387,Electricity!M:M,Predev_Scenarios!A387,Electricity!O:O,Predev_Scenarios!D387),"")</f>
        <v/>
      </c>
      <c r="I387" s="12">
        <f>IFERROR(INDEX(Assumptions!C$112:C$113,MATCH(LEFT($D387,2),Assumptions!$B$112:$B$113,0)),0)</f>
        <v>45</v>
      </c>
      <c r="J387" s="12">
        <f>IFERROR(INDEX(Assumptions!D$112:D$113,MATCH(LEFT($D387,2),Assumptions!$B$112:$B$113,0)),0)</f>
        <v>45</v>
      </c>
      <c r="K387" s="12">
        <f>IFERROR(INDEX(Assumptions!E$112:E$113,MATCH(LEFT($D387,2),Assumptions!$B$112:$B$113,0)),0)</f>
        <v>-54.055</v>
      </c>
      <c r="L387" s="63">
        <f t="shared" si="25"/>
        <v>-0.11384687999999998</v>
      </c>
      <c r="M387" s="63">
        <f t="shared" si="26"/>
        <v>-0.11384687999999998</v>
      </c>
      <c r="N387" s="63">
        <f t="shared" si="27"/>
        <v>0.13675540218666665</v>
      </c>
      <c r="O387" s="30">
        <f>IF(OR(LEFT($D387,5)="Solar",$D387="Wind"),INDEX(Land_Use[AVG],MATCH(LEFT($D387,5),Land_Use[Tech],0)),0)*$E387</f>
        <v>0</v>
      </c>
      <c r="P387" s="30">
        <f>IF(OR(LEFT($D387,5)="Solar",$D387="Wind"),INDEX(Land_Use[MIN],MATCH(LEFT($D387,5),Land_Use[Tech],0)),0)*$E387</f>
        <v>0</v>
      </c>
      <c r="Q387" s="30">
        <f>IF(OR(LEFT($D387,5)="Solar",$D387="Wind"),INDEX(Land_Use[MAX],MATCH(LEFT($D387,5),Land_Use[Tech],0)),0)*$E387</f>
        <v>0</v>
      </c>
      <c r="R387" s="31">
        <f>IFERROR(INDEX(WaterUseH2[Average Direct Water Consumption (Gal/ kg h2)],MATCH(LEFT(D387,3),WaterUseH2[Key],0)),0)</f>
        <v>0</v>
      </c>
      <c r="S387" s="15">
        <f t="shared" si="28"/>
        <v>0</v>
      </c>
    </row>
    <row r="388" spans="1:19" x14ac:dyDescent="0.35">
      <c r="A388" t="s">
        <v>76</v>
      </c>
      <c r="B388">
        <v>2032</v>
      </c>
      <c r="C388" t="s">
        <v>87</v>
      </c>
      <c r="D388" t="s">
        <v>91</v>
      </c>
      <c r="E388" s="13">
        <f>SUMIFS(Biogas!$U:$U,Biogas!$O:$O,Predev_Scenarios!A388,Biogas!$S:$S,Predev_Scenarios!B388,Biogas!$P:$P,Predev_Scenarios!D388)</f>
        <v>2314.6666666666665</v>
      </c>
      <c r="F388" t="s">
        <v>89</v>
      </c>
      <c r="G388">
        <f>SUMIFS(Biogas!$T:$T,Biogas!$O:$O,Predev_Scenarios!A388,Biogas!$S:$S,Predev_Scenarios!B388,Biogas!$P:$P,Predev_Scenarios!D388)</f>
        <v>2.5299306666666664E-3</v>
      </c>
      <c r="H388" s="13" t="str">
        <f>IF(C388="Electricity",E388*SUMIFS(Electricity!S:S,Electricity!P:P,Predev_Scenarios!B388,Electricity!M:M,Predev_Scenarios!A388,Electricity!O:O,Predev_Scenarios!D388),"")</f>
        <v/>
      </c>
      <c r="I388" s="12">
        <f>IFERROR(INDEX(Assumptions!C$112:C$113,MATCH(LEFT($D388,2),Assumptions!$B$112:$B$113,0)),0)</f>
        <v>45</v>
      </c>
      <c r="J388" s="12">
        <f>IFERROR(INDEX(Assumptions!D$112:D$113,MATCH(LEFT($D388,2),Assumptions!$B$112:$B$113,0)),0)</f>
        <v>45</v>
      </c>
      <c r="K388" s="12">
        <f>IFERROR(INDEX(Assumptions!E$112:E$113,MATCH(LEFT($D388,2),Assumptions!$B$112:$B$113,0)),0)</f>
        <v>-54.055</v>
      </c>
      <c r="L388" s="63">
        <f t="shared" si="25"/>
        <v>-0.11384687999999998</v>
      </c>
      <c r="M388" s="63">
        <f t="shared" si="26"/>
        <v>-0.11384687999999998</v>
      </c>
      <c r="N388" s="63">
        <f t="shared" si="27"/>
        <v>0.13675540218666665</v>
      </c>
      <c r="O388" s="30">
        <f>IF(OR(LEFT($D388,5)="Solar",$D388="Wind"),INDEX(Land_Use[AVG],MATCH(LEFT($D388,5),Land_Use[Tech],0)),0)*$E388</f>
        <v>0</v>
      </c>
      <c r="P388" s="30">
        <f>IF(OR(LEFT($D388,5)="Solar",$D388="Wind"),INDEX(Land_Use[MIN],MATCH(LEFT($D388,5),Land_Use[Tech],0)),0)*$E388</f>
        <v>0</v>
      </c>
      <c r="Q388" s="30">
        <f>IF(OR(LEFT($D388,5)="Solar",$D388="Wind"),INDEX(Land_Use[MAX],MATCH(LEFT($D388,5),Land_Use[Tech],0)),0)*$E388</f>
        <v>0</v>
      </c>
      <c r="R388" s="31">
        <f>IFERROR(INDEX(WaterUseH2[Average Direct Water Consumption (Gal/ kg h2)],MATCH(LEFT(D388,3),WaterUseH2[Key],0)),0)</f>
        <v>0</v>
      </c>
      <c r="S388" s="15">
        <f t="shared" si="28"/>
        <v>0</v>
      </c>
    </row>
    <row r="389" spans="1:19" x14ac:dyDescent="0.35">
      <c r="A389" t="s">
        <v>76</v>
      </c>
      <c r="B389">
        <v>2033</v>
      </c>
      <c r="C389" t="s">
        <v>87</v>
      </c>
      <c r="D389" t="s">
        <v>91</v>
      </c>
      <c r="E389" s="13">
        <f>SUMIFS(Biogas!$U:$U,Biogas!$O:$O,Predev_Scenarios!A389,Biogas!$S:$S,Predev_Scenarios!B389,Biogas!$P:$P,Predev_Scenarios!D389)</f>
        <v>2314.6666666666665</v>
      </c>
      <c r="F389" t="s">
        <v>89</v>
      </c>
      <c r="G389">
        <f>SUMIFS(Biogas!$T:$T,Biogas!$O:$O,Predev_Scenarios!A389,Biogas!$S:$S,Predev_Scenarios!B389,Biogas!$P:$P,Predev_Scenarios!D389)</f>
        <v>2.5299306666666664E-3</v>
      </c>
      <c r="H389" s="13" t="str">
        <f>IF(C389="Electricity",E389*SUMIFS(Electricity!S:S,Electricity!P:P,Predev_Scenarios!B389,Electricity!M:M,Predev_Scenarios!A389,Electricity!O:O,Predev_Scenarios!D389),"")</f>
        <v/>
      </c>
      <c r="I389" s="12">
        <f>IFERROR(INDEX(Assumptions!C$112:C$113,MATCH(LEFT($D389,2),Assumptions!$B$112:$B$113,0)),0)</f>
        <v>45</v>
      </c>
      <c r="J389" s="12">
        <f>IFERROR(INDEX(Assumptions!D$112:D$113,MATCH(LEFT($D389,2),Assumptions!$B$112:$B$113,0)),0)</f>
        <v>45</v>
      </c>
      <c r="K389" s="12">
        <f>IFERROR(INDEX(Assumptions!E$112:E$113,MATCH(LEFT($D389,2),Assumptions!$B$112:$B$113,0)),0)</f>
        <v>-54.055</v>
      </c>
      <c r="L389" s="63">
        <f t="shared" si="25"/>
        <v>-0.11384687999999998</v>
      </c>
      <c r="M389" s="63">
        <f t="shared" si="26"/>
        <v>-0.11384687999999998</v>
      </c>
      <c r="N389" s="63">
        <f t="shared" si="27"/>
        <v>0.13675540218666665</v>
      </c>
      <c r="O389" s="30">
        <f>IF(OR(LEFT($D389,5)="Solar",$D389="Wind"),INDEX(Land_Use[AVG],MATCH(LEFT($D389,5),Land_Use[Tech],0)),0)*$E389</f>
        <v>0</v>
      </c>
      <c r="P389" s="30">
        <f>IF(OR(LEFT($D389,5)="Solar",$D389="Wind"),INDEX(Land_Use[MIN],MATCH(LEFT($D389,5),Land_Use[Tech],0)),0)*$E389</f>
        <v>0</v>
      </c>
      <c r="Q389" s="30">
        <f>IF(OR(LEFT($D389,5)="Solar",$D389="Wind"),INDEX(Land_Use[MAX],MATCH(LEFT($D389,5),Land_Use[Tech],0)),0)*$E389</f>
        <v>0</v>
      </c>
      <c r="R389" s="31">
        <f>IFERROR(INDEX(WaterUseH2[Average Direct Water Consumption (Gal/ kg h2)],MATCH(LEFT(D389,3),WaterUseH2[Key],0)),0)</f>
        <v>0</v>
      </c>
      <c r="S389" s="15">
        <f t="shared" si="28"/>
        <v>0</v>
      </c>
    </row>
    <row r="390" spans="1:19" x14ac:dyDescent="0.35">
      <c r="A390" t="s">
        <v>76</v>
      </c>
      <c r="B390">
        <v>2034</v>
      </c>
      <c r="C390" t="s">
        <v>87</v>
      </c>
      <c r="D390" t="s">
        <v>91</v>
      </c>
      <c r="E390" s="13">
        <f>SUMIFS(Biogas!$U:$U,Biogas!$O:$O,Predev_Scenarios!A390,Biogas!$S:$S,Predev_Scenarios!B390,Biogas!$P:$P,Predev_Scenarios!D390)</f>
        <v>3471.9999999999991</v>
      </c>
      <c r="F390" t="s">
        <v>89</v>
      </c>
      <c r="G390">
        <f>SUMIFS(Biogas!$T:$T,Biogas!$O:$O,Predev_Scenarios!A390,Biogas!$S:$S,Predev_Scenarios!B390,Biogas!$P:$P,Predev_Scenarios!D390)</f>
        <v>3.7948959999999994E-3</v>
      </c>
      <c r="H390" s="13" t="str">
        <f>IF(C390="Electricity",E390*SUMIFS(Electricity!S:S,Electricity!P:P,Predev_Scenarios!B390,Electricity!M:M,Predev_Scenarios!A390,Electricity!O:O,Predev_Scenarios!D390),"")</f>
        <v/>
      </c>
      <c r="I390" s="12">
        <f>IFERROR(INDEX(Assumptions!C$112:C$113,MATCH(LEFT($D390,2),Assumptions!$B$112:$B$113,0)),0)</f>
        <v>45</v>
      </c>
      <c r="J390" s="12">
        <f>IFERROR(INDEX(Assumptions!D$112:D$113,MATCH(LEFT($D390,2),Assumptions!$B$112:$B$113,0)),0)</f>
        <v>45</v>
      </c>
      <c r="K390" s="12">
        <f>IFERROR(INDEX(Assumptions!E$112:E$113,MATCH(LEFT($D390,2),Assumptions!$B$112:$B$113,0)),0)</f>
        <v>-54.055</v>
      </c>
      <c r="L390" s="63">
        <f t="shared" si="25"/>
        <v>-0.17077031999999998</v>
      </c>
      <c r="M390" s="63">
        <f t="shared" si="26"/>
        <v>-0.17077031999999998</v>
      </c>
      <c r="N390" s="63">
        <f t="shared" si="27"/>
        <v>0.20513310327999998</v>
      </c>
      <c r="O390" s="30">
        <f>IF(OR(LEFT($D390,5)="Solar",$D390="Wind"),INDEX(Land_Use[AVG],MATCH(LEFT($D390,5),Land_Use[Tech],0)),0)*$E390</f>
        <v>0</v>
      </c>
      <c r="P390" s="30">
        <f>IF(OR(LEFT($D390,5)="Solar",$D390="Wind"),INDEX(Land_Use[MIN],MATCH(LEFT($D390,5),Land_Use[Tech],0)),0)*$E390</f>
        <v>0</v>
      </c>
      <c r="Q390" s="30">
        <f>IF(OR(LEFT($D390,5)="Solar",$D390="Wind"),INDEX(Land_Use[MAX],MATCH(LEFT($D390,5),Land_Use[Tech],0)),0)*$E390</f>
        <v>0</v>
      </c>
      <c r="R390" s="31">
        <f>IFERROR(INDEX(WaterUseH2[Average Direct Water Consumption (Gal/ kg h2)],MATCH(LEFT(D390,3),WaterUseH2[Key],0)),0)</f>
        <v>0</v>
      </c>
      <c r="S390" s="15">
        <f t="shared" si="28"/>
        <v>0</v>
      </c>
    </row>
    <row r="391" spans="1:19" x14ac:dyDescent="0.35">
      <c r="A391" t="s">
        <v>76</v>
      </c>
      <c r="B391">
        <v>2035</v>
      </c>
      <c r="C391" t="s">
        <v>87</v>
      </c>
      <c r="D391" t="s">
        <v>91</v>
      </c>
      <c r="E391" s="13">
        <f>SUMIFS(Biogas!$U:$U,Biogas!$O:$O,Predev_Scenarios!A391,Biogas!$S:$S,Predev_Scenarios!B391,Biogas!$P:$P,Predev_Scenarios!D391)</f>
        <v>3471.9999999999991</v>
      </c>
      <c r="F391" t="s">
        <v>89</v>
      </c>
      <c r="G391">
        <f>SUMIFS(Biogas!$T:$T,Biogas!$O:$O,Predev_Scenarios!A391,Biogas!$S:$S,Predev_Scenarios!B391,Biogas!$P:$P,Predev_Scenarios!D391)</f>
        <v>3.7948959999999994E-3</v>
      </c>
      <c r="H391" s="13" t="str">
        <f>IF(C391="Electricity",E391*SUMIFS(Electricity!S:S,Electricity!P:P,Predev_Scenarios!B391,Electricity!M:M,Predev_Scenarios!A391,Electricity!O:O,Predev_Scenarios!D391),"")</f>
        <v/>
      </c>
      <c r="I391" s="12">
        <f>IFERROR(INDEX(Assumptions!C$112:C$113,MATCH(LEFT($D391,2),Assumptions!$B$112:$B$113,0)),0)</f>
        <v>45</v>
      </c>
      <c r="J391" s="12">
        <f>IFERROR(INDEX(Assumptions!D$112:D$113,MATCH(LEFT($D391,2),Assumptions!$B$112:$B$113,0)),0)</f>
        <v>45</v>
      </c>
      <c r="K391" s="12">
        <f>IFERROR(INDEX(Assumptions!E$112:E$113,MATCH(LEFT($D391,2),Assumptions!$B$112:$B$113,0)),0)</f>
        <v>-54.055</v>
      </c>
      <c r="L391" s="63">
        <f t="shared" si="25"/>
        <v>-0.17077031999999998</v>
      </c>
      <c r="M391" s="63">
        <f t="shared" si="26"/>
        <v>-0.17077031999999998</v>
      </c>
      <c r="N391" s="63">
        <f t="shared" si="27"/>
        <v>0.20513310327999998</v>
      </c>
      <c r="O391" s="30">
        <f>IF(OR(LEFT($D391,5)="Solar",$D391="Wind"),INDEX(Land_Use[AVG],MATCH(LEFT($D391,5),Land_Use[Tech],0)),0)*$E391</f>
        <v>0</v>
      </c>
      <c r="P391" s="30">
        <f>IF(OR(LEFT($D391,5)="Solar",$D391="Wind"),INDEX(Land_Use[MIN],MATCH(LEFT($D391,5),Land_Use[Tech],0)),0)*$E391</f>
        <v>0</v>
      </c>
      <c r="Q391" s="30">
        <f>IF(OR(LEFT($D391,5)="Solar",$D391="Wind"),INDEX(Land_Use[MAX],MATCH(LEFT($D391,5),Land_Use[Tech],0)),0)*$E391</f>
        <v>0</v>
      </c>
      <c r="R391" s="31">
        <f>IFERROR(INDEX(WaterUseH2[Average Direct Water Consumption (Gal/ kg h2)],MATCH(LEFT(D391,3),WaterUseH2[Key],0)),0)</f>
        <v>0</v>
      </c>
      <c r="S391" s="15">
        <f t="shared" si="28"/>
        <v>0</v>
      </c>
    </row>
    <row r="392" spans="1:19" x14ac:dyDescent="0.35">
      <c r="A392" t="s">
        <v>76</v>
      </c>
      <c r="B392">
        <v>2036</v>
      </c>
      <c r="C392" t="s">
        <v>87</v>
      </c>
      <c r="D392" t="s">
        <v>91</v>
      </c>
      <c r="E392" s="13">
        <f>SUMIFS(Biogas!$U:$U,Biogas!$O:$O,Predev_Scenarios!A392,Biogas!$S:$S,Predev_Scenarios!B392,Biogas!$P:$P,Predev_Scenarios!D392)</f>
        <v>3471.9999999999991</v>
      </c>
      <c r="F392" t="s">
        <v>89</v>
      </c>
      <c r="G392">
        <f>SUMIFS(Biogas!$T:$T,Biogas!$O:$O,Predev_Scenarios!A392,Biogas!$S:$S,Predev_Scenarios!B392,Biogas!$P:$P,Predev_Scenarios!D392)</f>
        <v>3.7948959999999994E-3</v>
      </c>
      <c r="H392" s="13" t="str">
        <f>IF(C392="Electricity",E392*SUMIFS(Electricity!S:S,Electricity!P:P,Predev_Scenarios!B392,Electricity!M:M,Predev_Scenarios!A392,Electricity!O:O,Predev_Scenarios!D392),"")</f>
        <v/>
      </c>
      <c r="I392" s="12">
        <f>IFERROR(INDEX(Assumptions!C$112:C$113,MATCH(LEFT($D392,2),Assumptions!$B$112:$B$113,0)),0)</f>
        <v>45</v>
      </c>
      <c r="J392" s="12">
        <f>IFERROR(INDEX(Assumptions!D$112:D$113,MATCH(LEFT($D392,2),Assumptions!$B$112:$B$113,0)),0)</f>
        <v>45</v>
      </c>
      <c r="K392" s="12">
        <f>IFERROR(INDEX(Assumptions!E$112:E$113,MATCH(LEFT($D392,2),Assumptions!$B$112:$B$113,0)),0)</f>
        <v>-54.055</v>
      </c>
      <c r="L392" s="63">
        <f t="shared" si="25"/>
        <v>-0.17077031999999998</v>
      </c>
      <c r="M392" s="63">
        <f t="shared" si="26"/>
        <v>-0.17077031999999998</v>
      </c>
      <c r="N392" s="63">
        <f t="shared" si="27"/>
        <v>0.20513310327999998</v>
      </c>
      <c r="O392" s="30">
        <f>IF(OR(LEFT($D392,5)="Solar",$D392="Wind"),INDEX(Land_Use[AVG],MATCH(LEFT($D392,5),Land_Use[Tech],0)),0)*$E392</f>
        <v>0</v>
      </c>
      <c r="P392" s="30">
        <f>IF(OR(LEFT($D392,5)="Solar",$D392="Wind"),INDEX(Land_Use[MIN],MATCH(LEFT($D392,5),Land_Use[Tech],0)),0)*$E392</f>
        <v>0</v>
      </c>
      <c r="Q392" s="30">
        <f>IF(OR(LEFT($D392,5)="Solar",$D392="Wind"),INDEX(Land_Use[MAX],MATCH(LEFT($D392,5),Land_Use[Tech],0)),0)*$E392</f>
        <v>0</v>
      </c>
      <c r="R392" s="31">
        <f>IFERROR(INDEX(WaterUseH2[Average Direct Water Consumption (Gal/ kg h2)],MATCH(LEFT(D392,3),WaterUseH2[Key],0)),0)</f>
        <v>0</v>
      </c>
      <c r="S392" s="15">
        <f t="shared" si="28"/>
        <v>0</v>
      </c>
    </row>
    <row r="393" spans="1:19" x14ac:dyDescent="0.35">
      <c r="A393" t="s">
        <v>76</v>
      </c>
      <c r="B393">
        <v>2037</v>
      </c>
      <c r="C393" t="s">
        <v>87</v>
      </c>
      <c r="D393" t="s">
        <v>91</v>
      </c>
      <c r="E393" s="13">
        <f>SUMIFS(Biogas!$U:$U,Biogas!$O:$O,Predev_Scenarios!A393,Biogas!$S:$S,Predev_Scenarios!B393,Biogas!$P:$P,Predev_Scenarios!D393)</f>
        <v>3471.9999999999991</v>
      </c>
      <c r="F393" t="s">
        <v>89</v>
      </c>
      <c r="G393">
        <f>SUMIFS(Biogas!$T:$T,Biogas!$O:$O,Predev_Scenarios!A393,Biogas!$S:$S,Predev_Scenarios!B393,Biogas!$P:$P,Predev_Scenarios!D393)</f>
        <v>3.7948959999999994E-3</v>
      </c>
      <c r="H393" s="13" t="str">
        <f>IF(C393="Electricity",E393*SUMIFS(Electricity!S:S,Electricity!P:P,Predev_Scenarios!B393,Electricity!M:M,Predev_Scenarios!A393,Electricity!O:O,Predev_Scenarios!D393),"")</f>
        <v/>
      </c>
      <c r="I393" s="12">
        <f>IFERROR(INDEX(Assumptions!C$112:C$113,MATCH(LEFT($D393,2),Assumptions!$B$112:$B$113,0)),0)</f>
        <v>45</v>
      </c>
      <c r="J393" s="12">
        <f>IFERROR(INDEX(Assumptions!D$112:D$113,MATCH(LEFT($D393,2),Assumptions!$B$112:$B$113,0)),0)</f>
        <v>45</v>
      </c>
      <c r="K393" s="12">
        <f>IFERROR(INDEX(Assumptions!E$112:E$113,MATCH(LEFT($D393,2),Assumptions!$B$112:$B$113,0)),0)</f>
        <v>-54.055</v>
      </c>
      <c r="L393" s="63">
        <f t="shared" si="25"/>
        <v>-0.17077031999999998</v>
      </c>
      <c r="M393" s="63">
        <f t="shared" si="26"/>
        <v>-0.17077031999999998</v>
      </c>
      <c r="N393" s="63">
        <f t="shared" si="27"/>
        <v>0.20513310327999998</v>
      </c>
      <c r="O393" s="30">
        <f>IF(OR(LEFT($D393,5)="Solar",$D393="Wind"),INDEX(Land_Use[AVG],MATCH(LEFT($D393,5),Land_Use[Tech],0)),0)*$E393</f>
        <v>0</v>
      </c>
      <c r="P393" s="30">
        <f>IF(OR(LEFT($D393,5)="Solar",$D393="Wind"),INDEX(Land_Use[MIN],MATCH(LEFT($D393,5),Land_Use[Tech],0)),0)*$E393</f>
        <v>0</v>
      </c>
      <c r="Q393" s="30">
        <f>IF(OR(LEFT($D393,5)="Solar",$D393="Wind"),INDEX(Land_Use[MAX],MATCH(LEFT($D393,5),Land_Use[Tech],0)),0)*$E393</f>
        <v>0</v>
      </c>
      <c r="R393" s="31">
        <f>IFERROR(INDEX(WaterUseH2[Average Direct Water Consumption (Gal/ kg h2)],MATCH(LEFT(D393,3),WaterUseH2[Key],0)),0)</f>
        <v>0</v>
      </c>
      <c r="S393" s="15">
        <f t="shared" si="28"/>
        <v>0</v>
      </c>
    </row>
    <row r="394" spans="1:19" x14ac:dyDescent="0.35">
      <c r="A394" t="s">
        <v>76</v>
      </c>
      <c r="B394">
        <v>2038</v>
      </c>
      <c r="C394" t="s">
        <v>87</v>
      </c>
      <c r="D394" t="s">
        <v>91</v>
      </c>
      <c r="E394" s="13">
        <f>SUMIFS(Biogas!$U:$U,Biogas!$O:$O,Predev_Scenarios!A394,Biogas!$S:$S,Predev_Scenarios!B394,Biogas!$P:$P,Predev_Scenarios!D394)</f>
        <v>3471.9999999999991</v>
      </c>
      <c r="F394" t="s">
        <v>89</v>
      </c>
      <c r="G394">
        <f>SUMIFS(Biogas!$T:$T,Biogas!$O:$O,Predev_Scenarios!A394,Biogas!$S:$S,Predev_Scenarios!B394,Biogas!$P:$P,Predev_Scenarios!D394)</f>
        <v>3.7948959999999994E-3</v>
      </c>
      <c r="H394" s="13" t="str">
        <f>IF(C394="Electricity",E394*SUMIFS(Electricity!S:S,Electricity!P:P,Predev_Scenarios!B394,Electricity!M:M,Predev_Scenarios!A394,Electricity!O:O,Predev_Scenarios!D394),"")</f>
        <v/>
      </c>
      <c r="I394" s="12">
        <f>IFERROR(INDEX(Assumptions!C$112:C$113,MATCH(LEFT($D394,2),Assumptions!$B$112:$B$113,0)),0)</f>
        <v>45</v>
      </c>
      <c r="J394" s="12">
        <f>IFERROR(INDEX(Assumptions!D$112:D$113,MATCH(LEFT($D394,2),Assumptions!$B$112:$B$113,0)),0)</f>
        <v>45</v>
      </c>
      <c r="K394" s="12">
        <f>IFERROR(INDEX(Assumptions!E$112:E$113,MATCH(LEFT($D394,2),Assumptions!$B$112:$B$113,0)),0)</f>
        <v>-54.055</v>
      </c>
      <c r="L394" s="63">
        <f t="shared" si="25"/>
        <v>-0.17077031999999998</v>
      </c>
      <c r="M394" s="63">
        <f t="shared" si="26"/>
        <v>-0.17077031999999998</v>
      </c>
      <c r="N394" s="63">
        <f t="shared" si="27"/>
        <v>0.20513310327999998</v>
      </c>
      <c r="O394" s="30">
        <f>IF(OR(LEFT($D394,5)="Solar",$D394="Wind"),INDEX(Land_Use[AVG],MATCH(LEFT($D394,5),Land_Use[Tech],0)),0)*$E394</f>
        <v>0</v>
      </c>
      <c r="P394" s="30">
        <f>IF(OR(LEFT($D394,5)="Solar",$D394="Wind"),INDEX(Land_Use[MIN],MATCH(LEFT($D394,5),Land_Use[Tech],0)),0)*$E394</f>
        <v>0</v>
      </c>
      <c r="Q394" s="30">
        <f>IF(OR(LEFT($D394,5)="Solar",$D394="Wind"),INDEX(Land_Use[MAX],MATCH(LEFT($D394,5),Land_Use[Tech],0)),0)*$E394</f>
        <v>0</v>
      </c>
      <c r="R394" s="31">
        <f>IFERROR(INDEX(WaterUseH2[Average Direct Water Consumption (Gal/ kg h2)],MATCH(LEFT(D394,3),WaterUseH2[Key],0)),0)</f>
        <v>0</v>
      </c>
      <c r="S394" s="15">
        <f t="shared" si="28"/>
        <v>0</v>
      </c>
    </row>
    <row r="395" spans="1:19" x14ac:dyDescent="0.35">
      <c r="A395" t="s">
        <v>76</v>
      </c>
      <c r="B395">
        <v>2039</v>
      </c>
      <c r="C395" t="s">
        <v>87</v>
      </c>
      <c r="D395" t="s">
        <v>91</v>
      </c>
      <c r="E395" s="13">
        <f>SUMIFS(Biogas!$U:$U,Biogas!$O:$O,Predev_Scenarios!A395,Biogas!$S:$S,Predev_Scenarios!B395,Biogas!$P:$P,Predev_Scenarios!D395)</f>
        <v>3471.9999999999991</v>
      </c>
      <c r="F395" t="s">
        <v>89</v>
      </c>
      <c r="G395">
        <f>SUMIFS(Biogas!$T:$T,Biogas!$O:$O,Predev_Scenarios!A395,Biogas!$S:$S,Predev_Scenarios!B395,Biogas!$P:$P,Predev_Scenarios!D395)</f>
        <v>3.7948959999999994E-3</v>
      </c>
      <c r="H395" s="13" t="str">
        <f>IF(C395="Electricity",E395*SUMIFS(Electricity!S:S,Electricity!P:P,Predev_Scenarios!B395,Electricity!M:M,Predev_Scenarios!A395,Electricity!O:O,Predev_Scenarios!D395),"")</f>
        <v/>
      </c>
      <c r="I395" s="12">
        <f>IFERROR(INDEX(Assumptions!C$112:C$113,MATCH(LEFT($D395,2),Assumptions!$B$112:$B$113,0)),0)</f>
        <v>45</v>
      </c>
      <c r="J395" s="12">
        <f>IFERROR(INDEX(Assumptions!D$112:D$113,MATCH(LEFT($D395,2),Assumptions!$B$112:$B$113,0)),0)</f>
        <v>45</v>
      </c>
      <c r="K395" s="12">
        <f>IFERROR(INDEX(Assumptions!E$112:E$113,MATCH(LEFT($D395,2),Assumptions!$B$112:$B$113,0)),0)</f>
        <v>-54.055</v>
      </c>
      <c r="L395" s="63">
        <f t="shared" si="25"/>
        <v>-0.17077031999999998</v>
      </c>
      <c r="M395" s="63">
        <f t="shared" si="26"/>
        <v>-0.17077031999999998</v>
      </c>
      <c r="N395" s="63">
        <f t="shared" si="27"/>
        <v>0.20513310327999998</v>
      </c>
      <c r="O395" s="30">
        <f>IF(OR(LEFT($D395,5)="Solar",$D395="Wind"),INDEX(Land_Use[AVG],MATCH(LEFT($D395,5),Land_Use[Tech],0)),0)*$E395</f>
        <v>0</v>
      </c>
      <c r="P395" s="30">
        <f>IF(OR(LEFT($D395,5)="Solar",$D395="Wind"),INDEX(Land_Use[MIN],MATCH(LEFT($D395,5),Land_Use[Tech],0)),0)*$E395</f>
        <v>0</v>
      </c>
      <c r="Q395" s="30">
        <f>IF(OR(LEFT($D395,5)="Solar",$D395="Wind"),INDEX(Land_Use[MAX],MATCH(LEFT($D395,5),Land_Use[Tech],0)),0)*$E395</f>
        <v>0</v>
      </c>
      <c r="R395" s="31">
        <f>IFERROR(INDEX(WaterUseH2[Average Direct Water Consumption (Gal/ kg h2)],MATCH(LEFT(D395,3),WaterUseH2[Key],0)),0)</f>
        <v>0</v>
      </c>
      <c r="S395" s="15">
        <f t="shared" si="28"/>
        <v>0</v>
      </c>
    </row>
    <row r="396" spans="1:19" x14ac:dyDescent="0.35">
      <c r="A396" t="s">
        <v>76</v>
      </c>
      <c r="B396">
        <v>2040</v>
      </c>
      <c r="C396" t="s">
        <v>87</v>
      </c>
      <c r="D396" t="s">
        <v>91</v>
      </c>
      <c r="E396" s="13">
        <f>SUMIFS(Biogas!$U:$U,Biogas!$O:$O,Predev_Scenarios!A396,Biogas!$S:$S,Predev_Scenarios!B396,Biogas!$P:$P,Predev_Scenarios!D396)</f>
        <v>5207.9999999999991</v>
      </c>
      <c r="F396" t="s">
        <v>89</v>
      </c>
      <c r="G396">
        <f>SUMIFS(Biogas!$T:$T,Biogas!$O:$O,Predev_Scenarios!A396,Biogas!$S:$S,Predev_Scenarios!B396,Biogas!$P:$P,Predev_Scenarios!D396)</f>
        <v>5.6923439999999994E-3</v>
      </c>
      <c r="H396" s="13" t="str">
        <f>IF(C396="Electricity",E396*SUMIFS(Electricity!S:S,Electricity!P:P,Predev_Scenarios!B396,Electricity!M:M,Predev_Scenarios!A396,Electricity!O:O,Predev_Scenarios!D396),"")</f>
        <v/>
      </c>
      <c r="I396" s="12">
        <f>IFERROR(INDEX(Assumptions!C$112:C$113,MATCH(LEFT($D396,2),Assumptions!$B$112:$B$113,0)),0)</f>
        <v>45</v>
      </c>
      <c r="J396" s="12">
        <f>IFERROR(INDEX(Assumptions!D$112:D$113,MATCH(LEFT($D396,2),Assumptions!$B$112:$B$113,0)),0)</f>
        <v>45</v>
      </c>
      <c r="K396" s="12">
        <f>IFERROR(INDEX(Assumptions!E$112:E$113,MATCH(LEFT($D396,2),Assumptions!$B$112:$B$113,0)),0)</f>
        <v>-54.055</v>
      </c>
      <c r="L396" s="63">
        <f t="shared" si="25"/>
        <v>-0.25615547999999999</v>
      </c>
      <c r="M396" s="63">
        <f t="shared" si="26"/>
        <v>-0.25615547999999999</v>
      </c>
      <c r="N396" s="63">
        <f t="shared" si="27"/>
        <v>0.30769965491999995</v>
      </c>
      <c r="O396" s="30">
        <f>IF(OR(LEFT($D396,5)="Solar",$D396="Wind"),INDEX(Land_Use[AVG],MATCH(LEFT($D396,5),Land_Use[Tech],0)),0)*$E396</f>
        <v>0</v>
      </c>
      <c r="P396" s="30">
        <f>IF(OR(LEFT($D396,5)="Solar",$D396="Wind"),INDEX(Land_Use[MIN],MATCH(LEFT($D396,5),Land_Use[Tech],0)),0)*$E396</f>
        <v>0</v>
      </c>
      <c r="Q396" s="30">
        <f>IF(OR(LEFT($D396,5)="Solar",$D396="Wind"),INDEX(Land_Use[MAX],MATCH(LEFT($D396,5),Land_Use[Tech],0)),0)*$E396</f>
        <v>0</v>
      </c>
      <c r="R396" s="31">
        <f>IFERROR(INDEX(WaterUseH2[Average Direct Water Consumption (Gal/ kg h2)],MATCH(LEFT(D396,3),WaterUseH2[Key],0)),0)</f>
        <v>0</v>
      </c>
      <c r="S396" s="15">
        <f t="shared" si="28"/>
        <v>0</v>
      </c>
    </row>
    <row r="397" spans="1:19" x14ac:dyDescent="0.35">
      <c r="A397" t="s">
        <v>76</v>
      </c>
      <c r="B397">
        <v>2041</v>
      </c>
      <c r="C397" t="s">
        <v>87</v>
      </c>
      <c r="D397" t="s">
        <v>91</v>
      </c>
      <c r="E397" s="13">
        <f>SUMIFS(Biogas!$U:$U,Biogas!$O:$O,Predev_Scenarios!A397,Biogas!$S:$S,Predev_Scenarios!B397,Biogas!$P:$P,Predev_Scenarios!D397)</f>
        <v>5207.9999999999991</v>
      </c>
      <c r="F397" t="s">
        <v>89</v>
      </c>
      <c r="G397">
        <f>SUMIFS(Biogas!$T:$T,Biogas!$O:$O,Predev_Scenarios!A397,Biogas!$S:$S,Predev_Scenarios!B397,Biogas!$P:$P,Predev_Scenarios!D397)</f>
        <v>5.6923439999999994E-3</v>
      </c>
      <c r="H397" s="13" t="str">
        <f>IF(C397="Electricity",E397*SUMIFS(Electricity!S:S,Electricity!P:P,Predev_Scenarios!B397,Electricity!M:M,Predev_Scenarios!A397,Electricity!O:O,Predev_Scenarios!D397),"")</f>
        <v/>
      </c>
      <c r="I397" s="12">
        <f>IFERROR(INDEX(Assumptions!C$112:C$113,MATCH(LEFT($D397,2),Assumptions!$B$112:$B$113,0)),0)</f>
        <v>45</v>
      </c>
      <c r="J397" s="12">
        <f>IFERROR(INDEX(Assumptions!D$112:D$113,MATCH(LEFT($D397,2),Assumptions!$B$112:$B$113,0)),0)</f>
        <v>45</v>
      </c>
      <c r="K397" s="12">
        <f>IFERROR(INDEX(Assumptions!E$112:E$113,MATCH(LEFT($D397,2),Assumptions!$B$112:$B$113,0)),0)</f>
        <v>-54.055</v>
      </c>
      <c r="L397" s="63">
        <f t="shared" si="25"/>
        <v>-0.25615547999999999</v>
      </c>
      <c r="M397" s="63">
        <f t="shared" si="26"/>
        <v>-0.25615547999999999</v>
      </c>
      <c r="N397" s="63">
        <f t="shared" si="27"/>
        <v>0.30769965491999995</v>
      </c>
      <c r="O397" s="30">
        <f>IF(OR(LEFT($D397,5)="Solar",$D397="Wind"),INDEX(Land_Use[AVG],MATCH(LEFT($D397,5),Land_Use[Tech],0)),0)*$E397</f>
        <v>0</v>
      </c>
      <c r="P397" s="30">
        <f>IF(OR(LEFT($D397,5)="Solar",$D397="Wind"),INDEX(Land_Use[MIN],MATCH(LEFT($D397,5),Land_Use[Tech],0)),0)*$E397</f>
        <v>0</v>
      </c>
      <c r="Q397" s="30">
        <f>IF(OR(LEFT($D397,5)="Solar",$D397="Wind"),INDEX(Land_Use[MAX],MATCH(LEFT($D397,5),Land_Use[Tech],0)),0)*$E397</f>
        <v>0</v>
      </c>
      <c r="R397" s="31">
        <f>IFERROR(INDEX(WaterUseH2[Average Direct Water Consumption (Gal/ kg h2)],MATCH(LEFT(D397,3),WaterUseH2[Key],0)),0)</f>
        <v>0</v>
      </c>
      <c r="S397" s="15">
        <f t="shared" si="28"/>
        <v>0</v>
      </c>
    </row>
    <row r="398" spans="1:19" x14ac:dyDescent="0.35">
      <c r="A398" t="s">
        <v>76</v>
      </c>
      <c r="B398">
        <v>2042</v>
      </c>
      <c r="C398" t="s">
        <v>87</v>
      </c>
      <c r="D398" t="s">
        <v>91</v>
      </c>
      <c r="E398" s="13">
        <f>SUMIFS(Biogas!$U:$U,Biogas!$O:$O,Predev_Scenarios!A398,Biogas!$S:$S,Predev_Scenarios!B398,Biogas!$P:$P,Predev_Scenarios!D398)</f>
        <v>5207.9999999999991</v>
      </c>
      <c r="F398" t="s">
        <v>89</v>
      </c>
      <c r="G398">
        <f>SUMIFS(Biogas!$T:$T,Biogas!$O:$O,Predev_Scenarios!A398,Biogas!$S:$S,Predev_Scenarios!B398,Biogas!$P:$P,Predev_Scenarios!D398)</f>
        <v>5.6923439999999994E-3</v>
      </c>
      <c r="H398" s="13" t="str">
        <f>IF(C398="Electricity",E398*SUMIFS(Electricity!S:S,Electricity!P:P,Predev_Scenarios!B398,Electricity!M:M,Predev_Scenarios!A398,Electricity!O:O,Predev_Scenarios!D398),"")</f>
        <v/>
      </c>
      <c r="I398" s="12">
        <f>IFERROR(INDEX(Assumptions!C$112:C$113,MATCH(LEFT($D398,2),Assumptions!$B$112:$B$113,0)),0)</f>
        <v>45</v>
      </c>
      <c r="J398" s="12">
        <f>IFERROR(INDEX(Assumptions!D$112:D$113,MATCH(LEFT($D398,2),Assumptions!$B$112:$B$113,0)),0)</f>
        <v>45</v>
      </c>
      <c r="K398" s="12">
        <f>IFERROR(INDEX(Assumptions!E$112:E$113,MATCH(LEFT($D398,2),Assumptions!$B$112:$B$113,0)),0)</f>
        <v>-54.055</v>
      </c>
      <c r="L398" s="63">
        <f t="shared" si="25"/>
        <v>-0.25615547999999999</v>
      </c>
      <c r="M398" s="63">
        <f t="shared" si="26"/>
        <v>-0.25615547999999999</v>
      </c>
      <c r="N398" s="63">
        <f t="shared" si="27"/>
        <v>0.30769965491999995</v>
      </c>
      <c r="O398" s="30">
        <f>IF(OR(LEFT($D398,5)="Solar",$D398="Wind"),INDEX(Land_Use[AVG],MATCH(LEFT($D398,5),Land_Use[Tech],0)),0)*$E398</f>
        <v>0</v>
      </c>
      <c r="P398" s="30">
        <f>IF(OR(LEFT($D398,5)="Solar",$D398="Wind"),INDEX(Land_Use[MIN],MATCH(LEFT($D398,5),Land_Use[Tech],0)),0)*$E398</f>
        <v>0</v>
      </c>
      <c r="Q398" s="30">
        <f>IF(OR(LEFT($D398,5)="Solar",$D398="Wind"),INDEX(Land_Use[MAX],MATCH(LEFT($D398,5),Land_Use[Tech],0)),0)*$E398</f>
        <v>0</v>
      </c>
      <c r="R398" s="31">
        <f>IFERROR(INDEX(WaterUseH2[Average Direct Water Consumption (Gal/ kg h2)],MATCH(LEFT(D398,3),WaterUseH2[Key],0)),0)</f>
        <v>0</v>
      </c>
      <c r="S398" s="15">
        <f t="shared" si="28"/>
        <v>0</v>
      </c>
    </row>
    <row r="399" spans="1:19" x14ac:dyDescent="0.35">
      <c r="A399" t="s">
        <v>76</v>
      </c>
      <c r="B399">
        <v>2043</v>
      </c>
      <c r="C399" t="s">
        <v>87</v>
      </c>
      <c r="D399" t="s">
        <v>91</v>
      </c>
      <c r="E399" s="13">
        <f>SUMIFS(Biogas!$U:$U,Biogas!$O:$O,Predev_Scenarios!A399,Biogas!$S:$S,Predev_Scenarios!B399,Biogas!$P:$P,Predev_Scenarios!D399)</f>
        <v>5207.9999999999991</v>
      </c>
      <c r="F399" t="s">
        <v>89</v>
      </c>
      <c r="G399">
        <f>SUMIFS(Biogas!$T:$T,Biogas!$O:$O,Predev_Scenarios!A399,Biogas!$S:$S,Predev_Scenarios!B399,Biogas!$P:$P,Predev_Scenarios!D399)</f>
        <v>5.6923439999999994E-3</v>
      </c>
      <c r="H399" s="13" t="str">
        <f>IF(C399="Electricity",E399*SUMIFS(Electricity!S:S,Electricity!P:P,Predev_Scenarios!B399,Electricity!M:M,Predev_Scenarios!A399,Electricity!O:O,Predev_Scenarios!D399),"")</f>
        <v/>
      </c>
      <c r="I399" s="12">
        <f>IFERROR(INDEX(Assumptions!C$112:C$113,MATCH(LEFT($D399,2),Assumptions!$B$112:$B$113,0)),0)</f>
        <v>45</v>
      </c>
      <c r="J399" s="12">
        <f>IFERROR(INDEX(Assumptions!D$112:D$113,MATCH(LEFT($D399,2),Assumptions!$B$112:$B$113,0)),0)</f>
        <v>45</v>
      </c>
      <c r="K399" s="12">
        <f>IFERROR(INDEX(Assumptions!E$112:E$113,MATCH(LEFT($D399,2),Assumptions!$B$112:$B$113,0)),0)</f>
        <v>-54.055</v>
      </c>
      <c r="L399" s="63">
        <f t="shared" si="25"/>
        <v>-0.25615547999999999</v>
      </c>
      <c r="M399" s="63">
        <f t="shared" si="26"/>
        <v>-0.25615547999999999</v>
      </c>
      <c r="N399" s="63">
        <f t="shared" si="27"/>
        <v>0.30769965491999995</v>
      </c>
      <c r="O399" s="30">
        <f>IF(OR(LEFT($D399,5)="Solar",$D399="Wind"),INDEX(Land_Use[AVG],MATCH(LEFT($D399,5),Land_Use[Tech],0)),0)*$E399</f>
        <v>0</v>
      </c>
      <c r="P399" s="30">
        <f>IF(OR(LEFT($D399,5)="Solar",$D399="Wind"),INDEX(Land_Use[MIN],MATCH(LEFT($D399,5),Land_Use[Tech],0)),0)*$E399</f>
        <v>0</v>
      </c>
      <c r="Q399" s="30">
        <f>IF(OR(LEFT($D399,5)="Solar",$D399="Wind"),INDEX(Land_Use[MAX],MATCH(LEFT($D399,5),Land_Use[Tech],0)),0)*$E399</f>
        <v>0</v>
      </c>
      <c r="R399" s="31">
        <f>IFERROR(INDEX(WaterUseH2[Average Direct Water Consumption (Gal/ kg h2)],MATCH(LEFT(D399,3),WaterUseH2[Key],0)),0)</f>
        <v>0</v>
      </c>
      <c r="S399" s="15">
        <f t="shared" si="28"/>
        <v>0</v>
      </c>
    </row>
    <row r="400" spans="1:19" x14ac:dyDescent="0.35">
      <c r="A400" t="s">
        <v>76</v>
      </c>
      <c r="B400">
        <v>2044</v>
      </c>
      <c r="C400" t="s">
        <v>87</v>
      </c>
      <c r="D400" t="s">
        <v>91</v>
      </c>
      <c r="E400" s="13">
        <f>SUMIFS(Biogas!$U:$U,Biogas!$O:$O,Predev_Scenarios!A400,Biogas!$S:$S,Predev_Scenarios!B400,Biogas!$P:$P,Predev_Scenarios!D400)</f>
        <v>5207.9999999999991</v>
      </c>
      <c r="F400" t="s">
        <v>89</v>
      </c>
      <c r="G400">
        <f>SUMIFS(Biogas!$T:$T,Biogas!$O:$O,Predev_Scenarios!A400,Biogas!$S:$S,Predev_Scenarios!B400,Biogas!$P:$P,Predev_Scenarios!D400)</f>
        <v>5.6923439999999994E-3</v>
      </c>
      <c r="H400" s="13" t="str">
        <f>IF(C400="Electricity",E400*SUMIFS(Electricity!S:S,Electricity!P:P,Predev_Scenarios!B400,Electricity!M:M,Predev_Scenarios!A400,Electricity!O:O,Predev_Scenarios!D400),"")</f>
        <v/>
      </c>
      <c r="I400" s="12">
        <f>IFERROR(INDEX(Assumptions!C$112:C$113,MATCH(LEFT($D400,2),Assumptions!$B$112:$B$113,0)),0)</f>
        <v>45</v>
      </c>
      <c r="J400" s="12">
        <f>IFERROR(INDEX(Assumptions!D$112:D$113,MATCH(LEFT($D400,2),Assumptions!$B$112:$B$113,0)),0)</f>
        <v>45</v>
      </c>
      <c r="K400" s="12">
        <f>IFERROR(INDEX(Assumptions!E$112:E$113,MATCH(LEFT($D400,2),Assumptions!$B$112:$B$113,0)),0)</f>
        <v>-54.055</v>
      </c>
      <c r="L400" s="63">
        <f t="shared" si="25"/>
        <v>-0.25615547999999999</v>
      </c>
      <c r="M400" s="63">
        <f t="shared" si="26"/>
        <v>-0.25615547999999999</v>
      </c>
      <c r="N400" s="63">
        <f t="shared" si="27"/>
        <v>0.30769965491999995</v>
      </c>
      <c r="O400" s="30">
        <f>IF(OR(LEFT($D400,5)="Solar",$D400="Wind"),INDEX(Land_Use[AVG],MATCH(LEFT($D400,5),Land_Use[Tech],0)),0)*$E400</f>
        <v>0</v>
      </c>
      <c r="P400" s="30">
        <f>IF(OR(LEFT($D400,5)="Solar",$D400="Wind"),INDEX(Land_Use[MIN],MATCH(LEFT($D400,5),Land_Use[Tech],0)),0)*$E400</f>
        <v>0</v>
      </c>
      <c r="Q400" s="30">
        <f>IF(OR(LEFT($D400,5)="Solar",$D400="Wind"),INDEX(Land_Use[MAX],MATCH(LEFT($D400,5),Land_Use[Tech],0)),0)*$E400</f>
        <v>0</v>
      </c>
      <c r="R400" s="31">
        <f>IFERROR(INDEX(WaterUseH2[Average Direct Water Consumption (Gal/ kg h2)],MATCH(LEFT(D400,3),WaterUseH2[Key],0)),0)</f>
        <v>0</v>
      </c>
      <c r="S400" s="15">
        <f t="shared" si="28"/>
        <v>0</v>
      </c>
    </row>
    <row r="401" spans="1:19" x14ac:dyDescent="0.35">
      <c r="A401" t="s">
        <v>76</v>
      </c>
      <c r="B401">
        <v>2045</v>
      </c>
      <c r="C401" t="s">
        <v>87</v>
      </c>
      <c r="D401" t="s">
        <v>91</v>
      </c>
      <c r="E401" s="13">
        <f>SUMIFS(Biogas!$U:$U,Biogas!$O:$O,Predev_Scenarios!A401,Biogas!$S:$S,Predev_Scenarios!B401,Biogas!$P:$P,Predev_Scenarios!D401)</f>
        <v>5207.9999999999991</v>
      </c>
      <c r="F401" t="s">
        <v>89</v>
      </c>
      <c r="G401">
        <f>SUMIFS(Biogas!$T:$T,Biogas!$O:$O,Predev_Scenarios!A401,Biogas!$S:$S,Predev_Scenarios!B401,Biogas!$P:$P,Predev_Scenarios!D401)</f>
        <v>5.6923439999999994E-3</v>
      </c>
      <c r="H401" s="13" t="str">
        <f>IF(C401="Electricity",E401*SUMIFS(Electricity!S:S,Electricity!P:P,Predev_Scenarios!B401,Electricity!M:M,Predev_Scenarios!A401,Electricity!O:O,Predev_Scenarios!D401),"")</f>
        <v/>
      </c>
      <c r="I401" s="12">
        <f>IFERROR(INDEX(Assumptions!C$112:C$113,MATCH(LEFT($D401,2),Assumptions!$B$112:$B$113,0)),0)</f>
        <v>45</v>
      </c>
      <c r="J401" s="12">
        <f>IFERROR(INDEX(Assumptions!D$112:D$113,MATCH(LEFT($D401,2),Assumptions!$B$112:$B$113,0)),0)</f>
        <v>45</v>
      </c>
      <c r="K401" s="12">
        <f>IFERROR(INDEX(Assumptions!E$112:E$113,MATCH(LEFT($D401,2),Assumptions!$B$112:$B$113,0)),0)</f>
        <v>-54.055</v>
      </c>
      <c r="L401" s="63">
        <f t="shared" si="25"/>
        <v>-0.25615547999999999</v>
      </c>
      <c r="M401" s="63">
        <f t="shared" si="26"/>
        <v>-0.25615547999999999</v>
      </c>
      <c r="N401" s="63">
        <f t="shared" si="27"/>
        <v>0.30769965491999995</v>
      </c>
      <c r="O401" s="30">
        <f>IF(OR(LEFT($D401,5)="Solar",$D401="Wind"),INDEX(Land_Use[AVG],MATCH(LEFT($D401,5),Land_Use[Tech],0)),0)*$E401</f>
        <v>0</v>
      </c>
      <c r="P401" s="30">
        <f>IF(OR(LEFT($D401,5)="Solar",$D401="Wind"),INDEX(Land_Use[MIN],MATCH(LEFT($D401,5),Land_Use[Tech],0)),0)*$E401</f>
        <v>0</v>
      </c>
      <c r="Q401" s="30">
        <f>IF(OR(LEFT($D401,5)="Solar",$D401="Wind"),INDEX(Land_Use[MAX],MATCH(LEFT($D401,5),Land_Use[Tech],0)),0)*$E401</f>
        <v>0</v>
      </c>
      <c r="R401" s="31">
        <f>IFERROR(INDEX(WaterUseH2[Average Direct Water Consumption (Gal/ kg h2)],MATCH(LEFT(D401,3),WaterUseH2[Key],0)),0)</f>
        <v>0</v>
      </c>
      <c r="S401" s="15">
        <f t="shared" si="28"/>
        <v>0</v>
      </c>
    </row>
    <row r="402" spans="1:19" x14ac:dyDescent="0.35">
      <c r="A402" t="s">
        <v>107</v>
      </c>
      <c r="B402">
        <v>2025</v>
      </c>
      <c r="C402" t="s">
        <v>87</v>
      </c>
      <c r="D402" t="s">
        <v>91</v>
      </c>
      <c r="E402" s="13">
        <f>SUMIFS(Biogas!$U:$U,Biogas!$O:$O,Predev_Scenarios!A402,Biogas!$S:$S,Predev_Scenarios!B402,Biogas!$P:$P,Predev_Scenarios!D402)</f>
        <v>3086.2222222222222</v>
      </c>
      <c r="F402" t="s">
        <v>89</v>
      </c>
      <c r="G402">
        <f>SUMIFS(Biogas!$T:$T,Biogas!$O:$O,Predev_Scenarios!A402,Biogas!$S:$S,Predev_Scenarios!B402,Biogas!$P:$P,Predev_Scenarios!D402)</f>
        <v>3.3732408888888887E-3</v>
      </c>
      <c r="H402" s="13" t="str">
        <f>IF(C402="Electricity",E402*SUMIFS(Electricity!S:S,Electricity!P:P,Predev_Scenarios!B402,Electricity!M:M,Predev_Scenarios!A402,Electricity!O:O,Predev_Scenarios!D402),"")</f>
        <v/>
      </c>
      <c r="I402" s="12">
        <f>IFERROR(INDEX(Assumptions!C$112:C$113,MATCH(LEFT($D402,2),Assumptions!$B$112:$B$113,0)),0)</f>
        <v>45</v>
      </c>
      <c r="J402" s="12">
        <f>IFERROR(INDEX(Assumptions!D$112:D$113,MATCH(LEFT($D402,2),Assumptions!$B$112:$B$113,0)),0)</f>
        <v>45</v>
      </c>
      <c r="K402" s="12">
        <f>IFERROR(INDEX(Assumptions!E$112:E$113,MATCH(LEFT($D402,2),Assumptions!$B$112:$B$113,0)),0)</f>
        <v>-54.055</v>
      </c>
      <c r="L402" s="63">
        <f t="shared" si="25"/>
        <v>-0.15179583999999999</v>
      </c>
      <c r="M402" s="63">
        <f t="shared" si="26"/>
        <v>-0.15179583999999999</v>
      </c>
      <c r="N402" s="63">
        <f t="shared" si="27"/>
        <v>0.18234053624888888</v>
      </c>
      <c r="O402" s="30">
        <f>IF(OR(LEFT($D402,5)="Solar",$D402="Wind"),INDEX(Land_Use[AVG],MATCH(LEFT($D402,5),Land_Use[Tech],0)),0)*$E402</f>
        <v>0</v>
      </c>
      <c r="P402" s="30">
        <f>IF(OR(LEFT($D402,5)="Solar",$D402="Wind"),INDEX(Land_Use[MIN],MATCH(LEFT($D402,5),Land_Use[Tech],0)),0)*$E402</f>
        <v>0</v>
      </c>
      <c r="Q402" s="30">
        <f>IF(OR(LEFT($D402,5)="Solar",$D402="Wind"),INDEX(Land_Use[MAX],MATCH(LEFT($D402,5),Land_Use[Tech],0)),0)*$E402</f>
        <v>0</v>
      </c>
      <c r="R402" s="31">
        <f>IFERROR(INDEX(WaterUseH2[Average Direct Water Consumption (Gal/ kg h2)],MATCH(LEFT(D402,3),WaterUseH2[Key],0)),0)</f>
        <v>0</v>
      </c>
      <c r="S402" s="15">
        <f t="shared" si="28"/>
        <v>0</v>
      </c>
    </row>
    <row r="403" spans="1:19" x14ac:dyDescent="0.35">
      <c r="A403" t="s">
        <v>107</v>
      </c>
      <c r="B403">
        <v>2026</v>
      </c>
      <c r="C403" t="s">
        <v>87</v>
      </c>
      <c r="D403" t="s">
        <v>91</v>
      </c>
      <c r="E403" s="13">
        <f>SUMIFS(Biogas!$U:$U,Biogas!$O:$O,Predev_Scenarios!A403,Biogas!$S:$S,Predev_Scenarios!B403,Biogas!$P:$P,Predev_Scenarios!D403)</f>
        <v>3086.2222222222222</v>
      </c>
      <c r="F403" t="s">
        <v>89</v>
      </c>
      <c r="G403">
        <f>SUMIFS(Biogas!$T:$T,Biogas!$O:$O,Predev_Scenarios!A403,Biogas!$S:$S,Predev_Scenarios!B403,Biogas!$P:$P,Predev_Scenarios!D403)</f>
        <v>3.3732408888888887E-3</v>
      </c>
      <c r="H403" s="13" t="str">
        <f>IF(C403="Electricity",E403*SUMIFS(Electricity!S:S,Electricity!P:P,Predev_Scenarios!B403,Electricity!M:M,Predev_Scenarios!A403,Electricity!O:O,Predev_Scenarios!D403),"")</f>
        <v/>
      </c>
      <c r="I403" s="12">
        <f>IFERROR(INDEX(Assumptions!C$112:C$113,MATCH(LEFT($D403,2),Assumptions!$B$112:$B$113,0)),0)</f>
        <v>45</v>
      </c>
      <c r="J403" s="12">
        <f>IFERROR(INDEX(Assumptions!D$112:D$113,MATCH(LEFT($D403,2),Assumptions!$B$112:$B$113,0)),0)</f>
        <v>45</v>
      </c>
      <c r="K403" s="12">
        <f>IFERROR(INDEX(Assumptions!E$112:E$113,MATCH(LEFT($D403,2),Assumptions!$B$112:$B$113,0)),0)</f>
        <v>-54.055</v>
      </c>
      <c r="L403" s="63">
        <f t="shared" si="25"/>
        <v>-0.15179583999999999</v>
      </c>
      <c r="M403" s="63">
        <f t="shared" si="26"/>
        <v>-0.15179583999999999</v>
      </c>
      <c r="N403" s="63">
        <f t="shared" si="27"/>
        <v>0.18234053624888888</v>
      </c>
      <c r="O403" s="30">
        <f>IF(OR(LEFT($D403,5)="Solar",$D403="Wind"),INDEX(Land_Use[AVG],MATCH(LEFT($D403,5),Land_Use[Tech],0)),0)*$E403</f>
        <v>0</v>
      </c>
      <c r="P403" s="30">
        <f>IF(OR(LEFT($D403,5)="Solar",$D403="Wind"),INDEX(Land_Use[MIN],MATCH(LEFT($D403,5),Land_Use[Tech],0)),0)*$E403</f>
        <v>0</v>
      </c>
      <c r="Q403" s="30">
        <f>IF(OR(LEFT($D403,5)="Solar",$D403="Wind"),INDEX(Land_Use[MAX],MATCH(LEFT($D403,5),Land_Use[Tech],0)),0)*$E403</f>
        <v>0</v>
      </c>
      <c r="R403" s="31">
        <f>IFERROR(INDEX(WaterUseH2[Average Direct Water Consumption (Gal/ kg h2)],MATCH(LEFT(D403,3),WaterUseH2[Key],0)),0)</f>
        <v>0</v>
      </c>
      <c r="S403" s="15">
        <f t="shared" si="28"/>
        <v>0</v>
      </c>
    </row>
    <row r="404" spans="1:19" x14ac:dyDescent="0.35">
      <c r="A404" t="s">
        <v>107</v>
      </c>
      <c r="B404">
        <v>2027</v>
      </c>
      <c r="C404" t="s">
        <v>87</v>
      </c>
      <c r="D404" t="s">
        <v>91</v>
      </c>
      <c r="E404" s="13">
        <f>SUMIFS(Biogas!$U:$U,Biogas!$O:$O,Predev_Scenarios!A404,Biogas!$S:$S,Predev_Scenarios!B404,Biogas!$P:$P,Predev_Scenarios!D404)</f>
        <v>3086.2222222222222</v>
      </c>
      <c r="F404" t="s">
        <v>89</v>
      </c>
      <c r="G404">
        <f>SUMIFS(Biogas!$T:$T,Biogas!$O:$O,Predev_Scenarios!A404,Biogas!$S:$S,Predev_Scenarios!B404,Biogas!$P:$P,Predev_Scenarios!D404)</f>
        <v>3.3732408888888887E-3</v>
      </c>
      <c r="H404" s="13" t="str">
        <f>IF(C404="Electricity",E404*SUMIFS(Electricity!S:S,Electricity!P:P,Predev_Scenarios!B404,Electricity!M:M,Predev_Scenarios!A404,Electricity!O:O,Predev_Scenarios!D404),"")</f>
        <v/>
      </c>
      <c r="I404" s="12">
        <f>IFERROR(INDEX(Assumptions!C$112:C$113,MATCH(LEFT($D404,2),Assumptions!$B$112:$B$113,0)),0)</f>
        <v>45</v>
      </c>
      <c r="J404" s="12">
        <f>IFERROR(INDEX(Assumptions!D$112:D$113,MATCH(LEFT($D404,2),Assumptions!$B$112:$B$113,0)),0)</f>
        <v>45</v>
      </c>
      <c r="K404" s="12">
        <f>IFERROR(INDEX(Assumptions!E$112:E$113,MATCH(LEFT($D404,2),Assumptions!$B$112:$B$113,0)),0)</f>
        <v>-54.055</v>
      </c>
      <c r="L404" s="63">
        <f t="shared" si="25"/>
        <v>-0.15179583999999999</v>
      </c>
      <c r="M404" s="63">
        <f t="shared" si="26"/>
        <v>-0.15179583999999999</v>
      </c>
      <c r="N404" s="63">
        <f t="shared" si="27"/>
        <v>0.18234053624888888</v>
      </c>
      <c r="O404" s="30">
        <f>IF(OR(LEFT($D404,5)="Solar",$D404="Wind"),INDEX(Land_Use[AVG],MATCH(LEFT($D404,5),Land_Use[Tech],0)),0)*$E404</f>
        <v>0</v>
      </c>
      <c r="P404" s="30">
        <f>IF(OR(LEFT($D404,5)="Solar",$D404="Wind"),INDEX(Land_Use[MIN],MATCH(LEFT($D404,5),Land_Use[Tech],0)),0)*$E404</f>
        <v>0</v>
      </c>
      <c r="Q404" s="30">
        <f>IF(OR(LEFT($D404,5)="Solar",$D404="Wind"),INDEX(Land_Use[MAX],MATCH(LEFT($D404,5),Land_Use[Tech],0)),0)*$E404</f>
        <v>0</v>
      </c>
      <c r="R404" s="31">
        <f>IFERROR(INDEX(WaterUseH2[Average Direct Water Consumption (Gal/ kg h2)],MATCH(LEFT(D404,3),WaterUseH2[Key],0)),0)</f>
        <v>0</v>
      </c>
      <c r="S404" s="15">
        <f t="shared" si="28"/>
        <v>0</v>
      </c>
    </row>
    <row r="405" spans="1:19" x14ac:dyDescent="0.35">
      <c r="A405" t="s">
        <v>107</v>
      </c>
      <c r="B405">
        <v>2028</v>
      </c>
      <c r="C405" t="s">
        <v>87</v>
      </c>
      <c r="D405" t="s">
        <v>91</v>
      </c>
      <c r="E405" s="13">
        <f>SUMIFS(Biogas!$U:$U,Biogas!$O:$O,Predev_Scenarios!A405,Biogas!$S:$S,Predev_Scenarios!B405,Biogas!$P:$P,Predev_Scenarios!D405)</f>
        <v>4629.333333333333</v>
      </c>
      <c r="F405" t="s">
        <v>89</v>
      </c>
      <c r="G405">
        <f>SUMIFS(Biogas!$T:$T,Biogas!$O:$O,Predev_Scenarios!A405,Biogas!$S:$S,Predev_Scenarios!B405,Biogas!$P:$P,Predev_Scenarios!D405)</f>
        <v>5.0598613333333329E-3</v>
      </c>
      <c r="H405" s="13" t="str">
        <f>IF(C405="Electricity",E405*SUMIFS(Electricity!S:S,Electricity!P:P,Predev_Scenarios!B405,Electricity!M:M,Predev_Scenarios!A405,Electricity!O:O,Predev_Scenarios!D405),"")</f>
        <v/>
      </c>
      <c r="I405" s="12">
        <f>IFERROR(INDEX(Assumptions!C$112:C$113,MATCH(LEFT($D405,2),Assumptions!$B$112:$B$113,0)),0)</f>
        <v>45</v>
      </c>
      <c r="J405" s="12">
        <f>IFERROR(INDEX(Assumptions!D$112:D$113,MATCH(LEFT($D405,2),Assumptions!$B$112:$B$113,0)),0)</f>
        <v>45</v>
      </c>
      <c r="K405" s="12">
        <f>IFERROR(INDEX(Assumptions!E$112:E$113,MATCH(LEFT($D405,2),Assumptions!$B$112:$B$113,0)),0)</f>
        <v>-54.055</v>
      </c>
      <c r="L405" s="63">
        <f t="shared" si="25"/>
        <v>-0.22769375999999997</v>
      </c>
      <c r="M405" s="63">
        <f t="shared" si="26"/>
        <v>-0.22769375999999997</v>
      </c>
      <c r="N405" s="63">
        <f t="shared" si="27"/>
        <v>0.2735108043733333</v>
      </c>
      <c r="O405" s="30">
        <f>IF(OR(LEFT($D405,5)="Solar",$D405="Wind"),INDEX(Land_Use[AVG],MATCH(LEFT($D405,5),Land_Use[Tech],0)),0)*$E405</f>
        <v>0</v>
      </c>
      <c r="P405" s="30">
        <f>IF(OR(LEFT($D405,5)="Solar",$D405="Wind"),INDEX(Land_Use[MIN],MATCH(LEFT($D405,5),Land_Use[Tech],0)),0)*$E405</f>
        <v>0</v>
      </c>
      <c r="Q405" s="30">
        <f>IF(OR(LEFT($D405,5)="Solar",$D405="Wind"),INDEX(Land_Use[MAX],MATCH(LEFT($D405,5),Land_Use[Tech],0)),0)*$E405</f>
        <v>0</v>
      </c>
      <c r="R405" s="31">
        <f>IFERROR(INDEX(WaterUseH2[Average Direct Water Consumption (Gal/ kg h2)],MATCH(LEFT(D405,3),WaterUseH2[Key],0)),0)</f>
        <v>0</v>
      </c>
      <c r="S405" s="15">
        <f t="shared" si="28"/>
        <v>0</v>
      </c>
    </row>
    <row r="406" spans="1:19" x14ac:dyDescent="0.35">
      <c r="A406" t="s">
        <v>107</v>
      </c>
      <c r="B406">
        <v>2029</v>
      </c>
      <c r="C406" t="s">
        <v>87</v>
      </c>
      <c r="D406" t="s">
        <v>91</v>
      </c>
      <c r="E406" s="13">
        <f>SUMIFS(Biogas!$U:$U,Biogas!$O:$O,Predev_Scenarios!A406,Biogas!$S:$S,Predev_Scenarios!B406,Biogas!$P:$P,Predev_Scenarios!D406)</f>
        <v>4629.333333333333</v>
      </c>
      <c r="F406" t="s">
        <v>89</v>
      </c>
      <c r="G406">
        <f>SUMIFS(Biogas!$T:$T,Biogas!$O:$O,Predev_Scenarios!A406,Biogas!$S:$S,Predev_Scenarios!B406,Biogas!$P:$P,Predev_Scenarios!D406)</f>
        <v>5.0598613333333329E-3</v>
      </c>
      <c r="H406" s="13" t="str">
        <f>IF(C406="Electricity",E406*SUMIFS(Electricity!S:S,Electricity!P:P,Predev_Scenarios!B406,Electricity!M:M,Predev_Scenarios!A406,Electricity!O:O,Predev_Scenarios!D406),"")</f>
        <v/>
      </c>
      <c r="I406" s="12">
        <f>IFERROR(INDEX(Assumptions!C$112:C$113,MATCH(LEFT($D406,2),Assumptions!$B$112:$B$113,0)),0)</f>
        <v>45</v>
      </c>
      <c r="J406" s="12">
        <f>IFERROR(INDEX(Assumptions!D$112:D$113,MATCH(LEFT($D406,2),Assumptions!$B$112:$B$113,0)),0)</f>
        <v>45</v>
      </c>
      <c r="K406" s="12">
        <f>IFERROR(INDEX(Assumptions!E$112:E$113,MATCH(LEFT($D406,2),Assumptions!$B$112:$B$113,0)),0)</f>
        <v>-54.055</v>
      </c>
      <c r="L406" s="63">
        <f t="shared" si="25"/>
        <v>-0.22769375999999997</v>
      </c>
      <c r="M406" s="63">
        <f t="shared" si="26"/>
        <v>-0.22769375999999997</v>
      </c>
      <c r="N406" s="63">
        <f t="shared" si="27"/>
        <v>0.2735108043733333</v>
      </c>
      <c r="O406" s="30">
        <f>IF(OR(LEFT($D406,5)="Solar",$D406="Wind"),INDEX(Land_Use[AVG],MATCH(LEFT($D406,5),Land_Use[Tech],0)),0)*$E406</f>
        <v>0</v>
      </c>
      <c r="P406" s="30">
        <f>IF(OR(LEFT($D406,5)="Solar",$D406="Wind"),INDEX(Land_Use[MIN],MATCH(LEFT($D406,5),Land_Use[Tech],0)),0)*$E406</f>
        <v>0</v>
      </c>
      <c r="Q406" s="30">
        <f>IF(OR(LEFT($D406,5)="Solar",$D406="Wind"),INDEX(Land_Use[MAX],MATCH(LEFT($D406,5),Land_Use[Tech],0)),0)*$E406</f>
        <v>0</v>
      </c>
      <c r="R406" s="31">
        <f>IFERROR(INDEX(WaterUseH2[Average Direct Water Consumption (Gal/ kg h2)],MATCH(LEFT(D406,3),WaterUseH2[Key],0)),0)</f>
        <v>0</v>
      </c>
      <c r="S406" s="15">
        <f t="shared" si="28"/>
        <v>0</v>
      </c>
    </row>
    <row r="407" spans="1:19" x14ac:dyDescent="0.35">
      <c r="A407" t="s">
        <v>107</v>
      </c>
      <c r="B407">
        <v>2030</v>
      </c>
      <c r="C407" t="s">
        <v>87</v>
      </c>
      <c r="D407" t="s">
        <v>91</v>
      </c>
      <c r="E407" s="13">
        <f>SUMIFS(Biogas!$U:$U,Biogas!$O:$O,Predev_Scenarios!A407,Biogas!$S:$S,Predev_Scenarios!B407,Biogas!$P:$P,Predev_Scenarios!D407)</f>
        <v>4629.333333333333</v>
      </c>
      <c r="F407" t="s">
        <v>89</v>
      </c>
      <c r="G407">
        <f>SUMIFS(Biogas!$T:$T,Biogas!$O:$O,Predev_Scenarios!A407,Biogas!$S:$S,Predev_Scenarios!B407,Biogas!$P:$P,Predev_Scenarios!D407)</f>
        <v>5.0598613333333329E-3</v>
      </c>
      <c r="H407" s="13" t="str">
        <f>IF(C407="Electricity",E407*SUMIFS(Electricity!S:S,Electricity!P:P,Predev_Scenarios!B407,Electricity!M:M,Predev_Scenarios!A407,Electricity!O:O,Predev_Scenarios!D407),"")</f>
        <v/>
      </c>
      <c r="I407" s="12">
        <f>IFERROR(INDEX(Assumptions!C$112:C$113,MATCH(LEFT($D407,2),Assumptions!$B$112:$B$113,0)),0)</f>
        <v>45</v>
      </c>
      <c r="J407" s="12">
        <f>IFERROR(INDEX(Assumptions!D$112:D$113,MATCH(LEFT($D407,2),Assumptions!$B$112:$B$113,0)),0)</f>
        <v>45</v>
      </c>
      <c r="K407" s="12">
        <f>IFERROR(INDEX(Assumptions!E$112:E$113,MATCH(LEFT($D407,2),Assumptions!$B$112:$B$113,0)),0)</f>
        <v>-54.055</v>
      </c>
      <c r="L407" s="63">
        <f t="shared" si="25"/>
        <v>-0.22769375999999997</v>
      </c>
      <c r="M407" s="63">
        <f t="shared" si="26"/>
        <v>-0.22769375999999997</v>
      </c>
      <c r="N407" s="63">
        <f t="shared" si="27"/>
        <v>0.2735108043733333</v>
      </c>
      <c r="O407" s="30">
        <f>IF(OR(LEFT($D407,5)="Solar",$D407="Wind"),INDEX(Land_Use[AVG],MATCH(LEFT($D407,5),Land_Use[Tech],0)),0)*$E407</f>
        <v>0</v>
      </c>
      <c r="P407" s="30">
        <f>IF(OR(LEFT($D407,5)="Solar",$D407="Wind"),INDEX(Land_Use[MIN],MATCH(LEFT($D407,5),Land_Use[Tech],0)),0)*$E407</f>
        <v>0</v>
      </c>
      <c r="Q407" s="30">
        <f>IF(OR(LEFT($D407,5)="Solar",$D407="Wind"),INDEX(Land_Use[MAX],MATCH(LEFT($D407,5),Land_Use[Tech],0)),0)*$E407</f>
        <v>0</v>
      </c>
      <c r="R407" s="31">
        <f>IFERROR(INDEX(WaterUseH2[Average Direct Water Consumption (Gal/ kg h2)],MATCH(LEFT(D407,3),WaterUseH2[Key],0)),0)</f>
        <v>0</v>
      </c>
      <c r="S407" s="15">
        <f t="shared" si="28"/>
        <v>0</v>
      </c>
    </row>
    <row r="408" spans="1:19" x14ac:dyDescent="0.35">
      <c r="A408" t="s">
        <v>107</v>
      </c>
      <c r="B408">
        <v>2031</v>
      </c>
      <c r="C408" t="s">
        <v>87</v>
      </c>
      <c r="D408" t="s">
        <v>91</v>
      </c>
      <c r="E408" s="13">
        <f>SUMIFS(Biogas!$U:$U,Biogas!$O:$O,Predev_Scenarios!A408,Biogas!$S:$S,Predev_Scenarios!B408,Biogas!$P:$P,Predev_Scenarios!D408)</f>
        <v>4629.333333333333</v>
      </c>
      <c r="F408" t="s">
        <v>89</v>
      </c>
      <c r="G408">
        <f>SUMIFS(Biogas!$T:$T,Biogas!$O:$O,Predev_Scenarios!A408,Biogas!$S:$S,Predev_Scenarios!B408,Biogas!$P:$P,Predev_Scenarios!D408)</f>
        <v>5.0598613333333329E-3</v>
      </c>
      <c r="H408" s="13" t="str">
        <f>IF(C408="Electricity",E408*SUMIFS(Electricity!S:S,Electricity!P:P,Predev_Scenarios!B408,Electricity!M:M,Predev_Scenarios!A408,Electricity!O:O,Predev_Scenarios!D408),"")</f>
        <v/>
      </c>
      <c r="I408" s="12">
        <f>IFERROR(INDEX(Assumptions!C$112:C$113,MATCH(LEFT($D408,2),Assumptions!$B$112:$B$113,0)),0)</f>
        <v>45</v>
      </c>
      <c r="J408" s="12">
        <f>IFERROR(INDEX(Assumptions!D$112:D$113,MATCH(LEFT($D408,2),Assumptions!$B$112:$B$113,0)),0)</f>
        <v>45</v>
      </c>
      <c r="K408" s="12">
        <f>IFERROR(INDEX(Assumptions!E$112:E$113,MATCH(LEFT($D408,2),Assumptions!$B$112:$B$113,0)),0)</f>
        <v>-54.055</v>
      </c>
      <c r="L408" s="63">
        <f t="shared" si="25"/>
        <v>-0.22769375999999997</v>
      </c>
      <c r="M408" s="63">
        <f t="shared" si="26"/>
        <v>-0.22769375999999997</v>
      </c>
      <c r="N408" s="63">
        <f t="shared" si="27"/>
        <v>0.2735108043733333</v>
      </c>
      <c r="O408" s="30">
        <f>IF(OR(LEFT($D408,5)="Solar",$D408="Wind"),INDEX(Land_Use[AVG],MATCH(LEFT($D408,5),Land_Use[Tech],0)),0)*$E408</f>
        <v>0</v>
      </c>
      <c r="P408" s="30">
        <f>IF(OR(LEFT($D408,5)="Solar",$D408="Wind"),INDEX(Land_Use[MIN],MATCH(LEFT($D408,5),Land_Use[Tech],0)),0)*$E408</f>
        <v>0</v>
      </c>
      <c r="Q408" s="30">
        <f>IF(OR(LEFT($D408,5)="Solar",$D408="Wind"),INDEX(Land_Use[MAX],MATCH(LEFT($D408,5),Land_Use[Tech],0)),0)*$E408</f>
        <v>0</v>
      </c>
      <c r="R408" s="31">
        <f>IFERROR(INDEX(WaterUseH2[Average Direct Water Consumption (Gal/ kg h2)],MATCH(LEFT(D408,3),WaterUseH2[Key],0)),0)</f>
        <v>0</v>
      </c>
      <c r="S408" s="15">
        <f t="shared" si="28"/>
        <v>0</v>
      </c>
    </row>
    <row r="409" spans="1:19" x14ac:dyDescent="0.35">
      <c r="A409" t="s">
        <v>107</v>
      </c>
      <c r="B409">
        <v>2032</v>
      </c>
      <c r="C409" t="s">
        <v>87</v>
      </c>
      <c r="D409" t="s">
        <v>91</v>
      </c>
      <c r="E409" s="13">
        <f>SUMIFS(Biogas!$U:$U,Biogas!$O:$O,Predev_Scenarios!A409,Biogas!$S:$S,Predev_Scenarios!B409,Biogas!$P:$P,Predev_Scenarios!D409)</f>
        <v>4629.333333333333</v>
      </c>
      <c r="F409" t="s">
        <v>89</v>
      </c>
      <c r="G409">
        <f>SUMIFS(Biogas!$T:$T,Biogas!$O:$O,Predev_Scenarios!A409,Biogas!$S:$S,Predev_Scenarios!B409,Biogas!$P:$P,Predev_Scenarios!D409)</f>
        <v>5.0598613333333329E-3</v>
      </c>
      <c r="H409" s="13" t="str">
        <f>IF(C409="Electricity",E409*SUMIFS(Electricity!S:S,Electricity!P:P,Predev_Scenarios!B409,Electricity!M:M,Predev_Scenarios!A409,Electricity!O:O,Predev_Scenarios!D409),"")</f>
        <v/>
      </c>
      <c r="I409" s="12">
        <f>IFERROR(INDEX(Assumptions!C$112:C$113,MATCH(LEFT($D409,2),Assumptions!$B$112:$B$113,0)),0)</f>
        <v>45</v>
      </c>
      <c r="J409" s="12">
        <f>IFERROR(INDEX(Assumptions!D$112:D$113,MATCH(LEFT($D409,2),Assumptions!$B$112:$B$113,0)),0)</f>
        <v>45</v>
      </c>
      <c r="K409" s="12">
        <f>IFERROR(INDEX(Assumptions!E$112:E$113,MATCH(LEFT($D409,2),Assumptions!$B$112:$B$113,0)),0)</f>
        <v>-54.055</v>
      </c>
      <c r="L409" s="63">
        <f t="shared" si="25"/>
        <v>-0.22769375999999997</v>
      </c>
      <c r="M409" s="63">
        <f t="shared" si="26"/>
        <v>-0.22769375999999997</v>
      </c>
      <c r="N409" s="63">
        <f t="shared" si="27"/>
        <v>0.2735108043733333</v>
      </c>
      <c r="O409" s="30">
        <f>IF(OR(LEFT($D409,5)="Solar",$D409="Wind"),INDEX(Land_Use[AVG],MATCH(LEFT($D409,5),Land_Use[Tech],0)),0)*$E409</f>
        <v>0</v>
      </c>
      <c r="P409" s="30">
        <f>IF(OR(LEFT($D409,5)="Solar",$D409="Wind"),INDEX(Land_Use[MIN],MATCH(LEFT($D409,5),Land_Use[Tech],0)),0)*$E409</f>
        <v>0</v>
      </c>
      <c r="Q409" s="30">
        <f>IF(OR(LEFT($D409,5)="Solar",$D409="Wind"),INDEX(Land_Use[MAX],MATCH(LEFT($D409,5),Land_Use[Tech],0)),0)*$E409</f>
        <v>0</v>
      </c>
      <c r="R409" s="31">
        <f>IFERROR(INDEX(WaterUseH2[Average Direct Water Consumption (Gal/ kg h2)],MATCH(LEFT(D409,3),WaterUseH2[Key],0)),0)</f>
        <v>0</v>
      </c>
      <c r="S409" s="15">
        <f t="shared" si="28"/>
        <v>0</v>
      </c>
    </row>
    <row r="410" spans="1:19" x14ac:dyDescent="0.35">
      <c r="A410" t="s">
        <v>107</v>
      </c>
      <c r="B410">
        <v>2033</v>
      </c>
      <c r="C410" t="s">
        <v>87</v>
      </c>
      <c r="D410" t="s">
        <v>91</v>
      </c>
      <c r="E410" s="13">
        <f>SUMIFS(Biogas!$U:$U,Biogas!$O:$O,Predev_Scenarios!A410,Biogas!$S:$S,Predev_Scenarios!B410,Biogas!$P:$P,Predev_Scenarios!D410)</f>
        <v>4629.333333333333</v>
      </c>
      <c r="F410" t="s">
        <v>89</v>
      </c>
      <c r="G410">
        <f>SUMIFS(Biogas!$T:$T,Biogas!$O:$O,Predev_Scenarios!A410,Biogas!$S:$S,Predev_Scenarios!B410,Biogas!$P:$P,Predev_Scenarios!D410)</f>
        <v>5.0598613333333329E-3</v>
      </c>
      <c r="H410" s="13" t="str">
        <f>IF(C410="Electricity",E410*SUMIFS(Electricity!S:S,Electricity!P:P,Predev_Scenarios!B410,Electricity!M:M,Predev_Scenarios!A410,Electricity!O:O,Predev_Scenarios!D410),"")</f>
        <v/>
      </c>
      <c r="I410" s="12">
        <f>IFERROR(INDEX(Assumptions!C$112:C$113,MATCH(LEFT($D410,2),Assumptions!$B$112:$B$113,0)),0)</f>
        <v>45</v>
      </c>
      <c r="J410" s="12">
        <f>IFERROR(INDEX(Assumptions!D$112:D$113,MATCH(LEFT($D410,2),Assumptions!$B$112:$B$113,0)),0)</f>
        <v>45</v>
      </c>
      <c r="K410" s="12">
        <f>IFERROR(INDEX(Assumptions!E$112:E$113,MATCH(LEFT($D410,2),Assumptions!$B$112:$B$113,0)),0)</f>
        <v>-54.055</v>
      </c>
      <c r="L410" s="63">
        <f t="shared" si="25"/>
        <v>-0.22769375999999997</v>
      </c>
      <c r="M410" s="63">
        <f t="shared" si="26"/>
        <v>-0.22769375999999997</v>
      </c>
      <c r="N410" s="63">
        <f t="shared" si="27"/>
        <v>0.2735108043733333</v>
      </c>
      <c r="O410" s="30">
        <f>IF(OR(LEFT($D410,5)="Solar",$D410="Wind"),INDEX(Land_Use[AVG],MATCH(LEFT($D410,5),Land_Use[Tech],0)),0)*$E410</f>
        <v>0</v>
      </c>
      <c r="P410" s="30">
        <f>IF(OR(LEFT($D410,5)="Solar",$D410="Wind"),INDEX(Land_Use[MIN],MATCH(LEFT($D410,5),Land_Use[Tech],0)),0)*$E410</f>
        <v>0</v>
      </c>
      <c r="Q410" s="30">
        <f>IF(OR(LEFT($D410,5)="Solar",$D410="Wind"),INDEX(Land_Use[MAX],MATCH(LEFT($D410,5),Land_Use[Tech],0)),0)*$E410</f>
        <v>0</v>
      </c>
      <c r="R410" s="31">
        <f>IFERROR(INDEX(WaterUseH2[Average Direct Water Consumption (Gal/ kg h2)],MATCH(LEFT(D410,3),WaterUseH2[Key],0)),0)</f>
        <v>0</v>
      </c>
      <c r="S410" s="15">
        <f t="shared" si="28"/>
        <v>0</v>
      </c>
    </row>
    <row r="411" spans="1:19" x14ac:dyDescent="0.35">
      <c r="A411" t="s">
        <v>107</v>
      </c>
      <c r="B411">
        <v>2034</v>
      </c>
      <c r="C411" t="s">
        <v>87</v>
      </c>
      <c r="D411" t="s">
        <v>91</v>
      </c>
      <c r="E411" s="13">
        <f>SUMIFS(Biogas!$U:$U,Biogas!$O:$O,Predev_Scenarios!A411,Biogas!$S:$S,Predev_Scenarios!B411,Biogas!$P:$P,Predev_Scenarios!D411)</f>
        <v>6943.9999999999982</v>
      </c>
      <c r="F411" t="s">
        <v>89</v>
      </c>
      <c r="G411">
        <f>SUMIFS(Biogas!$T:$T,Biogas!$O:$O,Predev_Scenarios!A411,Biogas!$S:$S,Predev_Scenarios!B411,Biogas!$P:$P,Predev_Scenarios!D411)</f>
        <v>7.5897919999999989E-3</v>
      </c>
      <c r="H411" s="13" t="str">
        <f>IF(C411="Electricity",E411*SUMIFS(Electricity!S:S,Electricity!P:P,Predev_Scenarios!B411,Electricity!M:M,Predev_Scenarios!A411,Electricity!O:O,Predev_Scenarios!D411),"")</f>
        <v/>
      </c>
      <c r="I411" s="12">
        <f>IFERROR(INDEX(Assumptions!C$112:C$113,MATCH(LEFT($D411,2),Assumptions!$B$112:$B$113,0)),0)</f>
        <v>45</v>
      </c>
      <c r="J411" s="12">
        <f>IFERROR(INDEX(Assumptions!D$112:D$113,MATCH(LEFT($D411,2),Assumptions!$B$112:$B$113,0)),0)</f>
        <v>45</v>
      </c>
      <c r="K411" s="12">
        <f>IFERROR(INDEX(Assumptions!E$112:E$113,MATCH(LEFT($D411,2),Assumptions!$B$112:$B$113,0)),0)</f>
        <v>-54.055</v>
      </c>
      <c r="L411" s="63">
        <f t="shared" si="25"/>
        <v>-0.34154063999999995</v>
      </c>
      <c r="M411" s="63">
        <f t="shared" si="26"/>
        <v>-0.34154063999999995</v>
      </c>
      <c r="N411" s="63">
        <f t="shared" si="27"/>
        <v>0.41026620655999996</v>
      </c>
      <c r="O411" s="30">
        <f>IF(OR(LEFT($D411,5)="Solar",$D411="Wind"),INDEX(Land_Use[AVG],MATCH(LEFT($D411,5),Land_Use[Tech],0)),0)*$E411</f>
        <v>0</v>
      </c>
      <c r="P411" s="30">
        <f>IF(OR(LEFT($D411,5)="Solar",$D411="Wind"),INDEX(Land_Use[MIN],MATCH(LEFT($D411,5),Land_Use[Tech],0)),0)*$E411</f>
        <v>0</v>
      </c>
      <c r="Q411" s="30">
        <f>IF(OR(LEFT($D411,5)="Solar",$D411="Wind"),INDEX(Land_Use[MAX],MATCH(LEFT($D411,5),Land_Use[Tech],0)),0)*$E411</f>
        <v>0</v>
      </c>
      <c r="R411" s="31">
        <f>IFERROR(INDEX(WaterUseH2[Average Direct Water Consumption (Gal/ kg h2)],MATCH(LEFT(D411,3),WaterUseH2[Key],0)),0)</f>
        <v>0</v>
      </c>
      <c r="S411" s="15">
        <f t="shared" si="28"/>
        <v>0</v>
      </c>
    </row>
    <row r="412" spans="1:19" x14ac:dyDescent="0.35">
      <c r="A412" t="s">
        <v>107</v>
      </c>
      <c r="B412">
        <v>2035</v>
      </c>
      <c r="C412" t="s">
        <v>87</v>
      </c>
      <c r="D412" t="s">
        <v>91</v>
      </c>
      <c r="E412" s="13">
        <f>SUMIFS(Biogas!$U:$U,Biogas!$O:$O,Predev_Scenarios!A412,Biogas!$S:$S,Predev_Scenarios!B412,Biogas!$P:$P,Predev_Scenarios!D412)</f>
        <v>6943.9999999999982</v>
      </c>
      <c r="F412" t="s">
        <v>89</v>
      </c>
      <c r="G412">
        <f>SUMIFS(Biogas!$T:$T,Biogas!$O:$O,Predev_Scenarios!A412,Biogas!$S:$S,Predev_Scenarios!B412,Biogas!$P:$P,Predev_Scenarios!D412)</f>
        <v>7.5897919999999989E-3</v>
      </c>
      <c r="H412" s="13" t="str">
        <f>IF(C412="Electricity",E412*SUMIFS(Electricity!S:S,Electricity!P:P,Predev_Scenarios!B412,Electricity!M:M,Predev_Scenarios!A412,Electricity!O:O,Predev_Scenarios!D412),"")</f>
        <v/>
      </c>
      <c r="I412" s="12">
        <f>IFERROR(INDEX(Assumptions!C$112:C$113,MATCH(LEFT($D412,2),Assumptions!$B$112:$B$113,0)),0)</f>
        <v>45</v>
      </c>
      <c r="J412" s="12">
        <f>IFERROR(INDEX(Assumptions!D$112:D$113,MATCH(LEFT($D412,2),Assumptions!$B$112:$B$113,0)),0)</f>
        <v>45</v>
      </c>
      <c r="K412" s="12">
        <f>IFERROR(INDEX(Assumptions!E$112:E$113,MATCH(LEFT($D412,2),Assumptions!$B$112:$B$113,0)),0)</f>
        <v>-54.055</v>
      </c>
      <c r="L412" s="63">
        <f t="shared" si="25"/>
        <v>-0.34154063999999995</v>
      </c>
      <c r="M412" s="63">
        <f t="shared" si="26"/>
        <v>-0.34154063999999995</v>
      </c>
      <c r="N412" s="63">
        <f t="shared" si="27"/>
        <v>0.41026620655999996</v>
      </c>
      <c r="O412" s="30">
        <f>IF(OR(LEFT($D412,5)="Solar",$D412="Wind"),INDEX(Land_Use[AVG],MATCH(LEFT($D412,5),Land_Use[Tech],0)),0)*$E412</f>
        <v>0</v>
      </c>
      <c r="P412" s="30">
        <f>IF(OR(LEFT($D412,5)="Solar",$D412="Wind"),INDEX(Land_Use[MIN],MATCH(LEFT($D412,5),Land_Use[Tech],0)),0)*$E412</f>
        <v>0</v>
      </c>
      <c r="Q412" s="30">
        <f>IF(OR(LEFT($D412,5)="Solar",$D412="Wind"),INDEX(Land_Use[MAX],MATCH(LEFT($D412,5),Land_Use[Tech],0)),0)*$E412</f>
        <v>0</v>
      </c>
      <c r="R412" s="31">
        <f>IFERROR(INDEX(WaterUseH2[Average Direct Water Consumption (Gal/ kg h2)],MATCH(LEFT(D412,3),WaterUseH2[Key],0)),0)</f>
        <v>0</v>
      </c>
      <c r="S412" s="15">
        <f t="shared" si="28"/>
        <v>0</v>
      </c>
    </row>
    <row r="413" spans="1:19" x14ac:dyDescent="0.35">
      <c r="A413" t="s">
        <v>107</v>
      </c>
      <c r="B413">
        <v>2036</v>
      </c>
      <c r="C413" t="s">
        <v>87</v>
      </c>
      <c r="D413" t="s">
        <v>91</v>
      </c>
      <c r="E413" s="13">
        <f>SUMIFS(Biogas!$U:$U,Biogas!$O:$O,Predev_Scenarios!A413,Biogas!$S:$S,Predev_Scenarios!B413,Biogas!$P:$P,Predev_Scenarios!D413)</f>
        <v>6943.9999999999982</v>
      </c>
      <c r="F413" t="s">
        <v>89</v>
      </c>
      <c r="G413">
        <f>SUMIFS(Biogas!$T:$T,Biogas!$O:$O,Predev_Scenarios!A413,Biogas!$S:$S,Predev_Scenarios!B413,Biogas!$P:$P,Predev_Scenarios!D413)</f>
        <v>7.5897919999999989E-3</v>
      </c>
      <c r="H413" s="13" t="str">
        <f>IF(C413="Electricity",E413*SUMIFS(Electricity!S:S,Electricity!P:P,Predev_Scenarios!B413,Electricity!M:M,Predev_Scenarios!A413,Electricity!O:O,Predev_Scenarios!D413),"")</f>
        <v/>
      </c>
      <c r="I413" s="12">
        <f>IFERROR(INDEX(Assumptions!C$112:C$113,MATCH(LEFT($D413,2),Assumptions!$B$112:$B$113,0)),0)</f>
        <v>45</v>
      </c>
      <c r="J413" s="12">
        <f>IFERROR(INDEX(Assumptions!D$112:D$113,MATCH(LEFT($D413,2),Assumptions!$B$112:$B$113,0)),0)</f>
        <v>45</v>
      </c>
      <c r="K413" s="12">
        <f>IFERROR(INDEX(Assumptions!E$112:E$113,MATCH(LEFT($D413,2),Assumptions!$B$112:$B$113,0)),0)</f>
        <v>-54.055</v>
      </c>
      <c r="L413" s="63">
        <f t="shared" si="25"/>
        <v>-0.34154063999999995</v>
      </c>
      <c r="M413" s="63">
        <f t="shared" si="26"/>
        <v>-0.34154063999999995</v>
      </c>
      <c r="N413" s="63">
        <f t="shared" si="27"/>
        <v>0.41026620655999996</v>
      </c>
      <c r="O413" s="30">
        <f>IF(OR(LEFT($D413,5)="Solar",$D413="Wind"),INDEX(Land_Use[AVG],MATCH(LEFT($D413,5),Land_Use[Tech],0)),0)*$E413</f>
        <v>0</v>
      </c>
      <c r="P413" s="30">
        <f>IF(OR(LEFT($D413,5)="Solar",$D413="Wind"),INDEX(Land_Use[MIN],MATCH(LEFT($D413,5),Land_Use[Tech],0)),0)*$E413</f>
        <v>0</v>
      </c>
      <c r="Q413" s="30">
        <f>IF(OR(LEFT($D413,5)="Solar",$D413="Wind"),INDEX(Land_Use[MAX],MATCH(LEFT($D413,5),Land_Use[Tech],0)),0)*$E413</f>
        <v>0</v>
      </c>
      <c r="R413" s="31">
        <f>IFERROR(INDEX(WaterUseH2[Average Direct Water Consumption (Gal/ kg h2)],MATCH(LEFT(D413,3),WaterUseH2[Key],0)),0)</f>
        <v>0</v>
      </c>
      <c r="S413" s="15">
        <f t="shared" si="28"/>
        <v>0</v>
      </c>
    </row>
    <row r="414" spans="1:19" x14ac:dyDescent="0.35">
      <c r="A414" t="s">
        <v>107</v>
      </c>
      <c r="B414">
        <v>2037</v>
      </c>
      <c r="C414" t="s">
        <v>87</v>
      </c>
      <c r="D414" t="s">
        <v>91</v>
      </c>
      <c r="E414" s="13">
        <f>SUMIFS(Biogas!$U:$U,Biogas!$O:$O,Predev_Scenarios!A414,Biogas!$S:$S,Predev_Scenarios!B414,Biogas!$P:$P,Predev_Scenarios!D414)</f>
        <v>6943.9999999999982</v>
      </c>
      <c r="F414" t="s">
        <v>89</v>
      </c>
      <c r="G414">
        <f>SUMIFS(Biogas!$T:$T,Biogas!$O:$O,Predev_Scenarios!A414,Biogas!$S:$S,Predev_Scenarios!B414,Biogas!$P:$P,Predev_Scenarios!D414)</f>
        <v>7.5897919999999989E-3</v>
      </c>
      <c r="H414" s="13" t="str">
        <f>IF(C414="Electricity",E414*SUMIFS(Electricity!S:S,Electricity!P:P,Predev_Scenarios!B414,Electricity!M:M,Predev_Scenarios!A414,Electricity!O:O,Predev_Scenarios!D414),"")</f>
        <v/>
      </c>
      <c r="I414" s="12">
        <f>IFERROR(INDEX(Assumptions!C$112:C$113,MATCH(LEFT($D414,2),Assumptions!$B$112:$B$113,0)),0)</f>
        <v>45</v>
      </c>
      <c r="J414" s="12">
        <f>IFERROR(INDEX(Assumptions!D$112:D$113,MATCH(LEFT($D414,2),Assumptions!$B$112:$B$113,0)),0)</f>
        <v>45</v>
      </c>
      <c r="K414" s="12">
        <f>IFERROR(INDEX(Assumptions!E$112:E$113,MATCH(LEFT($D414,2),Assumptions!$B$112:$B$113,0)),0)</f>
        <v>-54.055</v>
      </c>
      <c r="L414" s="63">
        <f t="shared" si="25"/>
        <v>-0.34154063999999995</v>
      </c>
      <c r="M414" s="63">
        <f t="shared" si="26"/>
        <v>-0.34154063999999995</v>
      </c>
      <c r="N414" s="63">
        <f t="shared" si="27"/>
        <v>0.41026620655999996</v>
      </c>
      <c r="O414" s="30">
        <f>IF(OR(LEFT($D414,5)="Solar",$D414="Wind"),INDEX(Land_Use[AVG],MATCH(LEFT($D414,5),Land_Use[Tech],0)),0)*$E414</f>
        <v>0</v>
      </c>
      <c r="P414" s="30">
        <f>IF(OR(LEFT($D414,5)="Solar",$D414="Wind"),INDEX(Land_Use[MIN],MATCH(LEFT($D414,5),Land_Use[Tech],0)),0)*$E414</f>
        <v>0</v>
      </c>
      <c r="Q414" s="30">
        <f>IF(OR(LEFT($D414,5)="Solar",$D414="Wind"),INDEX(Land_Use[MAX],MATCH(LEFT($D414,5),Land_Use[Tech],0)),0)*$E414</f>
        <v>0</v>
      </c>
      <c r="R414" s="31">
        <f>IFERROR(INDEX(WaterUseH2[Average Direct Water Consumption (Gal/ kg h2)],MATCH(LEFT(D414,3),WaterUseH2[Key],0)),0)</f>
        <v>0</v>
      </c>
      <c r="S414" s="15">
        <f t="shared" si="28"/>
        <v>0</v>
      </c>
    </row>
    <row r="415" spans="1:19" x14ac:dyDescent="0.35">
      <c r="A415" t="s">
        <v>107</v>
      </c>
      <c r="B415">
        <v>2038</v>
      </c>
      <c r="C415" t="s">
        <v>87</v>
      </c>
      <c r="D415" t="s">
        <v>91</v>
      </c>
      <c r="E415" s="13">
        <f>SUMIFS(Biogas!$U:$U,Biogas!$O:$O,Predev_Scenarios!A415,Biogas!$S:$S,Predev_Scenarios!B415,Biogas!$P:$P,Predev_Scenarios!D415)</f>
        <v>6943.9999999999982</v>
      </c>
      <c r="F415" t="s">
        <v>89</v>
      </c>
      <c r="G415">
        <f>SUMIFS(Biogas!$T:$T,Biogas!$O:$O,Predev_Scenarios!A415,Biogas!$S:$S,Predev_Scenarios!B415,Biogas!$P:$P,Predev_Scenarios!D415)</f>
        <v>7.5897919999999989E-3</v>
      </c>
      <c r="H415" s="13" t="str">
        <f>IF(C415="Electricity",E415*SUMIFS(Electricity!S:S,Electricity!P:P,Predev_Scenarios!B415,Electricity!M:M,Predev_Scenarios!A415,Electricity!O:O,Predev_Scenarios!D415),"")</f>
        <v/>
      </c>
      <c r="I415" s="12">
        <f>IFERROR(INDEX(Assumptions!C$112:C$113,MATCH(LEFT($D415,2),Assumptions!$B$112:$B$113,0)),0)</f>
        <v>45</v>
      </c>
      <c r="J415" s="12">
        <f>IFERROR(INDEX(Assumptions!D$112:D$113,MATCH(LEFT($D415,2),Assumptions!$B$112:$B$113,0)),0)</f>
        <v>45</v>
      </c>
      <c r="K415" s="12">
        <f>IFERROR(INDEX(Assumptions!E$112:E$113,MATCH(LEFT($D415,2),Assumptions!$B$112:$B$113,0)),0)</f>
        <v>-54.055</v>
      </c>
      <c r="L415" s="63">
        <f t="shared" si="25"/>
        <v>-0.34154063999999995</v>
      </c>
      <c r="M415" s="63">
        <f t="shared" si="26"/>
        <v>-0.34154063999999995</v>
      </c>
      <c r="N415" s="63">
        <f t="shared" si="27"/>
        <v>0.41026620655999996</v>
      </c>
      <c r="O415" s="30">
        <f>IF(OR(LEFT($D415,5)="Solar",$D415="Wind"),INDEX(Land_Use[AVG],MATCH(LEFT($D415,5),Land_Use[Tech],0)),0)*$E415</f>
        <v>0</v>
      </c>
      <c r="P415" s="30">
        <f>IF(OR(LEFT($D415,5)="Solar",$D415="Wind"),INDEX(Land_Use[MIN],MATCH(LEFT($D415,5),Land_Use[Tech],0)),0)*$E415</f>
        <v>0</v>
      </c>
      <c r="Q415" s="30">
        <f>IF(OR(LEFT($D415,5)="Solar",$D415="Wind"),INDEX(Land_Use[MAX],MATCH(LEFT($D415,5),Land_Use[Tech],0)),0)*$E415</f>
        <v>0</v>
      </c>
      <c r="R415" s="31">
        <f>IFERROR(INDEX(WaterUseH2[Average Direct Water Consumption (Gal/ kg h2)],MATCH(LEFT(D415,3),WaterUseH2[Key],0)),0)</f>
        <v>0</v>
      </c>
      <c r="S415" s="15">
        <f t="shared" si="28"/>
        <v>0</v>
      </c>
    </row>
    <row r="416" spans="1:19" x14ac:dyDescent="0.35">
      <c r="A416" t="s">
        <v>107</v>
      </c>
      <c r="B416">
        <v>2039</v>
      </c>
      <c r="C416" t="s">
        <v>87</v>
      </c>
      <c r="D416" t="s">
        <v>91</v>
      </c>
      <c r="E416" s="13">
        <f>SUMIFS(Biogas!$U:$U,Biogas!$O:$O,Predev_Scenarios!A416,Biogas!$S:$S,Predev_Scenarios!B416,Biogas!$P:$P,Predev_Scenarios!D416)</f>
        <v>6943.9999999999982</v>
      </c>
      <c r="F416" t="s">
        <v>89</v>
      </c>
      <c r="G416">
        <f>SUMIFS(Biogas!$T:$T,Biogas!$O:$O,Predev_Scenarios!A416,Biogas!$S:$S,Predev_Scenarios!B416,Biogas!$P:$P,Predev_Scenarios!D416)</f>
        <v>7.5897919999999989E-3</v>
      </c>
      <c r="H416" s="13" t="str">
        <f>IF(C416="Electricity",E416*SUMIFS(Electricity!S:S,Electricity!P:P,Predev_Scenarios!B416,Electricity!M:M,Predev_Scenarios!A416,Electricity!O:O,Predev_Scenarios!D416),"")</f>
        <v/>
      </c>
      <c r="I416" s="12">
        <f>IFERROR(INDEX(Assumptions!C$112:C$113,MATCH(LEFT($D416,2),Assumptions!$B$112:$B$113,0)),0)</f>
        <v>45</v>
      </c>
      <c r="J416" s="12">
        <f>IFERROR(INDEX(Assumptions!D$112:D$113,MATCH(LEFT($D416,2),Assumptions!$B$112:$B$113,0)),0)</f>
        <v>45</v>
      </c>
      <c r="K416" s="12">
        <f>IFERROR(INDEX(Assumptions!E$112:E$113,MATCH(LEFT($D416,2),Assumptions!$B$112:$B$113,0)),0)</f>
        <v>-54.055</v>
      </c>
      <c r="L416" s="63">
        <f t="shared" si="25"/>
        <v>-0.34154063999999995</v>
      </c>
      <c r="M416" s="63">
        <f t="shared" si="26"/>
        <v>-0.34154063999999995</v>
      </c>
      <c r="N416" s="63">
        <f t="shared" si="27"/>
        <v>0.41026620655999996</v>
      </c>
      <c r="O416" s="30">
        <f>IF(OR(LEFT($D416,5)="Solar",$D416="Wind"),INDEX(Land_Use[AVG],MATCH(LEFT($D416,5),Land_Use[Tech],0)),0)*$E416</f>
        <v>0</v>
      </c>
      <c r="P416" s="30">
        <f>IF(OR(LEFT($D416,5)="Solar",$D416="Wind"),INDEX(Land_Use[MIN],MATCH(LEFT($D416,5),Land_Use[Tech],0)),0)*$E416</f>
        <v>0</v>
      </c>
      <c r="Q416" s="30">
        <f>IF(OR(LEFT($D416,5)="Solar",$D416="Wind"),INDEX(Land_Use[MAX],MATCH(LEFT($D416,5),Land_Use[Tech],0)),0)*$E416</f>
        <v>0</v>
      </c>
      <c r="R416" s="31">
        <f>IFERROR(INDEX(WaterUseH2[Average Direct Water Consumption (Gal/ kg h2)],MATCH(LEFT(D416,3),WaterUseH2[Key],0)),0)</f>
        <v>0</v>
      </c>
      <c r="S416" s="15">
        <f t="shared" si="28"/>
        <v>0</v>
      </c>
    </row>
    <row r="417" spans="1:19" x14ac:dyDescent="0.35">
      <c r="A417" t="s">
        <v>107</v>
      </c>
      <c r="B417">
        <v>2040</v>
      </c>
      <c r="C417" t="s">
        <v>87</v>
      </c>
      <c r="D417" t="s">
        <v>91</v>
      </c>
      <c r="E417" s="13">
        <f>SUMIFS(Biogas!$U:$U,Biogas!$O:$O,Predev_Scenarios!A417,Biogas!$S:$S,Predev_Scenarios!B417,Biogas!$P:$P,Predev_Scenarios!D417)</f>
        <v>10415.999999999998</v>
      </c>
      <c r="F417" t="s">
        <v>89</v>
      </c>
      <c r="G417">
        <f>SUMIFS(Biogas!$T:$T,Biogas!$O:$O,Predev_Scenarios!A417,Biogas!$S:$S,Predev_Scenarios!B417,Biogas!$P:$P,Predev_Scenarios!D417)</f>
        <v>1.1384687999999999E-2</v>
      </c>
      <c r="H417" s="13" t="str">
        <f>IF(C417="Electricity",E417*SUMIFS(Electricity!S:S,Electricity!P:P,Predev_Scenarios!B417,Electricity!M:M,Predev_Scenarios!A417,Electricity!O:O,Predev_Scenarios!D417),"")</f>
        <v/>
      </c>
      <c r="I417" s="12">
        <f>IFERROR(INDEX(Assumptions!C$112:C$113,MATCH(LEFT($D417,2),Assumptions!$B$112:$B$113,0)),0)</f>
        <v>45</v>
      </c>
      <c r="J417" s="12">
        <f>IFERROR(INDEX(Assumptions!D$112:D$113,MATCH(LEFT($D417,2),Assumptions!$B$112:$B$113,0)),0)</f>
        <v>45</v>
      </c>
      <c r="K417" s="12">
        <f>IFERROR(INDEX(Assumptions!E$112:E$113,MATCH(LEFT($D417,2),Assumptions!$B$112:$B$113,0)),0)</f>
        <v>-54.055</v>
      </c>
      <c r="L417" s="63">
        <f t="shared" si="25"/>
        <v>-0.51231095999999998</v>
      </c>
      <c r="M417" s="63">
        <f t="shared" si="26"/>
        <v>-0.51231095999999998</v>
      </c>
      <c r="N417" s="63">
        <f t="shared" si="27"/>
        <v>0.61539930983999991</v>
      </c>
      <c r="O417" s="30">
        <f>IF(OR(LEFT($D417,5)="Solar",$D417="Wind"),INDEX(Land_Use[AVG],MATCH(LEFT($D417,5),Land_Use[Tech],0)),0)*$E417</f>
        <v>0</v>
      </c>
      <c r="P417" s="30">
        <f>IF(OR(LEFT($D417,5)="Solar",$D417="Wind"),INDEX(Land_Use[MIN],MATCH(LEFT($D417,5),Land_Use[Tech],0)),0)*$E417</f>
        <v>0</v>
      </c>
      <c r="Q417" s="30">
        <f>IF(OR(LEFT($D417,5)="Solar",$D417="Wind"),INDEX(Land_Use[MAX],MATCH(LEFT($D417,5),Land_Use[Tech],0)),0)*$E417</f>
        <v>0</v>
      </c>
      <c r="R417" s="31">
        <f>IFERROR(INDEX(WaterUseH2[Average Direct Water Consumption (Gal/ kg h2)],MATCH(LEFT(D417,3),WaterUseH2[Key],0)),0)</f>
        <v>0</v>
      </c>
      <c r="S417" s="15">
        <f t="shared" si="28"/>
        <v>0</v>
      </c>
    </row>
    <row r="418" spans="1:19" x14ac:dyDescent="0.35">
      <c r="A418" t="s">
        <v>107</v>
      </c>
      <c r="B418">
        <v>2041</v>
      </c>
      <c r="C418" t="s">
        <v>87</v>
      </c>
      <c r="D418" t="s">
        <v>91</v>
      </c>
      <c r="E418" s="13">
        <f>SUMIFS(Biogas!$U:$U,Biogas!$O:$O,Predev_Scenarios!A418,Biogas!$S:$S,Predev_Scenarios!B418,Biogas!$P:$P,Predev_Scenarios!D418)</f>
        <v>10415.999999999998</v>
      </c>
      <c r="F418" t="s">
        <v>89</v>
      </c>
      <c r="G418">
        <f>SUMIFS(Biogas!$T:$T,Biogas!$O:$O,Predev_Scenarios!A418,Biogas!$S:$S,Predev_Scenarios!B418,Biogas!$P:$P,Predev_Scenarios!D418)</f>
        <v>1.1384687999999999E-2</v>
      </c>
      <c r="H418" s="13" t="str">
        <f>IF(C418="Electricity",E418*SUMIFS(Electricity!S:S,Electricity!P:P,Predev_Scenarios!B418,Electricity!M:M,Predev_Scenarios!A418,Electricity!O:O,Predev_Scenarios!D418),"")</f>
        <v/>
      </c>
      <c r="I418" s="12">
        <f>IFERROR(INDEX(Assumptions!C$112:C$113,MATCH(LEFT($D418,2),Assumptions!$B$112:$B$113,0)),0)</f>
        <v>45</v>
      </c>
      <c r="J418" s="12">
        <f>IFERROR(INDEX(Assumptions!D$112:D$113,MATCH(LEFT($D418,2),Assumptions!$B$112:$B$113,0)),0)</f>
        <v>45</v>
      </c>
      <c r="K418" s="12">
        <f>IFERROR(INDEX(Assumptions!E$112:E$113,MATCH(LEFT($D418,2),Assumptions!$B$112:$B$113,0)),0)</f>
        <v>-54.055</v>
      </c>
      <c r="L418" s="63">
        <f t="shared" si="25"/>
        <v>-0.51231095999999998</v>
      </c>
      <c r="M418" s="63">
        <f t="shared" si="26"/>
        <v>-0.51231095999999998</v>
      </c>
      <c r="N418" s="63">
        <f t="shared" si="27"/>
        <v>0.61539930983999991</v>
      </c>
      <c r="O418" s="30">
        <f>IF(OR(LEFT($D418,5)="Solar",$D418="Wind"),INDEX(Land_Use[AVG],MATCH(LEFT($D418,5),Land_Use[Tech],0)),0)*$E418</f>
        <v>0</v>
      </c>
      <c r="P418" s="30">
        <f>IF(OR(LEFT($D418,5)="Solar",$D418="Wind"),INDEX(Land_Use[MIN],MATCH(LEFT($D418,5),Land_Use[Tech],0)),0)*$E418</f>
        <v>0</v>
      </c>
      <c r="Q418" s="30">
        <f>IF(OR(LEFT($D418,5)="Solar",$D418="Wind"),INDEX(Land_Use[MAX],MATCH(LEFT($D418,5),Land_Use[Tech],0)),0)*$E418</f>
        <v>0</v>
      </c>
      <c r="R418" s="31">
        <f>IFERROR(INDEX(WaterUseH2[Average Direct Water Consumption (Gal/ kg h2)],MATCH(LEFT(D418,3),WaterUseH2[Key],0)),0)</f>
        <v>0</v>
      </c>
      <c r="S418" s="15">
        <f t="shared" si="28"/>
        <v>0</v>
      </c>
    </row>
    <row r="419" spans="1:19" x14ac:dyDescent="0.35">
      <c r="A419" t="s">
        <v>107</v>
      </c>
      <c r="B419">
        <v>2042</v>
      </c>
      <c r="C419" t="s">
        <v>87</v>
      </c>
      <c r="D419" t="s">
        <v>91</v>
      </c>
      <c r="E419" s="13">
        <f>SUMIFS(Biogas!$U:$U,Biogas!$O:$O,Predev_Scenarios!A419,Biogas!$S:$S,Predev_Scenarios!B419,Biogas!$P:$P,Predev_Scenarios!D419)</f>
        <v>10415.999999999998</v>
      </c>
      <c r="F419" t="s">
        <v>89</v>
      </c>
      <c r="G419">
        <f>SUMIFS(Biogas!$T:$T,Biogas!$O:$O,Predev_Scenarios!A419,Biogas!$S:$S,Predev_Scenarios!B419,Biogas!$P:$P,Predev_Scenarios!D419)</f>
        <v>1.1384687999999999E-2</v>
      </c>
      <c r="H419" s="13" t="str">
        <f>IF(C419="Electricity",E419*SUMIFS(Electricity!S:S,Electricity!P:P,Predev_Scenarios!B419,Electricity!M:M,Predev_Scenarios!A419,Electricity!O:O,Predev_Scenarios!D419),"")</f>
        <v/>
      </c>
      <c r="I419" s="12">
        <f>IFERROR(INDEX(Assumptions!C$112:C$113,MATCH(LEFT($D419,2),Assumptions!$B$112:$B$113,0)),0)</f>
        <v>45</v>
      </c>
      <c r="J419" s="12">
        <f>IFERROR(INDEX(Assumptions!D$112:D$113,MATCH(LEFT($D419,2),Assumptions!$B$112:$B$113,0)),0)</f>
        <v>45</v>
      </c>
      <c r="K419" s="12">
        <f>IFERROR(INDEX(Assumptions!E$112:E$113,MATCH(LEFT($D419,2),Assumptions!$B$112:$B$113,0)),0)</f>
        <v>-54.055</v>
      </c>
      <c r="L419" s="63">
        <f t="shared" si="25"/>
        <v>-0.51231095999999998</v>
      </c>
      <c r="M419" s="63">
        <f t="shared" si="26"/>
        <v>-0.51231095999999998</v>
      </c>
      <c r="N419" s="63">
        <f t="shared" si="27"/>
        <v>0.61539930983999991</v>
      </c>
      <c r="O419" s="30">
        <f>IF(OR(LEFT($D419,5)="Solar",$D419="Wind"),INDEX(Land_Use[AVG],MATCH(LEFT($D419,5),Land_Use[Tech],0)),0)*$E419</f>
        <v>0</v>
      </c>
      <c r="P419" s="30">
        <f>IF(OR(LEFT($D419,5)="Solar",$D419="Wind"),INDEX(Land_Use[MIN],MATCH(LEFT($D419,5),Land_Use[Tech],0)),0)*$E419</f>
        <v>0</v>
      </c>
      <c r="Q419" s="30">
        <f>IF(OR(LEFT($D419,5)="Solar",$D419="Wind"),INDEX(Land_Use[MAX],MATCH(LEFT($D419,5),Land_Use[Tech],0)),0)*$E419</f>
        <v>0</v>
      </c>
      <c r="R419" s="31">
        <f>IFERROR(INDEX(WaterUseH2[Average Direct Water Consumption (Gal/ kg h2)],MATCH(LEFT(D419,3),WaterUseH2[Key],0)),0)</f>
        <v>0</v>
      </c>
      <c r="S419" s="15">
        <f t="shared" si="28"/>
        <v>0</v>
      </c>
    </row>
    <row r="420" spans="1:19" x14ac:dyDescent="0.35">
      <c r="A420" t="s">
        <v>107</v>
      </c>
      <c r="B420">
        <v>2043</v>
      </c>
      <c r="C420" t="s">
        <v>87</v>
      </c>
      <c r="D420" t="s">
        <v>91</v>
      </c>
      <c r="E420" s="13">
        <f>SUMIFS(Biogas!$U:$U,Biogas!$O:$O,Predev_Scenarios!A420,Biogas!$S:$S,Predev_Scenarios!B420,Biogas!$P:$P,Predev_Scenarios!D420)</f>
        <v>10415.999999999998</v>
      </c>
      <c r="F420" t="s">
        <v>89</v>
      </c>
      <c r="G420">
        <f>SUMIFS(Biogas!$T:$T,Biogas!$O:$O,Predev_Scenarios!A420,Biogas!$S:$S,Predev_Scenarios!B420,Biogas!$P:$P,Predev_Scenarios!D420)</f>
        <v>1.1384687999999999E-2</v>
      </c>
      <c r="H420" s="13" t="str">
        <f>IF(C420="Electricity",E420*SUMIFS(Electricity!S:S,Electricity!P:P,Predev_Scenarios!B420,Electricity!M:M,Predev_Scenarios!A420,Electricity!O:O,Predev_Scenarios!D420),"")</f>
        <v/>
      </c>
      <c r="I420" s="12">
        <f>IFERROR(INDEX(Assumptions!C$112:C$113,MATCH(LEFT($D420,2),Assumptions!$B$112:$B$113,0)),0)</f>
        <v>45</v>
      </c>
      <c r="J420" s="12">
        <f>IFERROR(INDEX(Assumptions!D$112:D$113,MATCH(LEFT($D420,2),Assumptions!$B$112:$B$113,0)),0)</f>
        <v>45</v>
      </c>
      <c r="K420" s="12">
        <f>IFERROR(INDEX(Assumptions!E$112:E$113,MATCH(LEFT($D420,2),Assumptions!$B$112:$B$113,0)),0)</f>
        <v>-54.055</v>
      </c>
      <c r="L420" s="63">
        <f t="shared" si="25"/>
        <v>-0.51231095999999998</v>
      </c>
      <c r="M420" s="63">
        <f t="shared" si="26"/>
        <v>-0.51231095999999998</v>
      </c>
      <c r="N420" s="63">
        <f t="shared" si="27"/>
        <v>0.61539930983999991</v>
      </c>
      <c r="O420" s="30">
        <f>IF(OR(LEFT($D420,5)="Solar",$D420="Wind"),INDEX(Land_Use[AVG],MATCH(LEFT($D420,5),Land_Use[Tech],0)),0)*$E420</f>
        <v>0</v>
      </c>
      <c r="P420" s="30">
        <f>IF(OR(LEFT($D420,5)="Solar",$D420="Wind"),INDEX(Land_Use[MIN],MATCH(LEFT($D420,5),Land_Use[Tech],0)),0)*$E420</f>
        <v>0</v>
      </c>
      <c r="Q420" s="30">
        <f>IF(OR(LEFT($D420,5)="Solar",$D420="Wind"),INDEX(Land_Use[MAX],MATCH(LEFT($D420,5),Land_Use[Tech],0)),0)*$E420</f>
        <v>0</v>
      </c>
      <c r="R420" s="31">
        <f>IFERROR(INDEX(WaterUseH2[Average Direct Water Consumption (Gal/ kg h2)],MATCH(LEFT(D420,3),WaterUseH2[Key],0)),0)</f>
        <v>0</v>
      </c>
      <c r="S420" s="15">
        <f t="shared" si="28"/>
        <v>0</v>
      </c>
    </row>
    <row r="421" spans="1:19" x14ac:dyDescent="0.35">
      <c r="A421" t="s">
        <v>107</v>
      </c>
      <c r="B421">
        <v>2044</v>
      </c>
      <c r="C421" t="s">
        <v>87</v>
      </c>
      <c r="D421" t="s">
        <v>91</v>
      </c>
      <c r="E421" s="13">
        <f>SUMIFS(Biogas!$U:$U,Biogas!$O:$O,Predev_Scenarios!A421,Biogas!$S:$S,Predev_Scenarios!B421,Biogas!$P:$P,Predev_Scenarios!D421)</f>
        <v>10415.999999999998</v>
      </c>
      <c r="F421" t="s">
        <v>89</v>
      </c>
      <c r="G421">
        <f>SUMIFS(Biogas!$T:$T,Biogas!$O:$O,Predev_Scenarios!A421,Biogas!$S:$S,Predev_Scenarios!B421,Biogas!$P:$P,Predev_Scenarios!D421)</f>
        <v>1.1384687999999999E-2</v>
      </c>
      <c r="H421" s="13" t="str">
        <f>IF(C421="Electricity",E421*SUMIFS(Electricity!S:S,Electricity!P:P,Predev_Scenarios!B421,Electricity!M:M,Predev_Scenarios!A421,Electricity!O:O,Predev_Scenarios!D421),"")</f>
        <v/>
      </c>
      <c r="I421" s="12">
        <f>IFERROR(INDEX(Assumptions!C$112:C$113,MATCH(LEFT($D421,2),Assumptions!$B$112:$B$113,0)),0)</f>
        <v>45</v>
      </c>
      <c r="J421" s="12">
        <f>IFERROR(INDEX(Assumptions!D$112:D$113,MATCH(LEFT($D421,2),Assumptions!$B$112:$B$113,0)),0)</f>
        <v>45</v>
      </c>
      <c r="K421" s="12">
        <f>IFERROR(INDEX(Assumptions!E$112:E$113,MATCH(LEFT($D421,2),Assumptions!$B$112:$B$113,0)),0)</f>
        <v>-54.055</v>
      </c>
      <c r="L421" s="63">
        <f t="shared" si="25"/>
        <v>-0.51231095999999998</v>
      </c>
      <c r="M421" s="63">
        <f t="shared" si="26"/>
        <v>-0.51231095999999998</v>
      </c>
      <c r="N421" s="63">
        <f t="shared" si="27"/>
        <v>0.61539930983999991</v>
      </c>
      <c r="O421" s="30">
        <f>IF(OR(LEFT($D421,5)="Solar",$D421="Wind"),INDEX(Land_Use[AVG],MATCH(LEFT($D421,5),Land_Use[Tech],0)),0)*$E421</f>
        <v>0</v>
      </c>
      <c r="P421" s="30">
        <f>IF(OR(LEFT($D421,5)="Solar",$D421="Wind"),INDEX(Land_Use[MIN],MATCH(LEFT($D421,5),Land_Use[Tech],0)),0)*$E421</f>
        <v>0</v>
      </c>
      <c r="Q421" s="30">
        <f>IF(OR(LEFT($D421,5)="Solar",$D421="Wind"),INDEX(Land_Use[MAX],MATCH(LEFT($D421,5),Land_Use[Tech],0)),0)*$E421</f>
        <v>0</v>
      </c>
      <c r="R421" s="31">
        <f>IFERROR(INDEX(WaterUseH2[Average Direct Water Consumption (Gal/ kg h2)],MATCH(LEFT(D421,3),WaterUseH2[Key],0)),0)</f>
        <v>0</v>
      </c>
      <c r="S421" s="15">
        <f t="shared" si="28"/>
        <v>0</v>
      </c>
    </row>
    <row r="422" spans="1:19" x14ac:dyDescent="0.35">
      <c r="A422" t="s">
        <v>107</v>
      </c>
      <c r="B422">
        <v>2045</v>
      </c>
      <c r="C422" t="s">
        <v>87</v>
      </c>
      <c r="D422" t="s">
        <v>91</v>
      </c>
      <c r="E422" s="13">
        <f>SUMIFS(Biogas!$U:$U,Biogas!$O:$O,Predev_Scenarios!A422,Biogas!$S:$S,Predev_Scenarios!B422,Biogas!$P:$P,Predev_Scenarios!D422)</f>
        <v>10415.999999999998</v>
      </c>
      <c r="F422" t="s">
        <v>89</v>
      </c>
      <c r="G422">
        <f>SUMIFS(Biogas!$T:$T,Biogas!$O:$O,Predev_Scenarios!A422,Biogas!$S:$S,Predev_Scenarios!B422,Biogas!$P:$P,Predev_Scenarios!D422)</f>
        <v>1.1384687999999999E-2</v>
      </c>
      <c r="H422" s="13" t="str">
        <f>IF(C422="Electricity",E422*SUMIFS(Electricity!S:S,Electricity!P:P,Predev_Scenarios!B422,Electricity!M:M,Predev_Scenarios!A422,Electricity!O:O,Predev_Scenarios!D422),"")</f>
        <v/>
      </c>
      <c r="I422" s="12">
        <f>IFERROR(INDEX(Assumptions!C$112:C$113,MATCH(LEFT($D422,2),Assumptions!$B$112:$B$113,0)),0)</f>
        <v>45</v>
      </c>
      <c r="J422" s="12">
        <f>IFERROR(INDEX(Assumptions!D$112:D$113,MATCH(LEFT($D422,2),Assumptions!$B$112:$B$113,0)),0)</f>
        <v>45</v>
      </c>
      <c r="K422" s="12">
        <f>IFERROR(INDEX(Assumptions!E$112:E$113,MATCH(LEFT($D422,2),Assumptions!$B$112:$B$113,0)),0)</f>
        <v>-54.055</v>
      </c>
      <c r="L422" s="63">
        <f t="shared" si="25"/>
        <v>-0.51231095999999998</v>
      </c>
      <c r="M422" s="63">
        <f t="shared" si="26"/>
        <v>-0.51231095999999998</v>
      </c>
      <c r="N422" s="63">
        <f t="shared" si="27"/>
        <v>0.61539930983999991</v>
      </c>
      <c r="O422" s="30">
        <f>IF(OR(LEFT($D422,5)="Solar",$D422="Wind"),INDEX(Land_Use[AVG],MATCH(LEFT($D422,5),Land_Use[Tech],0)),0)*$E422</f>
        <v>0</v>
      </c>
      <c r="P422" s="30">
        <f>IF(OR(LEFT($D422,5)="Solar",$D422="Wind"),INDEX(Land_Use[MIN],MATCH(LEFT($D422,5),Land_Use[Tech],0)),0)*$E422</f>
        <v>0</v>
      </c>
      <c r="Q422" s="30">
        <f>IF(OR(LEFT($D422,5)="Solar",$D422="Wind"),INDEX(Land_Use[MAX],MATCH(LEFT($D422,5),Land_Use[Tech],0)),0)*$E422</f>
        <v>0</v>
      </c>
      <c r="R422" s="31">
        <f>IFERROR(INDEX(WaterUseH2[Average Direct Water Consumption (Gal/ kg h2)],MATCH(LEFT(D422,3),WaterUseH2[Key],0)),0)</f>
        <v>0</v>
      </c>
      <c r="S422" s="15">
        <f t="shared" si="28"/>
        <v>0</v>
      </c>
    </row>
    <row r="423" spans="1:19" x14ac:dyDescent="0.35">
      <c r="A423" t="s">
        <v>76</v>
      </c>
      <c r="B423">
        <v>2025</v>
      </c>
      <c r="C423" t="s">
        <v>92</v>
      </c>
      <c r="D423" t="s">
        <v>93</v>
      </c>
      <c r="E423" s="9">
        <f>SUMIFS(RenewableJetFuel!$Z:$Z,RenewableJetFuel!S:S,Predev_Scenarios!A423,RenewableJetFuel!W:W,Predev_Scenarios!B423,RenewableJetFuel!T:T,Predev_Scenarios!D423)</f>
        <v>0</v>
      </c>
      <c r="F423" t="s">
        <v>109</v>
      </c>
      <c r="G423">
        <f>SUMIFS(RenewableJetFuel!$Y:$Y,RenewableJetFuel!S:S,Predev_Scenarios!A423,RenewableJetFuel!W:W,Predev_Scenarios!B423,RenewableJetFuel!T:T,Predev_Scenarios!D423)</f>
        <v>0</v>
      </c>
      <c r="H423" s="13" t="str">
        <f>IF(C423="Electricity",E423*SUMIFS(Electricity!S:S,Electricity!P:P,Predev_Scenarios!B423,Electricity!M:M,Predev_Scenarios!A423,Electricity!O:O,Predev_Scenarios!D423),"")</f>
        <v/>
      </c>
      <c r="I423" s="12">
        <f>SUMIFS(RenewableJetFuel!AD:AD,RenewableJetFuel!$S:$S,Predev_Scenarios!$A423,RenewableJetFuel!$T:$T,Predev_Scenarios!$D423,RenewableJetFuel!$W:$W,Predev_Scenarios!$B423)</f>
        <v>-16.64</v>
      </c>
      <c r="J423" s="12">
        <f>SUMIFS(RenewableJetFuel!AE:AE,RenewableJetFuel!$S:$S,Predev_Scenarios!$A423,RenewableJetFuel!$T:$T,Predev_Scenarios!$D423,RenewableJetFuel!$W:$W,Predev_Scenarios!$B423)</f>
        <v>-16.64</v>
      </c>
      <c r="K423" s="12">
        <f>SUMIFS(RenewableJetFuel!AF:AF,RenewableJetFuel!$S:$S,Predev_Scenarios!$A423,RenewableJetFuel!$T:$T,Predev_Scenarios!$D423,RenewableJetFuel!$W:$W,Predev_Scenarios!$B423)</f>
        <v>-39.14</v>
      </c>
      <c r="L423" s="63">
        <f t="shared" si="25"/>
        <v>0</v>
      </c>
      <c r="M423" s="63">
        <f t="shared" si="26"/>
        <v>0</v>
      </c>
      <c r="N423" s="63">
        <f t="shared" si="27"/>
        <v>0</v>
      </c>
      <c r="O423" s="30">
        <f>IF(OR(LEFT($D423,5)="Solar",$D423="Wind"),INDEX(Land_Use[AVG],MATCH(LEFT($D423,5),Land_Use[Tech],0)),0)*$E423</f>
        <v>0</v>
      </c>
      <c r="P423" s="30">
        <f>IF(OR(LEFT($D423,5)="Solar",$D423="Wind"),INDEX(Land_Use[MIN],MATCH(LEFT($D423,5),Land_Use[Tech],0)),0)*$E423</f>
        <v>0</v>
      </c>
      <c r="Q423" s="30">
        <f>IF(OR(LEFT($D423,5)="Solar",$D423="Wind"),INDEX(Land_Use[MAX],MATCH(LEFT($D423,5),Land_Use[Tech],0)),0)*$E423</f>
        <v>0</v>
      </c>
      <c r="R423" s="31">
        <f>IFERROR(INDEX(WaterUseH2[Average Direct Water Consumption (Gal/ kg h2)],MATCH(LEFT(D423,3),WaterUseH2[Key],0)),0)</f>
        <v>0</v>
      </c>
      <c r="S423" s="15">
        <f t="shared" si="28"/>
        <v>0</v>
      </c>
    </row>
    <row r="424" spans="1:19" x14ac:dyDescent="0.35">
      <c r="A424" t="s">
        <v>76</v>
      </c>
      <c r="B424">
        <v>2026</v>
      </c>
      <c r="C424" t="s">
        <v>92</v>
      </c>
      <c r="D424" t="s">
        <v>93</v>
      </c>
      <c r="E424" s="9">
        <f>SUMIFS(RenewableJetFuel!$Z:$Z,RenewableJetFuel!S:S,Predev_Scenarios!A424,RenewableJetFuel!W:W,Predev_Scenarios!B424,RenewableJetFuel!T:T,Predev_Scenarios!D424)</f>
        <v>0</v>
      </c>
      <c r="F424" t="s">
        <v>109</v>
      </c>
      <c r="G424">
        <f>SUMIFS(RenewableJetFuel!$Y:$Y,RenewableJetFuel!S:S,Predev_Scenarios!A424,RenewableJetFuel!W:W,Predev_Scenarios!B424,RenewableJetFuel!T:T,Predev_Scenarios!D424)</f>
        <v>0</v>
      </c>
      <c r="H424" s="13" t="str">
        <f>IF(C424="Electricity",E424*SUMIFS(Electricity!S:S,Electricity!P:P,Predev_Scenarios!B424,Electricity!M:M,Predev_Scenarios!A424,Electricity!O:O,Predev_Scenarios!D424),"")</f>
        <v/>
      </c>
      <c r="I424" s="12">
        <f>SUMIFS(RenewableJetFuel!AD:AD,RenewableJetFuel!$S:$S,Predev_Scenarios!$A424,RenewableJetFuel!$T:$T,Predev_Scenarios!$D424,RenewableJetFuel!$W:$W,Predev_Scenarios!$B424)</f>
        <v>-16.64</v>
      </c>
      <c r="J424" s="12">
        <f>SUMIFS(RenewableJetFuel!AE:AE,RenewableJetFuel!$S:$S,Predev_Scenarios!$A424,RenewableJetFuel!$T:$T,Predev_Scenarios!$D424,RenewableJetFuel!$W:$W,Predev_Scenarios!$B424)</f>
        <v>-16.64</v>
      </c>
      <c r="K424" s="12">
        <f>SUMIFS(RenewableJetFuel!AF:AF,RenewableJetFuel!$S:$S,Predev_Scenarios!$A424,RenewableJetFuel!$T:$T,Predev_Scenarios!$D424,RenewableJetFuel!$W:$W,Predev_Scenarios!$B424)</f>
        <v>-39.14</v>
      </c>
      <c r="L424" s="63">
        <f t="shared" si="25"/>
        <v>0</v>
      </c>
      <c r="M424" s="63">
        <f t="shared" si="26"/>
        <v>0</v>
      </c>
      <c r="N424" s="63">
        <f t="shared" si="27"/>
        <v>0</v>
      </c>
      <c r="O424" s="30">
        <f>IF(OR(LEFT($D424,5)="Solar",$D424="Wind"),INDEX(Land_Use[AVG],MATCH(LEFT($D424,5),Land_Use[Tech],0)),0)*$E424</f>
        <v>0</v>
      </c>
      <c r="P424" s="30">
        <f>IF(OR(LEFT($D424,5)="Solar",$D424="Wind"),INDEX(Land_Use[MIN],MATCH(LEFT($D424,5),Land_Use[Tech],0)),0)*$E424</f>
        <v>0</v>
      </c>
      <c r="Q424" s="30">
        <f>IF(OR(LEFT($D424,5)="Solar",$D424="Wind"),INDEX(Land_Use[MAX],MATCH(LEFT($D424,5),Land_Use[Tech],0)),0)*$E424</f>
        <v>0</v>
      </c>
      <c r="R424" s="31">
        <f>IFERROR(INDEX(WaterUseH2[Average Direct Water Consumption (Gal/ kg h2)],MATCH(LEFT(D424,3),WaterUseH2[Key],0)),0)</f>
        <v>0</v>
      </c>
      <c r="S424" s="15">
        <f t="shared" si="28"/>
        <v>0</v>
      </c>
    </row>
    <row r="425" spans="1:19" x14ac:dyDescent="0.35">
      <c r="A425" t="s">
        <v>76</v>
      </c>
      <c r="B425">
        <v>2027</v>
      </c>
      <c r="C425" t="s">
        <v>92</v>
      </c>
      <c r="D425" t="s">
        <v>93</v>
      </c>
      <c r="E425" s="9">
        <f>SUMIFS(RenewableJetFuel!$Z:$Z,RenewableJetFuel!S:S,Predev_Scenarios!A425,RenewableJetFuel!W:W,Predev_Scenarios!B425,RenewableJetFuel!T:T,Predev_Scenarios!D425)</f>
        <v>0</v>
      </c>
      <c r="F425" t="s">
        <v>109</v>
      </c>
      <c r="G425">
        <f>SUMIFS(RenewableJetFuel!$Y:$Y,RenewableJetFuel!S:S,Predev_Scenarios!A425,RenewableJetFuel!W:W,Predev_Scenarios!B425,RenewableJetFuel!T:T,Predev_Scenarios!D425)</f>
        <v>0</v>
      </c>
      <c r="H425" s="13" t="str">
        <f>IF(C425="Electricity",E425*SUMIFS(Electricity!S:S,Electricity!P:P,Predev_Scenarios!B425,Electricity!M:M,Predev_Scenarios!A425,Electricity!O:O,Predev_Scenarios!D425),"")</f>
        <v/>
      </c>
      <c r="I425" s="12">
        <f>SUMIFS(RenewableJetFuel!AD:AD,RenewableJetFuel!$S:$S,Predev_Scenarios!$A425,RenewableJetFuel!$T:$T,Predev_Scenarios!$D425,RenewableJetFuel!$W:$W,Predev_Scenarios!$B425)</f>
        <v>-16.64</v>
      </c>
      <c r="J425" s="12">
        <f>SUMIFS(RenewableJetFuel!AE:AE,RenewableJetFuel!$S:$S,Predev_Scenarios!$A425,RenewableJetFuel!$T:$T,Predev_Scenarios!$D425,RenewableJetFuel!$W:$W,Predev_Scenarios!$B425)</f>
        <v>-16.64</v>
      </c>
      <c r="K425" s="12">
        <f>SUMIFS(RenewableJetFuel!AF:AF,RenewableJetFuel!$S:$S,Predev_Scenarios!$A425,RenewableJetFuel!$T:$T,Predev_Scenarios!$D425,RenewableJetFuel!$W:$W,Predev_Scenarios!$B425)</f>
        <v>-39.14</v>
      </c>
      <c r="L425" s="63">
        <f t="shared" si="25"/>
        <v>0</v>
      </c>
      <c r="M425" s="63">
        <f t="shared" si="26"/>
        <v>0</v>
      </c>
      <c r="N425" s="63">
        <f t="shared" si="27"/>
        <v>0</v>
      </c>
      <c r="O425" s="30">
        <f>IF(OR(LEFT($D425,5)="Solar",$D425="Wind"),INDEX(Land_Use[AVG],MATCH(LEFT($D425,5),Land_Use[Tech],0)),0)*$E425</f>
        <v>0</v>
      </c>
      <c r="P425" s="30">
        <f>IF(OR(LEFT($D425,5)="Solar",$D425="Wind"),INDEX(Land_Use[MIN],MATCH(LEFT($D425,5),Land_Use[Tech],0)),0)*$E425</f>
        <v>0</v>
      </c>
      <c r="Q425" s="30">
        <f>IF(OR(LEFT($D425,5)="Solar",$D425="Wind"),INDEX(Land_Use[MAX],MATCH(LEFT($D425,5),Land_Use[Tech],0)),0)*$E425</f>
        <v>0</v>
      </c>
      <c r="R425" s="31">
        <f>IFERROR(INDEX(WaterUseH2[Average Direct Water Consumption (Gal/ kg h2)],MATCH(LEFT(D425,3),WaterUseH2[Key],0)),0)</f>
        <v>0</v>
      </c>
      <c r="S425" s="15">
        <f t="shared" si="28"/>
        <v>0</v>
      </c>
    </row>
    <row r="426" spans="1:19" x14ac:dyDescent="0.35">
      <c r="A426" t="s">
        <v>76</v>
      </c>
      <c r="B426">
        <v>2028</v>
      </c>
      <c r="C426" t="s">
        <v>92</v>
      </c>
      <c r="D426" t="s">
        <v>93</v>
      </c>
      <c r="E426" s="9">
        <f>SUMIFS(RenewableJetFuel!$Z:$Z,RenewableJetFuel!S:S,Predev_Scenarios!A426,RenewableJetFuel!W:W,Predev_Scenarios!B426,RenewableJetFuel!T:T,Predev_Scenarios!D426)</f>
        <v>0</v>
      </c>
      <c r="F426" t="s">
        <v>109</v>
      </c>
      <c r="G426">
        <f>SUMIFS(RenewableJetFuel!$Y:$Y,RenewableJetFuel!S:S,Predev_Scenarios!A426,RenewableJetFuel!W:W,Predev_Scenarios!B426,RenewableJetFuel!T:T,Predev_Scenarios!D426)</f>
        <v>0</v>
      </c>
      <c r="H426" s="13" t="str">
        <f>IF(C426="Electricity",E426*SUMIFS(Electricity!S:S,Electricity!P:P,Predev_Scenarios!B426,Electricity!M:M,Predev_Scenarios!A426,Electricity!O:O,Predev_Scenarios!D426),"")</f>
        <v/>
      </c>
      <c r="I426" s="12">
        <f>SUMIFS(RenewableJetFuel!AD:AD,RenewableJetFuel!$S:$S,Predev_Scenarios!$A426,RenewableJetFuel!$T:$T,Predev_Scenarios!$D426,RenewableJetFuel!$W:$W,Predev_Scenarios!$B426)</f>
        <v>-16.64</v>
      </c>
      <c r="J426" s="12">
        <f>SUMIFS(RenewableJetFuel!AE:AE,RenewableJetFuel!$S:$S,Predev_Scenarios!$A426,RenewableJetFuel!$T:$T,Predev_Scenarios!$D426,RenewableJetFuel!$W:$W,Predev_Scenarios!$B426)</f>
        <v>-16.64</v>
      </c>
      <c r="K426" s="12">
        <f>SUMIFS(RenewableJetFuel!AF:AF,RenewableJetFuel!$S:$S,Predev_Scenarios!$A426,RenewableJetFuel!$T:$T,Predev_Scenarios!$D426,RenewableJetFuel!$W:$W,Predev_Scenarios!$B426)</f>
        <v>-39.14</v>
      </c>
      <c r="L426" s="63">
        <f t="shared" si="25"/>
        <v>0</v>
      </c>
      <c r="M426" s="63">
        <f t="shared" si="26"/>
        <v>0</v>
      </c>
      <c r="N426" s="63">
        <f t="shared" si="27"/>
        <v>0</v>
      </c>
      <c r="O426" s="30">
        <f>IF(OR(LEFT($D426,5)="Solar",$D426="Wind"),INDEX(Land_Use[AVG],MATCH(LEFT($D426,5),Land_Use[Tech],0)),0)*$E426</f>
        <v>0</v>
      </c>
      <c r="P426" s="30">
        <f>IF(OR(LEFT($D426,5)="Solar",$D426="Wind"),INDEX(Land_Use[MIN],MATCH(LEFT($D426,5),Land_Use[Tech],0)),0)*$E426</f>
        <v>0</v>
      </c>
      <c r="Q426" s="30">
        <f>IF(OR(LEFT($D426,5)="Solar",$D426="Wind"),INDEX(Land_Use[MAX],MATCH(LEFT($D426,5),Land_Use[Tech],0)),0)*$E426</f>
        <v>0</v>
      </c>
      <c r="R426" s="31">
        <f>IFERROR(INDEX(WaterUseH2[Average Direct Water Consumption (Gal/ kg h2)],MATCH(LEFT(D426,3),WaterUseH2[Key],0)),0)</f>
        <v>0</v>
      </c>
      <c r="S426" s="15">
        <f t="shared" si="28"/>
        <v>0</v>
      </c>
    </row>
    <row r="427" spans="1:19" x14ac:dyDescent="0.35">
      <c r="A427" t="s">
        <v>76</v>
      </c>
      <c r="B427">
        <v>2029</v>
      </c>
      <c r="C427" t="s">
        <v>92</v>
      </c>
      <c r="D427" t="s">
        <v>93</v>
      </c>
      <c r="E427" s="9">
        <f>SUMIFS(RenewableJetFuel!$Z:$Z,RenewableJetFuel!S:S,Predev_Scenarios!A427,RenewableJetFuel!W:W,Predev_Scenarios!B427,RenewableJetFuel!T:T,Predev_Scenarios!D427)</f>
        <v>0</v>
      </c>
      <c r="F427" t="s">
        <v>109</v>
      </c>
      <c r="G427">
        <f>SUMIFS(RenewableJetFuel!$Y:$Y,RenewableJetFuel!S:S,Predev_Scenarios!A427,RenewableJetFuel!W:W,Predev_Scenarios!B427,RenewableJetFuel!T:T,Predev_Scenarios!D427)</f>
        <v>0</v>
      </c>
      <c r="H427" s="13" t="str">
        <f>IF(C427="Electricity",E427*SUMIFS(Electricity!S:S,Electricity!P:P,Predev_Scenarios!B427,Electricity!M:M,Predev_Scenarios!A427,Electricity!O:O,Predev_Scenarios!D427),"")</f>
        <v/>
      </c>
      <c r="I427" s="12">
        <f>SUMIFS(RenewableJetFuel!AD:AD,RenewableJetFuel!$S:$S,Predev_Scenarios!$A427,RenewableJetFuel!$T:$T,Predev_Scenarios!$D427,RenewableJetFuel!$W:$W,Predev_Scenarios!$B427)</f>
        <v>-16.64</v>
      </c>
      <c r="J427" s="12">
        <f>SUMIFS(RenewableJetFuel!AE:AE,RenewableJetFuel!$S:$S,Predev_Scenarios!$A427,RenewableJetFuel!$T:$T,Predev_Scenarios!$D427,RenewableJetFuel!$W:$W,Predev_Scenarios!$B427)</f>
        <v>-16.64</v>
      </c>
      <c r="K427" s="12">
        <f>SUMIFS(RenewableJetFuel!AF:AF,RenewableJetFuel!$S:$S,Predev_Scenarios!$A427,RenewableJetFuel!$T:$T,Predev_Scenarios!$D427,RenewableJetFuel!$W:$W,Predev_Scenarios!$B427)</f>
        <v>-39.14</v>
      </c>
      <c r="L427" s="63">
        <f t="shared" si="25"/>
        <v>0</v>
      </c>
      <c r="M427" s="63">
        <f t="shared" si="26"/>
        <v>0</v>
      </c>
      <c r="N427" s="63">
        <f t="shared" si="27"/>
        <v>0</v>
      </c>
      <c r="O427" s="30">
        <f>IF(OR(LEFT($D427,5)="Solar",$D427="Wind"),INDEX(Land_Use[AVG],MATCH(LEFT($D427,5),Land_Use[Tech],0)),0)*$E427</f>
        <v>0</v>
      </c>
      <c r="P427" s="30">
        <f>IF(OR(LEFT($D427,5)="Solar",$D427="Wind"),INDEX(Land_Use[MIN],MATCH(LEFT($D427,5),Land_Use[Tech],0)),0)*$E427</f>
        <v>0</v>
      </c>
      <c r="Q427" s="30">
        <f>IF(OR(LEFT($D427,5)="Solar",$D427="Wind"),INDEX(Land_Use[MAX],MATCH(LEFT($D427,5),Land_Use[Tech],0)),0)*$E427</f>
        <v>0</v>
      </c>
      <c r="R427" s="31">
        <f>IFERROR(INDEX(WaterUseH2[Average Direct Water Consumption (Gal/ kg h2)],MATCH(LEFT(D427,3),WaterUseH2[Key],0)),0)</f>
        <v>0</v>
      </c>
      <c r="S427" s="15">
        <f t="shared" si="28"/>
        <v>0</v>
      </c>
    </row>
    <row r="428" spans="1:19" x14ac:dyDescent="0.35">
      <c r="A428" t="s">
        <v>76</v>
      </c>
      <c r="B428">
        <v>2030</v>
      </c>
      <c r="C428" t="s">
        <v>92</v>
      </c>
      <c r="D428" t="s">
        <v>93</v>
      </c>
      <c r="E428" s="9">
        <f>SUMIFS(RenewableJetFuel!$Z:$Z,RenewableJetFuel!S:S,Predev_Scenarios!A428,RenewableJetFuel!W:W,Predev_Scenarios!B428,RenewableJetFuel!T:T,Predev_Scenarios!D428)</f>
        <v>0</v>
      </c>
      <c r="F428" t="s">
        <v>109</v>
      </c>
      <c r="G428">
        <f>SUMIFS(RenewableJetFuel!$Y:$Y,RenewableJetFuel!S:S,Predev_Scenarios!A428,RenewableJetFuel!W:W,Predev_Scenarios!B428,RenewableJetFuel!T:T,Predev_Scenarios!D428)</f>
        <v>0</v>
      </c>
      <c r="H428" s="13" t="str">
        <f>IF(C428="Electricity",E428*SUMIFS(Electricity!S:S,Electricity!P:P,Predev_Scenarios!B428,Electricity!M:M,Predev_Scenarios!A428,Electricity!O:O,Predev_Scenarios!D428),"")</f>
        <v/>
      </c>
      <c r="I428" s="12">
        <f>SUMIFS(RenewableJetFuel!AD:AD,RenewableJetFuel!$S:$S,Predev_Scenarios!$A428,RenewableJetFuel!$T:$T,Predev_Scenarios!$D428,RenewableJetFuel!$W:$W,Predev_Scenarios!$B428)</f>
        <v>-16.64</v>
      </c>
      <c r="J428" s="12">
        <f>SUMIFS(RenewableJetFuel!AE:AE,RenewableJetFuel!$S:$S,Predev_Scenarios!$A428,RenewableJetFuel!$T:$T,Predev_Scenarios!$D428,RenewableJetFuel!$W:$W,Predev_Scenarios!$B428)</f>
        <v>-16.64</v>
      </c>
      <c r="K428" s="12">
        <f>SUMIFS(RenewableJetFuel!AF:AF,RenewableJetFuel!$S:$S,Predev_Scenarios!$A428,RenewableJetFuel!$T:$T,Predev_Scenarios!$D428,RenewableJetFuel!$W:$W,Predev_Scenarios!$B428)</f>
        <v>-39.14</v>
      </c>
      <c r="L428" s="63">
        <f t="shared" si="25"/>
        <v>0</v>
      </c>
      <c r="M428" s="63">
        <f t="shared" si="26"/>
        <v>0</v>
      </c>
      <c r="N428" s="63">
        <f t="shared" si="27"/>
        <v>0</v>
      </c>
      <c r="O428" s="30">
        <f>IF(OR(LEFT($D428,5)="Solar",$D428="Wind"),INDEX(Land_Use[AVG],MATCH(LEFT($D428,5),Land_Use[Tech],0)),0)*$E428</f>
        <v>0</v>
      </c>
      <c r="P428" s="30">
        <f>IF(OR(LEFT($D428,5)="Solar",$D428="Wind"),INDEX(Land_Use[MIN],MATCH(LEFT($D428,5),Land_Use[Tech],0)),0)*$E428</f>
        <v>0</v>
      </c>
      <c r="Q428" s="30">
        <f>IF(OR(LEFT($D428,5)="Solar",$D428="Wind"),INDEX(Land_Use[MAX],MATCH(LEFT($D428,5),Land_Use[Tech],0)),0)*$E428</f>
        <v>0</v>
      </c>
      <c r="R428" s="31">
        <f>IFERROR(INDEX(WaterUseH2[Average Direct Water Consumption (Gal/ kg h2)],MATCH(LEFT(D428,3),WaterUseH2[Key],0)),0)</f>
        <v>0</v>
      </c>
      <c r="S428" s="15">
        <f t="shared" si="28"/>
        <v>0</v>
      </c>
    </row>
    <row r="429" spans="1:19" x14ac:dyDescent="0.35">
      <c r="A429" t="s">
        <v>76</v>
      </c>
      <c r="B429">
        <v>2031</v>
      </c>
      <c r="C429" t="s">
        <v>92</v>
      </c>
      <c r="D429" t="s">
        <v>93</v>
      </c>
      <c r="E429" s="9">
        <f>SUMIFS(RenewableJetFuel!$Z:$Z,RenewableJetFuel!S:S,Predev_Scenarios!A429,RenewableJetFuel!W:W,Predev_Scenarios!B429,RenewableJetFuel!T:T,Predev_Scenarios!D429)</f>
        <v>0</v>
      </c>
      <c r="F429" t="s">
        <v>109</v>
      </c>
      <c r="G429">
        <f>SUMIFS(RenewableJetFuel!$Y:$Y,RenewableJetFuel!S:S,Predev_Scenarios!A429,RenewableJetFuel!W:W,Predev_Scenarios!B429,RenewableJetFuel!T:T,Predev_Scenarios!D429)</f>
        <v>0</v>
      </c>
      <c r="H429" s="13" t="str">
        <f>IF(C429="Electricity",E429*SUMIFS(Electricity!S:S,Electricity!P:P,Predev_Scenarios!B429,Electricity!M:M,Predev_Scenarios!A429,Electricity!O:O,Predev_Scenarios!D429),"")</f>
        <v/>
      </c>
      <c r="I429" s="12">
        <f>SUMIFS(RenewableJetFuel!AD:AD,RenewableJetFuel!$S:$S,Predev_Scenarios!$A429,RenewableJetFuel!$T:$T,Predev_Scenarios!$D429,RenewableJetFuel!$W:$W,Predev_Scenarios!$B429)</f>
        <v>-16.64</v>
      </c>
      <c r="J429" s="12">
        <f>SUMIFS(RenewableJetFuel!AE:AE,RenewableJetFuel!$S:$S,Predev_Scenarios!$A429,RenewableJetFuel!$T:$T,Predev_Scenarios!$D429,RenewableJetFuel!$W:$W,Predev_Scenarios!$B429)</f>
        <v>-16.64</v>
      </c>
      <c r="K429" s="12">
        <f>SUMIFS(RenewableJetFuel!AF:AF,RenewableJetFuel!$S:$S,Predev_Scenarios!$A429,RenewableJetFuel!$T:$T,Predev_Scenarios!$D429,RenewableJetFuel!$W:$W,Predev_Scenarios!$B429)</f>
        <v>-39.14</v>
      </c>
      <c r="L429" s="63">
        <f t="shared" si="25"/>
        <v>0</v>
      </c>
      <c r="M429" s="63">
        <f t="shared" si="26"/>
        <v>0</v>
      </c>
      <c r="N429" s="63">
        <f t="shared" si="27"/>
        <v>0</v>
      </c>
      <c r="O429" s="30">
        <f>IF(OR(LEFT($D429,5)="Solar",$D429="Wind"),INDEX(Land_Use[AVG],MATCH(LEFT($D429,5),Land_Use[Tech],0)),0)*$E429</f>
        <v>0</v>
      </c>
      <c r="P429" s="30">
        <f>IF(OR(LEFT($D429,5)="Solar",$D429="Wind"),INDEX(Land_Use[MIN],MATCH(LEFT($D429,5),Land_Use[Tech],0)),0)*$E429</f>
        <v>0</v>
      </c>
      <c r="Q429" s="30">
        <f>IF(OR(LEFT($D429,5)="Solar",$D429="Wind"),INDEX(Land_Use[MAX],MATCH(LEFT($D429,5),Land_Use[Tech],0)),0)*$E429</f>
        <v>0</v>
      </c>
      <c r="R429" s="31">
        <f>IFERROR(INDEX(WaterUseH2[Average Direct Water Consumption (Gal/ kg h2)],MATCH(LEFT(D429,3),WaterUseH2[Key],0)),0)</f>
        <v>0</v>
      </c>
      <c r="S429" s="15">
        <f t="shared" si="28"/>
        <v>0</v>
      </c>
    </row>
    <row r="430" spans="1:19" x14ac:dyDescent="0.35">
      <c r="A430" t="s">
        <v>76</v>
      </c>
      <c r="B430">
        <v>2032</v>
      </c>
      <c r="C430" t="s">
        <v>92</v>
      </c>
      <c r="D430" t="s">
        <v>93</v>
      </c>
      <c r="E430" s="9">
        <f>SUMIFS(RenewableJetFuel!$Z:$Z,RenewableJetFuel!S:S,Predev_Scenarios!A430,RenewableJetFuel!W:W,Predev_Scenarios!B430,RenewableJetFuel!T:T,Predev_Scenarios!D430)</f>
        <v>0</v>
      </c>
      <c r="F430" t="s">
        <v>109</v>
      </c>
      <c r="G430">
        <f>SUMIFS(RenewableJetFuel!$Y:$Y,RenewableJetFuel!S:S,Predev_Scenarios!A430,RenewableJetFuel!W:W,Predev_Scenarios!B430,RenewableJetFuel!T:T,Predev_Scenarios!D430)</f>
        <v>0</v>
      </c>
      <c r="H430" s="13" t="str">
        <f>IF(C430="Electricity",E430*SUMIFS(Electricity!S:S,Electricity!P:P,Predev_Scenarios!B430,Electricity!M:M,Predev_Scenarios!A430,Electricity!O:O,Predev_Scenarios!D430),"")</f>
        <v/>
      </c>
      <c r="I430" s="12">
        <f>SUMIFS(RenewableJetFuel!AD:AD,RenewableJetFuel!$S:$S,Predev_Scenarios!$A430,RenewableJetFuel!$T:$T,Predev_Scenarios!$D430,RenewableJetFuel!$W:$W,Predev_Scenarios!$B430)</f>
        <v>-16.64</v>
      </c>
      <c r="J430" s="12">
        <f>SUMIFS(RenewableJetFuel!AE:AE,RenewableJetFuel!$S:$S,Predev_Scenarios!$A430,RenewableJetFuel!$T:$T,Predev_Scenarios!$D430,RenewableJetFuel!$W:$W,Predev_Scenarios!$B430)</f>
        <v>-16.64</v>
      </c>
      <c r="K430" s="12">
        <f>SUMIFS(RenewableJetFuel!AF:AF,RenewableJetFuel!$S:$S,Predev_Scenarios!$A430,RenewableJetFuel!$T:$T,Predev_Scenarios!$D430,RenewableJetFuel!$W:$W,Predev_Scenarios!$B430)</f>
        <v>-39.14</v>
      </c>
      <c r="L430" s="63">
        <f t="shared" si="25"/>
        <v>0</v>
      </c>
      <c r="M430" s="63">
        <f t="shared" si="26"/>
        <v>0</v>
      </c>
      <c r="N430" s="63">
        <f t="shared" si="27"/>
        <v>0</v>
      </c>
      <c r="O430" s="30">
        <f>IF(OR(LEFT($D430,5)="Solar",$D430="Wind"),INDEX(Land_Use[AVG],MATCH(LEFT($D430,5),Land_Use[Tech],0)),0)*$E430</f>
        <v>0</v>
      </c>
      <c r="P430" s="30">
        <f>IF(OR(LEFT($D430,5)="Solar",$D430="Wind"),INDEX(Land_Use[MIN],MATCH(LEFT($D430,5),Land_Use[Tech],0)),0)*$E430</f>
        <v>0</v>
      </c>
      <c r="Q430" s="30">
        <f>IF(OR(LEFT($D430,5)="Solar",$D430="Wind"),INDEX(Land_Use[MAX],MATCH(LEFT($D430,5),Land_Use[Tech],0)),0)*$E430</f>
        <v>0</v>
      </c>
      <c r="R430" s="31">
        <f>IFERROR(INDEX(WaterUseH2[Average Direct Water Consumption (Gal/ kg h2)],MATCH(LEFT(D430,3),WaterUseH2[Key],0)),0)</f>
        <v>0</v>
      </c>
      <c r="S430" s="15">
        <f t="shared" si="28"/>
        <v>0</v>
      </c>
    </row>
    <row r="431" spans="1:19" x14ac:dyDescent="0.35">
      <c r="A431" t="s">
        <v>76</v>
      </c>
      <c r="B431">
        <v>2033</v>
      </c>
      <c r="C431" t="s">
        <v>92</v>
      </c>
      <c r="D431" t="s">
        <v>93</v>
      </c>
      <c r="E431" s="9">
        <f>SUMIFS(RenewableJetFuel!$Z:$Z,RenewableJetFuel!S:S,Predev_Scenarios!A431,RenewableJetFuel!W:W,Predev_Scenarios!B431,RenewableJetFuel!T:T,Predev_Scenarios!D431)</f>
        <v>0</v>
      </c>
      <c r="F431" t="s">
        <v>109</v>
      </c>
      <c r="G431">
        <f>SUMIFS(RenewableJetFuel!$Y:$Y,RenewableJetFuel!S:S,Predev_Scenarios!A431,RenewableJetFuel!W:W,Predev_Scenarios!B431,RenewableJetFuel!T:T,Predev_Scenarios!D431)</f>
        <v>0</v>
      </c>
      <c r="H431" s="13" t="str">
        <f>IF(C431="Electricity",E431*SUMIFS(Electricity!S:S,Electricity!P:P,Predev_Scenarios!B431,Electricity!M:M,Predev_Scenarios!A431,Electricity!O:O,Predev_Scenarios!D431),"")</f>
        <v/>
      </c>
      <c r="I431" s="12">
        <f>SUMIFS(RenewableJetFuel!AD:AD,RenewableJetFuel!$S:$S,Predev_Scenarios!$A431,RenewableJetFuel!$T:$T,Predev_Scenarios!$D431,RenewableJetFuel!$W:$W,Predev_Scenarios!$B431)</f>
        <v>-16.64</v>
      </c>
      <c r="J431" s="12">
        <f>SUMIFS(RenewableJetFuel!AE:AE,RenewableJetFuel!$S:$S,Predev_Scenarios!$A431,RenewableJetFuel!$T:$T,Predev_Scenarios!$D431,RenewableJetFuel!$W:$W,Predev_Scenarios!$B431)</f>
        <v>-16.64</v>
      </c>
      <c r="K431" s="12">
        <f>SUMIFS(RenewableJetFuel!AF:AF,RenewableJetFuel!$S:$S,Predev_Scenarios!$A431,RenewableJetFuel!$T:$T,Predev_Scenarios!$D431,RenewableJetFuel!$W:$W,Predev_Scenarios!$B431)</f>
        <v>-39.14</v>
      </c>
      <c r="L431" s="63">
        <f t="shared" si="25"/>
        <v>0</v>
      </c>
      <c r="M431" s="63">
        <f t="shared" si="26"/>
        <v>0</v>
      </c>
      <c r="N431" s="63">
        <f t="shared" si="27"/>
        <v>0</v>
      </c>
      <c r="O431" s="30">
        <f>IF(OR(LEFT($D431,5)="Solar",$D431="Wind"),INDEX(Land_Use[AVG],MATCH(LEFT($D431,5),Land_Use[Tech],0)),0)*$E431</f>
        <v>0</v>
      </c>
      <c r="P431" s="30">
        <f>IF(OR(LEFT($D431,5)="Solar",$D431="Wind"),INDEX(Land_Use[MIN],MATCH(LEFT($D431,5),Land_Use[Tech],0)),0)*$E431</f>
        <v>0</v>
      </c>
      <c r="Q431" s="30">
        <f>IF(OR(LEFT($D431,5)="Solar",$D431="Wind"),INDEX(Land_Use[MAX],MATCH(LEFT($D431,5),Land_Use[Tech],0)),0)*$E431</f>
        <v>0</v>
      </c>
      <c r="R431" s="31">
        <f>IFERROR(INDEX(WaterUseH2[Average Direct Water Consumption (Gal/ kg h2)],MATCH(LEFT(D431,3),WaterUseH2[Key],0)),0)</f>
        <v>0</v>
      </c>
      <c r="S431" s="15">
        <f t="shared" si="28"/>
        <v>0</v>
      </c>
    </row>
    <row r="432" spans="1:19" x14ac:dyDescent="0.35">
      <c r="A432" t="s">
        <v>76</v>
      </c>
      <c r="B432">
        <v>2034</v>
      </c>
      <c r="C432" t="s">
        <v>92</v>
      </c>
      <c r="D432" t="s">
        <v>93</v>
      </c>
      <c r="E432" s="9">
        <f>SUMIFS(RenewableJetFuel!$Z:$Z,RenewableJetFuel!S:S,Predev_Scenarios!A432,RenewableJetFuel!W:W,Predev_Scenarios!B432,RenewableJetFuel!T:T,Predev_Scenarios!D432)</f>
        <v>0</v>
      </c>
      <c r="F432" t="s">
        <v>109</v>
      </c>
      <c r="G432">
        <f>SUMIFS(RenewableJetFuel!$Y:$Y,RenewableJetFuel!S:S,Predev_Scenarios!A432,RenewableJetFuel!W:W,Predev_Scenarios!B432,RenewableJetFuel!T:T,Predev_Scenarios!D432)</f>
        <v>0</v>
      </c>
      <c r="H432" s="13" t="str">
        <f>IF(C432="Electricity",E432*SUMIFS(Electricity!S:S,Electricity!P:P,Predev_Scenarios!B432,Electricity!M:M,Predev_Scenarios!A432,Electricity!O:O,Predev_Scenarios!D432),"")</f>
        <v/>
      </c>
      <c r="I432" s="12">
        <f>SUMIFS(RenewableJetFuel!AD:AD,RenewableJetFuel!$S:$S,Predev_Scenarios!$A432,RenewableJetFuel!$T:$T,Predev_Scenarios!$D432,RenewableJetFuel!$W:$W,Predev_Scenarios!$B432)</f>
        <v>-16.64</v>
      </c>
      <c r="J432" s="12">
        <f>SUMIFS(RenewableJetFuel!AE:AE,RenewableJetFuel!$S:$S,Predev_Scenarios!$A432,RenewableJetFuel!$T:$T,Predev_Scenarios!$D432,RenewableJetFuel!$W:$W,Predev_Scenarios!$B432)</f>
        <v>-16.64</v>
      </c>
      <c r="K432" s="12">
        <f>SUMIFS(RenewableJetFuel!AF:AF,RenewableJetFuel!$S:$S,Predev_Scenarios!$A432,RenewableJetFuel!$T:$T,Predev_Scenarios!$D432,RenewableJetFuel!$W:$W,Predev_Scenarios!$B432)</f>
        <v>-39.14</v>
      </c>
      <c r="L432" s="63">
        <f t="shared" si="25"/>
        <v>0</v>
      </c>
      <c r="M432" s="63">
        <f t="shared" si="26"/>
        <v>0</v>
      </c>
      <c r="N432" s="63">
        <f t="shared" si="27"/>
        <v>0</v>
      </c>
      <c r="O432" s="30">
        <f>IF(OR(LEFT($D432,5)="Solar",$D432="Wind"),INDEX(Land_Use[AVG],MATCH(LEFT($D432,5),Land_Use[Tech],0)),0)*$E432</f>
        <v>0</v>
      </c>
      <c r="P432" s="30">
        <f>IF(OR(LEFT($D432,5)="Solar",$D432="Wind"),INDEX(Land_Use[MIN],MATCH(LEFT($D432,5),Land_Use[Tech],0)),0)*$E432</f>
        <v>0</v>
      </c>
      <c r="Q432" s="30">
        <f>IF(OR(LEFT($D432,5)="Solar",$D432="Wind"),INDEX(Land_Use[MAX],MATCH(LEFT($D432,5),Land_Use[Tech],0)),0)*$E432</f>
        <v>0</v>
      </c>
      <c r="R432" s="31">
        <f>IFERROR(INDEX(WaterUseH2[Average Direct Water Consumption (Gal/ kg h2)],MATCH(LEFT(D432,3),WaterUseH2[Key],0)),0)</f>
        <v>0</v>
      </c>
      <c r="S432" s="15">
        <f t="shared" si="28"/>
        <v>0</v>
      </c>
    </row>
    <row r="433" spans="1:19" x14ac:dyDescent="0.35">
      <c r="A433" t="s">
        <v>76</v>
      </c>
      <c r="B433">
        <v>2035</v>
      </c>
      <c r="C433" t="s">
        <v>92</v>
      </c>
      <c r="D433" t="s">
        <v>93</v>
      </c>
      <c r="E433" s="9">
        <f>SUMIFS(RenewableJetFuel!$Z:$Z,RenewableJetFuel!S:S,Predev_Scenarios!A433,RenewableJetFuel!W:W,Predev_Scenarios!B433,RenewableJetFuel!T:T,Predev_Scenarios!D433)</f>
        <v>0</v>
      </c>
      <c r="F433" t="s">
        <v>109</v>
      </c>
      <c r="G433">
        <f>SUMIFS(RenewableJetFuel!$Y:$Y,RenewableJetFuel!S:S,Predev_Scenarios!A433,RenewableJetFuel!W:W,Predev_Scenarios!B433,RenewableJetFuel!T:T,Predev_Scenarios!D433)</f>
        <v>0</v>
      </c>
      <c r="H433" s="13" t="str">
        <f>IF(C433="Electricity",E433*SUMIFS(Electricity!S:S,Electricity!P:P,Predev_Scenarios!B433,Electricity!M:M,Predev_Scenarios!A433,Electricity!O:O,Predev_Scenarios!D433),"")</f>
        <v/>
      </c>
      <c r="I433" s="12">
        <f>SUMIFS(RenewableJetFuel!AD:AD,RenewableJetFuel!$S:$S,Predev_Scenarios!$A433,RenewableJetFuel!$T:$T,Predev_Scenarios!$D433,RenewableJetFuel!$W:$W,Predev_Scenarios!$B433)</f>
        <v>-16.64</v>
      </c>
      <c r="J433" s="12">
        <f>SUMIFS(RenewableJetFuel!AE:AE,RenewableJetFuel!$S:$S,Predev_Scenarios!$A433,RenewableJetFuel!$T:$T,Predev_Scenarios!$D433,RenewableJetFuel!$W:$W,Predev_Scenarios!$B433)</f>
        <v>-16.64</v>
      </c>
      <c r="K433" s="12">
        <f>SUMIFS(RenewableJetFuel!AF:AF,RenewableJetFuel!$S:$S,Predev_Scenarios!$A433,RenewableJetFuel!$T:$T,Predev_Scenarios!$D433,RenewableJetFuel!$W:$W,Predev_Scenarios!$B433)</f>
        <v>-39.14</v>
      </c>
      <c r="L433" s="63">
        <f t="shared" si="25"/>
        <v>0</v>
      </c>
      <c r="M433" s="63">
        <f t="shared" si="26"/>
        <v>0</v>
      </c>
      <c r="N433" s="63">
        <f t="shared" si="27"/>
        <v>0</v>
      </c>
      <c r="O433" s="30">
        <f>IF(OR(LEFT($D433,5)="Solar",$D433="Wind"),INDEX(Land_Use[AVG],MATCH(LEFT($D433,5),Land_Use[Tech],0)),0)*$E433</f>
        <v>0</v>
      </c>
      <c r="P433" s="30">
        <f>IF(OR(LEFT($D433,5)="Solar",$D433="Wind"),INDEX(Land_Use[MIN],MATCH(LEFT($D433,5),Land_Use[Tech],0)),0)*$E433</f>
        <v>0</v>
      </c>
      <c r="Q433" s="30">
        <f>IF(OR(LEFT($D433,5)="Solar",$D433="Wind"),INDEX(Land_Use[MAX],MATCH(LEFT($D433,5),Land_Use[Tech],0)),0)*$E433</f>
        <v>0</v>
      </c>
      <c r="R433" s="31">
        <f>IFERROR(INDEX(WaterUseH2[Average Direct Water Consumption (Gal/ kg h2)],MATCH(LEFT(D433,3),WaterUseH2[Key],0)),0)</f>
        <v>0</v>
      </c>
      <c r="S433" s="15">
        <f t="shared" si="28"/>
        <v>0</v>
      </c>
    </row>
    <row r="434" spans="1:19" x14ac:dyDescent="0.35">
      <c r="A434" t="s">
        <v>76</v>
      </c>
      <c r="B434">
        <v>2036</v>
      </c>
      <c r="C434" t="s">
        <v>92</v>
      </c>
      <c r="D434" t="s">
        <v>93</v>
      </c>
      <c r="E434" s="9">
        <f>SUMIFS(RenewableJetFuel!$Z:$Z,RenewableJetFuel!S:S,Predev_Scenarios!A434,RenewableJetFuel!W:W,Predev_Scenarios!B434,RenewableJetFuel!T:T,Predev_Scenarios!D434)</f>
        <v>0</v>
      </c>
      <c r="F434" t="s">
        <v>109</v>
      </c>
      <c r="G434">
        <f>SUMIFS(RenewableJetFuel!$Y:$Y,RenewableJetFuel!S:S,Predev_Scenarios!A434,RenewableJetFuel!W:W,Predev_Scenarios!B434,RenewableJetFuel!T:T,Predev_Scenarios!D434)</f>
        <v>0</v>
      </c>
      <c r="H434" s="13" t="str">
        <f>IF(C434="Electricity",E434*SUMIFS(Electricity!S:S,Electricity!P:P,Predev_Scenarios!B434,Electricity!M:M,Predev_Scenarios!A434,Electricity!O:O,Predev_Scenarios!D434),"")</f>
        <v/>
      </c>
      <c r="I434" s="12">
        <f>SUMIFS(RenewableJetFuel!AD:AD,RenewableJetFuel!$S:$S,Predev_Scenarios!$A434,RenewableJetFuel!$T:$T,Predev_Scenarios!$D434,RenewableJetFuel!$W:$W,Predev_Scenarios!$B434)</f>
        <v>-16.64</v>
      </c>
      <c r="J434" s="12">
        <f>SUMIFS(RenewableJetFuel!AE:AE,RenewableJetFuel!$S:$S,Predev_Scenarios!$A434,RenewableJetFuel!$T:$T,Predev_Scenarios!$D434,RenewableJetFuel!$W:$W,Predev_Scenarios!$B434)</f>
        <v>-16.64</v>
      </c>
      <c r="K434" s="12">
        <f>SUMIFS(RenewableJetFuel!AF:AF,RenewableJetFuel!$S:$S,Predev_Scenarios!$A434,RenewableJetFuel!$T:$T,Predev_Scenarios!$D434,RenewableJetFuel!$W:$W,Predev_Scenarios!$B434)</f>
        <v>-39.14</v>
      </c>
      <c r="L434" s="63">
        <f t="shared" si="25"/>
        <v>0</v>
      </c>
      <c r="M434" s="63">
        <f t="shared" si="26"/>
        <v>0</v>
      </c>
      <c r="N434" s="63">
        <f t="shared" si="27"/>
        <v>0</v>
      </c>
      <c r="O434" s="30">
        <f>IF(OR(LEFT($D434,5)="Solar",$D434="Wind"),INDEX(Land_Use[AVG],MATCH(LEFT($D434,5),Land_Use[Tech],0)),0)*$E434</f>
        <v>0</v>
      </c>
      <c r="P434" s="30">
        <f>IF(OR(LEFT($D434,5)="Solar",$D434="Wind"),INDEX(Land_Use[MIN],MATCH(LEFT($D434,5),Land_Use[Tech],0)),0)*$E434</f>
        <v>0</v>
      </c>
      <c r="Q434" s="30">
        <f>IF(OR(LEFT($D434,5)="Solar",$D434="Wind"),INDEX(Land_Use[MAX],MATCH(LEFT($D434,5),Land_Use[Tech],0)),0)*$E434</f>
        <v>0</v>
      </c>
      <c r="R434" s="31">
        <f>IFERROR(INDEX(WaterUseH2[Average Direct Water Consumption (Gal/ kg h2)],MATCH(LEFT(D434,3),WaterUseH2[Key],0)),0)</f>
        <v>0</v>
      </c>
      <c r="S434" s="15">
        <f t="shared" si="28"/>
        <v>0</v>
      </c>
    </row>
    <row r="435" spans="1:19" x14ac:dyDescent="0.35">
      <c r="A435" t="s">
        <v>76</v>
      </c>
      <c r="B435">
        <v>2037</v>
      </c>
      <c r="C435" t="s">
        <v>92</v>
      </c>
      <c r="D435" t="s">
        <v>93</v>
      </c>
      <c r="E435" s="9">
        <f>SUMIFS(RenewableJetFuel!$Z:$Z,RenewableJetFuel!S:S,Predev_Scenarios!A435,RenewableJetFuel!W:W,Predev_Scenarios!B435,RenewableJetFuel!T:T,Predev_Scenarios!D435)</f>
        <v>0</v>
      </c>
      <c r="F435" t="s">
        <v>109</v>
      </c>
      <c r="G435">
        <f>SUMIFS(RenewableJetFuel!$Y:$Y,RenewableJetFuel!S:S,Predev_Scenarios!A435,RenewableJetFuel!W:W,Predev_Scenarios!B435,RenewableJetFuel!T:T,Predev_Scenarios!D435)</f>
        <v>0</v>
      </c>
      <c r="H435" s="13" t="str">
        <f>IF(C435="Electricity",E435*SUMIFS(Electricity!S:S,Electricity!P:P,Predev_Scenarios!B435,Electricity!M:M,Predev_Scenarios!A435,Electricity!O:O,Predev_Scenarios!D435),"")</f>
        <v/>
      </c>
      <c r="I435" s="12">
        <f>SUMIFS(RenewableJetFuel!AD:AD,RenewableJetFuel!$S:$S,Predev_Scenarios!$A435,RenewableJetFuel!$T:$T,Predev_Scenarios!$D435,RenewableJetFuel!$W:$W,Predev_Scenarios!$B435)</f>
        <v>-16.64</v>
      </c>
      <c r="J435" s="12">
        <f>SUMIFS(RenewableJetFuel!AE:AE,RenewableJetFuel!$S:$S,Predev_Scenarios!$A435,RenewableJetFuel!$T:$T,Predev_Scenarios!$D435,RenewableJetFuel!$W:$W,Predev_Scenarios!$B435)</f>
        <v>-16.64</v>
      </c>
      <c r="K435" s="12">
        <f>SUMIFS(RenewableJetFuel!AF:AF,RenewableJetFuel!$S:$S,Predev_Scenarios!$A435,RenewableJetFuel!$T:$T,Predev_Scenarios!$D435,RenewableJetFuel!$W:$W,Predev_Scenarios!$B435)</f>
        <v>-39.14</v>
      </c>
      <c r="L435" s="63">
        <f t="shared" si="25"/>
        <v>0</v>
      </c>
      <c r="M435" s="63">
        <f t="shared" si="26"/>
        <v>0</v>
      </c>
      <c r="N435" s="63">
        <f t="shared" si="27"/>
        <v>0</v>
      </c>
      <c r="O435" s="30">
        <f>IF(OR(LEFT($D435,5)="Solar",$D435="Wind"),INDEX(Land_Use[AVG],MATCH(LEFT($D435,5),Land_Use[Tech],0)),0)*$E435</f>
        <v>0</v>
      </c>
      <c r="P435" s="30">
        <f>IF(OR(LEFT($D435,5)="Solar",$D435="Wind"),INDEX(Land_Use[MIN],MATCH(LEFT($D435,5),Land_Use[Tech],0)),0)*$E435</f>
        <v>0</v>
      </c>
      <c r="Q435" s="30">
        <f>IF(OR(LEFT($D435,5)="Solar",$D435="Wind"),INDEX(Land_Use[MAX],MATCH(LEFT($D435,5),Land_Use[Tech],0)),0)*$E435</f>
        <v>0</v>
      </c>
      <c r="R435" s="31">
        <f>IFERROR(INDEX(WaterUseH2[Average Direct Water Consumption (Gal/ kg h2)],MATCH(LEFT(D435,3),WaterUseH2[Key],0)),0)</f>
        <v>0</v>
      </c>
      <c r="S435" s="15">
        <f t="shared" si="28"/>
        <v>0</v>
      </c>
    </row>
    <row r="436" spans="1:19" x14ac:dyDescent="0.35">
      <c r="A436" t="s">
        <v>76</v>
      </c>
      <c r="B436">
        <v>2038</v>
      </c>
      <c r="C436" t="s">
        <v>92</v>
      </c>
      <c r="D436" t="s">
        <v>93</v>
      </c>
      <c r="E436" s="9">
        <f>SUMIFS(RenewableJetFuel!$Z:$Z,RenewableJetFuel!S:S,Predev_Scenarios!A436,RenewableJetFuel!W:W,Predev_Scenarios!B436,RenewableJetFuel!T:T,Predev_Scenarios!D436)</f>
        <v>0</v>
      </c>
      <c r="F436" t="s">
        <v>109</v>
      </c>
      <c r="G436">
        <f>SUMIFS(RenewableJetFuel!$Y:$Y,RenewableJetFuel!S:S,Predev_Scenarios!A436,RenewableJetFuel!W:W,Predev_Scenarios!B436,RenewableJetFuel!T:T,Predev_Scenarios!D436)</f>
        <v>0</v>
      </c>
      <c r="H436" s="13" t="str">
        <f>IF(C436="Electricity",E436*SUMIFS(Electricity!S:S,Electricity!P:P,Predev_Scenarios!B436,Electricity!M:M,Predev_Scenarios!A436,Electricity!O:O,Predev_Scenarios!D436),"")</f>
        <v/>
      </c>
      <c r="I436" s="12">
        <f>SUMIFS(RenewableJetFuel!AD:AD,RenewableJetFuel!$S:$S,Predev_Scenarios!$A436,RenewableJetFuel!$T:$T,Predev_Scenarios!$D436,RenewableJetFuel!$W:$W,Predev_Scenarios!$B436)</f>
        <v>-16.64</v>
      </c>
      <c r="J436" s="12">
        <f>SUMIFS(RenewableJetFuel!AE:AE,RenewableJetFuel!$S:$S,Predev_Scenarios!$A436,RenewableJetFuel!$T:$T,Predev_Scenarios!$D436,RenewableJetFuel!$W:$W,Predev_Scenarios!$B436)</f>
        <v>-16.64</v>
      </c>
      <c r="K436" s="12">
        <f>SUMIFS(RenewableJetFuel!AF:AF,RenewableJetFuel!$S:$S,Predev_Scenarios!$A436,RenewableJetFuel!$T:$T,Predev_Scenarios!$D436,RenewableJetFuel!$W:$W,Predev_Scenarios!$B436)</f>
        <v>-39.14</v>
      </c>
      <c r="L436" s="63">
        <f t="shared" si="25"/>
        <v>0</v>
      </c>
      <c r="M436" s="63">
        <f t="shared" si="26"/>
        <v>0</v>
      </c>
      <c r="N436" s="63">
        <f t="shared" si="27"/>
        <v>0</v>
      </c>
      <c r="O436" s="30">
        <f>IF(OR(LEFT($D436,5)="Solar",$D436="Wind"),INDEX(Land_Use[AVG],MATCH(LEFT($D436,5),Land_Use[Tech],0)),0)*$E436</f>
        <v>0</v>
      </c>
      <c r="P436" s="30">
        <f>IF(OR(LEFT($D436,5)="Solar",$D436="Wind"),INDEX(Land_Use[MIN],MATCH(LEFT($D436,5),Land_Use[Tech],0)),0)*$E436</f>
        <v>0</v>
      </c>
      <c r="Q436" s="30">
        <f>IF(OR(LEFT($D436,5)="Solar",$D436="Wind"),INDEX(Land_Use[MAX],MATCH(LEFT($D436,5),Land_Use[Tech],0)),0)*$E436</f>
        <v>0</v>
      </c>
      <c r="R436" s="31">
        <f>IFERROR(INDEX(WaterUseH2[Average Direct Water Consumption (Gal/ kg h2)],MATCH(LEFT(D436,3),WaterUseH2[Key],0)),0)</f>
        <v>0</v>
      </c>
      <c r="S436" s="15">
        <f t="shared" si="28"/>
        <v>0</v>
      </c>
    </row>
    <row r="437" spans="1:19" x14ac:dyDescent="0.35">
      <c r="A437" t="s">
        <v>76</v>
      </c>
      <c r="B437">
        <v>2039</v>
      </c>
      <c r="C437" t="s">
        <v>92</v>
      </c>
      <c r="D437" t="s">
        <v>93</v>
      </c>
      <c r="E437" s="9">
        <f>SUMIFS(RenewableJetFuel!$Z:$Z,RenewableJetFuel!S:S,Predev_Scenarios!A437,RenewableJetFuel!W:W,Predev_Scenarios!B437,RenewableJetFuel!T:T,Predev_Scenarios!D437)</f>
        <v>0</v>
      </c>
      <c r="F437" t="s">
        <v>109</v>
      </c>
      <c r="G437">
        <f>SUMIFS(RenewableJetFuel!$Y:$Y,RenewableJetFuel!S:S,Predev_Scenarios!A437,RenewableJetFuel!W:W,Predev_Scenarios!B437,RenewableJetFuel!T:T,Predev_Scenarios!D437)</f>
        <v>0</v>
      </c>
      <c r="H437" s="13" t="str">
        <f>IF(C437="Electricity",E437*SUMIFS(Electricity!S:S,Electricity!P:P,Predev_Scenarios!B437,Electricity!M:M,Predev_Scenarios!A437,Electricity!O:O,Predev_Scenarios!D437),"")</f>
        <v/>
      </c>
      <c r="I437" s="12">
        <f>SUMIFS(RenewableJetFuel!AD:AD,RenewableJetFuel!$S:$S,Predev_Scenarios!$A437,RenewableJetFuel!$T:$T,Predev_Scenarios!$D437,RenewableJetFuel!$W:$W,Predev_Scenarios!$B437)</f>
        <v>-16.64</v>
      </c>
      <c r="J437" s="12">
        <f>SUMIFS(RenewableJetFuel!AE:AE,RenewableJetFuel!$S:$S,Predev_Scenarios!$A437,RenewableJetFuel!$T:$T,Predev_Scenarios!$D437,RenewableJetFuel!$W:$W,Predev_Scenarios!$B437)</f>
        <v>-16.64</v>
      </c>
      <c r="K437" s="12">
        <f>SUMIFS(RenewableJetFuel!AF:AF,RenewableJetFuel!$S:$S,Predev_Scenarios!$A437,RenewableJetFuel!$T:$T,Predev_Scenarios!$D437,RenewableJetFuel!$W:$W,Predev_Scenarios!$B437)</f>
        <v>-39.14</v>
      </c>
      <c r="L437" s="63">
        <f t="shared" si="25"/>
        <v>0</v>
      </c>
      <c r="M437" s="63">
        <f t="shared" si="26"/>
        <v>0</v>
      </c>
      <c r="N437" s="63">
        <f t="shared" si="27"/>
        <v>0</v>
      </c>
      <c r="O437" s="30">
        <f>IF(OR(LEFT($D437,5)="Solar",$D437="Wind"),INDEX(Land_Use[AVG],MATCH(LEFT($D437,5),Land_Use[Tech],0)),0)*$E437</f>
        <v>0</v>
      </c>
      <c r="P437" s="30">
        <f>IF(OR(LEFT($D437,5)="Solar",$D437="Wind"),INDEX(Land_Use[MIN],MATCH(LEFT($D437,5),Land_Use[Tech],0)),0)*$E437</f>
        <v>0</v>
      </c>
      <c r="Q437" s="30">
        <f>IF(OR(LEFT($D437,5)="Solar",$D437="Wind"),INDEX(Land_Use[MAX],MATCH(LEFT($D437,5),Land_Use[Tech],0)),0)*$E437</f>
        <v>0</v>
      </c>
      <c r="R437" s="31">
        <f>IFERROR(INDEX(WaterUseH2[Average Direct Water Consumption (Gal/ kg h2)],MATCH(LEFT(D437,3),WaterUseH2[Key],0)),0)</f>
        <v>0</v>
      </c>
      <c r="S437" s="15">
        <f t="shared" si="28"/>
        <v>0</v>
      </c>
    </row>
    <row r="438" spans="1:19" x14ac:dyDescent="0.35">
      <c r="A438" t="s">
        <v>76</v>
      </c>
      <c r="B438">
        <v>2040</v>
      </c>
      <c r="C438" t="s">
        <v>92</v>
      </c>
      <c r="D438" t="s">
        <v>93</v>
      </c>
      <c r="E438" s="9">
        <f>SUMIFS(RenewableJetFuel!$Z:$Z,RenewableJetFuel!S:S,Predev_Scenarios!A438,RenewableJetFuel!W:W,Predev_Scenarios!B438,RenewableJetFuel!T:T,Predev_Scenarios!D438)</f>
        <v>0</v>
      </c>
      <c r="F438" t="s">
        <v>109</v>
      </c>
      <c r="G438">
        <f>SUMIFS(RenewableJetFuel!$Y:$Y,RenewableJetFuel!S:S,Predev_Scenarios!A438,RenewableJetFuel!W:W,Predev_Scenarios!B438,RenewableJetFuel!T:T,Predev_Scenarios!D438)</f>
        <v>0</v>
      </c>
      <c r="H438" s="13" t="str">
        <f>IF(C438="Electricity",E438*SUMIFS(Electricity!S:S,Electricity!P:P,Predev_Scenarios!B438,Electricity!M:M,Predev_Scenarios!A438,Electricity!O:O,Predev_Scenarios!D438),"")</f>
        <v/>
      </c>
      <c r="I438" s="12">
        <f>SUMIFS(RenewableJetFuel!AD:AD,RenewableJetFuel!$S:$S,Predev_Scenarios!$A438,RenewableJetFuel!$T:$T,Predev_Scenarios!$D438,RenewableJetFuel!$W:$W,Predev_Scenarios!$B438)</f>
        <v>-16.64</v>
      </c>
      <c r="J438" s="12">
        <f>SUMIFS(RenewableJetFuel!AE:AE,RenewableJetFuel!$S:$S,Predev_Scenarios!$A438,RenewableJetFuel!$T:$T,Predev_Scenarios!$D438,RenewableJetFuel!$W:$W,Predev_Scenarios!$B438)</f>
        <v>-16.64</v>
      </c>
      <c r="K438" s="12">
        <f>SUMIFS(RenewableJetFuel!AF:AF,RenewableJetFuel!$S:$S,Predev_Scenarios!$A438,RenewableJetFuel!$T:$T,Predev_Scenarios!$D438,RenewableJetFuel!$W:$W,Predev_Scenarios!$B438)</f>
        <v>-39.14</v>
      </c>
      <c r="L438" s="63">
        <f t="shared" si="25"/>
        <v>0</v>
      </c>
      <c r="M438" s="63">
        <f t="shared" si="26"/>
        <v>0</v>
      </c>
      <c r="N438" s="63">
        <f t="shared" si="27"/>
        <v>0</v>
      </c>
      <c r="O438" s="30">
        <f>IF(OR(LEFT($D438,5)="Solar",$D438="Wind"),INDEX(Land_Use[AVG],MATCH(LEFT($D438,5),Land_Use[Tech],0)),0)*$E438</f>
        <v>0</v>
      </c>
      <c r="P438" s="30">
        <f>IF(OR(LEFT($D438,5)="Solar",$D438="Wind"),INDEX(Land_Use[MIN],MATCH(LEFT($D438,5),Land_Use[Tech],0)),0)*$E438</f>
        <v>0</v>
      </c>
      <c r="Q438" s="30">
        <f>IF(OR(LEFT($D438,5)="Solar",$D438="Wind"),INDEX(Land_Use[MAX],MATCH(LEFT($D438,5),Land_Use[Tech],0)),0)*$E438</f>
        <v>0</v>
      </c>
      <c r="R438" s="31">
        <f>IFERROR(INDEX(WaterUseH2[Average Direct Water Consumption (Gal/ kg h2)],MATCH(LEFT(D438,3),WaterUseH2[Key],0)),0)</f>
        <v>0</v>
      </c>
      <c r="S438" s="15">
        <f t="shared" si="28"/>
        <v>0</v>
      </c>
    </row>
    <row r="439" spans="1:19" x14ac:dyDescent="0.35">
      <c r="A439" t="s">
        <v>76</v>
      </c>
      <c r="B439">
        <v>2041</v>
      </c>
      <c r="C439" t="s">
        <v>92</v>
      </c>
      <c r="D439" t="s">
        <v>93</v>
      </c>
      <c r="E439" s="9">
        <f>SUMIFS(RenewableJetFuel!$Z:$Z,RenewableJetFuel!S:S,Predev_Scenarios!A439,RenewableJetFuel!W:W,Predev_Scenarios!B439,RenewableJetFuel!T:T,Predev_Scenarios!D439)</f>
        <v>0</v>
      </c>
      <c r="F439" t="s">
        <v>109</v>
      </c>
      <c r="G439">
        <f>SUMIFS(RenewableJetFuel!$Y:$Y,RenewableJetFuel!S:S,Predev_Scenarios!A439,RenewableJetFuel!W:W,Predev_Scenarios!B439,RenewableJetFuel!T:T,Predev_Scenarios!D439)</f>
        <v>0</v>
      </c>
      <c r="H439" s="13" t="str">
        <f>IF(C439="Electricity",E439*SUMIFS(Electricity!S:S,Electricity!P:P,Predev_Scenarios!B439,Electricity!M:M,Predev_Scenarios!A439,Electricity!O:O,Predev_Scenarios!D439),"")</f>
        <v/>
      </c>
      <c r="I439" s="12">
        <f>SUMIFS(RenewableJetFuel!AD:AD,RenewableJetFuel!$S:$S,Predev_Scenarios!$A439,RenewableJetFuel!$T:$T,Predev_Scenarios!$D439,RenewableJetFuel!$W:$W,Predev_Scenarios!$B439)</f>
        <v>-16.64</v>
      </c>
      <c r="J439" s="12">
        <f>SUMIFS(RenewableJetFuel!AE:AE,RenewableJetFuel!$S:$S,Predev_Scenarios!$A439,RenewableJetFuel!$T:$T,Predev_Scenarios!$D439,RenewableJetFuel!$W:$W,Predev_Scenarios!$B439)</f>
        <v>-16.64</v>
      </c>
      <c r="K439" s="12">
        <f>SUMIFS(RenewableJetFuel!AF:AF,RenewableJetFuel!$S:$S,Predev_Scenarios!$A439,RenewableJetFuel!$T:$T,Predev_Scenarios!$D439,RenewableJetFuel!$W:$W,Predev_Scenarios!$B439)</f>
        <v>-39.14</v>
      </c>
      <c r="L439" s="63">
        <f t="shared" si="25"/>
        <v>0</v>
      </c>
      <c r="M439" s="63">
        <f t="shared" si="26"/>
        <v>0</v>
      </c>
      <c r="N439" s="63">
        <f t="shared" si="27"/>
        <v>0</v>
      </c>
      <c r="O439" s="30">
        <f>IF(OR(LEFT($D439,5)="Solar",$D439="Wind"),INDEX(Land_Use[AVG],MATCH(LEFT($D439,5),Land_Use[Tech],0)),0)*$E439</f>
        <v>0</v>
      </c>
      <c r="P439" s="30">
        <f>IF(OR(LEFT($D439,5)="Solar",$D439="Wind"),INDEX(Land_Use[MIN],MATCH(LEFT($D439,5),Land_Use[Tech],0)),0)*$E439</f>
        <v>0</v>
      </c>
      <c r="Q439" s="30">
        <f>IF(OR(LEFT($D439,5)="Solar",$D439="Wind"),INDEX(Land_Use[MAX],MATCH(LEFT($D439,5),Land_Use[Tech],0)),0)*$E439</f>
        <v>0</v>
      </c>
      <c r="R439" s="31">
        <f>IFERROR(INDEX(WaterUseH2[Average Direct Water Consumption (Gal/ kg h2)],MATCH(LEFT(D439,3),WaterUseH2[Key],0)),0)</f>
        <v>0</v>
      </c>
      <c r="S439" s="15">
        <f t="shared" si="28"/>
        <v>0</v>
      </c>
    </row>
    <row r="440" spans="1:19" x14ac:dyDescent="0.35">
      <c r="A440" t="s">
        <v>76</v>
      </c>
      <c r="B440">
        <v>2042</v>
      </c>
      <c r="C440" t="s">
        <v>92</v>
      </c>
      <c r="D440" t="s">
        <v>93</v>
      </c>
      <c r="E440" s="9">
        <f>SUMIFS(RenewableJetFuel!$Z:$Z,RenewableJetFuel!S:S,Predev_Scenarios!A440,RenewableJetFuel!W:W,Predev_Scenarios!B440,RenewableJetFuel!T:T,Predev_Scenarios!D440)</f>
        <v>0</v>
      </c>
      <c r="F440" t="s">
        <v>109</v>
      </c>
      <c r="G440">
        <f>SUMIFS(RenewableJetFuel!$Y:$Y,RenewableJetFuel!S:S,Predev_Scenarios!A440,RenewableJetFuel!W:W,Predev_Scenarios!B440,RenewableJetFuel!T:T,Predev_Scenarios!D440)</f>
        <v>0</v>
      </c>
      <c r="H440" s="13" t="str">
        <f>IF(C440="Electricity",E440*SUMIFS(Electricity!S:S,Electricity!P:P,Predev_Scenarios!B440,Electricity!M:M,Predev_Scenarios!A440,Electricity!O:O,Predev_Scenarios!D440),"")</f>
        <v/>
      </c>
      <c r="I440" s="12">
        <f>SUMIFS(RenewableJetFuel!AD:AD,RenewableJetFuel!$S:$S,Predev_Scenarios!$A440,RenewableJetFuel!$T:$T,Predev_Scenarios!$D440,RenewableJetFuel!$W:$W,Predev_Scenarios!$B440)</f>
        <v>-16.64</v>
      </c>
      <c r="J440" s="12">
        <f>SUMIFS(RenewableJetFuel!AE:AE,RenewableJetFuel!$S:$S,Predev_Scenarios!$A440,RenewableJetFuel!$T:$T,Predev_Scenarios!$D440,RenewableJetFuel!$W:$W,Predev_Scenarios!$B440)</f>
        <v>-16.64</v>
      </c>
      <c r="K440" s="12">
        <f>SUMIFS(RenewableJetFuel!AF:AF,RenewableJetFuel!$S:$S,Predev_Scenarios!$A440,RenewableJetFuel!$T:$T,Predev_Scenarios!$D440,RenewableJetFuel!$W:$W,Predev_Scenarios!$B440)</f>
        <v>-39.14</v>
      </c>
      <c r="L440" s="63">
        <f t="shared" si="25"/>
        <v>0</v>
      </c>
      <c r="M440" s="63">
        <f t="shared" si="26"/>
        <v>0</v>
      </c>
      <c r="N440" s="63">
        <f t="shared" si="27"/>
        <v>0</v>
      </c>
      <c r="O440" s="30">
        <f>IF(OR(LEFT($D440,5)="Solar",$D440="Wind"),INDEX(Land_Use[AVG],MATCH(LEFT($D440,5),Land_Use[Tech],0)),0)*$E440</f>
        <v>0</v>
      </c>
      <c r="P440" s="30">
        <f>IF(OR(LEFT($D440,5)="Solar",$D440="Wind"),INDEX(Land_Use[MIN],MATCH(LEFT($D440,5),Land_Use[Tech],0)),0)*$E440</f>
        <v>0</v>
      </c>
      <c r="Q440" s="30">
        <f>IF(OR(LEFT($D440,5)="Solar",$D440="Wind"),INDEX(Land_Use[MAX],MATCH(LEFT($D440,5),Land_Use[Tech],0)),0)*$E440</f>
        <v>0</v>
      </c>
      <c r="R440" s="31">
        <f>IFERROR(INDEX(WaterUseH2[Average Direct Water Consumption (Gal/ kg h2)],MATCH(LEFT(D440,3),WaterUseH2[Key],0)),0)</f>
        <v>0</v>
      </c>
      <c r="S440" s="15">
        <f t="shared" si="28"/>
        <v>0</v>
      </c>
    </row>
    <row r="441" spans="1:19" x14ac:dyDescent="0.35">
      <c r="A441" t="s">
        <v>76</v>
      </c>
      <c r="B441">
        <v>2043</v>
      </c>
      <c r="C441" t="s">
        <v>92</v>
      </c>
      <c r="D441" t="s">
        <v>93</v>
      </c>
      <c r="E441" s="9">
        <f>SUMIFS(RenewableJetFuel!$Z:$Z,RenewableJetFuel!S:S,Predev_Scenarios!A441,RenewableJetFuel!W:W,Predev_Scenarios!B441,RenewableJetFuel!T:T,Predev_Scenarios!D441)</f>
        <v>0</v>
      </c>
      <c r="F441" t="s">
        <v>109</v>
      </c>
      <c r="G441">
        <f>SUMIFS(RenewableJetFuel!$Y:$Y,RenewableJetFuel!S:S,Predev_Scenarios!A441,RenewableJetFuel!W:W,Predev_Scenarios!B441,RenewableJetFuel!T:T,Predev_Scenarios!D441)</f>
        <v>0</v>
      </c>
      <c r="H441" s="13" t="str">
        <f>IF(C441="Electricity",E441*SUMIFS(Electricity!S:S,Electricity!P:P,Predev_Scenarios!B441,Electricity!M:M,Predev_Scenarios!A441,Electricity!O:O,Predev_Scenarios!D441),"")</f>
        <v/>
      </c>
      <c r="I441" s="12">
        <f>SUMIFS(RenewableJetFuel!AD:AD,RenewableJetFuel!$S:$S,Predev_Scenarios!$A441,RenewableJetFuel!$T:$T,Predev_Scenarios!$D441,RenewableJetFuel!$W:$W,Predev_Scenarios!$B441)</f>
        <v>-16.64</v>
      </c>
      <c r="J441" s="12">
        <f>SUMIFS(RenewableJetFuel!AE:AE,RenewableJetFuel!$S:$S,Predev_Scenarios!$A441,RenewableJetFuel!$T:$T,Predev_Scenarios!$D441,RenewableJetFuel!$W:$W,Predev_Scenarios!$B441)</f>
        <v>-16.64</v>
      </c>
      <c r="K441" s="12">
        <f>SUMIFS(RenewableJetFuel!AF:AF,RenewableJetFuel!$S:$S,Predev_Scenarios!$A441,RenewableJetFuel!$T:$T,Predev_Scenarios!$D441,RenewableJetFuel!$W:$W,Predev_Scenarios!$B441)</f>
        <v>-39.14</v>
      </c>
      <c r="L441" s="63">
        <f t="shared" si="25"/>
        <v>0</v>
      </c>
      <c r="M441" s="63">
        <f t="shared" si="26"/>
        <v>0</v>
      </c>
      <c r="N441" s="63">
        <f t="shared" si="27"/>
        <v>0</v>
      </c>
      <c r="O441" s="30">
        <f>IF(OR(LEFT($D441,5)="Solar",$D441="Wind"),INDEX(Land_Use[AVG],MATCH(LEFT($D441,5),Land_Use[Tech],0)),0)*$E441</f>
        <v>0</v>
      </c>
      <c r="P441" s="30">
        <f>IF(OR(LEFT($D441,5)="Solar",$D441="Wind"),INDEX(Land_Use[MIN],MATCH(LEFT($D441,5),Land_Use[Tech],0)),0)*$E441</f>
        <v>0</v>
      </c>
      <c r="Q441" s="30">
        <f>IF(OR(LEFT($D441,5)="Solar",$D441="Wind"),INDEX(Land_Use[MAX],MATCH(LEFT($D441,5),Land_Use[Tech],0)),0)*$E441</f>
        <v>0</v>
      </c>
      <c r="R441" s="31">
        <f>IFERROR(INDEX(WaterUseH2[Average Direct Water Consumption (Gal/ kg h2)],MATCH(LEFT(D441,3),WaterUseH2[Key],0)),0)</f>
        <v>0</v>
      </c>
      <c r="S441" s="15">
        <f t="shared" si="28"/>
        <v>0</v>
      </c>
    </row>
    <row r="442" spans="1:19" x14ac:dyDescent="0.35">
      <c r="A442" t="s">
        <v>76</v>
      </c>
      <c r="B442">
        <v>2044</v>
      </c>
      <c r="C442" t="s">
        <v>92</v>
      </c>
      <c r="D442" t="s">
        <v>93</v>
      </c>
      <c r="E442" s="9">
        <f>SUMIFS(RenewableJetFuel!$Z:$Z,RenewableJetFuel!S:S,Predev_Scenarios!A442,RenewableJetFuel!W:W,Predev_Scenarios!B442,RenewableJetFuel!T:T,Predev_Scenarios!D442)</f>
        <v>0</v>
      </c>
      <c r="F442" t="s">
        <v>109</v>
      </c>
      <c r="G442">
        <f>SUMIFS(RenewableJetFuel!$Y:$Y,RenewableJetFuel!S:S,Predev_Scenarios!A442,RenewableJetFuel!W:W,Predev_Scenarios!B442,RenewableJetFuel!T:T,Predev_Scenarios!D442)</f>
        <v>0</v>
      </c>
      <c r="H442" s="13" t="str">
        <f>IF(C442="Electricity",E442*SUMIFS(Electricity!S:S,Electricity!P:P,Predev_Scenarios!B442,Electricity!M:M,Predev_Scenarios!A442,Electricity!O:O,Predev_Scenarios!D442),"")</f>
        <v/>
      </c>
      <c r="I442" s="12">
        <f>SUMIFS(RenewableJetFuel!AD:AD,RenewableJetFuel!$S:$S,Predev_Scenarios!$A442,RenewableJetFuel!$T:$T,Predev_Scenarios!$D442,RenewableJetFuel!$W:$W,Predev_Scenarios!$B442)</f>
        <v>-16.64</v>
      </c>
      <c r="J442" s="12">
        <f>SUMIFS(RenewableJetFuel!AE:AE,RenewableJetFuel!$S:$S,Predev_Scenarios!$A442,RenewableJetFuel!$T:$T,Predev_Scenarios!$D442,RenewableJetFuel!$W:$W,Predev_Scenarios!$B442)</f>
        <v>-16.64</v>
      </c>
      <c r="K442" s="12">
        <f>SUMIFS(RenewableJetFuel!AF:AF,RenewableJetFuel!$S:$S,Predev_Scenarios!$A442,RenewableJetFuel!$T:$T,Predev_Scenarios!$D442,RenewableJetFuel!$W:$W,Predev_Scenarios!$B442)</f>
        <v>-39.14</v>
      </c>
      <c r="L442" s="63">
        <f t="shared" si="25"/>
        <v>0</v>
      </c>
      <c r="M442" s="63">
        <f t="shared" si="26"/>
        <v>0</v>
      </c>
      <c r="N442" s="63">
        <f t="shared" si="27"/>
        <v>0</v>
      </c>
      <c r="O442" s="30">
        <f>IF(OR(LEFT($D442,5)="Solar",$D442="Wind"),INDEX(Land_Use[AVG],MATCH(LEFT($D442,5),Land_Use[Tech],0)),0)*$E442</f>
        <v>0</v>
      </c>
      <c r="P442" s="30">
        <f>IF(OR(LEFT($D442,5)="Solar",$D442="Wind"),INDEX(Land_Use[MIN],MATCH(LEFT($D442,5),Land_Use[Tech],0)),0)*$E442</f>
        <v>0</v>
      </c>
      <c r="Q442" s="30">
        <f>IF(OR(LEFT($D442,5)="Solar",$D442="Wind"),INDEX(Land_Use[MAX],MATCH(LEFT($D442,5),Land_Use[Tech],0)),0)*$E442</f>
        <v>0</v>
      </c>
      <c r="R442" s="31">
        <f>IFERROR(INDEX(WaterUseH2[Average Direct Water Consumption (Gal/ kg h2)],MATCH(LEFT(D442,3),WaterUseH2[Key],0)),0)</f>
        <v>0</v>
      </c>
      <c r="S442" s="15">
        <f t="shared" si="28"/>
        <v>0</v>
      </c>
    </row>
    <row r="443" spans="1:19" x14ac:dyDescent="0.35">
      <c r="A443" t="s">
        <v>76</v>
      </c>
      <c r="B443">
        <v>2045</v>
      </c>
      <c r="C443" t="s">
        <v>92</v>
      </c>
      <c r="D443" t="s">
        <v>93</v>
      </c>
      <c r="E443" s="9">
        <f>SUMIFS(RenewableJetFuel!$Z:$Z,RenewableJetFuel!S:S,Predev_Scenarios!A443,RenewableJetFuel!W:W,Predev_Scenarios!B443,RenewableJetFuel!T:T,Predev_Scenarios!D443)</f>
        <v>0</v>
      </c>
      <c r="F443" t="s">
        <v>109</v>
      </c>
      <c r="G443">
        <f>SUMIFS(RenewableJetFuel!$Y:$Y,RenewableJetFuel!S:S,Predev_Scenarios!A443,RenewableJetFuel!W:W,Predev_Scenarios!B443,RenewableJetFuel!T:T,Predev_Scenarios!D443)</f>
        <v>0</v>
      </c>
      <c r="H443" s="13" t="str">
        <f>IF(C443="Electricity",E443*SUMIFS(Electricity!S:S,Electricity!P:P,Predev_Scenarios!B443,Electricity!M:M,Predev_Scenarios!A443,Electricity!O:O,Predev_Scenarios!D443),"")</f>
        <v/>
      </c>
      <c r="I443" s="12">
        <f>SUMIFS(RenewableJetFuel!AD:AD,RenewableJetFuel!$S:$S,Predev_Scenarios!$A443,RenewableJetFuel!$T:$T,Predev_Scenarios!$D443,RenewableJetFuel!$W:$W,Predev_Scenarios!$B443)</f>
        <v>-16.64</v>
      </c>
      <c r="J443" s="12">
        <f>SUMIFS(RenewableJetFuel!AE:AE,RenewableJetFuel!$S:$S,Predev_Scenarios!$A443,RenewableJetFuel!$T:$T,Predev_Scenarios!$D443,RenewableJetFuel!$W:$W,Predev_Scenarios!$B443)</f>
        <v>-16.64</v>
      </c>
      <c r="K443" s="12">
        <f>SUMIFS(RenewableJetFuel!AF:AF,RenewableJetFuel!$S:$S,Predev_Scenarios!$A443,RenewableJetFuel!$T:$T,Predev_Scenarios!$D443,RenewableJetFuel!$W:$W,Predev_Scenarios!$B443)</f>
        <v>-39.14</v>
      </c>
      <c r="L443" s="63">
        <f t="shared" si="25"/>
        <v>0</v>
      </c>
      <c r="M443" s="63">
        <f t="shared" si="26"/>
        <v>0</v>
      </c>
      <c r="N443" s="63">
        <f t="shared" si="27"/>
        <v>0</v>
      </c>
      <c r="O443" s="30">
        <f>IF(OR(LEFT($D443,5)="Solar",$D443="Wind"),INDEX(Land_Use[AVG],MATCH(LEFT($D443,5),Land_Use[Tech],0)),0)*$E443</f>
        <v>0</v>
      </c>
      <c r="P443" s="30">
        <f>IF(OR(LEFT($D443,5)="Solar",$D443="Wind"),INDEX(Land_Use[MIN],MATCH(LEFT($D443,5),Land_Use[Tech],0)),0)*$E443</f>
        <v>0</v>
      </c>
      <c r="Q443" s="30">
        <f>IF(OR(LEFT($D443,5)="Solar",$D443="Wind"),INDEX(Land_Use[MAX],MATCH(LEFT($D443,5),Land_Use[Tech],0)),0)*$E443</f>
        <v>0</v>
      </c>
      <c r="R443" s="31">
        <f>IFERROR(INDEX(WaterUseH2[Average Direct Water Consumption (Gal/ kg h2)],MATCH(LEFT(D443,3),WaterUseH2[Key],0)),0)</f>
        <v>0</v>
      </c>
      <c r="S443" s="15">
        <f t="shared" si="28"/>
        <v>0</v>
      </c>
    </row>
    <row r="444" spans="1:19" x14ac:dyDescent="0.35">
      <c r="A444" t="s">
        <v>107</v>
      </c>
      <c r="B444">
        <v>2025</v>
      </c>
      <c r="C444" t="s">
        <v>92</v>
      </c>
      <c r="D444" t="s">
        <v>93</v>
      </c>
      <c r="E444" s="9">
        <f>SUMIFS(RenewableJetFuel!$Z:$Z,RenewableJetFuel!S:S,Predev_Scenarios!A444,RenewableJetFuel!W:W,Predev_Scenarios!B444,RenewableJetFuel!T:T,Predev_Scenarios!D444)</f>
        <v>45.883654684743476</v>
      </c>
      <c r="F444" t="s">
        <v>109</v>
      </c>
      <c r="G444">
        <f>SUMIFS(RenewableJetFuel!$Y:$Y,RenewableJetFuel!S:S,Predev_Scenarios!A444,RenewableJetFuel!W:W,Predev_Scenarios!B444,RenewableJetFuel!T:T,Predev_Scenarios!D444)</f>
        <v>6.5353254697599998E-3</v>
      </c>
      <c r="H444" s="13" t="str">
        <f>IF(C444="Electricity",E444*SUMIFS(Electricity!S:S,Electricity!P:P,Predev_Scenarios!B444,Electricity!M:M,Predev_Scenarios!A444,Electricity!O:O,Predev_Scenarios!D444),"")</f>
        <v/>
      </c>
      <c r="I444" s="12">
        <f>SUMIFS(RenewableJetFuel!AD:AD,RenewableJetFuel!$S:$S,Predev_Scenarios!$A444,RenewableJetFuel!$T:$T,Predev_Scenarios!$D444,RenewableJetFuel!$W:$W,Predev_Scenarios!$B444)</f>
        <v>-16.64</v>
      </c>
      <c r="J444" s="12">
        <f>SUMIFS(RenewableJetFuel!AE:AE,RenewableJetFuel!$S:$S,Predev_Scenarios!$A444,RenewableJetFuel!$T:$T,Predev_Scenarios!$D444,RenewableJetFuel!$W:$W,Predev_Scenarios!$B444)</f>
        <v>-16.64</v>
      </c>
      <c r="K444" s="12">
        <f>SUMIFS(RenewableJetFuel!AF:AF,RenewableJetFuel!$S:$S,Predev_Scenarios!$A444,RenewableJetFuel!$T:$T,Predev_Scenarios!$D444,RenewableJetFuel!$W:$W,Predev_Scenarios!$B444)</f>
        <v>-39.14</v>
      </c>
      <c r="L444" s="63">
        <f t="shared" si="25"/>
        <v>0.1087478158168064</v>
      </c>
      <c r="M444" s="63">
        <f t="shared" si="26"/>
        <v>0.1087478158168064</v>
      </c>
      <c r="N444" s="63">
        <f t="shared" si="27"/>
        <v>0.25579263888640641</v>
      </c>
      <c r="O444" s="30">
        <f>IF(OR(LEFT($D444,5)="Solar",$D444="Wind"),INDEX(Land_Use[AVG],MATCH(LEFT($D444,5),Land_Use[Tech],0)),0)*$E444</f>
        <v>0</v>
      </c>
      <c r="P444" s="30">
        <f>IF(OR(LEFT($D444,5)="Solar",$D444="Wind"),INDEX(Land_Use[MIN],MATCH(LEFT($D444,5),Land_Use[Tech],0)),0)*$E444</f>
        <v>0</v>
      </c>
      <c r="Q444" s="30">
        <f>IF(OR(LEFT($D444,5)="Solar",$D444="Wind"),INDEX(Land_Use[MAX],MATCH(LEFT($D444,5),Land_Use[Tech],0)),0)*$E444</f>
        <v>0</v>
      </c>
      <c r="R444" s="31">
        <f>IFERROR(INDEX(WaterUseH2[Average Direct Water Consumption (Gal/ kg h2)],MATCH(LEFT(D444,3),WaterUseH2[Key],0)),0)</f>
        <v>0</v>
      </c>
      <c r="S444" s="15">
        <f t="shared" si="28"/>
        <v>0</v>
      </c>
    </row>
    <row r="445" spans="1:19" x14ac:dyDescent="0.35">
      <c r="A445" t="s">
        <v>107</v>
      </c>
      <c r="B445">
        <v>2026</v>
      </c>
      <c r="C445" t="s">
        <v>92</v>
      </c>
      <c r="D445" t="s">
        <v>93</v>
      </c>
      <c r="E445" s="9">
        <f>SUMIFS(RenewableJetFuel!$Z:$Z,RenewableJetFuel!S:S,Predev_Scenarios!A445,RenewableJetFuel!W:W,Predev_Scenarios!B445,RenewableJetFuel!T:T,Predev_Scenarios!D445)</f>
        <v>82.590578432622507</v>
      </c>
      <c r="F445" t="s">
        <v>109</v>
      </c>
      <c r="G445">
        <f>SUMIFS(RenewableJetFuel!$Y:$Y,RenewableJetFuel!S:S,Predev_Scenarios!A445,RenewableJetFuel!W:W,Predev_Scenarios!B445,RenewableJetFuel!T:T,Predev_Scenarios!D445)</f>
        <v>1.176358584558E-2</v>
      </c>
      <c r="H445" s="13" t="str">
        <f>IF(C445="Electricity",E445*SUMIFS(Electricity!S:S,Electricity!P:P,Predev_Scenarios!B445,Electricity!M:M,Predev_Scenarios!A445,Electricity!O:O,Predev_Scenarios!D445),"")</f>
        <v/>
      </c>
      <c r="I445" s="12">
        <f>SUMIFS(RenewableJetFuel!AD:AD,RenewableJetFuel!$S:$S,Predev_Scenarios!$A445,RenewableJetFuel!$T:$T,Predev_Scenarios!$D445,RenewableJetFuel!$W:$W,Predev_Scenarios!$B445)</f>
        <v>-16.64</v>
      </c>
      <c r="J445" s="12">
        <f>SUMIFS(RenewableJetFuel!AE:AE,RenewableJetFuel!$S:$S,Predev_Scenarios!$A445,RenewableJetFuel!$T:$T,Predev_Scenarios!$D445,RenewableJetFuel!$W:$W,Predev_Scenarios!$B445)</f>
        <v>-16.64</v>
      </c>
      <c r="K445" s="12">
        <f>SUMIFS(RenewableJetFuel!AF:AF,RenewableJetFuel!$S:$S,Predev_Scenarios!$A445,RenewableJetFuel!$T:$T,Predev_Scenarios!$D445,RenewableJetFuel!$W:$W,Predev_Scenarios!$B445)</f>
        <v>-39.14</v>
      </c>
      <c r="L445" s="63">
        <f t="shared" si="25"/>
        <v>0.1957460684704512</v>
      </c>
      <c r="M445" s="63">
        <f t="shared" si="26"/>
        <v>0.1957460684704512</v>
      </c>
      <c r="N445" s="63">
        <f t="shared" si="27"/>
        <v>0.46042674999600119</v>
      </c>
      <c r="O445" s="30">
        <f>IF(OR(LEFT($D445,5)="Solar",$D445="Wind"),INDEX(Land_Use[AVG],MATCH(LEFT($D445,5),Land_Use[Tech],0)),0)*$E445</f>
        <v>0</v>
      </c>
      <c r="P445" s="30">
        <f>IF(OR(LEFT($D445,5)="Solar",$D445="Wind"),INDEX(Land_Use[MIN],MATCH(LEFT($D445,5),Land_Use[Tech],0)),0)*$E445</f>
        <v>0</v>
      </c>
      <c r="Q445" s="30">
        <f>IF(OR(LEFT($D445,5)="Solar",$D445="Wind"),INDEX(Land_Use[MAX],MATCH(LEFT($D445,5),Land_Use[Tech],0)),0)*$E445</f>
        <v>0</v>
      </c>
      <c r="R445" s="31">
        <f>IFERROR(INDEX(WaterUseH2[Average Direct Water Consumption (Gal/ kg h2)],MATCH(LEFT(D445,3),WaterUseH2[Key],0)),0)</f>
        <v>0</v>
      </c>
      <c r="S445" s="15">
        <f t="shared" si="28"/>
        <v>0</v>
      </c>
    </row>
    <row r="446" spans="1:19" x14ac:dyDescent="0.35">
      <c r="A446" t="s">
        <v>107</v>
      </c>
      <c r="B446">
        <v>2027</v>
      </c>
      <c r="C446" t="s">
        <v>92</v>
      </c>
      <c r="D446" t="s">
        <v>93</v>
      </c>
      <c r="E446" s="9">
        <f>SUMIFS(RenewableJetFuel!$Z:$Z,RenewableJetFuel!S:S,Predev_Scenarios!A446,RenewableJetFuel!W:W,Predev_Scenarios!B446,RenewableJetFuel!T:T,Predev_Scenarios!D446)</f>
        <v>119.29750218057175</v>
      </c>
      <c r="F446" t="s">
        <v>109</v>
      </c>
      <c r="G446">
        <f>SUMIFS(RenewableJetFuel!$Y:$Y,RenewableJetFuel!S:S,Predev_Scenarios!A446,RenewableJetFuel!W:W,Predev_Scenarios!B446,RenewableJetFuel!T:T,Predev_Scenarios!D446)</f>
        <v>1.6991846221409999E-2</v>
      </c>
      <c r="H446" s="13" t="str">
        <f>IF(C446="Electricity",E446*SUMIFS(Electricity!S:S,Electricity!P:P,Predev_Scenarios!B446,Electricity!M:M,Predev_Scenarios!A446,Electricity!O:O,Predev_Scenarios!D446),"")</f>
        <v/>
      </c>
      <c r="I446" s="12">
        <f>SUMIFS(RenewableJetFuel!AD:AD,RenewableJetFuel!$S:$S,Predev_Scenarios!$A446,RenewableJetFuel!$T:$T,Predev_Scenarios!$D446,RenewableJetFuel!$W:$W,Predev_Scenarios!$B446)</f>
        <v>-16.64</v>
      </c>
      <c r="J446" s="12">
        <f>SUMIFS(RenewableJetFuel!AE:AE,RenewableJetFuel!$S:$S,Predev_Scenarios!$A446,RenewableJetFuel!$T:$T,Predev_Scenarios!$D446,RenewableJetFuel!$W:$W,Predev_Scenarios!$B446)</f>
        <v>-16.64</v>
      </c>
      <c r="K446" s="12">
        <f>SUMIFS(RenewableJetFuel!AF:AF,RenewableJetFuel!$S:$S,Predev_Scenarios!$A446,RenewableJetFuel!$T:$T,Predev_Scenarios!$D446,RenewableJetFuel!$W:$W,Predev_Scenarios!$B446)</f>
        <v>-39.14</v>
      </c>
      <c r="L446" s="63">
        <f t="shared" si="25"/>
        <v>0.2827443211242624</v>
      </c>
      <c r="M446" s="63">
        <f t="shared" si="26"/>
        <v>0.2827443211242624</v>
      </c>
      <c r="N446" s="63">
        <f t="shared" si="27"/>
        <v>0.66506086110598739</v>
      </c>
      <c r="O446" s="30">
        <f>IF(OR(LEFT($D446,5)="Solar",$D446="Wind"),INDEX(Land_Use[AVG],MATCH(LEFT($D446,5),Land_Use[Tech],0)),0)*$E446</f>
        <v>0</v>
      </c>
      <c r="P446" s="30">
        <f>IF(OR(LEFT($D446,5)="Solar",$D446="Wind"),INDEX(Land_Use[MIN],MATCH(LEFT($D446,5),Land_Use[Tech],0)),0)*$E446</f>
        <v>0</v>
      </c>
      <c r="Q446" s="30">
        <f>IF(OR(LEFT($D446,5)="Solar",$D446="Wind"),INDEX(Land_Use[MAX],MATCH(LEFT($D446,5),Land_Use[Tech],0)),0)*$E446</f>
        <v>0</v>
      </c>
      <c r="R446" s="31">
        <f>IFERROR(INDEX(WaterUseH2[Average Direct Water Consumption (Gal/ kg h2)],MATCH(LEFT(D446,3),WaterUseH2[Key],0)),0)</f>
        <v>0</v>
      </c>
      <c r="S446" s="15">
        <f t="shared" si="28"/>
        <v>0</v>
      </c>
    </row>
    <row r="447" spans="1:19" x14ac:dyDescent="0.35">
      <c r="A447" t="s">
        <v>107</v>
      </c>
      <c r="B447">
        <v>2028</v>
      </c>
      <c r="C447" t="s">
        <v>92</v>
      </c>
      <c r="D447" t="s">
        <v>93</v>
      </c>
      <c r="E447" s="9">
        <f>SUMIFS(RenewableJetFuel!$Z:$Z,RenewableJetFuel!S:S,Predev_Scenarios!A447,RenewableJetFuel!W:W,Predev_Scenarios!B447,RenewableJetFuel!T:T,Predev_Scenarios!D447)</f>
        <v>146.6472930789005</v>
      </c>
      <c r="F447" t="s">
        <v>109</v>
      </c>
      <c r="G447">
        <f>SUMIFS(RenewableJetFuel!$Y:$Y,RenewableJetFuel!S:S,Predev_Scenarios!A447,RenewableJetFuel!W:W,Predev_Scenarios!B447,RenewableJetFuel!T:T,Predev_Scenarios!D447)</f>
        <v>2.0887346400690402E-2</v>
      </c>
      <c r="H447" s="13" t="str">
        <f>IF(C447="Electricity",E447*SUMIFS(Electricity!S:S,Electricity!P:P,Predev_Scenarios!B447,Electricity!M:M,Predev_Scenarios!A447,Electricity!O:O,Predev_Scenarios!D447),"")</f>
        <v/>
      </c>
      <c r="I447" s="12">
        <f>SUMIFS(RenewableJetFuel!AD:AD,RenewableJetFuel!$S:$S,Predev_Scenarios!$A447,RenewableJetFuel!$T:$T,Predev_Scenarios!$D447,RenewableJetFuel!$W:$W,Predev_Scenarios!$B447)</f>
        <v>-16.64</v>
      </c>
      <c r="J447" s="12">
        <f>SUMIFS(RenewableJetFuel!AE:AE,RenewableJetFuel!$S:$S,Predev_Scenarios!$A447,RenewableJetFuel!$T:$T,Predev_Scenarios!$D447,RenewableJetFuel!$W:$W,Predev_Scenarios!$B447)</f>
        <v>-16.64</v>
      </c>
      <c r="K447" s="12">
        <f>SUMIFS(RenewableJetFuel!AF:AF,RenewableJetFuel!$S:$S,Predev_Scenarios!$A447,RenewableJetFuel!$T:$T,Predev_Scenarios!$D447,RenewableJetFuel!$W:$W,Predev_Scenarios!$B447)</f>
        <v>-39.14</v>
      </c>
      <c r="L447" s="63">
        <f t="shared" si="25"/>
        <v>0.3475654441074883</v>
      </c>
      <c r="M447" s="63">
        <f t="shared" si="26"/>
        <v>0.3475654441074883</v>
      </c>
      <c r="N447" s="63">
        <f t="shared" si="27"/>
        <v>0.81753073812302235</v>
      </c>
      <c r="O447" s="30">
        <f>IF(OR(LEFT($D447,5)="Solar",$D447="Wind"),INDEX(Land_Use[AVG],MATCH(LEFT($D447,5),Land_Use[Tech],0)),0)*$E447</f>
        <v>0</v>
      </c>
      <c r="P447" s="30">
        <f>IF(OR(LEFT($D447,5)="Solar",$D447="Wind"),INDEX(Land_Use[MIN],MATCH(LEFT($D447,5),Land_Use[Tech],0)),0)*$E447</f>
        <v>0</v>
      </c>
      <c r="Q447" s="30">
        <f>IF(OR(LEFT($D447,5)="Solar",$D447="Wind"),INDEX(Land_Use[MAX],MATCH(LEFT($D447,5),Land_Use[Tech],0)),0)*$E447</f>
        <v>0</v>
      </c>
      <c r="R447" s="31">
        <f>IFERROR(INDEX(WaterUseH2[Average Direct Water Consumption (Gal/ kg h2)],MATCH(LEFT(D447,3),WaterUseH2[Key],0)),0)</f>
        <v>0</v>
      </c>
      <c r="S447" s="15">
        <f t="shared" si="28"/>
        <v>0</v>
      </c>
    </row>
    <row r="448" spans="1:19" x14ac:dyDescent="0.35">
      <c r="A448" t="s">
        <v>107</v>
      </c>
      <c r="B448">
        <v>2029</v>
      </c>
      <c r="C448" t="s">
        <v>92</v>
      </c>
      <c r="D448" t="s">
        <v>93</v>
      </c>
      <c r="E448" s="9">
        <f>SUMIFS(RenewableJetFuel!$Z:$Z,RenewableJetFuel!S:S,Predev_Scenarios!A448,RenewableJetFuel!W:W,Predev_Scenarios!B448,RenewableJetFuel!T:T,Predev_Scenarios!D448)</f>
        <v>179.07195249912701</v>
      </c>
      <c r="F448" t="s">
        <v>109</v>
      </c>
      <c r="G448">
        <f>SUMIFS(RenewableJetFuel!$Y:$Y,RenewableJetFuel!S:S,Predev_Scenarios!A448,RenewableJetFuel!W:W,Predev_Scenarios!B448,RenewableJetFuel!T:T,Predev_Scenarios!D448)</f>
        <v>2.5505672992442021E-2</v>
      </c>
      <c r="H448" s="13" t="str">
        <f>IF(C448="Electricity",E448*SUMIFS(Electricity!S:S,Electricity!P:P,Predev_Scenarios!B448,Electricity!M:M,Predev_Scenarios!A448,Electricity!O:O,Predev_Scenarios!D448),"")</f>
        <v/>
      </c>
      <c r="I448" s="12">
        <f>SUMIFS(RenewableJetFuel!AD:AD,RenewableJetFuel!$S:$S,Predev_Scenarios!$A448,RenewableJetFuel!$T:$T,Predev_Scenarios!$D448,RenewableJetFuel!$W:$W,Predev_Scenarios!$B448)</f>
        <v>-16.64</v>
      </c>
      <c r="J448" s="12">
        <f>SUMIFS(RenewableJetFuel!AE:AE,RenewableJetFuel!$S:$S,Predev_Scenarios!$A448,RenewableJetFuel!$T:$T,Predev_Scenarios!$D448,RenewableJetFuel!$W:$W,Predev_Scenarios!$B448)</f>
        <v>-16.64</v>
      </c>
      <c r="K448" s="12">
        <f>SUMIFS(RenewableJetFuel!AF:AF,RenewableJetFuel!$S:$S,Predev_Scenarios!$A448,RenewableJetFuel!$T:$T,Predev_Scenarios!$D448,RenewableJetFuel!$W:$W,Predev_Scenarios!$B448)</f>
        <v>-39.14</v>
      </c>
      <c r="L448" s="63">
        <f t="shared" si="25"/>
        <v>0.42441439859423524</v>
      </c>
      <c r="M448" s="63">
        <f t="shared" si="26"/>
        <v>0.42441439859423524</v>
      </c>
      <c r="N448" s="63">
        <f t="shared" si="27"/>
        <v>0.99829204092418067</v>
      </c>
      <c r="O448" s="30">
        <f>IF(OR(LEFT($D448,5)="Solar",$D448="Wind"),INDEX(Land_Use[AVG],MATCH(LEFT($D448,5),Land_Use[Tech],0)),0)*$E448</f>
        <v>0</v>
      </c>
      <c r="P448" s="30">
        <f>IF(OR(LEFT($D448,5)="Solar",$D448="Wind"),INDEX(Land_Use[MIN],MATCH(LEFT($D448,5),Land_Use[Tech],0)),0)*$E448</f>
        <v>0</v>
      </c>
      <c r="Q448" s="30">
        <f>IF(OR(LEFT($D448,5)="Solar",$D448="Wind"),INDEX(Land_Use[MAX],MATCH(LEFT($D448,5),Land_Use[Tech],0)),0)*$E448</f>
        <v>0</v>
      </c>
      <c r="R448" s="31">
        <f>IFERROR(INDEX(WaterUseH2[Average Direct Water Consumption (Gal/ kg h2)],MATCH(LEFT(D448,3),WaterUseH2[Key],0)),0)</f>
        <v>0</v>
      </c>
      <c r="S448" s="15">
        <f t="shared" si="28"/>
        <v>0</v>
      </c>
    </row>
    <row r="449" spans="1:19" x14ac:dyDescent="0.35">
      <c r="A449" t="s">
        <v>107</v>
      </c>
      <c r="B449">
        <v>2030</v>
      </c>
      <c r="C449" t="s">
        <v>92</v>
      </c>
      <c r="D449" t="s">
        <v>93</v>
      </c>
      <c r="E449" s="9">
        <f>SUMIFS(RenewableJetFuel!$Z:$Z,RenewableJetFuel!S:S,Predev_Scenarios!A449,RenewableJetFuel!W:W,Predev_Scenarios!B449,RenewableJetFuel!T:T,Predev_Scenarios!D449)</f>
        <v>210.25816786581129</v>
      </c>
      <c r="F449" t="s">
        <v>109</v>
      </c>
      <c r="G449">
        <f>SUMIFS(RenewableJetFuel!$Y:$Y,RenewableJetFuel!S:S,Predev_Scenarios!A449,RenewableJetFuel!W:W,Predev_Scenarios!B449,RenewableJetFuel!T:T,Predev_Scenarios!D449)</f>
        <v>2.9947604852309344E-2</v>
      </c>
      <c r="H449" s="13" t="str">
        <f>IF(C449="Electricity",E449*SUMIFS(Electricity!S:S,Electricity!P:P,Predev_Scenarios!B449,Electricity!M:M,Predev_Scenarios!A449,Electricity!O:O,Predev_Scenarios!D449),"")</f>
        <v/>
      </c>
      <c r="I449" s="12">
        <f>SUMIFS(RenewableJetFuel!AD:AD,RenewableJetFuel!$S:$S,Predev_Scenarios!$A449,RenewableJetFuel!$T:$T,Predev_Scenarios!$D449,RenewableJetFuel!$W:$W,Predev_Scenarios!$B449)</f>
        <v>-16.64</v>
      </c>
      <c r="J449" s="12">
        <f>SUMIFS(RenewableJetFuel!AE:AE,RenewableJetFuel!$S:$S,Predev_Scenarios!$A449,RenewableJetFuel!$T:$T,Predev_Scenarios!$D449,RenewableJetFuel!$W:$W,Predev_Scenarios!$B449)</f>
        <v>-16.64</v>
      </c>
      <c r="K449" s="12">
        <f>SUMIFS(RenewableJetFuel!AF:AF,RenewableJetFuel!$S:$S,Predev_Scenarios!$A449,RenewableJetFuel!$T:$T,Predev_Scenarios!$D449,RenewableJetFuel!$W:$W,Predev_Scenarios!$B449)</f>
        <v>-39.14</v>
      </c>
      <c r="L449" s="63">
        <f t="shared" si="25"/>
        <v>0.49832814474242748</v>
      </c>
      <c r="M449" s="63">
        <f t="shared" si="26"/>
        <v>0.49832814474242748</v>
      </c>
      <c r="N449" s="63">
        <f t="shared" si="27"/>
        <v>1.1721492539193876</v>
      </c>
      <c r="O449" s="30">
        <f>IF(OR(LEFT($D449,5)="Solar",$D449="Wind"),INDEX(Land_Use[AVG],MATCH(LEFT($D449,5),Land_Use[Tech],0)),0)*$E449</f>
        <v>0</v>
      </c>
      <c r="P449" s="30">
        <f>IF(OR(LEFT($D449,5)="Solar",$D449="Wind"),INDEX(Land_Use[MIN],MATCH(LEFT($D449,5),Land_Use[Tech],0)),0)*$E449</f>
        <v>0</v>
      </c>
      <c r="Q449" s="30">
        <f>IF(OR(LEFT($D449,5)="Solar",$D449="Wind"),INDEX(Land_Use[MAX],MATCH(LEFT($D449,5),Land_Use[Tech],0)),0)*$E449</f>
        <v>0</v>
      </c>
      <c r="R449" s="31">
        <f>IFERROR(INDEX(WaterUseH2[Average Direct Water Consumption (Gal/ kg h2)],MATCH(LEFT(D449,3),WaterUseH2[Key],0)),0)</f>
        <v>0</v>
      </c>
      <c r="S449" s="15">
        <f t="shared" si="28"/>
        <v>0</v>
      </c>
    </row>
    <row r="450" spans="1:19" x14ac:dyDescent="0.35">
      <c r="A450" t="s">
        <v>107</v>
      </c>
      <c r="B450">
        <v>2031</v>
      </c>
      <c r="C450" t="s">
        <v>92</v>
      </c>
      <c r="D450" t="s">
        <v>93</v>
      </c>
      <c r="E450" s="9">
        <f>SUMIFS(RenewableJetFuel!$Z:$Z,RenewableJetFuel!S:S,Predev_Scenarios!A450,RenewableJetFuel!W:W,Predev_Scenarios!B450,RenewableJetFuel!T:T,Predev_Scenarios!D450)</f>
        <v>218.26006481216686</v>
      </c>
      <c r="F450" t="s">
        <v>109</v>
      </c>
      <c r="G450">
        <f>SUMIFS(RenewableJetFuel!$Y:$Y,RenewableJetFuel!S:S,Predev_Scenarios!A450,RenewableJetFuel!W:W,Predev_Scenarios!B450,RenewableJetFuel!T:T,Predev_Scenarios!D450)</f>
        <v>3.1087335357196537E-2</v>
      </c>
      <c r="H450" s="13" t="str">
        <f>IF(C450="Electricity",E450*SUMIFS(Electricity!S:S,Electricity!P:P,Predev_Scenarios!B450,Electricity!M:M,Predev_Scenarios!A450,Electricity!O:O,Predev_Scenarios!D450),"")</f>
        <v/>
      </c>
      <c r="I450" s="12">
        <f>SUMIFS(RenewableJetFuel!AD:AD,RenewableJetFuel!$S:$S,Predev_Scenarios!$A450,RenewableJetFuel!$T:$T,Predev_Scenarios!$D450,RenewableJetFuel!$W:$W,Predev_Scenarios!$B450)</f>
        <v>-16.64</v>
      </c>
      <c r="J450" s="12">
        <f>SUMIFS(RenewableJetFuel!AE:AE,RenewableJetFuel!$S:$S,Predev_Scenarios!$A450,RenewableJetFuel!$T:$T,Predev_Scenarios!$D450,RenewableJetFuel!$W:$W,Predev_Scenarios!$B450)</f>
        <v>-16.64</v>
      </c>
      <c r="K450" s="12">
        <f>SUMIFS(RenewableJetFuel!AF:AF,RenewableJetFuel!$S:$S,Predev_Scenarios!$A450,RenewableJetFuel!$T:$T,Predev_Scenarios!$D450,RenewableJetFuel!$W:$W,Predev_Scenarios!$B450)</f>
        <v>-39.14</v>
      </c>
      <c r="L450" s="63">
        <f t="shared" ref="L450:L506" si="29">IF($C450="Electricity",$H450/1000000000000,$G450)*I450*-1</f>
        <v>0.51729326034375034</v>
      </c>
      <c r="M450" s="63">
        <f t="shared" ref="M450:M506" si="30">IF($C450="Electricity",$H450/1000000000000,$G450)*J450*-1</f>
        <v>0.51729326034375034</v>
      </c>
      <c r="N450" s="63">
        <f t="shared" ref="N450:N506" si="31">IF($C450="Electricity",$H450/1000000000000,$G450)*K450*-1</f>
        <v>1.2167583058806726</v>
      </c>
      <c r="O450" s="30">
        <f>IF(OR(LEFT($D450,5)="Solar",$D450="Wind"),INDEX(Land_Use[AVG],MATCH(LEFT($D450,5),Land_Use[Tech],0)),0)*$E450</f>
        <v>0</v>
      </c>
      <c r="P450" s="30">
        <f>IF(OR(LEFT($D450,5)="Solar",$D450="Wind"),INDEX(Land_Use[MIN],MATCH(LEFT($D450,5),Land_Use[Tech],0)),0)*$E450</f>
        <v>0</v>
      </c>
      <c r="Q450" s="30">
        <f>IF(OR(LEFT($D450,5)="Solar",$D450="Wind"),INDEX(Land_Use[MAX],MATCH(LEFT($D450,5),Land_Use[Tech],0)),0)*$E450</f>
        <v>0</v>
      </c>
      <c r="R450" s="31">
        <f>IFERROR(INDEX(WaterUseH2[Average Direct Water Consumption (Gal/ kg h2)],MATCH(LEFT(D450,3),WaterUseH2[Key],0)),0)</f>
        <v>0</v>
      </c>
      <c r="S450" s="15">
        <f t="shared" ref="S450:S506" si="32">E450*R450*1000/1000000</f>
        <v>0</v>
      </c>
    </row>
    <row r="451" spans="1:19" x14ac:dyDescent="0.35">
      <c r="A451" t="s">
        <v>107</v>
      </c>
      <c r="B451">
        <v>2032</v>
      </c>
      <c r="C451" t="s">
        <v>92</v>
      </c>
      <c r="D451" t="s">
        <v>93</v>
      </c>
      <c r="E451" s="9">
        <f>SUMIFS(RenewableJetFuel!$Z:$Z,RenewableJetFuel!S:S,Predev_Scenarios!A451,RenewableJetFuel!W:W,Predev_Scenarios!B451,RenewableJetFuel!T:T,Predev_Scenarios!D451)</f>
        <v>225.19051862660402</v>
      </c>
      <c r="F451" t="s">
        <v>109</v>
      </c>
      <c r="G451">
        <f>SUMIFS(RenewableJetFuel!$Y:$Y,RenewableJetFuel!S:S,Predev_Scenarios!A451,RenewableJetFuel!W:W,Predev_Scenarios!B451,RenewableJetFuel!T:T,Predev_Scenarios!D451)</f>
        <v>3.2074457495606896E-2</v>
      </c>
      <c r="H451" s="13" t="str">
        <f>IF(C451="Electricity",E451*SUMIFS(Electricity!S:S,Electricity!P:P,Predev_Scenarios!B451,Electricity!M:M,Predev_Scenarios!A451,Electricity!O:O,Predev_Scenarios!D451),"")</f>
        <v/>
      </c>
      <c r="I451" s="12">
        <f>SUMIFS(RenewableJetFuel!AD:AD,RenewableJetFuel!$S:$S,Predev_Scenarios!$A451,RenewableJetFuel!$T:$T,Predev_Scenarios!$D451,RenewableJetFuel!$W:$W,Predev_Scenarios!$B451)</f>
        <v>-16.64</v>
      </c>
      <c r="J451" s="12">
        <f>SUMIFS(RenewableJetFuel!AE:AE,RenewableJetFuel!$S:$S,Predev_Scenarios!$A451,RenewableJetFuel!$T:$T,Predev_Scenarios!$D451,RenewableJetFuel!$W:$W,Predev_Scenarios!$B451)</f>
        <v>-16.64</v>
      </c>
      <c r="K451" s="12">
        <f>SUMIFS(RenewableJetFuel!AF:AF,RenewableJetFuel!$S:$S,Predev_Scenarios!$A451,RenewableJetFuel!$T:$T,Predev_Scenarios!$D451,RenewableJetFuel!$W:$W,Predev_Scenarios!$B451)</f>
        <v>-39.14</v>
      </c>
      <c r="L451" s="63">
        <f t="shared" si="29"/>
        <v>0.53371897272689872</v>
      </c>
      <c r="M451" s="63">
        <f t="shared" si="30"/>
        <v>0.53371897272689872</v>
      </c>
      <c r="N451" s="63">
        <f t="shared" si="31"/>
        <v>1.255394266378054</v>
      </c>
      <c r="O451" s="30">
        <f>IF(OR(LEFT($D451,5)="Solar",$D451="Wind"),INDEX(Land_Use[AVG],MATCH(LEFT($D451,5),Land_Use[Tech],0)),0)*$E451</f>
        <v>0</v>
      </c>
      <c r="P451" s="30">
        <f>IF(OR(LEFT($D451,5)="Solar",$D451="Wind"),INDEX(Land_Use[MIN],MATCH(LEFT($D451,5),Land_Use[Tech],0)),0)*$E451</f>
        <v>0</v>
      </c>
      <c r="Q451" s="30">
        <f>IF(OR(LEFT($D451,5)="Solar",$D451="Wind"),INDEX(Land_Use[MAX],MATCH(LEFT($D451,5),Land_Use[Tech],0)),0)*$E451</f>
        <v>0</v>
      </c>
      <c r="R451" s="31">
        <f>IFERROR(INDEX(WaterUseH2[Average Direct Water Consumption (Gal/ kg h2)],MATCH(LEFT(D451,3),WaterUseH2[Key],0)),0)</f>
        <v>0</v>
      </c>
      <c r="S451" s="15">
        <f t="shared" si="32"/>
        <v>0</v>
      </c>
    </row>
    <row r="452" spans="1:19" x14ac:dyDescent="0.35">
      <c r="A452" t="s">
        <v>107</v>
      </c>
      <c r="B452">
        <v>2033</v>
      </c>
      <c r="C452" t="s">
        <v>92</v>
      </c>
      <c r="D452" t="s">
        <v>93</v>
      </c>
      <c r="E452" s="9">
        <f>SUMIFS(RenewableJetFuel!$Z:$Z,RenewableJetFuel!S:S,Predev_Scenarios!A452,RenewableJetFuel!W:W,Predev_Scenarios!B452,RenewableJetFuel!T:T,Predev_Scenarios!D452)</f>
        <v>230.81611053182124</v>
      </c>
      <c r="F452" t="s">
        <v>109</v>
      </c>
      <c r="G452">
        <f>SUMIFS(RenewableJetFuel!$Y:$Y,RenewableJetFuel!S:S,Predev_Scenarios!A452,RenewableJetFuel!W:W,Predev_Scenarios!B452,RenewableJetFuel!T:T,Predev_Scenarios!D452)</f>
        <v>3.287572483826403E-2</v>
      </c>
      <c r="H452" s="13" t="str">
        <f>IF(C452="Electricity",E452*SUMIFS(Electricity!S:S,Electricity!P:P,Predev_Scenarios!B452,Electricity!M:M,Predev_Scenarios!A452,Electricity!O:O,Predev_Scenarios!D452),"")</f>
        <v/>
      </c>
      <c r="I452" s="12">
        <f>SUMIFS(RenewableJetFuel!AD:AD,RenewableJetFuel!$S:$S,Predev_Scenarios!$A452,RenewableJetFuel!$T:$T,Predev_Scenarios!$D452,RenewableJetFuel!$W:$W,Predev_Scenarios!$B452)</f>
        <v>-16.64</v>
      </c>
      <c r="J452" s="12">
        <f>SUMIFS(RenewableJetFuel!AE:AE,RenewableJetFuel!$S:$S,Predev_Scenarios!$A452,RenewableJetFuel!$T:$T,Predev_Scenarios!$D452,RenewableJetFuel!$W:$W,Predev_Scenarios!$B452)</f>
        <v>-16.64</v>
      </c>
      <c r="K452" s="12">
        <f>SUMIFS(RenewableJetFuel!AF:AF,RenewableJetFuel!$S:$S,Predev_Scenarios!$A452,RenewableJetFuel!$T:$T,Predev_Scenarios!$D452,RenewableJetFuel!$W:$W,Predev_Scenarios!$B452)</f>
        <v>-39.14</v>
      </c>
      <c r="L452" s="63">
        <f t="shared" si="29"/>
        <v>0.54705206130871342</v>
      </c>
      <c r="M452" s="63">
        <f t="shared" si="30"/>
        <v>0.54705206130871342</v>
      </c>
      <c r="N452" s="63">
        <f t="shared" si="31"/>
        <v>1.2867558701696542</v>
      </c>
      <c r="O452" s="30">
        <f>IF(OR(LEFT($D452,5)="Solar",$D452="Wind"),INDEX(Land_Use[AVG],MATCH(LEFT($D452,5),Land_Use[Tech],0)),0)*$E452</f>
        <v>0</v>
      </c>
      <c r="P452" s="30">
        <f>IF(OR(LEFT($D452,5)="Solar",$D452="Wind"),INDEX(Land_Use[MIN],MATCH(LEFT($D452,5),Land_Use[Tech],0)),0)*$E452</f>
        <v>0</v>
      </c>
      <c r="Q452" s="30">
        <f>IF(OR(LEFT($D452,5)="Solar",$D452="Wind"),INDEX(Land_Use[MAX],MATCH(LEFT($D452,5),Land_Use[Tech],0)),0)*$E452</f>
        <v>0</v>
      </c>
      <c r="R452" s="31">
        <f>IFERROR(INDEX(WaterUseH2[Average Direct Water Consumption (Gal/ kg h2)],MATCH(LEFT(D452,3),WaterUseH2[Key],0)),0)</f>
        <v>0</v>
      </c>
      <c r="S452" s="15">
        <f t="shared" si="32"/>
        <v>0</v>
      </c>
    </row>
    <row r="453" spans="1:19" x14ac:dyDescent="0.35">
      <c r="A453" t="s">
        <v>107</v>
      </c>
      <c r="B453">
        <v>2034</v>
      </c>
      <c r="C453" t="s">
        <v>92</v>
      </c>
      <c r="D453" t="s">
        <v>93</v>
      </c>
      <c r="E453" s="9">
        <f>SUMIFS(RenewableJetFuel!$Z:$Z,RenewableJetFuel!S:S,Predev_Scenarios!A453,RenewableJetFuel!W:W,Predev_Scenarios!B453,RenewableJetFuel!T:T,Predev_Scenarios!D453)</f>
        <v>234.85410574736511</v>
      </c>
      <c r="F453" t="s">
        <v>109</v>
      </c>
      <c r="G453">
        <f>SUMIFS(RenewableJetFuel!$Y:$Y,RenewableJetFuel!S:S,Predev_Scenarios!A453,RenewableJetFuel!W:W,Predev_Scenarios!B453,RenewableJetFuel!T:T,Predev_Scenarios!D453)</f>
        <v>3.3450866752312292E-2</v>
      </c>
      <c r="H453" s="13" t="str">
        <f>IF(C453="Electricity",E453*SUMIFS(Electricity!S:S,Electricity!P:P,Predev_Scenarios!B453,Electricity!M:M,Predev_Scenarios!A453,Electricity!O:O,Predev_Scenarios!D453),"")</f>
        <v/>
      </c>
      <c r="I453" s="12">
        <f>SUMIFS(RenewableJetFuel!AD:AD,RenewableJetFuel!$S:$S,Predev_Scenarios!$A453,RenewableJetFuel!$T:$T,Predev_Scenarios!$D453,RenewableJetFuel!$W:$W,Predev_Scenarios!$B453)</f>
        <v>-16.64</v>
      </c>
      <c r="J453" s="12">
        <f>SUMIFS(RenewableJetFuel!AE:AE,RenewableJetFuel!$S:$S,Predev_Scenarios!$A453,RenewableJetFuel!$T:$T,Predev_Scenarios!$D453,RenewableJetFuel!$W:$W,Predev_Scenarios!$B453)</f>
        <v>-16.64</v>
      </c>
      <c r="K453" s="12">
        <f>SUMIFS(RenewableJetFuel!AF:AF,RenewableJetFuel!$S:$S,Predev_Scenarios!$A453,RenewableJetFuel!$T:$T,Predev_Scenarios!$D453,RenewableJetFuel!$W:$W,Predev_Scenarios!$B453)</f>
        <v>-39.14</v>
      </c>
      <c r="L453" s="63">
        <f t="shared" si="29"/>
        <v>0.55662242275847651</v>
      </c>
      <c r="M453" s="63">
        <f t="shared" si="30"/>
        <v>0.55662242275847651</v>
      </c>
      <c r="N453" s="63">
        <f t="shared" si="31"/>
        <v>1.3092669246855031</v>
      </c>
      <c r="O453" s="30">
        <f>IF(OR(LEFT($D453,5)="Solar",$D453="Wind"),INDEX(Land_Use[AVG],MATCH(LEFT($D453,5),Land_Use[Tech],0)),0)*$E453</f>
        <v>0</v>
      </c>
      <c r="P453" s="30">
        <f>IF(OR(LEFT($D453,5)="Solar",$D453="Wind"),INDEX(Land_Use[MIN],MATCH(LEFT($D453,5),Land_Use[Tech],0)),0)*$E453</f>
        <v>0</v>
      </c>
      <c r="Q453" s="30">
        <f>IF(OR(LEFT($D453,5)="Solar",$D453="Wind"),INDEX(Land_Use[MAX],MATCH(LEFT($D453,5),Land_Use[Tech],0)),0)*$E453</f>
        <v>0</v>
      </c>
      <c r="R453" s="31">
        <f>IFERROR(INDEX(WaterUseH2[Average Direct Water Consumption (Gal/ kg h2)],MATCH(LEFT(D453,3),WaterUseH2[Key],0)),0)</f>
        <v>0</v>
      </c>
      <c r="S453" s="15">
        <f t="shared" si="32"/>
        <v>0</v>
      </c>
    </row>
    <row r="454" spans="1:19" x14ac:dyDescent="0.35">
      <c r="A454" t="s">
        <v>107</v>
      </c>
      <c r="B454">
        <v>2035</v>
      </c>
      <c r="C454" t="s">
        <v>92</v>
      </c>
      <c r="D454" t="s">
        <v>93</v>
      </c>
      <c r="E454" s="9">
        <f>SUMIFS(RenewableJetFuel!$Z:$Z,RenewableJetFuel!S:S,Predev_Scenarios!A454,RenewableJetFuel!W:W,Predev_Scenarios!B454,RenewableJetFuel!T:T,Predev_Scenarios!D454)</f>
        <v>236.96226249799881</v>
      </c>
      <c r="F454" t="s">
        <v>109</v>
      </c>
      <c r="G454">
        <f>SUMIFS(RenewableJetFuel!$Y:$Y,RenewableJetFuel!S:S,Predev_Scenarios!A454,RenewableJetFuel!W:W,Predev_Scenarios!B454,RenewableJetFuel!T:T,Predev_Scenarios!D454)</f>
        <v>3.3751136872496153E-2</v>
      </c>
      <c r="H454" s="13" t="str">
        <f>IF(C454="Electricity",E454*SUMIFS(Electricity!S:S,Electricity!P:P,Predev_Scenarios!B454,Electricity!M:M,Predev_Scenarios!A454,Electricity!O:O,Predev_Scenarios!D454),"")</f>
        <v/>
      </c>
      <c r="I454" s="12">
        <f>SUMIFS(RenewableJetFuel!AD:AD,RenewableJetFuel!$S:$S,Predev_Scenarios!$A454,RenewableJetFuel!$T:$T,Predev_Scenarios!$D454,RenewableJetFuel!$W:$W,Predev_Scenarios!$B454)</f>
        <v>-16.64</v>
      </c>
      <c r="J454" s="12">
        <f>SUMIFS(RenewableJetFuel!AE:AE,RenewableJetFuel!$S:$S,Predev_Scenarios!$A454,RenewableJetFuel!$T:$T,Predev_Scenarios!$D454,RenewableJetFuel!$W:$W,Predev_Scenarios!$B454)</f>
        <v>-16.64</v>
      </c>
      <c r="K454" s="12">
        <f>SUMIFS(RenewableJetFuel!AF:AF,RenewableJetFuel!$S:$S,Predev_Scenarios!$A454,RenewableJetFuel!$T:$T,Predev_Scenarios!$D454,RenewableJetFuel!$W:$W,Predev_Scenarios!$B454)</f>
        <v>-39.14</v>
      </c>
      <c r="L454" s="63">
        <f t="shared" si="29"/>
        <v>0.56161891755833604</v>
      </c>
      <c r="M454" s="63">
        <f t="shared" si="30"/>
        <v>0.56161891755833604</v>
      </c>
      <c r="N454" s="63">
        <f t="shared" si="31"/>
        <v>1.3210194971894995</v>
      </c>
      <c r="O454" s="30">
        <f>IF(OR(LEFT($D454,5)="Solar",$D454="Wind"),INDEX(Land_Use[AVG],MATCH(LEFT($D454,5),Land_Use[Tech],0)),0)*$E454</f>
        <v>0</v>
      </c>
      <c r="P454" s="30">
        <f>IF(OR(LEFT($D454,5)="Solar",$D454="Wind"),INDEX(Land_Use[MIN],MATCH(LEFT($D454,5),Land_Use[Tech],0)),0)*$E454</f>
        <v>0</v>
      </c>
      <c r="Q454" s="30">
        <f>IF(OR(LEFT($D454,5)="Solar",$D454="Wind"),INDEX(Land_Use[MAX],MATCH(LEFT($D454,5),Land_Use[Tech],0)),0)*$E454</f>
        <v>0</v>
      </c>
      <c r="R454" s="31">
        <f>IFERROR(INDEX(WaterUseH2[Average Direct Water Consumption (Gal/ kg h2)],MATCH(LEFT(D454,3),WaterUseH2[Key],0)),0)</f>
        <v>0</v>
      </c>
      <c r="S454" s="15">
        <f t="shared" si="32"/>
        <v>0</v>
      </c>
    </row>
    <row r="455" spans="1:19" x14ac:dyDescent="0.35">
      <c r="A455" t="s">
        <v>107</v>
      </c>
      <c r="B455">
        <v>2036</v>
      </c>
      <c r="C455" t="s">
        <v>92</v>
      </c>
      <c r="D455" t="s">
        <v>93</v>
      </c>
      <c r="E455" s="9">
        <f>SUMIFS(RenewableJetFuel!$Z:$Z,RenewableJetFuel!S:S,Predev_Scenarios!A455,RenewableJetFuel!W:W,Predev_Scenarios!B455,RenewableJetFuel!T:T,Predev_Scenarios!D455)</f>
        <v>236.72657010189755</v>
      </c>
      <c r="F455" t="s">
        <v>109</v>
      </c>
      <c r="G455">
        <f>SUMIFS(RenewableJetFuel!$Y:$Y,RenewableJetFuel!S:S,Predev_Scenarios!A455,RenewableJetFuel!W:W,Predev_Scenarios!B455,RenewableJetFuel!T:T,Predev_Scenarios!D455)</f>
        <v>3.3717566605919687E-2</v>
      </c>
      <c r="H455" s="13" t="str">
        <f>IF(C455="Electricity",E455*SUMIFS(Electricity!S:S,Electricity!P:P,Predev_Scenarios!B455,Electricity!M:M,Predev_Scenarios!A455,Electricity!O:O,Predev_Scenarios!D455),"")</f>
        <v/>
      </c>
      <c r="I455" s="12">
        <f>SUMIFS(RenewableJetFuel!AD:AD,RenewableJetFuel!$S:$S,Predev_Scenarios!$A455,RenewableJetFuel!$T:$T,Predev_Scenarios!$D455,RenewableJetFuel!$W:$W,Predev_Scenarios!$B455)</f>
        <v>-16.64</v>
      </c>
      <c r="J455" s="12">
        <f>SUMIFS(RenewableJetFuel!AE:AE,RenewableJetFuel!$S:$S,Predev_Scenarios!$A455,RenewableJetFuel!$T:$T,Predev_Scenarios!$D455,RenewableJetFuel!$W:$W,Predev_Scenarios!$B455)</f>
        <v>-16.64</v>
      </c>
      <c r="K455" s="12">
        <f>SUMIFS(RenewableJetFuel!AF:AF,RenewableJetFuel!$S:$S,Predev_Scenarios!$A455,RenewableJetFuel!$T:$T,Predev_Scenarios!$D455,RenewableJetFuel!$W:$W,Predev_Scenarios!$B455)</f>
        <v>-39.14</v>
      </c>
      <c r="L455" s="63">
        <f t="shared" si="29"/>
        <v>0.56106030832250364</v>
      </c>
      <c r="M455" s="63">
        <f t="shared" si="30"/>
        <v>0.56106030832250364</v>
      </c>
      <c r="N455" s="63">
        <f t="shared" si="31"/>
        <v>1.3197055569556966</v>
      </c>
      <c r="O455" s="30">
        <f>IF(OR(LEFT($D455,5)="Solar",$D455="Wind"),INDEX(Land_Use[AVG],MATCH(LEFT($D455,5),Land_Use[Tech],0)),0)*$E455</f>
        <v>0</v>
      </c>
      <c r="P455" s="30">
        <f>IF(OR(LEFT($D455,5)="Solar",$D455="Wind"),INDEX(Land_Use[MIN],MATCH(LEFT($D455,5),Land_Use[Tech],0)),0)*$E455</f>
        <v>0</v>
      </c>
      <c r="Q455" s="30">
        <f>IF(OR(LEFT($D455,5)="Solar",$D455="Wind"),INDEX(Land_Use[MAX],MATCH(LEFT($D455,5),Land_Use[Tech],0)),0)*$E455</f>
        <v>0</v>
      </c>
      <c r="R455" s="31">
        <f>IFERROR(INDEX(WaterUseH2[Average Direct Water Consumption (Gal/ kg h2)],MATCH(LEFT(D455,3),WaterUseH2[Key],0)),0)</f>
        <v>0</v>
      </c>
      <c r="S455" s="15">
        <f t="shared" si="32"/>
        <v>0</v>
      </c>
    </row>
    <row r="456" spans="1:19" x14ac:dyDescent="0.35">
      <c r="A456" t="s">
        <v>107</v>
      </c>
      <c r="B456">
        <v>2037</v>
      </c>
      <c r="C456" t="s">
        <v>92</v>
      </c>
      <c r="D456" t="s">
        <v>93</v>
      </c>
      <c r="E456" s="9">
        <f>SUMIFS(RenewableJetFuel!$Z:$Z,RenewableJetFuel!S:S,Predev_Scenarios!A456,RenewableJetFuel!W:W,Predev_Scenarios!B456,RenewableJetFuel!T:T,Predev_Scenarios!D456)</f>
        <v>233.64650079834595</v>
      </c>
      <c r="F456" t="s">
        <v>109</v>
      </c>
      <c r="G456">
        <f>SUMIFS(RenewableJetFuel!$Y:$Y,RenewableJetFuel!S:S,Predev_Scenarios!A456,RenewableJetFuel!W:W,Predev_Scenarios!B456,RenewableJetFuel!T:T,Predev_Scenarios!D456)</f>
        <v>3.3278864512408822E-2</v>
      </c>
      <c r="H456" s="13" t="str">
        <f>IF(C456="Electricity",E456*SUMIFS(Electricity!S:S,Electricity!P:P,Predev_Scenarios!B456,Electricity!M:M,Predev_Scenarios!A456,Electricity!O:O,Predev_Scenarios!D456),"")</f>
        <v/>
      </c>
      <c r="I456" s="12">
        <f>SUMIFS(RenewableJetFuel!AD:AD,RenewableJetFuel!$S:$S,Predev_Scenarios!$A456,RenewableJetFuel!$T:$T,Predev_Scenarios!$D456,RenewableJetFuel!$W:$W,Predev_Scenarios!$B456)</f>
        <v>-16.64</v>
      </c>
      <c r="J456" s="12">
        <f>SUMIFS(RenewableJetFuel!AE:AE,RenewableJetFuel!$S:$S,Predev_Scenarios!$A456,RenewableJetFuel!$T:$T,Predev_Scenarios!$D456,RenewableJetFuel!$W:$W,Predev_Scenarios!$B456)</f>
        <v>-16.64</v>
      </c>
      <c r="K456" s="12">
        <f>SUMIFS(RenewableJetFuel!AF:AF,RenewableJetFuel!$S:$S,Predev_Scenarios!$A456,RenewableJetFuel!$T:$T,Predev_Scenarios!$D456,RenewableJetFuel!$W:$W,Predev_Scenarios!$B456)</f>
        <v>-39.14</v>
      </c>
      <c r="L456" s="63">
        <f t="shared" si="29"/>
        <v>0.55376030548648281</v>
      </c>
      <c r="M456" s="63">
        <f t="shared" si="30"/>
        <v>0.55376030548648281</v>
      </c>
      <c r="N456" s="63">
        <f t="shared" si="31"/>
        <v>1.3025347570156813</v>
      </c>
      <c r="O456" s="30">
        <f>IF(OR(LEFT($D456,5)="Solar",$D456="Wind"),INDEX(Land_Use[AVG],MATCH(LEFT($D456,5),Land_Use[Tech],0)),0)*$E456</f>
        <v>0</v>
      </c>
      <c r="P456" s="30">
        <f>IF(OR(LEFT($D456,5)="Solar",$D456="Wind"),INDEX(Land_Use[MIN],MATCH(LEFT($D456,5),Land_Use[Tech],0)),0)*$E456</f>
        <v>0</v>
      </c>
      <c r="Q456" s="30">
        <f>IF(OR(LEFT($D456,5)="Solar",$D456="Wind"),INDEX(Land_Use[MAX],MATCH(LEFT($D456,5),Land_Use[Tech],0)),0)*$E456</f>
        <v>0</v>
      </c>
      <c r="R456" s="31">
        <f>IFERROR(INDEX(WaterUseH2[Average Direct Water Consumption (Gal/ kg h2)],MATCH(LEFT(D456,3),WaterUseH2[Key],0)),0)</f>
        <v>0</v>
      </c>
      <c r="S456" s="15">
        <f t="shared" si="32"/>
        <v>0</v>
      </c>
    </row>
    <row r="457" spans="1:19" x14ac:dyDescent="0.35">
      <c r="A457" t="s">
        <v>107</v>
      </c>
      <c r="B457">
        <v>2038</v>
      </c>
      <c r="C457" t="s">
        <v>92</v>
      </c>
      <c r="D457" t="s">
        <v>93</v>
      </c>
      <c r="E457" s="9">
        <f>SUMIFS(RenewableJetFuel!$Z:$Z,RenewableJetFuel!S:S,Predev_Scenarios!A457,RenewableJetFuel!W:W,Predev_Scenarios!B457,RenewableJetFuel!T:T,Predev_Scenarios!D457)</f>
        <v>227.11727754518228</v>
      </c>
      <c r="F457" t="s">
        <v>109</v>
      </c>
      <c r="G457">
        <f>SUMIFS(RenewableJetFuel!$Y:$Y,RenewableJetFuel!S:S,Predev_Scenarios!A457,RenewableJetFuel!W:W,Predev_Scenarios!B457,RenewableJetFuel!T:T,Predev_Scenarios!D457)</f>
        <v>3.2348890661865963E-2</v>
      </c>
      <c r="H457" s="13" t="str">
        <f>IF(C457="Electricity",E457*SUMIFS(Electricity!S:S,Electricity!P:P,Predev_Scenarios!B457,Electricity!M:M,Predev_Scenarios!A457,Electricity!O:O,Predev_Scenarios!D457),"")</f>
        <v/>
      </c>
      <c r="I457" s="12">
        <f>SUMIFS(RenewableJetFuel!AD:AD,RenewableJetFuel!$S:$S,Predev_Scenarios!$A457,RenewableJetFuel!$T:$T,Predev_Scenarios!$D457,RenewableJetFuel!$W:$W,Predev_Scenarios!$B457)</f>
        <v>-16.64</v>
      </c>
      <c r="J457" s="12">
        <f>SUMIFS(RenewableJetFuel!AE:AE,RenewableJetFuel!$S:$S,Predev_Scenarios!$A457,RenewableJetFuel!$T:$T,Predev_Scenarios!$D457,RenewableJetFuel!$W:$W,Predev_Scenarios!$B457)</f>
        <v>-16.64</v>
      </c>
      <c r="K457" s="12">
        <f>SUMIFS(RenewableJetFuel!AF:AF,RenewableJetFuel!$S:$S,Predev_Scenarios!$A457,RenewableJetFuel!$T:$T,Predev_Scenarios!$D457,RenewableJetFuel!$W:$W,Predev_Scenarios!$B457)</f>
        <v>-39.14</v>
      </c>
      <c r="L457" s="63">
        <f t="shared" si="29"/>
        <v>0.53828554061344969</v>
      </c>
      <c r="M457" s="63">
        <f t="shared" si="30"/>
        <v>0.53828554061344969</v>
      </c>
      <c r="N457" s="63">
        <f t="shared" si="31"/>
        <v>1.2661355805054337</v>
      </c>
      <c r="O457" s="30">
        <f>IF(OR(LEFT($D457,5)="Solar",$D457="Wind"),INDEX(Land_Use[AVG],MATCH(LEFT($D457,5),Land_Use[Tech],0)),0)*$E457</f>
        <v>0</v>
      </c>
      <c r="P457" s="30">
        <f>IF(OR(LEFT($D457,5)="Solar",$D457="Wind"),INDEX(Land_Use[MIN],MATCH(LEFT($D457,5),Land_Use[Tech],0)),0)*$E457</f>
        <v>0</v>
      </c>
      <c r="Q457" s="30">
        <f>IF(OR(LEFT($D457,5)="Solar",$D457="Wind"),INDEX(Land_Use[MAX],MATCH(LEFT($D457,5),Land_Use[Tech],0)),0)*$E457</f>
        <v>0</v>
      </c>
      <c r="R457" s="31">
        <f>IFERROR(INDEX(WaterUseH2[Average Direct Water Consumption (Gal/ kg h2)],MATCH(LEFT(D457,3),WaterUseH2[Key],0)),0)</f>
        <v>0</v>
      </c>
      <c r="S457" s="15">
        <f t="shared" si="32"/>
        <v>0</v>
      </c>
    </row>
    <row r="458" spans="1:19" x14ac:dyDescent="0.35">
      <c r="A458" t="s">
        <v>107</v>
      </c>
      <c r="B458">
        <v>2039</v>
      </c>
      <c r="C458" t="s">
        <v>92</v>
      </c>
      <c r="D458" t="s">
        <v>93</v>
      </c>
      <c r="E458" s="9">
        <f>SUMIFS(RenewableJetFuel!$Z:$Z,RenewableJetFuel!S:S,Predev_Scenarios!A458,RenewableJetFuel!W:W,Predev_Scenarios!B458,RenewableJetFuel!T:T,Predev_Scenarios!D458)</f>
        <v>216.40856137654836</v>
      </c>
      <c r="F458" t="s">
        <v>109</v>
      </c>
      <c r="G458">
        <f>SUMIFS(RenewableJetFuel!$Y:$Y,RenewableJetFuel!S:S,Predev_Scenarios!A458,RenewableJetFuel!W:W,Predev_Scenarios!B458,RenewableJetFuel!T:T,Predev_Scenarios!D458)</f>
        <v>3.0823621020505541E-2</v>
      </c>
      <c r="H458" s="13" t="str">
        <f>IF(C458="Electricity",E458*SUMIFS(Electricity!S:S,Electricity!P:P,Predev_Scenarios!B458,Electricity!M:M,Predev_Scenarios!A458,Electricity!O:O,Predev_Scenarios!D458),"")</f>
        <v/>
      </c>
      <c r="I458" s="12">
        <f>SUMIFS(RenewableJetFuel!AD:AD,RenewableJetFuel!$S:$S,Predev_Scenarios!$A458,RenewableJetFuel!$T:$T,Predev_Scenarios!$D458,RenewableJetFuel!$W:$W,Predev_Scenarios!$B458)</f>
        <v>-16.64</v>
      </c>
      <c r="J458" s="12">
        <f>SUMIFS(RenewableJetFuel!AE:AE,RenewableJetFuel!$S:$S,Predev_Scenarios!$A458,RenewableJetFuel!$T:$T,Predev_Scenarios!$D458,RenewableJetFuel!$W:$W,Predev_Scenarios!$B458)</f>
        <v>-16.64</v>
      </c>
      <c r="K458" s="12">
        <f>SUMIFS(RenewableJetFuel!AF:AF,RenewableJetFuel!$S:$S,Predev_Scenarios!$A458,RenewableJetFuel!$T:$T,Predev_Scenarios!$D458,RenewableJetFuel!$W:$W,Predev_Scenarios!$B458)</f>
        <v>-39.14</v>
      </c>
      <c r="L458" s="63">
        <f t="shared" si="29"/>
        <v>0.51290505378121221</v>
      </c>
      <c r="M458" s="63">
        <f t="shared" si="30"/>
        <v>0.51290505378121221</v>
      </c>
      <c r="N458" s="63">
        <f t="shared" si="31"/>
        <v>1.2064365267425869</v>
      </c>
      <c r="O458" s="30">
        <f>IF(OR(LEFT($D458,5)="Solar",$D458="Wind"),INDEX(Land_Use[AVG],MATCH(LEFT($D458,5),Land_Use[Tech],0)),0)*$E458</f>
        <v>0</v>
      </c>
      <c r="P458" s="30">
        <f>IF(OR(LEFT($D458,5)="Solar",$D458="Wind"),INDEX(Land_Use[MIN],MATCH(LEFT($D458,5),Land_Use[Tech],0)),0)*$E458</f>
        <v>0</v>
      </c>
      <c r="Q458" s="30">
        <f>IF(OR(LEFT($D458,5)="Solar",$D458="Wind"),INDEX(Land_Use[MAX],MATCH(LEFT($D458,5),Land_Use[Tech],0)),0)*$E458</f>
        <v>0</v>
      </c>
      <c r="R458" s="31">
        <f>IFERROR(INDEX(WaterUseH2[Average Direct Water Consumption (Gal/ kg h2)],MATCH(LEFT(D458,3),WaterUseH2[Key],0)),0)</f>
        <v>0</v>
      </c>
      <c r="S458" s="15">
        <f t="shared" si="32"/>
        <v>0</v>
      </c>
    </row>
    <row r="459" spans="1:19" x14ac:dyDescent="0.35">
      <c r="A459" t="s">
        <v>107</v>
      </c>
      <c r="B459">
        <v>2040</v>
      </c>
      <c r="C459" t="s">
        <v>92</v>
      </c>
      <c r="D459" t="s">
        <v>93</v>
      </c>
      <c r="E459" s="9">
        <f>SUMIFS(RenewableJetFuel!$Z:$Z,RenewableJetFuel!S:S,Predev_Scenarios!A459,RenewableJetFuel!W:W,Predev_Scenarios!B459,RenewableJetFuel!T:T,Predev_Scenarios!D459)</f>
        <v>200.63884388699526</v>
      </c>
      <c r="F459" t="s">
        <v>109</v>
      </c>
      <c r="G459">
        <f>SUMIFS(RenewableJetFuel!$Y:$Y,RenewableJetFuel!S:S,Predev_Scenarios!A459,RenewableJetFuel!W:W,Predev_Scenarios!B459,RenewableJetFuel!T:T,Predev_Scenarios!D459)</f>
        <v>2.8577500107328499E-2</v>
      </c>
      <c r="H459" s="13" t="str">
        <f>IF(C459="Electricity",E459*SUMIFS(Electricity!S:S,Electricity!P:P,Predev_Scenarios!B459,Electricity!M:M,Predev_Scenarios!A459,Electricity!O:O,Predev_Scenarios!D459),"")</f>
        <v/>
      </c>
      <c r="I459" s="12">
        <f>SUMIFS(RenewableJetFuel!AD:AD,RenewableJetFuel!$S:$S,Predev_Scenarios!$A459,RenewableJetFuel!$T:$T,Predev_Scenarios!$D459,RenewableJetFuel!$W:$W,Predev_Scenarios!$B459)</f>
        <v>-16.64</v>
      </c>
      <c r="J459" s="12">
        <f>SUMIFS(RenewableJetFuel!AE:AE,RenewableJetFuel!$S:$S,Predev_Scenarios!$A459,RenewableJetFuel!$T:$T,Predev_Scenarios!$D459,RenewableJetFuel!$W:$W,Predev_Scenarios!$B459)</f>
        <v>-16.64</v>
      </c>
      <c r="K459" s="12">
        <f>SUMIFS(RenewableJetFuel!AF:AF,RenewableJetFuel!$S:$S,Predev_Scenarios!$A459,RenewableJetFuel!$T:$T,Predev_Scenarios!$D459,RenewableJetFuel!$W:$W,Predev_Scenarios!$B459)</f>
        <v>-39.14</v>
      </c>
      <c r="L459" s="63">
        <f t="shared" si="29"/>
        <v>0.47552960178594622</v>
      </c>
      <c r="M459" s="63">
        <f t="shared" si="30"/>
        <v>0.47552960178594622</v>
      </c>
      <c r="N459" s="63">
        <f t="shared" si="31"/>
        <v>1.1185233542008375</v>
      </c>
      <c r="O459" s="30">
        <f>IF(OR(LEFT($D459,5)="Solar",$D459="Wind"),INDEX(Land_Use[AVG],MATCH(LEFT($D459,5),Land_Use[Tech],0)),0)*$E459</f>
        <v>0</v>
      </c>
      <c r="P459" s="30">
        <f>IF(OR(LEFT($D459,5)="Solar",$D459="Wind"),INDEX(Land_Use[MIN],MATCH(LEFT($D459,5),Land_Use[Tech],0)),0)*$E459</f>
        <v>0</v>
      </c>
      <c r="Q459" s="30">
        <f>IF(OR(LEFT($D459,5)="Solar",$D459="Wind"),INDEX(Land_Use[MAX],MATCH(LEFT($D459,5),Land_Use[Tech],0)),0)*$E459</f>
        <v>0</v>
      </c>
      <c r="R459" s="31">
        <f>IFERROR(INDEX(WaterUseH2[Average Direct Water Consumption (Gal/ kg h2)],MATCH(LEFT(D459,3),WaterUseH2[Key],0)),0)</f>
        <v>0</v>
      </c>
      <c r="S459" s="15">
        <f t="shared" si="32"/>
        <v>0</v>
      </c>
    </row>
    <row r="460" spans="1:19" x14ac:dyDescent="0.35">
      <c r="A460" t="s">
        <v>107</v>
      </c>
      <c r="B460">
        <v>2041</v>
      </c>
      <c r="C460" t="s">
        <v>92</v>
      </c>
      <c r="D460" t="s">
        <v>93</v>
      </c>
      <c r="E460" s="9">
        <f>SUMIFS(RenewableJetFuel!$Z:$Z,RenewableJetFuel!S:S,Predev_Scenarios!A460,RenewableJetFuel!W:W,Predev_Scenarios!B460,RenewableJetFuel!T:T,Predev_Scenarios!D460)</f>
        <v>178.74468921553935</v>
      </c>
      <c r="F460" t="s">
        <v>109</v>
      </c>
      <c r="G460">
        <f>SUMIFS(RenewableJetFuel!$Y:$Y,RenewableJetFuel!S:S,Predev_Scenarios!A460,RenewableJetFuel!W:W,Predev_Scenarios!B460,RenewableJetFuel!T:T,Predev_Scenarios!D460)</f>
        <v>2.545906005179371E-2</v>
      </c>
      <c r="H460" s="13" t="str">
        <f>IF(C460="Electricity",E460*SUMIFS(Electricity!S:S,Electricity!P:P,Predev_Scenarios!B460,Electricity!M:M,Predev_Scenarios!A460,Electricity!O:O,Predev_Scenarios!D460),"")</f>
        <v/>
      </c>
      <c r="I460" s="12">
        <f>SUMIFS(RenewableJetFuel!AD:AD,RenewableJetFuel!$S:$S,Predev_Scenarios!$A460,RenewableJetFuel!$T:$T,Predev_Scenarios!$D460,RenewableJetFuel!$W:$W,Predev_Scenarios!$B460)</f>
        <v>-16.64</v>
      </c>
      <c r="J460" s="12">
        <f>SUMIFS(RenewableJetFuel!AE:AE,RenewableJetFuel!$S:$S,Predev_Scenarios!$A460,RenewableJetFuel!$T:$T,Predev_Scenarios!$D460,RenewableJetFuel!$W:$W,Predev_Scenarios!$B460)</f>
        <v>-16.64</v>
      </c>
      <c r="K460" s="12">
        <f>SUMIFS(RenewableJetFuel!AF:AF,RenewableJetFuel!$S:$S,Predev_Scenarios!$A460,RenewableJetFuel!$T:$T,Predev_Scenarios!$D460,RenewableJetFuel!$W:$W,Predev_Scenarios!$B460)</f>
        <v>-39.14</v>
      </c>
      <c r="L460" s="63">
        <f t="shared" si="29"/>
        <v>0.42363875926184735</v>
      </c>
      <c r="M460" s="63">
        <f t="shared" si="30"/>
        <v>0.42363875926184735</v>
      </c>
      <c r="N460" s="63">
        <f t="shared" si="31"/>
        <v>0.99646761042720589</v>
      </c>
      <c r="O460" s="30">
        <f>IF(OR(LEFT($D460,5)="Solar",$D460="Wind"),INDEX(Land_Use[AVG],MATCH(LEFT($D460,5),Land_Use[Tech],0)),0)*$E460</f>
        <v>0</v>
      </c>
      <c r="P460" s="30">
        <f>IF(OR(LEFT($D460,5)="Solar",$D460="Wind"),INDEX(Land_Use[MIN],MATCH(LEFT($D460,5),Land_Use[Tech],0)),0)*$E460</f>
        <v>0</v>
      </c>
      <c r="Q460" s="30">
        <f>IF(OR(LEFT($D460,5)="Solar",$D460="Wind"),INDEX(Land_Use[MAX],MATCH(LEFT($D460,5),Land_Use[Tech],0)),0)*$E460</f>
        <v>0</v>
      </c>
      <c r="R460" s="31">
        <f>IFERROR(INDEX(WaterUseH2[Average Direct Water Consumption (Gal/ kg h2)],MATCH(LEFT(D460,3),WaterUseH2[Key],0)),0)</f>
        <v>0</v>
      </c>
      <c r="S460" s="15">
        <f t="shared" si="32"/>
        <v>0</v>
      </c>
    </row>
    <row r="461" spans="1:19" x14ac:dyDescent="0.35">
      <c r="A461" t="s">
        <v>107</v>
      </c>
      <c r="B461">
        <v>2042</v>
      </c>
      <c r="C461" t="s">
        <v>92</v>
      </c>
      <c r="D461" t="s">
        <v>93</v>
      </c>
      <c r="E461" s="9">
        <f>SUMIFS(RenewableJetFuel!$Z:$Z,RenewableJetFuel!S:S,Predev_Scenarios!A461,RenewableJetFuel!W:W,Predev_Scenarios!B461,RenewableJetFuel!T:T,Predev_Scenarios!D461)</f>
        <v>149.44380103410799</v>
      </c>
      <c r="F461" t="s">
        <v>109</v>
      </c>
      <c r="G461">
        <f>SUMIFS(RenewableJetFuel!$Y:$Y,RenewableJetFuel!S:S,Predev_Scenarios!A461,RenewableJetFuel!W:W,Predev_Scenarios!B461,RenewableJetFuel!T:T,Predev_Scenarios!D461)</f>
        <v>2.1285660131181681E-2</v>
      </c>
      <c r="H461" s="13" t="str">
        <f>IF(C461="Electricity",E461*SUMIFS(Electricity!S:S,Electricity!P:P,Predev_Scenarios!B461,Electricity!M:M,Predev_Scenarios!A461,Electricity!O:O,Predev_Scenarios!D461),"")</f>
        <v/>
      </c>
      <c r="I461" s="12">
        <f>SUMIFS(RenewableJetFuel!AD:AD,RenewableJetFuel!$S:$S,Predev_Scenarios!$A461,RenewableJetFuel!$T:$T,Predev_Scenarios!$D461,RenewableJetFuel!$W:$W,Predev_Scenarios!$B461)</f>
        <v>-16.64</v>
      </c>
      <c r="J461" s="12">
        <f>SUMIFS(RenewableJetFuel!AE:AE,RenewableJetFuel!$S:$S,Predev_Scenarios!$A461,RenewableJetFuel!$T:$T,Predev_Scenarios!$D461,RenewableJetFuel!$W:$W,Predev_Scenarios!$B461)</f>
        <v>-16.64</v>
      </c>
      <c r="K461" s="12">
        <f>SUMIFS(RenewableJetFuel!AF:AF,RenewableJetFuel!$S:$S,Predev_Scenarios!$A461,RenewableJetFuel!$T:$T,Predev_Scenarios!$D461,RenewableJetFuel!$W:$W,Predev_Scenarios!$B461)</f>
        <v>-39.14</v>
      </c>
      <c r="L461" s="63">
        <f t="shared" si="29"/>
        <v>0.3541933845828632</v>
      </c>
      <c r="M461" s="63">
        <f t="shared" si="30"/>
        <v>0.3541933845828632</v>
      </c>
      <c r="N461" s="63">
        <f t="shared" si="31"/>
        <v>0.83312073753445104</v>
      </c>
      <c r="O461" s="30">
        <f>IF(OR(LEFT($D461,5)="Solar",$D461="Wind"),INDEX(Land_Use[AVG],MATCH(LEFT($D461,5),Land_Use[Tech],0)),0)*$E461</f>
        <v>0</v>
      </c>
      <c r="P461" s="30">
        <f>IF(OR(LEFT($D461,5)="Solar",$D461="Wind"),INDEX(Land_Use[MIN],MATCH(LEFT($D461,5),Land_Use[Tech],0)),0)*$E461</f>
        <v>0</v>
      </c>
      <c r="Q461" s="30">
        <f>IF(OR(LEFT($D461,5)="Solar",$D461="Wind"),INDEX(Land_Use[MAX],MATCH(LEFT($D461,5),Land_Use[Tech],0)),0)*$E461</f>
        <v>0</v>
      </c>
      <c r="R461" s="31">
        <f>IFERROR(INDEX(WaterUseH2[Average Direct Water Consumption (Gal/ kg h2)],MATCH(LEFT(D461,3),WaterUseH2[Key],0)),0)</f>
        <v>0</v>
      </c>
      <c r="S461" s="15">
        <f t="shared" si="32"/>
        <v>0</v>
      </c>
    </row>
    <row r="462" spans="1:19" x14ac:dyDescent="0.35">
      <c r="A462" t="s">
        <v>107</v>
      </c>
      <c r="B462">
        <v>2043</v>
      </c>
      <c r="C462" t="s">
        <v>92</v>
      </c>
      <c r="D462" t="s">
        <v>93</v>
      </c>
      <c r="E462" s="9">
        <f>SUMIFS(RenewableJetFuel!$Z:$Z,RenewableJetFuel!S:S,Predev_Scenarios!A462,RenewableJetFuel!W:W,Predev_Scenarios!B462,RenewableJetFuel!T:T,Predev_Scenarios!D462)</f>
        <v>111.19068810129154</v>
      </c>
      <c r="F462" t="s">
        <v>109</v>
      </c>
      <c r="G462">
        <f>SUMIFS(RenewableJetFuel!$Y:$Y,RenewableJetFuel!S:S,Predev_Scenarios!A462,RenewableJetFuel!W:W,Predev_Scenarios!B462,RenewableJetFuel!T:T,Predev_Scenarios!D462)</f>
        <v>1.583717210281706E-2</v>
      </c>
      <c r="H462" s="13" t="str">
        <f>IF(C462="Electricity",E462*SUMIFS(Electricity!S:S,Electricity!P:P,Predev_Scenarios!B462,Electricity!M:M,Predev_Scenarios!A462,Electricity!O:O,Predev_Scenarios!D462),"")</f>
        <v/>
      </c>
      <c r="I462" s="12">
        <f>SUMIFS(RenewableJetFuel!AD:AD,RenewableJetFuel!$S:$S,Predev_Scenarios!$A462,RenewableJetFuel!$T:$T,Predev_Scenarios!$D462,RenewableJetFuel!$W:$W,Predev_Scenarios!$B462)</f>
        <v>-16.64</v>
      </c>
      <c r="J462" s="12">
        <f>SUMIFS(RenewableJetFuel!AE:AE,RenewableJetFuel!$S:$S,Predev_Scenarios!$A462,RenewableJetFuel!$T:$T,Predev_Scenarios!$D462,RenewableJetFuel!$W:$W,Predev_Scenarios!$B462)</f>
        <v>-16.64</v>
      </c>
      <c r="K462" s="12">
        <f>SUMIFS(RenewableJetFuel!AF:AF,RenewableJetFuel!$S:$S,Predev_Scenarios!$A462,RenewableJetFuel!$T:$T,Predev_Scenarios!$D462,RenewableJetFuel!$W:$W,Predev_Scenarios!$B462)</f>
        <v>-39.14</v>
      </c>
      <c r="L462" s="63">
        <f t="shared" si="29"/>
        <v>0.26353054379087587</v>
      </c>
      <c r="M462" s="63">
        <f t="shared" si="30"/>
        <v>0.26353054379087587</v>
      </c>
      <c r="N462" s="63">
        <f t="shared" si="31"/>
        <v>0.6198669161042597</v>
      </c>
      <c r="O462" s="30">
        <f>IF(OR(LEFT($D462,5)="Solar",$D462="Wind"),INDEX(Land_Use[AVG],MATCH(LEFT($D462,5),Land_Use[Tech],0)),0)*$E462</f>
        <v>0</v>
      </c>
      <c r="P462" s="30">
        <f>IF(OR(LEFT($D462,5)="Solar",$D462="Wind"),INDEX(Land_Use[MIN],MATCH(LEFT($D462,5),Land_Use[Tech],0)),0)*$E462</f>
        <v>0</v>
      </c>
      <c r="Q462" s="30">
        <f>IF(OR(LEFT($D462,5)="Solar",$D462="Wind"),INDEX(Land_Use[MAX],MATCH(LEFT($D462,5),Land_Use[Tech],0)),0)*$E462</f>
        <v>0</v>
      </c>
      <c r="R462" s="31">
        <f>IFERROR(INDEX(WaterUseH2[Average Direct Water Consumption (Gal/ kg h2)],MATCH(LEFT(D462,3),WaterUseH2[Key],0)),0)</f>
        <v>0</v>
      </c>
      <c r="S462" s="15">
        <f t="shared" si="32"/>
        <v>0</v>
      </c>
    </row>
    <row r="463" spans="1:19" x14ac:dyDescent="0.35">
      <c r="A463" t="s">
        <v>107</v>
      </c>
      <c r="B463">
        <v>2044</v>
      </c>
      <c r="C463" t="s">
        <v>92</v>
      </c>
      <c r="D463" t="s">
        <v>93</v>
      </c>
      <c r="E463" s="9">
        <f>SUMIFS(RenewableJetFuel!$Z:$Z,RenewableJetFuel!S:S,Predev_Scenarios!A463,RenewableJetFuel!W:W,Predev_Scenarios!B463,RenewableJetFuel!T:T,Predev_Scenarios!D463)</f>
        <v>62.123460494226741</v>
      </c>
      <c r="F463" t="s">
        <v>109</v>
      </c>
      <c r="G463">
        <f>SUMIFS(RenewableJetFuel!$Y:$Y,RenewableJetFuel!S:S,Predev_Scenarios!A463,RenewableJetFuel!W:W,Predev_Scenarios!B463,RenewableJetFuel!T:T,Predev_Scenarios!D463)</f>
        <v>8.8484022562515061E-3</v>
      </c>
      <c r="H463" s="13" t="str">
        <f>IF(C463="Electricity",E463*SUMIFS(Electricity!S:S,Electricity!P:P,Predev_Scenarios!B463,Electricity!M:M,Predev_Scenarios!A463,Electricity!O:O,Predev_Scenarios!D463),"")</f>
        <v/>
      </c>
      <c r="I463" s="12">
        <f>SUMIFS(RenewableJetFuel!AD:AD,RenewableJetFuel!$S:$S,Predev_Scenarios!$A463,RenewableJetFuel!$T:$T,Predev_Scenarios!$D463,RenewableJetFuel!$W:$W,Predev_Scenarios!$B463)</f>
        <v>-16.64</v>
      </c>
      <c r="J463" s="12">
        <f>SUMIFS(RenewableJetFuel!AE:AE,RenewableJetFuel!$S:$S,Predev_Scenarios!$A463,RenewableJetFuel!$T:$T,Predev_Scenarios!$D463,RenewableJetFuel!$W:$W,Predev_Scenarios!$B463)</f>
        <v>-16.64</v>
      </c>
      <c r="K463" s="12">
        <f>SUMIFS(RenewableJetFuel!AF:AF,RenewableJetFuel!$S:$S,Predev_Scenarios!$A463,RenewableJetFuel!$T:$T,Predev_Scenarios!$D463,RenewableJetFuel!$W:$W,Predev_Scenarios!$B463)</f>
        <v>-39.14</v>
      </c>
      <c r="L463" s="63">
        <f t="shared" si="29"/>
        <v>0.14723741354402506</v>
      </c>
      <c r="M463" s="63">
        <f t="shared" si="30"/>
        <v>0.14723741354402506</v>
      </c>
      <c r="N463" s="63">
        <f t="shared" si="31"/>
        <v>0.34632646430968395</v>
      </c>
      <c r="O463" s="30">
        <f>IF(OR(LEFT($D463,5)="Solar",$D463="Wind"),INDEX(Land_Use[AVG],MATCH(LEFT($D463,5),Land_Use[Tech],0)),0)*$E463</f>
        <v>0</v>
      </c>
      <c r="P463" s="30">
        <f>IF(OR(LEFT($D463,5)="Solar",$D463="Wind"),INDEX(Land_Use[MIN],MATCH(LEFT($D463,5),Land_Use[Tech],0)),0)*$E463</f>
        <v>0</v>
      </c>
      <c r="Q463" s="30">
        <f>IF(OR(LEFT($D463,5)="Solar",$D463="Wind"),INDEX(Land_Use[MAX],MATCH(LEFT($D463,5),Land_Use[Tech],0)),0)*$E463</f>
        <v>0</v>
      </c>
      <c r="R463" s="31">
        <f>IFERROR(INDEX(WaterUseH2[Average Direct Water Consumption (Gal/ kg h2)],MATCH(LEFT(D463,3),WaterUseH2[Key],0)),0)</f>
        <v>0</v>
      </c>
      <c r="S463" s="15">
        <f t="shared" si="32"/>
        <v>0</v>
      </c>
    </row>
    <row r="464" spans="1:19" x14ac:dyDescent="0.35">
      <c r="A464" t="s">
        <v>107</v>
      </c>
      <c r="B464">
        <v>2045</v>
      </c>
      <c r="C464" t="s">
        <v>92</v>
      </c>
      <c r="D464" t="s">
        <v>93</v>
      </c>
      <c r="E464" s="9">
        <f>SUMIFS(RenewableJetFuel!$Z:$Z,RenewableJetFuel!S:S,Predev_Scenarios!A464,RenewableJetFuel!W:W,Predev_Scenarios!B464,RenewableJetFuel!T:T,Predev_Scenarios!D464)</f>
        <v>0</v>
      </c>
      <c r="F464" t="s">
        <v>109</v>
      </c>
      <c r="G464">
        <f>SUMIFS(RenewableJetFuel!$Y:$Y,RenewableJetFuel!S:S,Predev_Scenarios!A464,RenewableJetFuel!W:W,Predev_Scenarios!B464,RenewableJetFuel!T:T,Predev_Scenarios!D464)</f>
        <v>0</v>
      </c>
      <c r="H464" s="13" t="str">
        <f>IF(C464="Electricity",E464*SUMIFS(Electricity!S:S,Electricity!P:P,Predev_Scenarios!B464,Electricity!M:M,Predev_Scenarios!A464,Electricity!O:O,Predev_Scenarios!D464),"")</f>
        <v/>
      </c>
      <c r="I464" s="12">
        <f>SUMIFS(RenewableJetFuel!AD:AD,RenewableJetFuel!$S:$S,Predev_Scenarios!$A464,RenewableJetFuel!$T:$T,Predev_Scenarios!$D464,RenewableJetFuel!$W:$W,Predev_Scenarios!$B464)</f>
        <v>-16.64</v>
      </c>
      <c r="J464" s="12">
        <f>SUMIFS(RenewableJetFuel!AE:AE,RenewableJetFuel!$S:$S,Predev_Scenarios!$A464,RenewableJetFuel!$T:$T,Predev_Scenarios!$D464,RenewableJetFuel!$W:$W,Predev_Scenarios!$B464)</f>
        <v>-16.64</v>
      </c>
      <c r="K464" s="12">
        <f>SUMIFS(RenewableJetFuel!AF:AF,RenewableJetFuel!$S:$S,Predev_Scenarios!$A464,RenewableJetFuel!$T:$T,Predev_Scenarios!$D464,RenewableJetFuel!$W:$W,Predev_Scenarios!$B464)</f>
        <v>-39.14</v>
      </c>
      <c r="L464" s="63">
        <f t="shared" si="29"/>
        <v>0</v>
      </c>
      <c r="M464" s="63">
        <f t="shared" si="30"/>
        <v>0</v>
      </c>
      <c r="N464" s="63">
        <f t="shared" si="31"/>
        <v>0</v>
      </c>
      <c r="O464" s="30">
        <f>IF(OR(LEFT($D464,5)="Solar",$D464="Wind"),INDEX(Land_Use[AVG],MATCH(LEFT($D464,5),Land_Use[Tech],0)),0)*$E464</f>
        <v>0</v>
      </c>
      <c r="P464" s="30">
        <f>IF(OR(LEFT($D464,5)="Solar",$D464="Wind"),INDEX(Land_Use[MIN],MATCH(LEFT($D464,5),Land_Use[Tech],0)),0)*$E464</f>
        <v>0</v>
      </c>
      <c r="Q464" s="30">
        <f>IF(OR(LEFT($D464,5)="Solar",$D464="Wind"),INDEX(Land_Use[MAX],MATCH(LEFT($D464,5),Land_Use[Tech],0)),0)*$E464</f>
        <v>0</v>
      </c>
      <c r="R464" s="31">
        <f>IFERROR(INDEX(WaterUseH2[Average Direct Water Consumption (Gal/ kg h2)],MATCH(LEFT(D464,3),WaterUseH2[Key],0)),0)</f>
        <v>0</v>
      </c>
      <c r="S464" s="15">
        <f t="shared" si="32"/>
        <v>0</v>
      </c>
    </row>
    <row r="465" spans="1:19" x14ac:dyDescent="0.35">
      <c r="A465" t="s">
        <v>76</v>
      </c>
      <c r="B465">
        <v>2025</v>
      </c>
      <c r="C465" t="s">
        <v>92</v>
      </c>
      <c r="D465" t="s">
        <v>96</v>
      </c>
      <c r="E465" s="9">
        <f>SUMIFS(RenewableJetFuel!$Z:$Z,RenewableJetFuel!S:S,Predev_Scenarios!A465,RenewableJetFuel!W:W,Predev_Scenarios!B465,RenewableJetFuel!T:T,Predev_Scenarios!D465)</f>
        <v>0</v>
      </c>
      <c r="F465" t="s">
        <v>109</v>
      </c>
      <c r="G465">
        <f>SUMIFS(RenewableJetFuel!$Y:$Y,RenewableJetFuel!S:S,Predev_Scenarios!A465,RenewableJetFuel!W:W,Predev_Scenarios!B465,RenewableJetFuel!T:T,Predev_Scenarios!D465)</f>
        <v>0</v>
      </c>
      <c r="H465" s="13" t="str">
        <f>IF(C465="Electricity",E465*SUMIFS(Electricity!S:S,Electricity!P:P,Predev_Scenarios!B465,Electricity!M:M,Predev_Scenarios!A465,Electricity!O:O,Predev_Scenarios!D465),"")</f>
        <v/>
      </c>
      <c r="I465" s="12">
        <f>SUMIFS(RenewableJetFuel!AD:AD,RenewableJetFuel!$S:$S,Predev_Scenarios!$A465,RenewableJetFuel!$T:$T,Predev_Scenarios!$D465,RenewableJetFuel!$W:$W,Predev_Scenarios!$B465)</f>
        <v>-36.64</v>
      </c>
      <c r="J465" s="12">
        <f>SUMIFS(RenewableJetFuel!AE:AE,RenewableJetFuel!$S:$S,Predev_Scenarios!$A465,RenewableJetFuel!$T:$T,Predev_Scenarios!$D465,RenewableJetFuel!$W:$W,Predev_Scenarios!$B465)</f>
        <v>-36.64</v>
      </c>
      <c r="K465" s="12">
        <f>SUMIFS(RenewableJetFuel!AF:AF,RenewableJetFuel!$S:$S,Predev_Scenarios!$A465,RenewableJetFuel!$T:$T,Predev_Scenarios!$D465,RenewableJetFuel!$W:$W,Predev_Scenarios!$B465)</f>
        <v>-53.84</v>
      </c>
      <c r="L465" s="63">
        <f t="shared" si="29"/>
        <v>0</v>
      </c>
      <c r="M465" s="63">
        <f t="shared" si="30"/>
        <v>0</v>
      </c>
      <c r="N465" s="63">
        <f t="shared" si="31"/>
        <v>0</v>
      </c>
      <c r="O465" s="30">
        <f>IF(OR(LEFT($D465,5)="Solar",$D465="Wind"),INDEX(Land_Use[AVG],MATCH(LEFT($D465,5),Land_Use[Tech],0)),0)*$E465</f>
        <v>0</v>
      </c>
      <c r="P465" s="30">
        <f>IF(OR(LEFT($D465,5)="Solar",$D465="Wind"),INDEX(Land_Use[MIN],MATCH(LEFT($D465,5),Land_Use[Tech],0)),0)*$E465</f>
        <v>0</v>
      </c>
      <c r="Q465" s="30">
        <f>IF(OR(LEFT($D465,5)="Solar",$D465="Wind"),INDEX(Land_Use[MAX],MATCH(LEFT($D465,5),Land_Use[Tech],0)),0)*$E465</f>
        <v>0</v>
      </c>
      <c r="R465" s="31">
        <f>IFERROR(INDEX(WaterUseH2[Average Direct Water Consumption (Gal/ kg h2)],MATCH(LEFT(D465,3),WaterUseH2[Key],0)),0)</f>
        <v>0</v>
      </c>
      <c r="S465" s="15">
        <f t="shared" si="32"/>
        <v>0</v>
      </c>
    </row>
    <row r="466" spans="1:19" x14ac:dyDescent="0.35">
      <c r="A466" t="s">
        <v>76</v>
      </c>
      <c r="B466">
        <v>2026</v>
      </c>
      <c r="C466" t="s">
        <v>92</v>
      </c>
      <c r="D466" t="s">
        <v>96</v>
      </c>
      <c r="E466" s="9">
        <f>SUMIFS(RenewableJetFuel!$Z:$Z,RenewableJetFuel!S:S,Predev_Scenarios!A466,RenewableJetFuel!W:W,Predev_Scenarios!B466,RenewableJetFuel!T:T,Predev_Scenarios!D466)</f>
        <v>0</v>
      </c>
      <c r="F466" t="s">
        <v>109</v>
      </c>
      <c r="G466">
        <f>SUMIFS(RenewableJetFuel!$Y:$Y,RenewableJetFuel!S:S,Predev_Scenarios!A466,RenewableJetFuel!W:W,Predev_Scenarios!B466,RenewableJetFuel!T:T,Predev_Scenarios!D466)</f>
        <v>0</v>
      </c>
      <c r="H466" s="13" t="str">
        <f>IF(C466="Electricity",E466*SUMIFS(Electricity!S:S,Electricity!P:P,Predev_Scenarios!B466,Electricity!M:M,Predev_Scenarios!A466,Electricity!O:O,Predev_Scenarios!D466),"")</f>
        <v/>
      </c>
      <c r="I466" s="12">
        <f>SUMIFS(RenewableJetFuel!AD:AD,RenewableJetFuel!$S:$S,Predev_Scenarios!$A466,RenewableJetFuel!$T:$T,Predev_Scenarios!$D466,RenewableJetFuel!$W:$W,Predev_Scenarios!$B466)</f>
        <v>-36.64</v>
      </c>
      <c r="J466" s="12">
        <f>SUMIFS(RenewableJetFuel!AE:AE,RenewableJetFuel!$S:$S,Predev_Scenarios!$A466,RenewableJetFuel!$T:$T,Predev_Scenarios!$D466,RenewableJetFuel!$W:$W,Predev_Scenarios!$B466)</f>
        <v>-36.64</v>
      </c>
      <c r="K466" s="12">
        <f>SUMIFS(RenewableJetFuel!AF:AF,RenewableJetFuel!$S:$S,Predev_Scenarios!$A466,RenewableJetFuel!$T:$T,Predev_Scenarios!$D466,RenewableJetFuel!$W:$W,Predev_Scenarios!$B466)</f>
        <v>-53.84</v>
      </c>
      <c r="L466" s="63">
        <f t="shared" si="29"/>
        <v>0</v>
      </c>
      <c r="M466" s="63">
        <f t="shared" si="30"/>
        <v>0</v>
      </c>
      <c r="N466" s="63">
        <f t="shared" si="31"/>
        <v>0</v>
      </c>
      <c r="O466" s="30">
        <f>IF(OR(LEFT($D466,5)="Solar",$D466="Wind"),INDEX(Land_Use[AVG],MATCH(LEFT($D466,5),Land_Use[Tech],0)),0)*$E466</f>
        <v>0</v>
      </c>
      <c r="P466" s="30">
        <f>IF(OR(LEFT($D466,5)="Solar",$D466="Wind"),INDEX(Land_Use[MIN],MATCH(LEFT($D466,5),Land_Use[Tech],0)),0)*$E466</f>
        <v>0</v>
      </c>
      <c r="Q466" s="30">
        <f>IF(OR(LEFT($D466,5)="Solar",$D466="Wind"),INDEX(Land_Use[MAX],MATCH(LEFT($D466,5),Land_Use[Tech],0)),0)*$E466</f>
        <v>0</v>
      </c>
      <c r="R466" s="31">
        <f>IFERROR(INDEX(WaterUseH2[Average Direct Water Consumption (Gal/ kg h2)],MATCH(LEFT(D466,3),WaterUseH2[Key],0)),0)</f>
        <v>0</v>
      </c>
      <c r="S466" s="15">
        <f t="shared" si="32"/>
        <v>0</v>
      </c>
    </row>
    <row r="467" spans="1:19" x14ac:dyDescent="0.35">
      <c r="A467" t="s">
        <v>76</v>
      </c>
      <c r="B467">
        <v>2027</v>
      </c>
      <c r="C467" t="s">
        <v>92</v>
      </c>
      <c r="D467" t="s">
        <v>96</v>
      </c>
      <c r="E467" s="9">
        <f>SUMIFS(RenewableJetFuel!$Z:$Z,RenewableJetFuel!S:S,Predev_Scenarios!A467,RenewableJetFuel!W:W,Predev_Scenarios!B467,RenewableJetFuel!T:T,Predev_Scenarios!D467)</f>
        <v>0</v>
      </c>
      <c r="F467" t="s">
        <v>109</v>
      </c>
      <c r="G467">
        <f>SUMIFS(RenewableJetFuel!$Y:$Y,RenewableJetFuel!S:S,Predev_Scenarios!A467,RenewableJetFuel!W:W,Predev_Scenarios!B467,RenewableJetFuel!T:T,Predev_Scenarios!D467)</f>
        <v>0</v>
      </c>
      <c r="H467" s="13" t="str">
        <f>IF(C467="Electricity",E467*SUMIFS(Electricity!S:S,Electricity!P:P,Predev_Scenarios!B467,Electricity!M:M,Predev_Scenarios!A467,Electricity!O:O,Predev_Scenarios!D467),"")</f>
        <v/>
      </c>
      <c r="I467" s="12">
        <f>SUMIFS(RenewableJetFuel!AD:AD,RenewableJetFuel!$S:$S,Predev_Scenarios!$A467,RenewableJetFuel!$T:$T,Predev_Scenarios!$D467,RenewableJetFuel!$W:$W,Predev_Scenarios!$B467)</f>
        <v>-36.64</v>
      </c>
      <c r="J467" s="12">
        <f>SUMIFS(RenewableJetFuel!AE:AE,RenewableJetFuel!$S:$S,Predev_Scenarios!$A467,RenewableJetFuel!$T:$T,Predev_Scenarios!$D467,RenewableJetFuel!$W:$W,Predev_Scenarios!$B467)</f>
        <v>-36.64</v>
      </c>
      <c r="K467" s="12">
        <f>SUMIFS(RenewableJetFuel!AF:AF,RenewableJetFuel!$S:$S,Predev_Scenarios!$A467,RenewableJetFuel!$T:$T,Predev_Scenarios!$D467,RenewableJetFuel!$W:$W,Predev_Scenarios!$B467)</f>
        <v>-53.84</v>
      </c>
      <c r="L467" s="63">
        <f t="shared" si="29"/>
        <v>0</v>
      </c>
      <c r="M467" s="63">
        <f t="shared" si="30"/>
        <v>0</v>
      </c>
      <c r="N467" s="63">
        <f t="shared" si="31"/>
        <v>0</v>
      </c>
      <c r="O467" s="30">
        <f>IF(OR(LEFT($D467,5)="Solar",$D467="Wind"),INDEX(Land_Use[AVG],MATCH(LEFT($D467,5),Land_Use[Tech],0)),0)*$E467</f>
        <v>0</v>
      </c>
      <c r="P467" s="30">
        <f>IF(OR(LEFT($D467,5)="Solar",$D467="Wind"),INDEX(Land_Use[MIN],MATCH(LEFT($D467,5),Land_Use[Tech],0)),0)*$E467</f>
        <v>0</v>
      </c>
      <c r="Q467" s="30">
        <f>IF(OR(LEFT($D467,5)="Solar",$D467="Wind"),INDEX(Land_Use[MAX],MATCH(LEFT($D467,5),Land_Use[Tech],0)),0)*$E467</f>
        <v>0</v>
      </c>
      <c r="R467" s="31">
        <f>IFERROR(INDEX(WaterUseH2[Average Direct Water Consumption (Gal/ kg h2)],MATCH(LEFT(D467,3),WaterUseH2[Key],0)),0)</f>
        <v>0</v>
      </c>
      <c r="S467" s="15">
        <f t="shared" si="32"/>
        <v>0</v>
      </c>
    </row>
    <row r="468" spans="1:19" x14ac:dyDescent="0.35">
      <c r="A468" t="s">
        <v>76</v>
      </c>
      <c r="B468">
        <v>2028</v>
      </c>
      <c r="C468" t="s">
        <v>92</v>
      </c>
      <c r="D468" t="s">
        <v>96</v>
      </c>
      <c r="E468" s="9">
        <f>SUMIFS(RenewableJetFuel!$Z:$Z,RenewableJetFuel!S:S,Predev_Scenarios!A468,RenewableJetFuel!W:W,Predev_Scenarios!B468,RenewableJetFuel!T:T,Predev_Scenarios!D468)</f>
        <v>0</v>
      </c>
      <c r="F468" t="s">
        <v>109</v>
      </c>
      <c r="G468">
        <f>SUMIFS(RenewableJetFuel!$Y:$Y,RenewableJetFuel!S:S,Predev_Scenarios!A468,RenewableJetFuel!W:W,Predev_Scenarios!B468,RenewableJetFuel!T:T,Predev_Scenarios!D468)</f>
        <v>0</v>
      </c>
      <c r="H468" s="13" t="str">
        <f>IF(C468="Electricity",E468*SUMIFS(Electricity!S:S,Electricity!P:P,Predev_Scenarios!B468,Electricity!M:M,Predev_Scenarios!A468,Electricity!O:O,Predev_Scenarios!D468),"")</f>
        <v/>
      </c>
      <c r="I468" s="12">
        <f>SUMIFS(RenewableJetFuel!AD:AD,RenewableJetFuel!$S:$S,Predev_Scenarios!$A468,RenewableJetFuel!$T:$T,Predev_Scenarios!$D468,RenewableJetFuel!$W:$W,Predev_Scenarios!$B468)</f>
        <v>-36.64</v>
      </c>
      <c r="J468" s="12">
        <f>SUMIFS(RenewableJetFuel!AE:AE,RenewableJetFuel!$S:$S,Predev_Scenarios!$A468,RenewableJetFuel!$T:$T,Predev_Scenarios!$D468,RenewableJetFuel!$W:$W,Predev_Scenarios!$B468)</f>
        <v>-36.64</v>
      </c>
      <c r="K468" s="12">
        <f>SUMIFS(RenewableJetFuel!AF:AF,RenewableJetFuel!$S:$S,Predev_Scenarios!$A468,RenewableJetFuel!$T:$T,Predev_Scenarios!$D468,RenewableJetFuel!$W:$W,Predev_Scenarios!$B468)</f>
        <v>-53.84</v>
      </c>
      <c r="L468" s="63">
        <f t="shared" si="29"/>
        <v>0</v>
      </c>
      <c r="M468" s="63">
        <f t="shared" si="30"/>
        <v>0</v>
      </c>
      <c r="N468" s="63">
        <f t="shared" si="31"/>
        <v>0</v>
      </c>
      <c r="O468" s="30">
        <f>IF(OR(LEFT($D468,5)="Solar",$D468="Wind"),INDEX(Land_Use[AVG],MATCH(LEFT($D468,5),Land_Use[Tech],0)),0)*$E468</f>
        <v>0</v>
      </c>
      <c r="P468" s="30">
        <f>IF(OR(LEFT($D468,5)="Solar",$D468="Wind"),INDEX(Land_Use[MIN],MATCH(LEFT($D468,5),Land_Use[Tech],0)),0)*$E468</f>
        <v>0</v>
      </c>
      <c r="Q468" s="30">
        <f>IF(OR(LEFT($D468,5)="Solar",$D468="Wind"),INDEX(Land_Use[MAX],MATCH(LEFT($D468,5),Land_Use[Tech],0)),0)*$E468</f>
        <v>0</v>
      </c>
      <c r="R468" s="31">
        <f>IFERROR(INDEX(WaterUseH2[Average Direct Water Consumption (Gal/ kg h2)],MATCH(LEFT(D468,3),WaterUseH2[Key],0)),0)</f>
        <v>0</v>
      </c>
      <c r="S468" s="15">
        <f t="shared" si="32"/>
        <v>0</v>
      </c>
    </row>
    <row r="469" spans="1:19" x14ac:dyDescent="0.35">
      <c r="A469" t="s">
        <v>76</v>
      </c>
      <c r="B469">
        <v>2029</v>
      </c>
      <c r="C469" t="s">
        <v>92</v>
      </c>
      <c r="D469" t="s">
        <v>96</v>
      </c>
      <c r="E469" s="9">
        <f>SUMIFS(RenewableJetFuel!$Z:$Z,RenewableJetFuel!S:S,Predev_Scenarios!A469,RenewableJetFuel!W:W,Predev_Scenarios!B469,RenewableJetFuel!T:T,Predev_Scenarios!D469)</f>
        <v>0</v>
      </c>
      <c r="F469" t="s">
        <v>109</v>
      </c>
      <c r="G469">
        <f>SUMIFS(RenewableJetFuel!$Y:$Y,RenewableJetFuel!S:S,Predev_Scenarios!A469,RenewableJetFuel!W:W,Predev_Scenarios!B469,RenewableJetFuel!T:T,Predev_Scenarios!D469)</f>
        <v>0</v>
      </c>
      <c r="H469" s="13" t="str">
        <f>IF(C469="Electricity",E469*SUMIFS(Electricity!S:S,Electricity!P:P,Predev_Scenarios!B469,Electricity!M:M,Predev_Scenarios!A469,Electricity!O:O,Predev_Scenarios!D469),"")</f>
        <v/>
      </c>
      <c r="I469" s="12">
        <f>SUMIFS(RenewableJetFuel!AD:AD,RenewableJetFuel!$S:$S,Predev_Scenarios!$A469,RenewableJetFuel!$T:$T,Predev_Scenarios!$D469,RenewableJetFuel!$W:$W,Predev_Scenarios!$B469)</f>
        <v>-36.64</v>
      </c>
      <c r="J469" s="12">
        <f>SUMIFS(RenewableJetFuel!AE:AE,RenewableJetFuel!$S:$S,Predev_Scenarios!$A469,RenewableJetFuel!$T:$T,Predev_Scenarios!$D469,RenewableJetFuel!$W:$W,Predev_Scenarios!$B469)</f>
        <v>-36.64</v>
      </c>
      <c r="K469" s="12">
        <f>SUMIFS(RenewableJetFuel!AF:AF,RenewableJetFuel!$S:$S,Predev_Scenarios!$A469,RenewableJetFuel!$T:$T,Predev_Scenarios!$D469,RenewableJetFuel!$W:$W,Predev_Scenarios!$B469)</f>
        <v>-53.84</v>
      </c>
      <c r="L469" s="63">
        <f t="shared" si="29"/>
        <v>0</v>
      </c>
      <c r="M469" s="63">
        <f t="shared" si="30"/>
        <v>0</v>
      </c>
      <c r="N469" s="63">
        <f t="shared" si="31"/>
        <v>0</v>
      </c>
      <c r="O469" s="30">
        <f>IF(OR(LEFT($D469,5)="Solar",$D469="Wind"),INDEX(Land_Use[AVG],MATCH(LEFT($D469,5),Land_Use[Tech],0)),0)*$E469</f>
        <v>0</v>
      </c>
      <c r="P469" s="30">
        <f>IF(OR(LEFT($D469,5)="Solar",$D469="Wind"),INDEX(Land_Use[MIN],MATCH(LEFT($D469,5),Land_Use[Tech],0)),0)*$E469</f>
        <v>0</v>
      </c>
      <c r="Q469" s="30">
        <f>IF(OR(LEFT($D469,5)="Solar",$D469="Wind"),INDEX(Land_Use[MAX],MATCH(LEFT($D469,5),Land_Use[Tech],0)),0)*$E469</f>
        <v>0</v>
      </c>
      <c r="R469" s="31">
        <f>IFERROR(INDEX(WaterUseH2[Average Direct Water Consumption (Gal/ kg h2)],MATCH(LEFT(D469,3),WaterUseH2[Key],0)),0)</f>
        <v>0</v>
      </c>
      <c r="S469" s="15">
        <f t="shared" si="32"/>
        <v>0</v>
      </c>
    </row>
    <row r="470" spans="1:19" x14ac:dyDescent="0.35">
      <c r="A470" t="s">
        <v>76</v>
      </c>
      <c r="B470">
        <v>2030</v>
      </c>
      <c r="C470" t="s">
        <v>92</v>
      </c>
      <c r="D470" t="s">
        <v>96</v>
      </c>
      <c r="E470" s="9">
        <f>SUMIFS(RenewableJetFuel!$Z:$Z,RenewableJetFuel!S:S,Predev_Scenarios!A470,RenewableJetFuel!W:W,Predev_Scenarios!B470,RenewableJetFuel!T:T,Predev_Scenarios!D470)</f>
        <v>0</v>
      </c>
      <c r="F470" t="s">
        <v>109</v>
      </c>
      <c r="G470">
        <f>SUMIFS(RenewableJetFuel!$Y:$Y,RenewableJetFuel!S:S,Predev_Scenarios!A470,RenewableJetFuel!W:W,Predev_Scenarios!B470,RenewableJetFuel!T:T,Predev_Scenarios!D470)</f>
        <v>0</v>
      </c>
      <c r="H470" s="13" t="str">
        <f>IF(C470="Electricity",E470*SUMIFS(Electricity!S:S,Electricity!P:P,Predev_Scenarios!B470,Electricity!M:M,Predev_Scenarios!A470,Electricity!O:O,Predev_Scenarios!D470),"")</f>
        <v/>
      </c>
      <c r="I470" s="12">
        <f>SUMIFS(RenewableJetFuel!AD:AD,RenewableJetFuel!$S:$S,Predev_Scenarios!$A470,RenewableJetFuel!$T:$T,Predev_Scenarios!$D470,RenewableJetFuel!$W:$W,Predev_Scenarios!$B470)</f>
        <v>-36.64</v>
      </c>
      <c r="J470" s="12">
        <f>SUMIFS(RenewableJetFuel!AE:AE,RenewableJetFuel!$S:$S,Predev_Scenarios!$A470,RenewableJetFuel!$T:$T,Predev_Scenarios!$D470,RenewableJetFuel!$W:$W,Predev_Scenarios!$B470)</f>
        <v>-36.64</v>
      </c>
      <c r="K470" s="12">
        <f>SUMIFS(RenewableJetFuel!AF:AF,RenewableJetFuel!$S:$S,Predev_Scenarios!$A470,RenewableJetFuel!$T:$T,Predev_Scenarios!$D470,RenewableJetFuel!$W:$W,Predev_Scenarios!$B470)</f>
        <v>-53.84</v>
      </c>
      <c r="L470" s="63">
        <f t="shared" si="29"/>
        <v>0</v>
      </c>
      <c r="M470" s="63">
        <f t="shared" si="30"/>
        <v>0</v>
      </c>
      <c r="N470" s="63">
        <f t="shared" si="31"/>
        <v>0</v>
      </c>
      <c r="O470" s="30">
        <f>IF(OR(LEFT($D470,5)="Solar",$D470="Wind"),INDEX(Land_Use[AVG],MATCH(LEFT($D470,5),Land_Use[Tech],0)),0)*$E470</f>
        <v>0</v>
      </c>
      <c r="P470" s="30">
        <f>IF(OR(LEFT($D470,5)="Solar",$D470="Wind"),INDEX(Land_Use[MIN],MATCH(LEFT($D470,5),Land_Use[Tech],0)),0)*$E470</f>
        <v>0</v>
      </c>
      <c r="Q470" s="30">
        <f>IF(OR(LEFT($D470,5)="Solar",$D470="Wind"),INDEX(Land_Use[MAX],MATCH(LEFT($D470,5),Land_Use[Tech],0)),0)*$E470</f>
        <v>0</v>
      </c>
      <c r="R470" s="31">
        <f>IFERROR(INDEX(WaterUseH2[Average Direct Water Consumption (Gal/ kg h2)],MATCH(LEFT(D470,3),WaterUseH2[Key],0)),0)</f>
        <v>0</v>
      </c>
      <c r="S470" s="15">
        <f t="shared" si="32"/>
        <v>0</v>
      </c>
    </row>
    <row r="471" spans="1:19" x14ac:dyDescent="0.35">
      <c r="A471" t="s">
        <v>76</v>
      </c>
      <c r="B471">
        <v>2031</v>
      </c>
      <c r="C471" t="s">
        <v>92</v>
      </c>
      <c r="D471" t="s">
        <v>96</v>
      </c>
      <c r="E471" s="9">
        <f>SUMIFS(RenewableJetFuel!$Z:$Z,RenewableJetFuel!S:S,Predev_Scenarios!A471,RenewableJetFuel!W:W,Predev_Scenarios!B471,RenewableJetFuel!T:T,Predev_Scenarios!D471)</f>
        <v>0</v>
      </c>
      <c r="F471" t="s">
        <v>109</v>
      </c>
      <c r="G471">
        <f>SUMIFS(RenewableJetFuel!$Y:$Y,RenewableJetFuel!S:S,Predev_Scenarios!A471,RenewableJetFuel!W:W,Predev_Scenarios!B471,RenewableJetFuel!T:T,Predev_Scenarios!D471)</f>
        <v>0</v>
      </c>
      <c r="H471" s="13" t="str">
        <f>IF(C471="Electricity",E471*SUMIFS(Electricity!S:S,Electricity!P:P,Predev_Scenarios!B471,Electricity!M:M,Predev_Scenarios!A471,Electricity!O:O,Predev_Scenarios!D471),"")</f>
        <v/>
      </c>
      <c r="I471" s="12">
        <f>SUMIFS(RenewableJetFuel!AD:AD,RenewableJetFuel!$S:$S,Predev_Scenarios!$A471,RenewableJetFuel!$T:$T,Predev_Scenarios!$D471,RenewableJetFuel!$W:$W,Predev_Scenarios!$B471)</f>
        <v>-36.64</v>
      </c>
      <c r="J471" s="12">
        <f>SUMIFS(RenewableJetFuel!AE:AE,RenewableJetFuel!$S:$S,Predev_Scenarios!$A471,RenewableJetFuel!$T:$T,Predev_Scenarios!$D471,RenewableJetFuel!$W:$W,Predev_Scenarios!$B471)</f>
        <v>-36.64</v>
      </c>
      <c r="K471" s="12">
        <f>SUMIFS(RenewableJetFuel!AF:AF,RenewableJetFuel!$S:$S,Predev_Scenarios!$A471,RenewableJetFuel!$T:$T,Predev_Scenarios!$D471,RenewableJetFuel!$W:$W,Predev_Scenarios!$B471)</f>
        <v>-53.84</v>
      </c>
      <c r="L471" s="63">
        <f t="shared" si="29"/>
        <v>0</v>
      </c>
      <c r="M471" s="63">
        <f t="shared" si="30"/>
        <v>0</v>
      </c>
      <c r="N471" s="63">
        <f t="shared" si="31"/>
        <v>0</v>
      </c>
      <c r="O471" s="30">
        <f>IF(OR(LEFT($D471,5)="Solar",$D471="Wind"),INDEX(Land_Use[AVG],MATCH(LEFT($D471,5),Land_Use[Tech],0)),0)*$E471</f>
        <v>0</v>
      </c>
      <c r="P471" s="30">
        <f>IF(OR(LEFT($D471,5)="Solar",$D471="Wind"),INDEX(Land_Use[MIN],MATCH(LEFT($D471,5),Land_Use[Tech],0)),0)*$E471</f>
        <v>0</v>
      </c>
      <c r="Q471" s="30">
        <f>IF(OR(LEFT($D471,5)="Solar",$D471="Wind"),INDEX(Land_Use[MAX],MATCH(LEFT($D471,5),Land_Use[Tech],0)),0)*$E471</f>
        <v>0</v>
      </c>
      <c r="R471" s="31">
        <f>IFERROR(INDEX(WaterUseH2[Average Direct Water Consumption (Gal/ kg h2)],MATCH(LEFT(D471,3),WaterUseH2[Key],0)),0)</f>
        <v>0</v>
      </c>
      <c r="S471" s="15">
        <f t="shared" si="32"/>
        <v>0</v>
      </c>
    </row>
    <row r="472" spans="1:19" x14ac:dyDescent="0.35">
      <c r="A472" t="s">
        <v>76</v>
      </c>
      <c r="B472">
        <v>2032</v>
      </c>
      <c r="C472" t="s">
        <v>92</v>
      </c>
      <c r="D472" t="s">
        <v>96</v>
      </c>
      <c r="E472" s="9">
        <f>SUMIFS(RenewableJetFuel!$Z:$Z,RenewableJetFuel!S:S,Predev_Scenarios!A472,RenewableJetFuel!W:W,Predev_Scenarios!B472,RenewableJetFuel!T:T,Predev_Scenarios!D472)</f>
        <v>0</v>
      </c>
      <c r="F472" t="s">
        <v>109</v>
      </c>
      <c r="G472">
        <f>SUMIFS(RenewableJetFuel!$Y:$Y,RenewableJetFuel!S:S,Predev_Scenarios!A472,RenewableJetFuel!W:W,Predev_Scenarios!B472,RenewableJetFuel!T:T,Predev_Scenarios!D472)</f>
        <v>0</v>
      </c>
      <c r="H472" s="13" t="str">
        <f>IF(C472="Electricity",E472*SUMIFS(Electricity!S:S,Electricity!P:P,Predev_Scenarios!B472,Electricity!M:M,Predev_Scenarios!A472,Electricity!O:O,Predev_Scenarios!D472),"")</f>
        <v/>
      </c>
      <c r="I472" s="12">
        <f>SUMIFS(RenewableJetFuel!AD:AD,RenewableJetFuel!$S:$S,Predev_Scenarios!$A472,RenewableJetFuel!$T:$T,Predev_Scenarios!$D472,RenewableJetFuel!$W:$W,Predev_Scenarios!$B472)</f>
        <v>-36.64</v>
      </c>
      <c r="J472" s="12">
        <f>SUMIFS(RenewableJetFuel!AE:AE,RenewableJetFuel!$S:$S,Predev_Scenarios!$A472,RenewableJetFuel!$T:$T,Predev_Scenarios!$D472,RenewableJetFuel!$W:$W,Predev_Scenarios!$B472)</f>
        <v>-36.64</v>
      </c>
      <c r="K472" s="12">
        <f>SUMIFS(RenewableJetFuel!AF:AF,RenewableJetFuel!$S:$S,Predev_Scenarios!$A472,RenewableJetFuel!$T:$T,Predev_Scenarios!$D472,RenewableJetFuel!$W:$W,Predev_Scenarios!$B472)</f>
        <v>-53.84</v>
      </c>
      <c r="L472" s="63">
        <f t="shared" si="29"/>
        <v>0</v>
      </c>
      <c r="M472" s="63">
        <f t="shared" si="30"/>
        <v>0</v>
      </c>
      <c r="N472" s="63">
        <f t="shared" si="31"/>
        <v>0</v>
      </c>
      <c r="O472" s="30">
        <f>IF(OR(LEFT($D472,5)="Solar",$D472="Wind"),INDEX(Land_Use[AVG],MATCH(LEFT($D472,5),Land_Use[Tech],0)),0)*$E472</f>
        <v>0</v>
      </c>
      <c r="P472" s="30">
        <f>IF(OR(LEFT($D472,5)="Solar",$D472="Wind"),INDEX(Land_Use[MIN],MATCH(LEFT($D472,5),Land_Use[Tech],0)),0)*$E472</f>
        <v>0</v>
      </c>
      <c r="Q472" s="30">
        <f>IF(OR(LEFT($D472,5)="Solar",$D472="Wind"),INDEX(Land_Use[MAX],MATCH(LEFT($D472,5),Land_Use[Tech],0)),0)*$E472</f>
        <v>0</v>
      </c>
      <c r="R472" s="31">
        <f>IFERROR(INDEX(WaterUseH2[Average Direct Water Consumption (Gal/ kg h2)],MATCH(LEFT(D472,3),WaterUseH2[Key],0)),0)</f>
        <v>0</v>
      </c>
      <c r="S472" s="15">
        <f t="shared" si="32"/>
        <v>0</v>
      </c>
    </row>
    <row r="473" spans="1:19" x14ac:dyDescent="0.35">
      <c r="A473" t="s">
        <v>76</v>
      </c>
      <c r="B473">
        <v>2033</v>
      </c>
      <c r="C473" t="s">
        <v>92</v>
      </c>
      <c r="D473" t="s">
        <v>96</v>
      </c>
      <c r="E473" s="9">
        <f>SUMIFS(RenewableJetFuel!$Z:$Z,RenewableJetFuel!S:S,Predev_Scenarios!A473,RenewableJetFuel!W:W,Predev_Scenarios!B473,RenewableJetFuel!T:T,Predev_Scenarios!D473)</f>
        <v>0</v>
      </c>
      <c r="F473" t="s">
        <v>109</v>
      </c>
      <c r="G473">
        <f>SUMIFS(RenewableJetFuel!$Y:$Y,RenewableJetFuel!S:S,Predev_Scenarios!A473,RenewableJetFuel!W:W,Predev_Scenarios!B473,RenewableJetFuel!T:T,Predev_Scenarios!D473)</f>
        <v>0</v>
      </c>
      <c r="H473" s="13" t="str">
        <f>IF(C473="Electricity",E473*SUMIFS(Electricity!S:S,Electricity!P:P,Predev_Scenarios!B473,Electricity!M:M,Predev_Scenarios!A473,Electricity!O:O,Predev_Scenarios!D473),"")</f>
        <v/>
      </c>
      <c r="I473" s="12">
        <f>SUMIFS(RenewableJetFuel!AD:AD,RenewableJetFuel!$S:$S,Predev_Scenarios!$A473,RenewableJetFuel!$T:$T,Predev_Scenarios!$D473,RenewableJetFuel!$W:$W,Predev_Scenarios!$B473)</f>
        <v>-36.64</v>
      </c>
      <c r="J473" s="12">
        <f>SUMIFS(RenewableJetFuel!AE:AE,RenewableJetFuel!$S:$S,Predev_Scenarios!$A473,RenewableJetFuel!$T:$T,Predev_Scenarios!$D473,RenewableJetFuel!$W:$W,Predev_Scenarios!$B473)</f>
        <v>-36.64</v>
      </c>
      <c r="K473" s="12">
        <f>SUMIFS(RenewableJetFuel!AF:AF,RenewableJetFuel!$S:$S,Predev_Scenarios!$A473,RenewableJetFuel!$T:$T,Predev_Scenarios!$D473,RenewableJetFuel!$W:$W,Predev_Scenarios!$B473)</f>
        <v>-53.84</v>
      </c>
      <c r="L473" s="63">
        <f t="shared" si="29"/>
        <v>0</v>
      </c>
      <c r="M473" s="63">
        <f t="shared" si="30"/>
        <v>0</v>
      </c>
      <c r="N473" s="63">
        <f t="shared" si="31"/>
        <v>0</v>
      </c>
      <c r="O473" s="30">
        <f>IF(OR(LEFT($D473,5)="Solar",$D473="Wind"),INDEX(Land_Use[AVG],MATCH(LEFT($D473,5),Land_Use[Tech],0)),0)*$E473</f>
        <v>0</v>
      </c>
      <c r="P473" s="30">
        <f>IF(OR(LEFT($D473,5)="Solar",$D473="Wind"),INDEX(Land_Use[MIN],MATCH(LEFT($D473,5),Land_Use[Tech],0)),0)*$E473</f>
        <v>0</v>
      </c>
      <c r="Q473" s="30">
        <f>IF(OR(LEFT($D473,5)="Solar",$D473="Wind"),INDEX(Land_Use[MAX],MATCH(LEFT($D473,5),Land_Use[Tech],0)),0)*$E473</f>
        <v>0</v>
      </c>
      <c r="R473" s="31">
        <f>IFERROR(INDEX(WaterUseH2[Average Direct Water Consumption (Gal/ kg h2)],MATCH(LEFT(D473,3),WaterUseH2[Key],0)),0)</f>
        <v>0</v>
      </c>
      <c r="S473" s="15">
        <f t="shared" si="32"/>
        <v>0</v>
      </c>
    </row>
    <row r="474" spans="1:19" x14ac:dyDescent="0.35">
      <c r="A474" t="s">
        <v>76</v>
      </c>
      <c r="B474">
        <v>2034</v>
      </c>
      <c r="C474" t="s">
        <v>92</v>
      </c>
      <c r="D474" t="s">
        <v>96</v>
      </c>
      <c r="E474" s="9">
        <f>SUMIFS(RenewableJetFuel!$Z:$Z,RenewableJetFuel!S:S,Predev_Scenarios!A474,RenewableJetFuel!W:W,Predev_Scenarios!B474,RenewableJetFuel!T:T,Predev_Scenarios!D474)</f>
        <v>0</v>
      </c>
      <c r="F474" t="s">
        <v>109</v>
      </c>
      <c r="G474">
        <f>SUMIFS(RenewableJetFuel!$Y:$Y,RenewableJetFuel!S:S,Predev_Scenarios!A474,RenewableJetFuel!W:W,Predev_Scenarios!B474,RenewableJetFuel!T:T,Predev_Scenarios!D474)</f>
        <v>0</v>
      </c>
      <c r="H474" s="13" t="str">
        <f>IF(C474="Electricity",E474*SUMIFS(Electricity!S:S,Electricity!P:P,Predev_Scenarios!B474,Electricity!M:M,Predev_Scenarios!A474,Electricity!O:O,Predev_Scenarios!D474),"")</f>
        <v/>
      </c>
      <c r="I474" s="12">
        <f>SUMIFS(RenewableJetFuel!AD:AD,RenewableJetFuel!$S:$S,Predev_Scenarios!$A474,RenewableJetFuel!$T:$T,Predev_Scenarios!$D474,RenewableJetFuel!$W:$W,Predev_Scenarios!$B474)</f>
        <v>-36.64</v>
      </c>
      <c r="J474" s="12">
        <f>SUMIFS(RenewableJetFuel!AE:AE,RenewableJetFuel!$S:$S,Predev_Scenarios!$A474,RenewableJetFuel!$T:$T,Predev_Scenarios!$D474,RenewableJetFuel!$W:$W,Predev_Scenarios!$B474)</f>
        <v>-36.64</v>
      </c>
      <c r="K474" s="12">
        <f>SUMIFS(RenewableJetFuel!AF:AF,RenewableJetFuel!$S:$S,Predev_Scenarios!$A474,RenewableJetFuel!$T:$T,Predev_Scenarios!$D474,RenewableJetFuel!$W:$W,Predev_Scenarios!$B474)</f>
        <v>-53.84</v>
      </c>
      <c r="L474" s="63">
        <f t="shared" si="29"/>
        <v>0</v>
      </c>
      <c r="M474" s="63">
        <f t="shared" si="30"/>
        <v>0</v>
      </c>
      <c r="N474" s="63">
        <f t="shared" si="31"/>
        <v>0</v>
      </c>
      <c r="O474" s="30">
        <f>IF(OR(LEFT($D474,5)="Solar",$D474="Wind"),INDEX(Land_Use[AVG],MATCH(LEFT($D474,5),Land_Use[Tech],0)),0)*$E474</f>
        <v>0</v>
      </c>
      <c r="P474" s="30">
        <f>IF(OR(LEFT($D474,5)="Solar",$D474="Wind"),INDEX(Land_Use[MIN],MATCH(LEFT($D474,5),Land_Use[Tech],0)),0)*$E474</f>
        <v>0</v>
      </c>
      <c r="Q474" s="30">
        <f>IF(OR(LEFT($D474,5)="Solar",$D474="Wind"),INDEX(Land_Use[MAX],MATCH(LEFT($D474,5),Land_Use[Tech],0)),0)*$E474</f>
        <v>0</v>
      </c>
      <c r="R474" s="31">
        <f>IFERROR(INDEX(WaterUseH2[Average Direct Water Consumption (Gal/ kg h2)],MATCH(LEFT(D474,3),WaterUseH2[Key],0)),0)</f>
        <v>0</v>
      </c>
      <c r="S474" s="15">
        <f t="shared" si="32"/>
        <v>0</v>
      </c>
    </row>
    <row r="475" spans="1:19" x14ac:dyDescent="0.35">
      <c r="A475" t="s">
        <v>76</v>
      </c>
      <c r="B475">
        <v>2035</v>
      </c>
      <c r="C475" t="s">
        <v>92</v>
      </c>
      <c r="D475" t="s">
        <v>96</v>
      </c>
      <c r="E475" s="9">
        <f>SUMIFS(RenewableJetFuel!$Z:$Z,RenewableJetFuel!S:S,Predev_Scenarios!A475,RenewableJetFuel!W:W,Predev_Scenarios!B475,RenewableJetFuel!T:T,Predev_Scenarios!D475)</f>
        <v>0</v>
      </c>
      <c r="F475" t="s">
        <v>109</v>
      </c>
      <c r="G475">
        <f>SUMIFS(RenewableJetFuel!$Y:$Y,RenewableJetFuel!S:S,Predev_Scenarios!A475,RenewableJetFuel!W:W,Predev_Scenarios!B475,RenewableJetFuel!T:T,Predev_Scenarios!D475)</f>
        <v>0</v>
      </c>
      <c r="H475" s="13" t="str">
        <f>IF(C475="Electricity",E475*SUMIFS(Electricity!S:S,Electricity!P:P,Predev_Scenarios!B475,Electricity!M:M,Predev_Scenarios!A475,Electricity!O:O,Predev_Scenarios!D475),"")</f>
        <v/>
      </c>
      <c r="I475" s="12">
        <f>SUMIFS(RenewableJetFuel!AD:AD,RenewableJetFuel!$S:$S,Predev_Scenarios!$A475,RenewableJetFuel!$T:$T,Predev_Scenarios!$D475,RenewableJetFuel!$W:$W,Predev_Scenarios!$B475)</f>
        <v>-36.64</v>
      </c>
      <c r="J475" s="12">
        <f>SUMIFS(RenewableJetFuel!AE:AE,RenewableJetFuel!$S:$S,Predev_Scenarios!$A475,RenewableJetFuel!$T:$T,Predev_Scenarios!$D475,RenewableJetFuel!$W:$W,Predev_Scenarios!$B475)</f>
        <v>-36.64</v>
      </c>
      <c r="K475" s="12">
        <f>SUMIFS(RenewableJetFuel!AF:AF,RenewableJetFuel!$S:$S,Predev_Scenarios!$A475,RenewableJetFuel!$T:$T,Predev_Scenarios!$D475,RenewableJetFuel!$W:$W,Predev_Scenarios!$B475)</f>
        <v>-53.84</v>
      </c>
      <c r="L475" s="63">
        <f t="shared" si="29"/>
        <v>0</v>
      </c>
      <c r="M475" s="63">
        <f t="shared" si="30"/>
        <v>0</v>
      </c>
      <c r="N475" s="63">
        <f t="shared" si="31"/>
        <v>0</v>
      </c>
      <c r="O475" s="30">
        <f>IF(OR(LEFT($D475,5)="Solar",$D475="Wind"),INDEX(Land_Use[AVG],MATCH(LEFT($D475,5),Land_Use[Tech],0)),0)*$E475</f>
        <v>0</v>
      </c>
      <c r="P475" s="30">
        <f>IF(OR(LEFT($D475,5)="Solar",$D475="Wind"),INDEX(Land_Use[MIN],MATCH(LEFT($D475,5),Land_Use[Tech],0)),0)*$E475</f>
        <v>0</v>
      </c>
      <c r="Q475" s="30">
        <f>IF(OR(LEFT($D475,5)="Solar",$D475="Wind"),INDEX(Land_Use[MAX],MATCH(LEFT($D475,5),Land_Use[Tech],0)),0)*$E475</f>
        <v>0</v>
      </c>
      <c r="R475" s="31">
        <f>IFERROR(INDEX(WaterUseH2[Average Direct Water Consumption (Gal/ kg h2)],MATCH(LEFT(D475,3),WaterUseH2[Key],0)),0)</f>
        <v>0</v>
      </c>
      <c r="S475" s="15">
        <f t="shared" si="32"/>
        <v>0</v>
      </c>
    </row>
    <row r="476" spans="1:19" x14ac:dyDescent="0.35">
      <c r="A476" t="s">
        <v>76</v>
      </c>
      <c r="B476">
        <v>2036</v>
      </c>
      <c r="C476" t="s">
        <v>92</v>
      </c>
      <c r="D476" t="s">
        <v>96</v>
      </c>
      <c r="E476" s="9">
        <f>SUMIFS(RenewableJetFuel!$Z:$Z,RenewableJetFuel!S:S,Predev_Scenarios!A476,RenewableJetFuel!W:W,Predev_Scenarios!B476,RenewableJetFuel!T:T,Predev_Scenarios!D476)</f>
        <v>0</v>
      </c>
      <c r="F476" t="s">
        <v>109</v>
      </c>
      <c r="G476">
        <f>SUMIFS(RenewableJetFuel!$Y:$Y,RenewableJetFuel!S:S,Predev_Scenarios!A476,RenewableJetFuel!W:W,Predev_Scenarios!B476,RenewableJetFuel!T:T,Predev_Scenarios!D476)</f>
        <v>0</v>
      </c>
      <c r="H476" s="13" t="str">
        <f>IF(C476="Electricity",E476*SUMIFS(Electricity!S:S,Electricity!P:P,Predev_Scenarios!B476,Electricity!M:M,Predev_Scenarios!A476,Electricity!O:O,Predev_Scenarios!D476),"")</f>
        <v/>
      </c>
      <c r="I476" s="12">
        <f>SUMIFS(RenewableJetFuel!AD:AD,RenewableJetFuel!$S:$S,Predev_Scenarios!$A476,RenewableJetFuel!$T:$T,Predev_Scenarios!$D476,RenewableJetFuel!$W:$W,Predev_Scenarios!$B476)</f>
        <v>-36.64</v>
      </c>
      <c r="J476" s="12">
        <f>SUMIFS(RenewableJetFuel!AE:AE,RenewableJetFuel!$S:$S,Predev_Scenarios!$A476,RenewableJetFuel!$T:$T,Predev_Scenarios!$D476,RenewableJetFuel!$W:$W,Predev_Scenarios!$B476)</f>
        <v>-36.64</v>
      </c>
      <c r="K476" s="12">
        <f>SUMIFS(RenewableJetFuel!AF:AF,RenewableJetFuel!$S:$S,Predev_Scenarios!$A476,RenewableJetFuel!$T:$T,Predev_Scenarios!$D476,RenewableJetFuel!$W:$W,Predev_Scenarios!$B476)</f>
        <v>-53.84</v>
      </c>
      <c r="L476" s="63">
        <f t="shared" si="29"/>
        <v>0</v>
      </c>
      <c r="M476" s="63">
        <f t="shared" si="30"/>
        <v>0</v>
      </c>
      <c r="N476" s="63">
        <f t="shared" si="31"/>
        <v>0</v>
      </c>
      <c r="O476" s="30">
        <f>IF(OR(LEFT($D476,5)="Solar",$D476="Wind"),INDEX(Land_Use[AVG],MATCH(LEFT($D476,5),Land_Use[Tech],0)),0)*$E476</f>
        <v>0</v>
      </c>
      <c r="P476" s="30">
        <f>IF(OR(LEFT($D476,5)="Solar",$D476="Wind"),INDEX(Land_Use[MIN],MATCH(LEFT($D476,5),Land_Use[Tech],0)),0)*$E476</f>
        <v>0</v>
      </c>
      <c r="Q476" s="30">
        <f>IF(OR(LEFT($D476,5)="Solar",$D476="Wind"),INDEX(Land_Use[MAX],MATCH(LEFT($D476,5),Land_Use[Tech],0)),0)*$E476</f>
        <v>0</v>
      </c>
      <c r="R476" s="31">
        <f>IFERROR(INDEX(WaterUseH2[Average Direct Water Consumption (Gal/ kg h2)],MATCH(LEFT(D476,3),WaterUseH2[Key],0)),0)</f>
        <v>0</v>
      </c>
      <c r="S476" s="15">
        <f t="shared" si="32"/>
        <v>0</v>
      </c>
    </row>
    <row r="477" spans="1:19" x14ac:dyDescent="0.35">
      <c r="A477" t="s">
        <v>76</v>
      </c>
      <c r="B477">
        <v>2037</v>
      </c>
      <c r="C477" t="s">
        <v>92</v>
      </c>
      <c r="D477" t="s">
        <v>96</v>
      </c>
      <c r="E477" s="9">
        <f>SUMIFS(RenewableJetFuel!$Z:$Z,RenewableJetFuel!S:S,Predev_Scenarios!A477,RenewableJetFuel!W:W,Predev_Scenarios!B477,RenewableJetFuel!T:T,Predev_Scenarios!D477)</f>
        <v>0</v>
      </c>
      <c r="F477" t="s">
        <v>109</v>
      </c>
      <c r="G477">
        <f>SUMIFS(RenewableJetFuel!$Y:$Y,RenewableJetFuel!S:S,Predev_Scenarios!A477,RenewableJetFuel!W:W,Predev_Scenarios!B477,RenewableJetFuel!T:T,Predev_Scenarios!D477)</f>
        <v>0</v>
      </c>
      <c r="H477" s="13" t="str">
        <f>IF(C477="Electricity",E477*SUMIFS(Electricity!S:S,Electricity!P:P,Predev_Scenarios!B477,Electricity!M:M,Predev_Scenarios!A477,Electricity!O:O,Predev_Scenarios!D477),"")</f>
        <v/>
      </c>
      <c r="I477" s="12">
        <f>SUMIFS(RenewableJetFuel!AD:AD,RenewableJetFuel!$S:$S,Predev_Scenarios!$A477,RenewableJetFuel!$T:$T,Predev_Scenarios!$D477,RenewableJetFuel!$W:$W,Predev_Scenarios!$B477)</f>
        <v>-36.64</v>
      </c>
      <c r="J477" s="12">
        <f>SUMIFS(RenewableJetFuel!AE:AE,RenewableJetFuel!$S:$S,Predev_Scenarios!$A477,RenewableJetFuel!$T:$T,Predev_Scenarios!$D477,RenewableJetFuel!$W:$W,Predev_Scenarios!$B477)</f>
        <v>-36.64</v>
      </c>
      <c r="K477" s="12">
        <f>SUMIFS(RenewableJetFuel!AF:AF,RenewableJetFuel!$S:$S,Predev_Scenarios!$A477,RenewableJetFuel!$T:$T,Predev_Scenarios!$D477,RenewableJetFuel!$W:$W,Predev_Scenarios!$B477)</f>
        <v>-53.84</v>
      </c>
      <c r="L477" s="63">
        <f t="shared" si="29"/>
        <v>0</v>
      </c>
      <c r="M477" s="63">
        <f t="shared" si="30"/>
        <v>0</v>
      </c>
      <c r="N477" s="63">
        <f t="shared" si="31"/>
        <v>0</v>
      </c>
      <c r="O477" s="30">
        <f>IF(OR(LEFT($D477,5)="Solar",$D477="Wind"),INDEX(Land_Use[AVG],MATCH(LEFT($D477,5),Land_Use[Tech],0)),0)*$E477</f>
        <v>0</v>
      </c>
      <c r="P477" s="30">
        <f>IF(OR(LEFT($D477,5)="Solar",$D477="Wind"),INDEX(Land_Use[MIN],MATCH(LEFT($D477,5),Land_Use[Tech],0)),0)*$E477</f>
        <v>0</v>
      </c>
      <c r="Q477" s="30">
        <f>IF(OR(LEFT($D477,5)="Solar",$D477="Wind"),INDEX(Land_Use[MAX],MATCH(LEFT($D477,5),Land_Use[Tech],0)),0)*$E477</f>
        <v>0</v>
      </c>
      <c r="R477" s="31">
        <f>IFERROR(INDEX(WaterUseH2[Average Direct Water Consumption (Gal/ kg h2)],MATCH(LEFT(D477,3),WaterUseH2[Key],0)),0)</f>
        <v>0</v>
      </c>
      <c r="S477" s="15">
        <f t="shared" si="32"/>
        <v>0</v>
      </c>
    </row>
    <row r="478" spans="1:19" x14ac:dyDescent="0.35">
      <c r="A478" t="s">
        <v>76</v>
      </c>
      <c r="B478">
        <v>2038</v>
      </c>
      <c r="C478" t="s">
        <v>92</v>
      </c>
      <c r="D478" t="s">
        <v>96</v>
      </c>
      <c r="E478" s="9">
        <f>SUMIFS(RenewableJetFuel!$Z:$Z,RenewableJetFuel!S:S,Predev_Scenarios!A478,RenewableJetFuel!W:W,Predev_Scenarios!B478,RenewableJetFuel!T:T,Predev_Scenarios!D478)</f>
        <v>0</v>
      </c>
      <c r="F478" t="s">
        <v>109</v>
      </c>
      <c r="G478">
        <f>SUMIFS(RenewableJetFuel!$Y:$Y,RenewableJetFuel!S:S,Predev_Scenarios!A478,RenewableJetFuel!W:W,Predev_Scenarios!B478,RenewableJetFuel!T:T,Predev_Scenarios!D478)</f>
        <v>0</v>
      </c>
      <c r="H478" s="13" t="str">
        <f>IF(C478="Electricity",E478*SUMIFS(Electricity!S:S,Electricity!P:P,Predev_Scenarios!B478,Electricity!M:M,Predev_Scenarios!A478,Electricity!O:O,Predev_Scenarios!D478),"")</f>
        <v/>
      </c>
      <c r="I478" s="12">
        <f>SUMIFS(RenewableJetFuel!AD:AD,RenewableJetFuel!$S:$S,Predev_Scenarios!$A478,RenewableJetFuel!$T:$T,Predev_Scenarios!$D478,RenewableJetFuel!$W:$W,Predev_Scenarios!$B478)</f>
        <v>-36.64</v>
      </c>
      <c r="J478" s="12">
        <f>SUMIFS(RenewableJetFuel!AE:AE,RenewableJetFuel!$S:$S,Predev_Scenarios!$A478,RenewableJetFuel!$T:$T,Predev_Scenarios!$D478,RenewableJetFuel!$W:$W,Predev_Scenarios!$B478)</f>
        <v>-36.64</v>
      </c>
      <c r="K478" s="12">
        <f>SUMIFS(RenewableJetFuel!AF:AF,RenewableJetFuel!$S:$S,Predev_Scenarios!$A478,RenewableJetFuel!$T:$T,Predev_Scenarios!$D478,RenewableJetFuel!$W:$W,Predev_Scenarios!$B478)</f>
        <v>-53.84</v>
      </c>
      <c r="L478" s="63">
        <f t="shared" si="29"/>
        <v>0</v>
      </c>
      <c r="M478" s="63">
        <f t="shared" si="30"/>
        <v>0</v>
      </c>
      <c r="N478" s="63">
        <f t="shared" si="31"/>
        <v>0</v>
      </c>
      <c r="O478" s="30">
        <f>IF(OR(LEFT($D478,5)="Solar",$D478="Wind"),INDEX(Land_Use[AVG],MATCH(LEFT($D478,5),Land_Use[Tech],0)),0)*$E478</f>
        <v>0</v>
      </c>
      <c r="P478" s="30">
        <f>IF(OR(LEFT($D478,5)="Solar",$D478="Wind"),INDEX(Land_Use[MIN],MATCH(LEFT($D478,5),Land_Use[Tech],0)),0)*$E478</f>
        <v>0</v>
      </c>
      <c r="Q478" s="30">
        <f>IF(OR(LEFT($D478,5)="Solar",$D478="Wind"),INDEX(Land_Use[MAX],MATCH(LEFT($D478,5),Land_Use[Tech],0)),0)*$E478</f>
        <v>0</v>
      </c>
      <c r="R478" s="31">
        <f>IFERROR(INDEX(WaterUseH2[Average Direct Water Consumption (Gal/ kg h2)],MATCH(LEFT(D478,3),WaterUseH2[Key],0)),0)</f>
        <v>0</v>
      </c>
      <c r="S478" s="15">
        <f t="shared" si="32"/>
        <v>0</v>
      </c>
    </row>
    <row r="479" spans="1:19" x14ac:dyDescent="0.35">
      <c r="A479" t="s">
        <v>76</v>
      </c>
      <c r="B479">
        <v>2039</v>
      </c>
      <c r="C479" t="s">
        <v>92</v>
      </c>
      <c r="D479" t="s">
        <v>96</v>
      </c>
      <c r="E479" s="9">
        <f>SUMIFS(RenewableJetFuel!$Z:$Z,RenewableJetFuel!S:S,Predev_Scenarios!A479,RenewableJetFuel!W:W,Predev_Scenarios!B479,RenewableJetFuel!T:T,Predev_Scenarios!D479)</f>
        <v>0</v>
      </c>
      <c r="F479" t="s">
        <v>109</v>
      </c>
      <c r="G479">
        <f>SUMIFS(RenewableJetFuel!$Y:$Y,RenewableJetFuel!S:S,Predev_Scenarios!A479,RenewableJetFuel!W:W,Predev_Scenarios!B479,RenewableJetFuel!T:T,Predev_Scenarios!D479)</f>
        <v>0</v>
      </c>
      <c r="H479" s="13" t="str">
        <f>IF(C479="Electricity",E479*SUMIFS(Electricity!S:S,Electricity!P:P,Predev_Scenarios!B479,Electricity!M:M,Predev_Scenarios!A479,Electricity!O:O,Predev_Scenarios!D479),"")</f>
        <v/>
      </c>
      <c r="I479" s="12">
        <f>SUMIFS(RenewableJetFuel!AD:AD,RenewableJetFuel!$S:$S,Predev_Scenarios!$A479,RenewableJetFuel!$T:$T,Predev_Scenarios!$D479,RenewableJetFuel!$W:$W,Predev_Scenarios!$B479)</f>
        <v>-36.64</v>
      </c>
      <c r="J479" s="12">
        <f>SUMIFS(RenewableJetFuel!AE:AE,RenewableJetFuel!$S:$S,Predev_Scenarios!$A479,RenewableJetFuel!$T:$T,Predev_Scenarios!$D479,RenewableJetFuel!$W:$W,Predev_Scenarios!$B479)</f>
        <v>-36.64</v>
      </c>
      <c r="K479" s="12">
        <f>SUMIFS(RenewableJetFuel!AF:AF,RenewableJetFuel!$S:$S,Predev_Scenarios!$A479,RenewableJetFuel!$T:$T,Predev_Scenarios!$D479,RenewableJetFuel!$W:$W,Predev_Scenarios!$B479)</f>
        <v>-53.84</v>
      </c>
      <c r="L479" s="63">
        <f t="shared" si="29"/>
        <v>0</v>
      </c>
      <c r="M479" s="63">
        <f t="shared" si="30"/>
        <v>0</v>
      </c>
      <c r="N479" s="63">
        <f t="shared" si="31"/>
        <v>0</v>
      </c>
      <c r="O479" s="30">
        <f>IF(OR(LEFT($D479,5)="Solar",$D479="Wind"),INDEX(Land_Use[AVG],MATCH(LEFT($D479,5),Land_Use[Tech],0)),0)*$E479</f>
        <v>0</v>
      </c>
      <c r="P479" s="30">
        <f>IF(OR(LEFT($D479,5)="Solar",$D479="Wind"),INDEX(Land_Use[MIN],MATCH(LEFT($D479,5),Land_Use[Tech],0)),0)*$E479</f>
        <v>0</v>
      </c>
      <c r="Q479" s="30">
        <f>IF(OR(LEFT($D479,5)="Solar",$D479="Wind"),INDEX(Land_Use[MAX],MATCH(LEFT($D479,5),Land_Use[Tech],0)),0)*$E479</f>
        <v>0</v>
      </c>
      <c r="R479" s="31">
        <f>IFERROR(INDEX(WaterUseH2[Average Direct Water Consumption (Gal/ kg h2)],MATCH(LEFT(D479,3),WaterUseH2[Key],0)),0)</f>
        <v>0</v>
      </c>
      <c r="S479" s="15">
        <f t="shared" si="32"/>
        <v>0</v>
      </c>
    </row>
    <row r="480" spans="1:19" x14ac:dyDescent="0.35">
      <c r="A480" t="s">
        <v>76</v>
      </c>
      <c r="B480">
        <v>2040</v>
      </c>
      <c r="C480" t="s">
        <v>92</v>
      </c>
      <c r="D480" t="s">
        <v>96</v>
      </c>
      <c r="E480" s="9">
        <f>SUMIFS(RenewableJetFuel!$Z:$Z,RenewableJetFuel!S:S,Predev_Scenarios!A480,RenewableJetFuel!W:W,Predev_Scenarios!B480,RenewableJetFuel!T:T,Predev_Scenarios!D480)</f>
        <v>0</v>
      </c>
      <c r="F480" t="s">
        <v>109</v>
      </c>
      <c r="G480">
        <f>SUMIFS(RenewableJetFuel!$Y:$Y,RenewableJetFuel!S:S,Predev_Scenarios!A480,RenewableJetFuel!W:W,Predev_Scenarios!B480,RenewableJetFuel!T:T,Predev_Scenarios!D480)</f>
        <v>0</v>
      </c>
      <c r="H480" s="13" t="str">
        <f>IF(C480="Electricity",E480*SUMIFS(Electricity!S:S,Electricity!P:P,Predev_Scenarios!B480,Electricity!M:M,Predev_Scenarios!A480,Electricity!O:O,Predev_Scenarios!D480),"")</f>
        <v/>
      </c>
      <c r="I480" s="12">
        <f>SUMIFS(RenewableJetFuel!AD:AD,RenewableJetFuel!$S:$S,Predev_Scenarios!$A480,RenewableJetFuel!$T:$T,Predev_Scenarios!$D480,RenewableJetFuel!$W:$W,Predev_Scenarios!$B480)</f>
        <v>-36.64</v>
      </c>
      <c r="J480" s="12">
        <f>SUMIFS(RenewableJetFuel!AE:AE,RenewableJetFuel!$S:$S,Predev_Scenarios!$A480,RenewableJetFuel!$T:$T,Predev_Scenarios!$D480,RenewableJetFuel!$W:$W,Predev_Scenarios!$B480)</f>
        <v>-36.64</v>
      </c>
      <c r="K480" s="12">
        <f>SUMIFS(RenewableJetFuel!AF:AF,RenewableJetFuel!$S:$S,Predev_Scenarios!$A480,RenewableJetFuel!$T:$T,Predev_Scenarios!$D480,RenewableJetFuel!$W:$W,Predev_Scenarios!$B480)</f>
        <v>-53.84</v>
      </c>
      <c r="L480" s="63">
        <f t="shared" si="29"/>
        <v>0</v>
      </c>
      <c r="M480" s="63">
        <f t="shared" si="30"/>
        <v>0</v>
      </c>
      <c r="N480" s="63">
        <f t="shared" si="31"/>
        <v>0</v>
      </c>
      <c r="O480" s="30">
        <f>IF(OR(LEFT($D480,5)="Solar",$D480="Wind"),INDEX(Land_Use[AVG],MATCH(LEFT($D480,5),Land_Use[Tech],0)),0)*$E480</f>
        <v>0</v>
      </c>
      <c r="P480" s="30">
        <f>IF(OR(LEFT($D480,5)="Solar",$D480="Wind"),INDEX(Land_Use[MIN],MATCH(LEFT($D480,5),Land_Use[Tech],0)),0)*$E480</f>
        <v>0</v>
      </c>
      <c r="Q480" s="30">
        <f>IF(OR(LEFT($D480,5)="Solar",$D480="Wind"),INDEX(Land_Use[MAX],MATCH(LEFT($D480,5),Land_Use[Tech],0)),0)*$E480</f>
        <v>0</v>
      </c>
      <c r="R480" s="31">
        <f>IFERROR(INDEX(WaterUseH2[Average Direct Water Consumption (Gal/ kg h2)],MATCH(LEFT(D480,3),WaterUseH2[Key],0)),0)</f>
        <v>0</v>
      </c>
      <c r="S480" s="15">
        <f t="shared" si="32"/>
        <v>0</v>
      </c>
    </row>
    <row r="481" spans="1:19" x14ac:dyDescent="0.35">
      <c r="A481" t="s">
        <v>76</v>
      </c>
      <c r="B481">
        <v>2041</v>
      </c>
      <c r="C481" t="s">
        <v>92</v>
      </c>
      <c r="D481" t="s">
        <v>96</v>
      </c>
      <c r="E481" s="9">
        <f>SUMIFS(RenewableJetFuel!$Z:$Z,RenewableJetFuel!S:S,Predev_Scenarios!A481,RenewableJetFuel!W:W,Predev_Scenarios!B481,RenewableJetFuel!T:T,Predev_Scenarios!D481)</f>
        <v>0</v>
      </c>
      <c r="F481" t="s">
        <v>109</v>
      </c>
      <c r="G481">
        <f>SUMIFS(RenewableJetFuel!$Y:$Y,RenewableJetFuel!S:S,Predev_Scenarios!A481,RenewableJetFuel!W:W,Predev_Scenarios!B481,RenewableJetFuel!T:T,Predev_Scenarios!D481)</f>
        <v>0</v>
      </c>
      <c r="H481" s="13" t="str">
        <f>IF(C481="Electricity",E481*SUMIFS(Electricity!S:S,Electricity!P:P,Predev_Scenarios!B481,Electricity!M:M,Predev_Scenarios!A481,Electricity!O:O,Predev_Scenarios!D481),"")</f>
        <v/>
      </c>
      <c r="I481" s="12">
        <f>SUMIFS(RenewableJetFuel!AD:AD,RenewableJetFuel!$S:$S,Predev_Scenarios!$A481,RenewableJetFuel!$T:$T,Predev_Scenarios!$D481,RenewableJetFuel!$W:$W,Predev_Scenarios!$B481)</f>
        <v>-36.64</v>
      </c>
      <c r="J481" s="12">
        <f>SUMIFS(RenewableJetFuel!AE:AE,RenewableJetFuel!$S:$S,Predev_Scenarios!$A481,RenewableJetFuel!$T:$T,Predev_Scenarios!$D481,RenewableJetFuel!$W:$W,Predev_Scenarios!$B481)</f>
        <v>-36.64</v>
      </c>
      <c r="K481" s="12">
        <f>SUMIFS(RenewableJetFuel!AF:AF,RenewableJetFuel!$S:$S,Predev_Scenarios!$A481,RenewableJetFuel!$T:$T,Predev_Scenarios!$D481,RenewableJetFuel!$W:$W,Predev_Scenarios!$B481)</f>
        <v>-53.84</v>
      </c>
      <c r="L481" s="63">
        <f t="shared" si="29"/>
        <v>0</v>
      </c>
      <c r="M481" s="63">
        <f t="shared" si="30"/>
        <v>0</v>
      </c>
      <c r="N481" s="63">
        <f t="shared" si="31"/>
        <v>0</v>
      </c>
      <c r="O481" s="30">
        <f>IF(OR(LEFT($D481,5)="Solar",$D481="Wind"),INDEX(Land_Use[AVG],MATCH(LEFT($D481,5),Land_Use[Tech],0)),0)*$E481</f>
        <v>0</v>
      </c>
      <c r="P481" s="30">
        <f>IF(OR(LEFT($D481,5)="Solar",$D481="Wind"),INDEX(Land_Use[MIN],MATCH(LEFT($D481,5),Land_Use[Tech],0)),0)*$E481</f>
        <v>0</v>
      </c>
      <c r="Q481" s="30">
        <f>IF(OR(LEFT($D481,5)="Solar",$D481="Wind"),INDEX(Land_Use[MAX],MATCH(LEFT($D481,5),Land_Use[Tech],0)),0)*$E481</f>
        <v>0</v>
      </c>
      <c r="R481" s="31">
        <f>IFERROR(INDEX(WaterUseH2[Average Direct Water Consumption (Gal/ kg h2)],MATCH(LEFT(D481,3),WaterUseH2[Key],0)),0)</f>
        <v>0</v>
      </c>
      <c r="S481" s="15">
        <f t="shared" si="32"/>
        <v>0</v>
      </c>
    </row>
    <row r="482" spans="1:19" x14ac:dyDescent="0.35">
      <c r="A482" t="s">
        <v>76</v>
      </c>
      <c r="B482">
        <v>2042</v>
      </c>
      <c r="C482" t="s">
        <v>92</v>
      </c>
      <c r="D482" t="s">
        <v>96</v>
      </c>
      <c r="E482" s="9">
        <f>SUMIFS(RenewableJetFuel!$Z:$Z,RenewableJetFuel!S:S,Predev_Scenarios!A482,RenewableJetFuel!W:W,Predev_Scenarios!B482,RenewableJetFuel!T:T,Predev_Scenarios!D482)</f>
        <v>0</v>
      </c>
      <c r="F482" t="s">
        <v>109</v>
      </c>
      <c r="G482">
        <f>SUMIFS(RenewableJetFuel!$Y:$Y,RenewableJetFuel!S:S,Predev_Scenarios!A482,RenewableJetFuel!W:W,Predev_Scenarios!B482,RenewableJetFuel!T:T,Predev_Scenarios!D482)</f>
        <v>0</v>
      </c>
      <c r="H482" s="13" t="str">
        <f>IF(C482="Electricity",E482*SUMIFS(Electricity!S:S,Electricity!P:P,Predev_Scenarios!B482,Electricity!M:M,Predev_Scenarios!A482,Electricity!O:O,Predev_Scenarios!D482),"")</f>
        <v/>
      </c>
      <c r="I482" s="12">
        <f>SUMIFS(RenewableJetFuel!AD:AD,RenewableJetFuel!$S:$S,Predev_Scenarios!$A482,RenewableJetFuel!$T:$T,Predev_Scenarios!$D482,RenewableJetFuel!$W:$W,Predev_Scenarios!$B482)</f>
        <v>-36.64</v>
      </c>
      <c r="J482" s="12">
        <f>SUMIFS(RenewableJetFuel!AE:AE,RenewableJetFuel!$S:$S,Predev_Scenarios!$A482,RenewableJetFuel!$T:$T,Predev_Scenarios!$D482,RenewableJetFuel!$W:$W,Predev_Scenarios!$B482)</f>
        <v>-36.64</v>
      </c>
      <c r="K482" s="12">
        <f>SUMIFS(RenewableJetFuel!AF:AF,RenewableJetFuel!$S:$S,Predev_Scenarios!$A482,RenewableJetFuel!$T:$T,Predev_Scenarios!$D482,RenewableJetFuel!$W:$W,Predev_Scenarios!$B482)</f>
        <v>-53.84</v>
      </c>
      <c r="L482" s="63">
        <f t="shared" si="29"/>
        <v>0</v>
      </c>
      <c r="M482" s="63">
        <f t="shared" si="30"/>
        <v>0</v>
      </c>
      <c r="N482" s="63">
        <f t="shared" si="31"/>
        <v>0</v>
      </c>
      <c r="O482" s="30">
        <f>IF(OR(LEFT($D482,5)="Solar",$D482="Wind"),INDEX(Land_Use[AVG],MATCH(LEFT($D482,5),Land_Use[Tech],0)),0)*$E482</f>
        <v>0</v>
      </c>
      <c r="P482" s="30">
        <f>IF(OR(LEFT($D482,5)="Solar",$D482="Wind"),INDEX(Land_Use[MIN],MATCH(LEFT($D482,5),Land_Use[Tech],0)),0)*$E482</f>
        <v>0</v>
      </c>
      <c r="Q482" s="30">
        <f>IF(OR(LEFT($D482,5)="Solar",$D482="Wind"),INDEX(Land_Use[MAX],MATCH(LEFT($D482,5),Land_Use[Tech],0)),0)*$E482</f>
        <v>0</v>
      </c>
      <c r="R482" s="31">
        <f>IFERROR(INDEX(WaterUseH2[Average Direct Water Consumption (Gal/ kg h2)],MATCH(LEFT(D482,3),WaterUseH2[Key],0)),0)</f>
        <v>0</v>
      </c>
      <c r="S482" s="15">
        <f t="shared" si="32"/>
        <v>0</v>
      </c>
    </row>
    <row r="483" spans="1:19" x14ac:dyDescent="0.35">
      <c r="A483" t="s">
        <v>76</v>
      </c>
      <c r="B483">
        <v>2043</v>
      </c>
      <c r="C483" t="s">
        <v>92</v>
      </c>
      <c r="D483" t="s">
        <v>96</v>
      </c>
      <c r="E483" s="9">
        <f>SUMIFS(RenewableJetFuel!$Z:$Z,RenewableJetFuel!S:S,Predev_Scenarios!A483,RenewableJetFuel!W:W,Predev_Scenarios!B483,RenewableJetFuel!T:T,Predev_Scenarios!D483)</f>
        <v>0</v>
      </c>
      <c r="F483" t="s">
        <v>109</v>
      </c>
      <c r="G483">
        <f>SUMIFS(RenewableJetFuel!$Y:$Y,RenewableJetFuel!S:S,Predev_Scenarios!A483,RenewableJetFuel!W:W,Predev_Scenarios!B483,RenewableJetFuel!T:T,Predev_Scenarios!D483)</f>
        <v>0</v>
      </c>
      <c r="H483" s="13" t="str">
        <f>IF(C483="Electricity",E483*SUMIFS(Electricity!S:S,Electricity!P:P,Predev_Scenarios!B483,Electricity!M:M,Predev_Scenarios!A483,Electricity!O:O,Predev_Scenarios!D483),"")</f>
        <v/>
      </c>
      <c r="I483" s="12">
        <f>SUMIFS(RenewableJetFuel!AD:AD,RenewableJetFuel!$S:$S,Predev_Scenarios!$A483,RenewableJetFuel!$T:$T,Predev_Scenarios!$D483,RenewableJetFuel!$W:$W,Predev_Scenarios!$B483)</f>
        <v>-36.64</v>
      </c>
      <c r="J483" s="12">
        <f>SUMIFS(RenewableJetFuel!AE:AE,RenewableJetFuel!$S:$S,Predev_Scenarios!$A483,RenewableJetFuel!$T:$T,Predev_Scenarios!$D483,RenewableJetFuel!$W:$W,Predev_Scenarios!$B483)</f>
        <v>-36.64</v>
      </c>
      <c r="K483" s="12">
        <f>SUMIFS(RenewableJetFuel!AF:AF,RenewableJetFuel!$S:$S,Predev_Scenarios!$A483,RenewableJetFuel!$T:$T,Predev_Scenarios!$D483,RenewableJetFuel!$W:$W,Predev_Scenarios!$B483)</f>
        <v>-53.84</v>
      </c>
      <c r="L483" s="63">
        <f t="shared" si="29"/>
        <v>0</v>
      </c>
      <c r="M483" s="63">
        <f t="shared" si="30"/>
        <v>0</v>
      </c>
      <c r="N483" s="63">
        <f t="shared" si="31"/>
        <v>0</v>
      </c>
      <c r="O483" s="30">
        <f>IF(OR(LEFT($D483,5)="Solar",$D483="Wind"),INDEX(Land_Use[AVG],MATCH(LEFT($D483,5),Land_Use[Tech],0)),0)*$E483</f>
        <v>0</v>
      </c>
      <c r="P483" s="30">
        <f>IF(OR(LEFT($D483,5)="Solar",$D483="Wind"),INDEX(Land_Use[MIN],MATCH(LEFT($D483,5),Land_Use[Tech],0)),0)*$E483</f>
        <v>0</v>
      </c>
      <c r="Q483" s="30">
        <f>IF(OR(LEFT($D483,5)="Solar",$D483="Wind"),INDEX(Land_Use[MAX],MATCH(LEFT($D483,5),Land_Use[Tech],0)),0)*$E483</f>
        <v>0</v>
      </c>
      <c r="R483" s="31">
        <f>IFERROR(INDEX(WaterUseH2[Average Direct Water Consumption (Gal/ kg h2)],MATCH(LEFT(D483,3),WaterUseH2[Key],0)),0)</f>
        <v>0</v>
      </c>
      <c r="S483" s="15">
        <f t="shared" si="32"/>
        <v>0</v>
      </c>
    </row>
    <row r="484" spans="1:19" x14ac:dyDescent="0.35">
      <c r="A484" t="s">
        <v>76</v>
      </c>
      <c r="B484">
        <v>2044</v>
      </c>
      <c r="C484" t="s">
        <v>92</v>
      </c>
      <c r="D484" t="s">
        <v>96</v>
      </c>
      <c r="E484" s="9">
        <f>SUMIFS(RenewableJetFuel!$Z:$Z,RenewableJetFuel!S:S,Predev_Scenarios!A484,RenewableJetFuel!W:W,Predev_Scenarios!B484,RenewableJetFuel!T:T,Predev_Scenarios!D484)</f>
        <v>0</v>
      </c>
      <c r="F484" t="s">
        <v>109</v>
      </c>
      <c r="G484">
        <f>SUMIFS(RenewableJetFuel!$Y:$Y,RenewableJetFuel!S:S,Predev_Scenarios!A484,RenewableJetFuel!W:W,Predev_Scenarios!B484,RenewableJetFuel!T:T,Predev_Scenarios!D484)</f>
        <v>0</v>
      </c>
      <c r="H484" s="13" t="str">
        <f>IF(C484="Electricity",E484*SUMIFS(Electricity!S:S,Electricity!P:P,Predev_Scenarios!B484,Electricity!M:M,Predev_Scenarios!A484,Electricity!O:O,Predev_Scenarios!D484),"")</f>
        <v/>
      </c>
      <c r="I484" s="12">
        <f>SUMIFS(RenewableJetFuel!AD:AD,RenewableJetFuel!$S:$S,Predev_Scenarios!$A484,RenewableJetFuel!$T:$T,Predev_Scenarios!$D484,RenewableJetFuel!$W:$W,Predev_Scenarios!$B484)</f>
        <v>-36.64</v>
      </c>
      <c r="J484" s="12">
        <f>SUMIFS(RenewableJetFuel!AE:AE,RenewableJetFuel!$S:$S,Predev_Scenarios!$A484,RenewableJetFuel!$T:$T,Predev_Scenarios!$D484,RenewableJetFuel!$W:$W,Predev_Scenarios!$B484)</f>
        <v>-36.64</v>
      </c>
      <c r="K484" s="12">
        <f>SUMIFS(RenewableJetFuel!AF:AF,RenewableJetFuel!$S:$S,Predev_Scenarios!$A484,RenewableJetFuel!$T:$T,Predev_Scenarios!$D484,RenewableJetFuel!$W:$W,Predev_Scenarios!$B484)</f>
        <v>-53.84</v>
      </c>
      <c r="L484" s="63">
        <f t="shared" si="29"/>
        <v>0</v>
      </c>
      <c r="M484" s="63">
        <f t="shared" si="30"/>
        <v>0</v>
      </c>
      <c r="N484" s="63">
        <f t="shared" si="31"/>
        <v>0</v>
      </c>
      <c r="O484" s="30">
        <f>IF(OR(LEFT($D484,5)="Solar",$D484="Wind"),INDEX(Land_Use[AVG],MATCH(LEFT($D484,5),Land_Use[Tech],0)),0)*$E484</f>
        <v>0</v>
      </c>
      <c r="P484" s="30">
        <f>IF(OR(LEFT($D484,5)="Solar",$D484="Wind"),INDEX(Land_Use[MIN],MATCH(LEFT($D484,5),Land_Use[Tech],0)),0)*$E484</f>
        <v>0</v>
      </c>
      <c r="Q484" s="30">
        <f>IF(OR(LEFT($D484,5)="Solar",$D484="Wind"),INDEX(Land_Use[MAX],MATCH(LEFT($D484,5),Land_Use[Tech],0)),0)*$E484</f>
        <v>0</v>
      </c>
      <c r="R484" s="31">
        <f>IFERROR(INDEX(WaterUseH2[Average Direct Water Consumption (Gal/ kg h2)],MATCH(LEFT(D484,3),WaterUseH2[Key],0)),0)</f>
        <v>0</v>
      </c>
      <c r="S484" s="15">
        <f t="shared" si="32"/>
        <v>0</v>
      </c>
    </row>
    <row r="485" spans="1:19" x14ac:dyDescent="0.35">
      <c r="A485" t="s">
        <v>76</v>
      </c>
      <c r="B485">
        <v>2045</v>
      </c>
      <c r="C485" t="s">
        <v>92</v>
      </c>
      <c r="D485" t="s">
        <v>96</v>
      </c>
      <c r="E485" s="9">
        <f>SUMIFS(RenewableJetFuel!$Z:$Z,RenewableJetFuel!S:S,Predev_Scenarios!A485,RenewableJetFuel!W:W,Predev_Scenarios!B485,RenewableJetFuel!T:T,Predev_Scenarios!D485)</f>
        <v>0</v>
      </c>
      <c r="F485" t="s">
        <v>109</v>
      </c>
      <c r="G485">
        <f>SUMIFS(RenewableJetFuel!$Y:$Y,RenewableJetFuel!S:S,Predev_Scenarios!A485,RenewableJetFuel!W:W,Predev_Scenarios!B485,RenewableJetFuel!T:T,Predev_Scenarios!D485)</f>
        <v>0</v>
      </c>
      <c r="H485" s="13" t="str">
        <f>IF(C485="Electricity",E485*SUMIFS(Electricity!S:S,Electricity!P:P,Predev_Scenarios!B485,Electricity!M:M,Predev_Scenarios!A485,Electricity!O:O,Predev_Scenarios!D485),"")</f>
        <v/>
      </c>
      <c r="I485" s="12">
        <f>SUMIFS(RenewableJetFuel!AD:AD,RenewableJetFuel!$S:$S,Predev_Scenarios!$A485,RenewableJetFuel!$T:$T,Predev_Scenarios!$D485,RenewableJetFuel!$W:$W,Predev_Scenarios!$B485)</f>
        <v>-36.64</v>
      </c>
      <c r="J485" s="12">
        <f>SUMIFS(RenewableJetFuel!AE:AE,RenewableJetFuel!$S:$S,Predev_Scenarios!$A485,RenewableJetFuel!$T:$T,Predev_Scenarios!$D485,RenewableJetFuel!$W:$W,Predev_Scenarios!$B485)</f>
        <v>-36.64</v>
      </c>
      <c r="K485" s="12">
        <f>SUMIFS(RenewableJetFuel!AF:AF,RenewableJetFuel!$S:$S,Predev_Scenarios!$A485,RenewableJetFuel!$T:$T,Predev_Scenarios!$D485,RenewableJetFuel!$W:$W,Predev_Scenarios!$B485)</f>
        <v>-53.84</v>
      </c>
      <c r="L485" s="63">
        <f t="shared" si="29"/>
        <v>0</v>
      </c>
      <c r="M485" s="63">
        <f t="shared" si="30"/>
        <v>0</v>
      </c>
      <c r="N485" s="63">
        <f t="shared" si="31"/>
        <v>0</v>
      </c>
      <c r="O485" s="30">
        <f>IF(OR(LEFT($D485,5)="Solar",$D485="Wind"),INDEX(Land_Use[AVG],MATCH(LEFT($D485,5),Land_Use[Tech],0)),0)*$E485</f>
        <v>0</v>
      </c>
      <c r="P485" s="30">
        <f>IF(OR(LEFT($D485,5)="Solar",$D485="Wind"),INDEX(Land_Use[MIN],MATCH(LEFT($D485,5),Land_Use[Tech],0)),0)*$E485</f>
        <v>0</v>
      </c>
      <c r="Q485" s="30">
        <f>IF(OR(LEFT($D485,5)="Solar",$D485="Wind"),INDEX(Land_Use[MAX],MATCH(LEFT($D485,5),Land_Use[Tech],0)),0)*$E485</f>
        <v>0</v>
      </c>
      <c r="R485" s="31">
        <f>IFERROR(INDEX(WaterUseH2[Average Direct Water Consumption (Gal/ kg h2)],MATCH(LEFT(D485,3),WaterUseH2[Key],0)),0)</f>
        <v>0</v>
      </c>
      <c r="S485" s="15">
        <f t="shared" si="32"/>
        <v>0</v>
      </c>
    </row>
    <row r="486" spans="1:19" x14ac:dyDescent="0.35">
      <c r="A486" t="s">
        <v>107</v>
      </c>
      <c r="B486">
        <v>2025</v>
      </c>
      <c r="C486" t="s">
        <v>92</v>
      </c>
      <c r="D486" t="s">
        <v>96</v>
      </c>
      <c r="E486" s="9">
        <f>SUMIFS(RenewableJetFuel!$Z:$Z,RenewableJetFuel!S:S,Predev_Scenarios!A486,RenewableJetFuel!W:W,Predev_Scenarios!B486,RenewableJetFuel!T:T,Predev_Scenarios!D486)</f>
        <v>0</v>
      </c>
      <c r="F486" t="s">
        <v>109</v>
      </c>
      <c r="G486">
        <f>SUMIFS(RenewableJetFuel!$Y:$Y,RenewableJetFuel!S:S,Predev_Scenarios!A486,RenewableJetFuel!W:W,Predev_Scenarios!B486,RenewableJetFuel!T:T,Predev_Scenarios!D486)</f>
        <v>0</v>
      </c>
      <c r="H486" s="13" t="str">
        <f>IF(C486="Electricity",E486*SUMIFS(Electricity!S:S,Electricity!P:P,Predev_Scenarios!B486,Electricity!M:M,Predev_Scenarios!A486,Electricity!O:O,Predev_Scenarios!D486),"")</f>
        <v/>
      </c>
      <c r="I486" s="12">
        <f>SUMIFS(RenewableJetFuel!AD:AD,RenewableJetFuel!$S:$S,Predev_Scenarios!$A486,RenewableJetFuel!$T:$T,Predev_Scenarios!$D486,RenewableJetFuel!$W:$W,Predev_Scenarios!$B486)</f>
        <v>-36.64</v>
      </c>
      <c r="J486" s="12">
        <f>SUMIFS(RenewableJetFuel!AE:AE,RenewableJetFuel!$S:$S,Predev_Scenarios!$A486,RenewableJetFuel!$T:$T,Predev_Scenarios!$D486,RenewableJetFuel!$W:$W,Predev_Scenarios!$B486)</f>
        <v>-36.64</v>
      </c>
      <c r="K486" s="12">
        <f>SUMIFS(RenewableJetFuel!AF:AF,RenewableJetFuel!$S:$S,Predev_Scenarios!$A486,RenewableJetFuel!$T:$T,Predev_Scenarios!$D486,RenewableJetFuel!$W:$W,Predev_Scenarios!$B486)</f>
        <v>-53.84</v>
      </c>
      <c r="L486" s="63">
        <f t="shared" si="29"/>
        <v>0</v>
      </c>
      <c r="M486" s="63">
        <f t="shared" si="30"/>
        <v>0</v>
      </c>
      <c r="N486" s="63">
        <f t="shared" si="31"/>
        <v>0</v>
      </c>
      <c r="O486" s="30">
        <f>IF(OR(LEFT($D486,5)="Solar",$D486="Wind"),INDEX(Land_Use[AVG],MATCH(LEFT($D486,5),Land_Use[Tech],0)),0)*$E486</f>
        <v>0</v>
      </c>
      <c r="P486" s="30">
        <f>IF(OR(LEFT($D486,5)="Solar",$D486="Wind"),INDEX(Land_Use[MIN],MATCH(LEFT($D486,5),Land_Use[Tech],0)),0)*$E486</f>
        <v>0</v>
      </c>
      <c r="Q486" s="30">
        <f>IF(OR(LEFT($D486,5)="Solar",$D486="Wind"),INDEX(Land_Use[MAX],MATCH(LEFT($D486,5),Land_Use[Tech],0)),0)*$E486</f>
        <v>0</v>
      </c>
      <c r="R486" s="31">
        <f>IFERROR(INDEX(WaterUseH2[Average Direct Water Consumption (Gal/ kg h2)],MATCH(LEFT(D486,3),WaterUseH2[Key],0)),0)</f>
        <v>0</v>
      </c>
      <c r="S486" s="15">
        <f t="shared" si="32"/>
        <v>0</v>
      </c>
    </row>
    <row r="487" spans="1:19" x14ac:dyDescent="0.35">
      <c r="A487" t="s">
        <v>107</v>
      </c>
      <c r="B487">
        <v>2026</v>
      </c>
      <c r="C487" t="s">
        <v>92</v>
      </c>
      <c r="D487" t="s">
        <v>96</v>
      </c>
      <c r="E487" s="9">
        <f>SUMIFS(RenewableJetFuel!$Z:$Z,RenewableJetFuel!S:S,Predev_Scenarios!A487,RenewableJetFuel!W:W,Predev_Scenarios!B487,RenewableJetFuel!T:T,Predev_Scenarios!D487)</f>
        <v>0</v>
      </c>
      <c r="F487" t="s">
        <v>109</v>
      </c>
      <c r="G487">
        <f>SUMIFS(RenewableJetFuel!$Y:$Y,RenewableJetFuel!S:S,Predev_Scenarios!A487,RenewableJetFuel!W:W,Predev_Scenarios!B487,RenewableJetFuel!T:T,Predev_Scenarios!D487)</f>
        <v>0</v>
      </c>
      <c r="H487" s="13" t="str">
        <f>IF(C487="Electricity",E487*SUMIFS(Electricity!S:S,Electricity!P:P,Predev_Scenarios!B487,Electricity!M:M,Predev_Scenarios!A487,Electricity!O:O,Predev_Scenarios!D487),"")</f>
        <v/>
      </c>
      <c r="I487" s="12">
        <f>SUMIFS(RenewableJetFuel!AD:AD,RenewableJetFuel!$S:$S,Predev_Scenarios!$A487,RenewableJetFuel!$T:$T,Predev_Scenarios!$D487,RenewableJetFuel!$W:$W,Predev_Scenarios!$B487)</f>
        <v>-36.64</v>
      </c>
      <c r="J487" s="12">
        <f>SUMIFS(RenewableJetFuel!AE:AE,RenewableJetFuel!$S:$S,Predev_Scenarios!$A487,RenewableJetFuel!$T:$T,Predev_Scenarios!$D487,RenewableJetFuel!$W:$W,Predev_Scenarios!$B487)</f>
        <v>-36.64</v>
      </c>
      <c r="K487" s="12">
        <f>SUMIFS(RenewableJetFuel!AF:AF,RenewableJetFuel!$S:$S,Predev_Scenarios!$A487,RenewableJetFuel!$T:$T,Predev_Scenarios!$D487,RenewableJetFuel!$W:$W,Predev_Scenarios!$B487)</f>
        <v>-53.84</v>
      </c>
      <c r="L487" s="63">
        <f t="shared" si="29"/>
        <v>0</v>
      </c>
      <c r="M487" s="63">
        <f t="shared" si="30"/>
        <v>0</v>
      </c>
      <c r="N487" s="63">
        <f t="shared" si="31"/>
        <v>0</v>
      </c>
      <c r="O487" s="30">
        <f>IF(OR(LEFT($D487,5)="Solar",$D487="Wind"),INDEX(Land_Use[AVG],MATCH(LEFT($D487,5),Land_Use[Tech],0)),0)*$E487</f>
        <v>0</v>
      </c>
      <c r="P487" s="30">
        <f>IF(OR(LEFT($D487,5)="Solar",$D487="Wind"),INDEX(Land_Use[MIN],MATCH(LEFT($D487,5),Land_Use[Tech],0)),0)*$E487</f>
        <v>0</v>
      </c>
      <c r="Q487" s="30">
        <f>IF(OR(LEFT($D487,5)="Solar",$D487="Wind"),INDEX(Land_Use[MAX],MATCH(LEFT($D487,5),Land_Use[Tech],0)),0)*$E487</f>
        <v>0</v>
      </c>
      <c r="R487" s="31">
        <f>IFERROR(INDEX(WaterUseH2[Average Direct Water Consumption (Gal/ kg h2)],MATCH(LEFT(D487,3),WaterUseH2[Key],0)),0)</f>
        <v>0</v>
      </c>
      <c r="S487" s="15">
        <f t="shared" si="32"/>
        <v>0</v>
      </c>
    </row>
    <row r="488" spans="1:19" x14ac:dyDescent="0.35">
      <c r="A488" t="s">
        <v>107</v>
      </c>
      <c r="B488">
        <v>2027</v>
      </c>
      <c r="C488" t="s">
        <v>92</v>
      </c>
      <c r="D488" t="s">
        <v>96</v>
      </c>
      <c r="E488" s="9">
        <f>SUMIFS(RenewableJetFuel!$Z:$Z,RenewableJetFuel!S:S,Predev_Scenarios!A488,RenewableJetFuel!W:W,Predev_Scenarios!B488,RenewableJetFuel!T:T,Predev_Scenarios!D488)</f>
        <v>0</v>
      </c>
      <c r="F488" t="s">
        <v>109</v>
      </c>
      <c r="G488">
        <f>SUMIFS(RenewableJetFuel!$Y:$Y,RenewableJetFuel!S:S,Predev_Scenarios!A488,RenewableJetFuel!W:W,Predev_Scenarios!B488,RenewableJetFuel!T:T,Predev_Scenarios!D488)</f>
        <v>0</v>
      </c>
      <c r="H488" s="13" t="str">
        <f>IF(C488="Electricity",E488*SUMIFS(Electricity!S:S,Electricity!P:P,Predev_Scenarios!B488,Electricity!M:M,Predev_Scenarios!A488,Electricity!O:O,Predev_Scenarios!D488),"")</f>
        <v/>
      </c>
      <c r="I488" s="12">
        <f>SUMIFS(RenewableJetFuel!AD:AD,RenewableJetFuel!$S:$S,Predev_Scenarios!$A488,RenewableJetFuel!$T:$T,Predev_Scenarios!$D488,RenewableJetFuel!$W:$W,Predev_Scenarios!$B488)</f>
        <v>-36.64</v>
      </c>
      <c r="J488" s="12">
        <f>SUMIFS(RenewableJetFuel!AE:AE,RenewableJetFuel!$S:$S,Predev_Scenarios!$A488,RenewableJetFuel!$T:$T,Predev_Scenarios!$D488,RenewableJetFuel!$W:$W,Predev_Scenarios!$B488)</f>
        <v>-36.64</v>
      </c>
      <c r="K488" s="12">
        <f>SUMIFS(RenewableJetFuel!AF:AF,RenewableJetFuel!$S:$S,Predev_Scenarios!$A488,RenewableJetFuel!$T:$T,Predev_Scenarios!$D488,RenewableJetFuel!$W:$W,Predev_Scenarios!$B488)</f>
        <v>-53.84</v>
      </c>
      <c r="L488" s="63">
        <f t="shared" si="29"/>
        <v>0</v>
      </c>
      <c r="M488" s="63">
        <f t="shared" si="30"/>
        <v>0</v>
      </c>
      <c r="N488" s="63">
        <f t="shared" si="31"/>
        <v>0</v>
      </c>
      <c r="O488" s="30">
        <f>IF(OR(LEFT($D488,5)="Solar",$D488="Wind"),INDEX(Land_Use[AVG],MATCH(LEFT($D488,5),Land_Use[Tech],0)),0)*$E488</f>
        <v>0</v>
      </c>
      <c r="P488" s="30">
        <f>IF(OR(LEFT($D488,5)="Solar",$D488="Wind"),INDEX(Land_Use[MIN],MATCH(LEFT($D488,5),Land_Use[Tech],0)),0)*$E488</f>
        <v>0</v>
      </c>
      <c r="Q488" s="30">
        <f>IF(OR(LEFT($D488,5)="Solar",$D488="Wind"),INDEX(Land_Use[MAX],MATCH(LEFT($D488,5),Land_Use[Tech],0)),0)*$E488</f>
        <v>0</v>
      </c>
      <c r="R488" s="31">
        <f>IFERROR(INDEX(WaterUseH2[Average Direct Water Consumption (Gal/ kg h2)],MATCH(LEFT(D488,3),WaterUseH2[Key],0)),0)</f>
        <v>0</v>
      </c>
      <c r="S488" s="15">
        <f t="shared" si="32"/>
        <v>0</v>
      </c>
    </row>
    <row r="489" spans="1:19" x14ac:dyDescent="0.35">
      <c r="A489" t="s">
        <v>107</v>
      </c>
      <c r="B489">
        <v>2028</v>
      </c>
      <c r="C489" t="s">
        <v>92</v>
      </c>
      <c r="D489" t="s">
        <v>96</v>
      </c>
      <c r="E489" s="9">
        <f>SUMIFS(RenewableJetFuel!$Z:$Z,RenewableJetFuel!S:S,Predev_Scenarios!A489,RenewableJetFuel!W:W,Predev_Scenarios!B489,RenewableJetFuel!T:T,Predev_Scenarios!D489)</f>
        <v>9.3571328494800454</v>
      </c>
      <c r="F489" t="s">
        <v>109</v>
      </c>
      <c r="G489">
        <f>SUMIFS(RenewableJetFuel!$Y:$Y,RenewableJetFuel!S:S,Predev_Scenarios!A489,RenewableJetFuel!W:W,Predev_Scenarios!B489,RenewableJetFuel!T:T,Predev_Scenarios!D489)</f>
        <v>1.3327601965295976E-3</v>
      </c>
      <c r="H489" s="13" t="str">
        <f>IF(C489="Electricity",E489*SUMIFS(Electricity!S:S,Electricity!P:P,Predev_Scenarios!B489,Electricity!M:M,Predev_Scenarios!A489,Electricity!O:O,Predev_Scenarios!D489),"")</f>
        <v/>
      </c>
      <c r="I489" s="12">
        <f>SUMIFS(RenewableJetFuel!AD:AD,RenewableJetFuel!$S:$S,Predev_Scenarios!$A489,RenewableJetFuel!$T:$T,Predev_Scenarios!$D489,RenewableJetFuel!$W:$W,Predev_Scenarios!$B489)</f>
        <v>-36.64</v>
      </c>
      <c r="J489" s="12">
        <f>SUMIFS(RenewableJetFuel!AE:AE,RenewableJetFuel!$S:$S,Predev_Scenarios!$A489,RenewableJetFuel!$T:$T,Predev_Scenarios!$D489,RenewableJetFuel!$W:$W,Predev_Scenarios!$B489)</f>
        <v>-36.64</v>
      </c>
      <c r="K489" s="12">
        <f>SUMIFS(RenewableJetFuel!AF:AF,RenewableJetFuel!$S:$S,Predev_Scenarios!$A489,RenewableJetFuel!$T:$T,Predev_Scenarios!$D489,RenewableJetFuel!$W:$W,Predev_Scenarios!$B489)</f>
        <v>-53.84</v>
      </c>
      <c r="L489" s="63">
        <f t="shared" si="29"/>
        <v>4.8832333600844456E-2</v>
      </c>
      <c r="M489" s="63">
        <f t="shared" si="30"/>
        <v>4.8832333600844456E-2</v>
      </c>
      <c r="N489" s="63">
        <f t="shared" si="31"/>
        <v>7.1755808981153538E-2</v>
      </c>
      <c r="O489" s="30">
        <f>IF(OR(LEFT($D489,5)="Solar",$D489="Wind"),INDEX(Land_Use[AVG],MATCH(LEFT($D489,5),Land_Use[Tech],0)),0)*$E489</f>
        <v>0</v>
      </c>
      <c r="P489" s="30">
        <f>IF(OR(LEFT($D489,5)="Solar",$D489="Wind"),INDEX(Land_Use[MIN],MATCH(LEFT($D489,5),Land_Use[Tech],0)),0)*$E489</f>
        <v>0</v>
      </c>
      <c r="Q489" s="30">
        <f>IF(OR(LEFT($D489,5)="Solar",$D489="Wind"),INDEX(Land_Use[MAX],MATCH(LEFT($D489,5),Land_Use[Tech],0)),0)*$E489</f>
        <v>0</v>
      </c>
      <c r="R489" s="31">
        <f>IFERROR(INDEX(WaterUseH2[Average Direct Water Consumption (Gal/ kg h2)],MATCH(LEFT(D489,3),WaterUseH2[Key],0)),0)</f>
        <v>0</v>
      </c>
      <c r="S489" s="15">
        <f t="shared" si="32"/>
        <v>0</v>
      </c>
    </row>
    <row r="490" spans="1:19" x14ac:dyDescent="0.35">
      <c r="A490" t="s">
        <v>107</v>
      </c>
      <c r="B490">
        <v>2029</v>
      </c>
      <c r="C490" t="s">
        <v>92</v>
      </c>
      <c r="D490" t="s">
        <v>96</v>
      </c>
      <c r="E490" s="9">
        <f>SUMIFS(RenewableJetFuel!$Z:$Z,RenewableJetFuel!S:S,Predev_Scenarios!A490,RenewableJetFuel!W:W,Predev_Scenarios!B490,RenewableJetFuel!T:T,Predev_Scenarios!D490)</f>
        <v>13.639397177062403</v>
      </c>
      <c r="F490" t="s">
        <v>109</v>
      </c>
      <c r="G490">
        <f>SUMIFS(RenewableJetFuel!$Y:$Y,RenewableJetFuel!S:S,Predev_Scenarios!A490,RenewableJetFuel!W:W,Predev_Scenarios!B490,RenewableJetFuel!T:T,Predev_Scenarios!D490)</f>
        <v>1.9426939805879788E-3</v>
      </c>
      <c r="H490" s="13" t="str">
        <f>IF(C490="Electricity",E490*SUMIFS(Electricity!S:S,Electricity!P:P,Predev_Scenarios!B490,Electricity!M:M,Predev_Scenarios!A490,Electricity!O:O,Predev_Scenarios!D490),"")</f>
        <v/>
      </c>
      <c r="I490" s="12">
        <f>SUMIFS(RenewableJetFuel!AD:AD,RenewableJetFuel!$S:$S,Predev_Scenarios!$A490,RenewableJetFuel!$T:$T,Predev_Scenarios!$D490,RenewableJetFuel!$W:$W,Predev_Scenarios!$B490)</f>
        <v>-36.64</v>
      </c>
      <c r="J490" s="12">
        <f>SUMIFS(RenewableJetFuel!AE:AE,RenewableJetFuel!$S:$S,Predev_Scenarios!$A490,RenewableJetFuel!$T:$T,Predev_Scenarios!$D490,RenewableJetFuel!$W:$W,Predev_Scenarios!$B490)</f>
        <v>-36.64</v>
      </c>
      <c r="K490" s="12">
        <f>SUMIFS(RenewableJetFuel!AF:AF,RenewableJetFuel!$S:$S,Predev_Scenarios!$A490,RenewableJetFuel!$T:$T,Predev_Scenarios!$D490,RenewableJetFuel!$W:$W,Predev_Scenarios!$B490)</f>
        <v>-53.84</v>
      </c>
      <c r="L490" s="63">
        <f t="shared" si="29"/>
        <v>7.1180307448743541E-2</v>
      </c>
      <c r="M490" s="63">
        <f t="shared" si="30"/>
        <v>7.1180307448743541E-2</v>
      </c>
      <c r="N490" s="63">
        <f t="shared" si="31"/>
        <v>0.10459464391485679</v>
      </c>
      <c r="O490" s="30">
        <f>IF(OR(LEFT($D490,5)="Solar",$D490="Wind"),INDEX(Land_Use[AVG],MATCH(LEFT($D490,5),Land_Use[Tech],0)),0)*$E490</f>
        <v>0</v>
      </c>
      <c r="P490" s="30">
        <f>IF(OR(LEFT($D490,5)="Solar",$D490="Wind"),INDEX(Land_Use[MIN],MATCH(LEFT($D490,5),Land_Use[Tech],0)),0)*$E490</f>
        <v>0</v>
      </c>
      <c r="Q490" s="30">
        <f>IF(OR(LEFT($D490,5)="Solar",$D490="Wind"),INDEX(Land_Use[MAX],MATCH(LEFT($D490,5),Land_Use[Tech],0)),0)*$E490</f>
        <v>0</v>
      </c>
      <c r="R490" s="31">
        <f>IFERROR(INDEX(WaterUseH2[Average Direct Water Consumption (Gal/ kg h2)],MATCH(LEFT(D490,3),WaterUseH2[Key],0)),0)</f>
        <v>0</v>
      </c>
      <c r="S490" s="15">
        <f t="shared" si="32"/>
        <v>0</v>
      </c>
    </row>
    <row r="491" spans="1:19" x14ac:dyDescent="0.35">
      <c r="A491" t="s">
        <v>107</v>
      </c>
      <c r="B491">
        <v>2030</v>
      </c>
      <c r="C491" t="s">
        <v>92</v>
      </c>
      <c r="D491" t="s">
        <v>96</v>
      </c>
      <c r="E491" s="9">
        <f>SUMIFS(RenewableJetFuel!$Z:$Z,RenewableJetFuel!S:S,Predev_Scenarios!A491,RenewableJetFuel!W:W,Predev_Scenarios!B491,RenewableJetFuel!T:T,Predev_Scenarios!D491)</f>
        <v>19.160105558257118</v>
      </c>
      <c r="F491" t="s">
        <v>109</v>
      </c>
      <c r="G491">
        <f>SUMIFS(RenewableJetFuel!$Y:$Y,RenewableJetFuel!S:S,Predev_Scenarios!A491,RenewableJetFuel!W:W,Predev_Scenarios!B491,RenewableJetFuel!T:T,Predev_Scenarios!D491)</f>
        <v>2.7290224965406534E-3</v>
      </c>
      <c r="H491" s="13" t="str">
        <f>IF(C491="Electricity",E491*SUMIFS(Electricity!S:S,Electricity!P:P,Predev_Scenarios!B491,Electricity!M:M,Predev_Scenarios!A491,Electricity!O:O,Predev_Scenarios!D491),"")</f>
        <v/>
      </c>
      <c r="I491" s="12">
        <f>SUMIFS(RenewableJetFuel!AD:AD,RenewableJetFuel!$S:$S,Predev_Scenarios!$A491,RenewableJetFuel!$T:$T,Predev_Scenarios!$D491,RenewableJetFuel!$W:$W,Predev_Scenarios!$B491)</f>
        <v>-36.64</v>
      </c>
      <c r="J491" s="12">
        <f>SUMIFS(RenewableJetFuel!AE:AE,RenewableJetFuel!$S:$S,Predev_Scenarios!$A491,RenewableJetFuel!$T:$T,Predev_Scenarios!$D491,RenewableJetFuel!$W:$W,Predev_Scenarios!$B491)</f>
        <v>-36.64</v>
      </c>
      <c r="K491" s="12">
        <f>SUMIFS(RenewableJetFuel!AF:AF,RenewableJetFuel!$S:$S,Predev_Scenarios!$A491,RenewableJetFuel!$T:$T,Predev_Scenarios!$D491,RenewableJetFuel!$W:$W,Predev_Scenarios!$B491)</f>
        <v>-53.84</v>
      </c>
      <c r="L491" s="63">
        <f t="shared" si="29"/>
        <v>9.9991384273249537E-2</v>
      </c>
      <c r="M491" s="63">
        <f t="shared" si="30"/>
        <v>9.9991384273249537E-2</v>
      </c>
      <c r="N491" s="63">
        <f t="shared" si="31"/>
        <v>0.14693057121374878</v>
      </c>
      <c r="O491" s="30">
        <f>IF(OR(LEFT($D491,5)="Solar",$D491="Wind"),INDEX(Land_Use[AVG],MATCH(LEFT($D491,5),Land_Use[Tech],0)),0)*$E491</f>
        <v>0</v>
      </c>
      <c r="P491" s="30">
        <f>IF(OR(LEFT($D491,5)="Solar",$D491="Wind"),INDEX(Land_Use[MIN],MATCH(LEFT($D491,5),Land_Use[Tech],0)),0)*$E491</f>
        <v>0</v>
      </c>
      <c r="Q491" s="30">
        <f>IF(OR(LEFT($D491,5)="Solar",$D491="Wind"),INDEX(Land_Use[MAX],MATCH(LEFT($D491,5),Land_Use[Tech],0)),0)*$E491</f>
        <v>0</v>
      </c>
      <c r="R491" s="31">
        <f>IFERROR(INDEX(WaterUseH2[Average Direct Water Consumption (Gal/ kg h2)],MATCH(LEFT(D491,3),WaterUseH2[Key],0)),0)</f>
        <v>0</v>
      </c>
      <c r="S491" s="15">
        <f t="shared" si="32"/>
        <v>0</v>
      </c>
    </row>
    <row r="492" spans="1:19" x14ac:dyDescent="0.35">
      <c r="A492" t="s">
        <v>107</v>
      </c>
      <c r="B492">
        <v>2031</v>
      </c>
      <c r="C492" t="s">
        <v>92</v>
      </c>
      <c r="D492" t="s">
        <v>96</v>
      </c>
      <c r="E492" s="9">
        <f>SUMIFS(RenewableJetFuel!$Z:$Z,RenewableJetFuel!S:S,Predev_Scenarios!A492,RenewableJetFuel!W:W,Predev_Scenarios!B492,RenewableJetFuel!T:T,Predev_Scenarios!D492)</f>
        <v>23.860745979806609</v>
      </c>
      <c r="F492" t="s">
        <v>109</v>
      </c>
      <c r="G492">
        <f>SUMIFS(RenewableJetFuel!$Y:$Y,RenewableJetFuel!S:S,Predev_Scenarios!A492,RenewableJetFuel!W:W,Predev_Scenarios!B492,RenewableJetFuel!T:T,Predev_Scenarios!D492)</f>
        <v>3.3985466502334579E-3</v>
      </c>
      <c r="H492" s="13" t="str">
        <f>IF(C492="Electricity",E492*SUMIFS(Electricity!S:S,Electricity!P:P,Predev_Scenarios!B492,Electricity!M:M,Predev_Scenarios!A492,Electricity!O:O,Predev_Scenarios!D492),"")</f>
        <v/>
      </c>
      <c r="I492" s="12">
        <f>SUMIFS(RenewableJetFuel!AD:AD,RenewableJetFuel!$S:$S,Predev_Scenarios!$A492,RenewableJetFuel!$T:$T,Predev_Scenarios!$D492,RenewableJetFuel!$W:$W,Predev_Scenarios!$B492)</f>
        <v>-36.64</v>
      </c>
      <c r="J492" s="12">
        <f>SUMIFS(RenewableJetFuel!AE:AE,RenewableJetFuel!$S:$S,Predev_Scenarios!$A492,RenewableJetFuel!$T:$T,Predev_Scenarios!$D492,RenewableJetFuel!$W:$W,Predev_Scenarios!$B492)</f>
        <v>-36.64</v>
      </c>
      <c r="K492" s="12">
        <f>SUMIFS(RenewableJetFuel!AF:AF,RenewableJetFuel!$S:$S,Predev_Scenarios!$A492,RenewableJetFuel!$T:$T,Predev_Scenarios!$D492,RenewableJetFuel!$W:$W,Predev_Scenarios!$B492)</f>
        <v>-53.84</v>
      </c>
      <c r="L492" s="63">
        <f t="shared" si="29"/>
        <v>0.12452274926455389</v>
      </c>
      <c r="M492" s="63">
        <f t="shared" si="30"/>
        <v>0.12452274926455389</v>
      </c>
      <c r="N492" s="63">
        <f t="shared" si="31"/>
        <v>0.18297775164856939</v>
      </c>
      <c r="O492" s="30">
        <f>IF(OR(LEFT($D492,5)="Solar",$D492="Wind"),INDEX(Land_Use[AVG],MATCH(LEFT($D492,5),Land_Use[Tech],0)),0)*$E492</f>
        <v>0</v>
      </c>
      <c r="P492" s="30">
        <f>IF(OR(LEFT($D492,5)="Solar",$D492="Wind"),INDEX(Land_Use[MIN],MATCH(LEFT($D492,5),Land_Use[Tech],0)),0)*$E492</f>
        <v>0</v>
      </c>
      <c r="Q492" s="30">
        <f>IF(OR(LEFT($D492,5)="Solar",$D492="Wind"),INDEX(Land_Use[MAX],MATCH(LEFT($D492,5),Land_Use[Tech],0)),0)*$E492</f>
        <v>0</v>
      </c>
      <c r="R492" s="31">
        <f>IFERROR(INDEX(WaterUseH2[Average Direct Water Consumption (Gal/ kg h2)],MATCH(LEFT(D492,3),WaterUseH2[Key],0)),0)</f>
        <v>0</v>
      </c>
      <c r="S492" s="15">
        <f t="shared" si="32"/>
        <v>0</v>
      </c>
    </row>
    <row r="493" spans="1:19" x14ac:dyDescent="0.35">
      <c r="A493" t="s">
        <v>107</v>
      </c>
      <c r="B493">
        <v>2032</v>
      </c>
      <c r="C493" t="s">
        <v>92</v>
      </c>
      <c r="D493" t="s">
        <v>96</v>
      </c>
      <c r="E493" s="9">
        <f>SUMIFS(RenewableJetFuel!$Z:$Z,RenewableJetFuel!S:S,Predev_Scenarios!A493,RenewableJetFuel!W:W,Predev_Scenarios!B493,RenewableJetFuel!T:T,Predev_Scenarios!D493)</f>
        <v>29.632829532993725</v>
      </c>
      <c r="F493" t="s">
        <v>109</v>
      </c>
      <c r="G493">
        <f>SUMIFS(RenewableJetFuel!$Y:$Y,RenewableJetFuel!S:S,Predev_Scenarios!A493,RenewableJetFuel!W:W,Predev_Scenarios!B493,RenewableJetFuel!T:T,Predev_Scenarios!D493)</f>
        <v>4.2206791703631036E-3</v>
      </c>
      <c r="H493" s="13" t="str">
        <f>IF(C493="Electricity",E493*SUMIFS(Electricity!S:S,Electricity!P:P,Predev_Scenarios!B493,Electricity!M:M,Predev_Scenarios!A493,Electricity!O:O,Predev_Scenarios!D493),"")</f>
        <v/>
      </c>
      <c r="I493" s="12">
        <f>SUMIFS(RenewableJetFuel!AD:AD,RenewableJetFuel!$S:$S,Predev_Scenarios!$A493,RenewableJetFuel!$T:$T,Predev_Scenarios!$D493,RenewableJetFuel!$W:$W,Predev_Scenarios!$B493)</f>
        <v>-36.64</v>
      </c>
      <c r="J493" s="12">
        <f>SUMIFS(RenewableJetFuel!AE:AE,RenewableJetFuel!$S:$S,Predev_Scenarios!$A493,RenewableJetFuel!$T:$T,Predev_Scenarios!$D493,RenewableJetFuel!$W:$W,Predev_Scenarios!$B493)</f>
        <v>-36.64</v>
      </c>
      <c r="K493" s="12">
        <f>SUMIFS(RenewableJetFuel!AF:AF,RenewableJetFuel!$S:$S,Predev_Scenarios!$A493,RenewableJetFuel!$T:$T,Predev_Scenarios!$D493,RenewableJetFuel!$W:$W,Predev_Scenarios!$B493)</f>
        <v>-53.84</v>
      </c>
      <c r="L493" s="63">
        <f t="shared" si="29"/>
        <v>0.15464568480210411</v>
      </c>
      <c r="M493" s="63">
        <f t="shared" si="30"/>
        <v>0.15464568480210411</v>
      </c>
      <c r="N493" s="63">
        <f t="shared" si="31"/>
        <v>0.2272413665323495</v>
      </c>
      <c r="O493" s="30">
        <f>IF(OR(LEFT($D493,5)="Solar",$D493="Wind"),INDEX(Land_Use[AVG],MATCH(LEFT($D493,5),Land_Use[Tech],0)),0)*$E493</f>
        <v>0</v>
      </c>
      <c r="P493" s="30">
        <f>IF(OR(LEFT($D493,5)="Solar",$D493="Wind"),INDEX(Land_Use[MIN],MATCH(LEFT($D493,5),Land_Use[Tech],0)),0)*$E493</f>
        <v>0</v>
      </c>
      <c r="Q493" s="30">
        <f>IF(OR(LEFT($D493,5)="Solar",$D493="Wind"),INDEX(Land_Use[MAX],MATCH(LEFT($D493,5),Land_Use[Tech],0)),0)*$E493</f>
        <v>0</v>
      </c>
      <c r="R493" s="31">
        <f>IFERROR(INDEX(WaterUseH2[Average Direct Water Consumption (Gal/ kg h2)],MATCH(LEFT(D493,3),WaterUseH2[Key],0)),0)</f>
        <v>0</v>
      </c>
      <c r="S493" s="15">
        <f t="shared" si="32"/>
        <v>0</v>
      </c>
    </row>
    <row r="494" spans="1:19" x14ac:dyDescent="0.35">
      <c r="A494" t="s">
        <v>107</v>
      </c>
      <c r="B494">
        <v>2033</v>
      </c>
      <c r="C494" t="s">
        <v>92</v>
      </c>
      <c r="D494" t="s">
        <v>96</v>
      </c>
      <c r="E494" s="9">
        <f>SUMIFS(RenewableJetFuel!$Z:$Z,RenewableJetFuel!S:S,Predev_Scenarios!A494,RenewableJetFuel!W:W,Predev_Scenarios!B494,RenewableJetFuel!T:T,Predev_Scenarios!D494)</f>
        <v>36.709774995611369</v>
      </c>
      <c r="F494" t="s">
        <v>109</v>
      </c>
      <c r="G494">
        <f>SUMIFS(RenewableJetFuel!$Y:$Y,RenewableJetFuel!S:S,Predev_Scenarios!A494,RenewableJetFuel!W:W,Predev_Scenarios!B494,RenewableJetFuel!T:T,Predev_Scenarios!D494)</f>
        <v>5.2286664862759734E-3</v>
      </c>
      <c r="H494" s="13" t="str">
        <f>IF(C494="Electricity",E494*SUMIFS(Electricity!S:S,Electricity!P:P,Predev_Scenarios!B494,Electricity!M:M,Predev_Scenarios!A494,Electricity!O:O,Predev_Scenarios!D494),"")</f>
        <v/>
      </c>
      <c r="I494" s="12">
        <f>SUMIFS(RenewableJetFuel!AD:AD,RenewableJetFuel!$S:$S,Predev_Scenarios!$A494,RenewableJetFuel!$T:$T,Predev_Scenarios!$D494,RenewableJetFuel!$W:$W,Predev_Scenarios!$B494)</f>
        <v>-36.64</v>
      </c>
      <c r="J494" s="12">
        <f>SUMIFS(RenewableJetFuel!AE:AE,RenewableJetFuel!$S:$S,Predev_Scenarios!$A494,RenewableJetFuel!$T:$T,Predev_Scenarios!$D494,RenewableJetFuel!$W:$W,Predev_Scenarios!$B494)</f>
        <v>-36.64</v>
      </c>
      <c r="K494" s="12">
        <f>SUMIFS(RenewableJetFuel!AF:AF,RenewableJetFuel!$S:$S,Predev_Scenarios!$A494,RenewableJetFuel!$T:$T,Predev_Scenarios!$D494,RenewableJetFuel!$W:$W,Predev_Scenarios!$B494)</f>
        <v>-53.84</v>
      </c>
      <c r="L494" s="63">
        <f t="shared" si="29"/>
        <v>0.19157834005715166</v>
      </c>
      <c r="M494" s="63">
        <f t="shared" si="30"/>
        <v>0.19157834005715166</v>
      </c>
      <c r="N494" s="63">
        <f t="shared" si="31"/>
        <v>0.28151140362109844</v>
      </c>
      <c r="O494" s="30">
        <f>IF(OR(LEFT($D494,5)="Solar",$D494="Wind"),INDEX(Land_Use[AVG],MATCH(LEFT($D494,5),Land_Use[Tech],0)),0)*$E494</f>
        <v>0</v>
      </c>
      <c r="P494" s="30">
        <f>IF(OR(LEFT($D494,5)="Solar",$D494="Wind"),INDEX(Land_Use[MIN],MATCH(LEFT($D494,5),Land_Use[Tech],0)),0)*$E494</f>
        <v>0</v>
      </c>
      <c r="Q494" s="30">
        <f>IF(OR(LEFT($D494,5)="Solar",$D494="Wind"),INDEX(Land_Use[MAX],MATCH(LEFT($D494,5),Land_Use[Tech],0)),0)*$E494</f>
        <v>0</v>
      </c>
      <c r="R494" s="31">
        <f>IFERROR(INDEX(WaterUseH2[Average Direct Water Consumption (Gal/ kg h2)],MATCH(LEFT(D494,3),WaterUseH2[Key],0)),0)</f>
        <v>0</v>
      </c>
      <c r="S494" s="15">
        <f t="shared" si="32"/>
        <v>0</v>
      </c>
    </row>
    <row r="495" spans="1:19" x14ac:dyDescent="0.35">
      <c r="A495" t="s">
        <v>107</v>
      </c>
      <c r="B495">
        <v>2034</v>
      </c>
      <c r="C495" t="s">
        <v>92</v>
      </c>
      <c r="D495" t="s">
        <v>96</v>
      </c>
      <c r="E495" s="9">
        <f>SUMIFS(RenewableJetFuel!$Z:$Z,RenewableJetFuel!S:S,Predev_Scenarios!A495,RenewableJetFuel!W:W,Predev_Scenarios!B495,RenewableJetFuel!T:T,Predev_Scenarios!D495)</f>
        <v>45.374317147902367</v>
      </c>
      <c r="F495" t="s">
        <v>109</v>
      </c>
      <c r="G495">
        <f>SUMIFS(RenewableJetFuel!$Y:$Y,RenewableJetFuel!S:S,Predev_Scenarios!A495,RenewableJetFuel!W:W,Predev_Scenarios!B495,RenewableJetFuel!T:T,Predev_Scenarios!D495)</f>
        <v>6.4627792307977118E-3</v>
      </c>
      <c r="H495" s="13" t="str">
        <f>IF(C495="Electricity",E495*SUMIFS(Electricity!S:S,Electricity!P:P,Predev_Scenarios!B495,Electricity!M:M,Predev_Scenarios!A495,Electricity!O:O,Predev_Scenarios!D495),"")</f>
        <v/>
      </c>
      <c r="I495" s="12">
        <f>SUMIFS(RenewableJetFuel!AD:AD,RenewableJetFuel!$S:$S,Predev_Scenarios!$A495,RenewableJetFuel!$T:$T,Predev_Scenarios!$D495,RenewableJetFuel!$W:$W,Predev_Scenarios!$B495)</f>
        <v>-36.64</v>
      </c>
      <c r="J495" s="12">
        <f>SUMIFS(RenewableJetFuel!AE:AE,RenewableJetFuel!$S:$S,Predev_Scenarios!$A495,RenewableJetFuel!$T:$T,Predev_Scenarios!$D495,RenewableJetFuel!$W:$W,Predev_Scenarios!$B495)</f>
        <v>-36.64</v>
      </c>
      <c r="K495" s="12">
        <f>SUMIFS(RenewableJetFuel!AF:AF,RenewableJetFuel!$S:$S,Predev_Scenarios!$A495,RenewableJetFuel!$T:$T,Predev_Scenarios!$D495,RenewableJetFuel!$W:$W,Predev_Scenarios!$B495)</f>
        <v>-53.84</v>
      </c>
      <c r="L495" s="63">
        <f t="shared" si="29"/>
        <v>0.23679623101642816</v>
      </c>
      <c r="M495" s="63">
        <f t="shared" si="30"/>
        <v>0.23679623101642816</v>
      </c>
      <c r="N495" s="63">
        <f t="shared" si="31"/>
        <v>0.34795603378614881</v>
      </c>
      <c r="O495" s="30">
        <f>IF(OR(LEFT($D495,5)="Solar",$D495="Wind"),INDEX(Land_Use[AVG],MATCH(LEFT($D495,5),Land_Use[Tech],0)),0)*$E495</f>
        <v>0</v>
      </c>
      <c r="P495" s="30">
        <f>IF(OR(LEFT($D495,5)="Solar",$D495="Wind"),INDEX(Land_Use[MIN],MATCH(LEFT($D495,5),Land_Use[Tech],0)),0)*$E495</f>
        <v>0</v>
      </c>
      <c r="Q495" s="30">
        <f>IF(OR(LEFT($D495,5)="Solar",$D495="Wind"),INDEX(Land_Use[MAX],MATCH(LEFT($D495,5),Land_Use[Tech],0)),0)*$E495</f>
        <v>0</v>
      </c>
      <c r="R495" s="31">
        <f>IFERROR(INDEX(WaterUseH2[Average Direct Water Consumption (Gal/ kg h2)],MATCH(LEFT(D495,3),WaterUseH2[Key],0)),0)</f>
        <v>0</v>
      </c>
      <c r="S495" s="15">
        <f t="shared" si="32"/>
        <v>0</v>
      </c>
    </row>
    <row r="496" spans="1:19" x14ac:dyDescent="0.35">
      <c r="A496" t="s">
        <v>107</v>
      </c>
      <c r="B496">
        <v>2035</v>
      </c>
      <c r="C496" t="s">
        <v>92</v>
      </c>
      <c r="D496" t="s">
        <v>96</v>
      </c>
      <c r="E496" s="9">
        <f>SUMIFS(RenewableJetFuel!$Z:$Z,RenewableJetFuel!S:S,Predev_Scenarios!A496,RenewableJetFuel!W:W,Predev_Scenarios!B496,RenewableJetFuel!T:T,Predev_Scenarios!D496)</f>
        <v>55.968697765173737</v>
      </c>
      <c r="F496" t="s">
        <v>109</v>
      </c>
      <c r="G496">
        <f>SUMIFS(RenewableJetFuel!$Y:$Y,RenewableJetFuel!S:S,Predev_Scenarios!A496,RenewableJetFuel!W:W,Predev_Scenarios!B496,RenewableJetFuel!T:T,Predev_Scenarios!D496)</f>
        <v>7.9717637691938455E-3</v>
      </c>
      <c r="H496" s="13" t="str">
        <f>IF(C496="Electricity",E496*SUMIFS(Electricity!S:S,Electricity!P:P,Predev_Scenarios!B496,Electricity!M:M,Predev_Scenarios!A496,Electricity!O:O,Predev_Scenarios!D496),"")</f>
        <v/>
      </c>
      <c r="I496" s="12">
        <f>SUMIFS(RenewableJetFuel!AD:AD,RenewableJetFuel!$S:$S,Predev_Scenarios!$A496,RenewableJetFuel!$T:$T,Predev_Scenarios!$D496,RenewableJetFuel!$W:$W,Predev_Scenarios!$B496)</f>
        <v>-36.64</v>
      </c>
      <c r="J496" s="12">
        <f>SUMIFS(RenewableJetFuel!AE:AE,RenewableJetFuel!$S:$S,Predev_Scenarios!$A496,RenewableJetFuel!$T:$T,Predev_Scenarios!$D496,RenewableJetFuel!$W:$W,Predev_Scenarios!$B496)</f>
        <v>-36.64</v>
      </c>
      <c r="K496" s="12">
        <f>SUMIFS(RenewableJetFuel!AF:AF,RenewableJetFuel!$S:$S,Predev_Scenarios!$A496,RenewableJetFuel!$T:$T,Predev_Scenarios!$D496,RenewableJetFuel!$W:$W,Predev_Scenarios!$B496)</f>
        <v>-53.84</v>
      </c>
      <c r="L496" s="63">
        <f t="shared" si="29"/>
        <v>0.29208542450326253</v>
      </c>
      <c r="M496" s="63">
        <f t="shared" si="30"/>
        <v>0.29208542450326253</v>
      </c>
      <c r="N496" s="63">
        <f t="shared" si="31"/>
        <v>0.42919976133339666</v>
      </c>
      <c r="O496" s="30">
        <f>IF(OR(LEFT($D496,5)="Solar",$D496="Wind"),INDEX(Land_Use[AVG],MATCH(LEFT($D496,5),Land_Use[Tech],0)),0)*$E496</f>
        <v>0</v>
      </c>
      <c r="P496" s="30">
        <f>IF(OR(LEFT($D496,5)="Solar",$D496="Wind"),INDEX(Land_Use[MIN],MATCH(LEFT($D496,5),Land_Use[Tech],0)),0)*$E496</f>
        <v>0</v>
      </c>
      <c r="Q496" s="30">
        <f>IF(OR(LEFT($D496,5)="Solar",$D496="Wind"),INDEX(Land_Use[MAX],MATCH(LEFT($D496,5),Land_Use[Tech],0)),0)*$E496</f>
        <v>0</v>
      </c>
      <c r="R496" s="31">
        <f>IFERROR(INDEX(WaterUseH2[Average Direct Water Consumption (Gal/ kg h2)],MATCH(LEFT(D496,3),WaterUseH2[Key],0)),0)</f>
        <v>0</v>
      </c>
      <c r="S496" s="15">
        <f t="shared" si="32"/>
        <v>0</v>
      </c>
    </row>
    <row r="497" spans="1:19" x14ac:dyDescent="0.35">
      <c r="A497" t="s">
        <v>107</v>
      </c>
      <c r="B497">
        <v>2036</v>
      </c>
      <c r="C497" t="s">
        <v>92</v>
      </c>
      <c r="D497" t="s">
        <v>96</v>
      </c>
      <c r="E497" s="9">
        <f>SUMIFS(RenewableJetFuel!$Z:$Z,RenewableJetFuel!S:S,Predev_Scenarios!A497,RenewableJetFuel!W:W,Predev_Scenarios!B497,RenewableJetFuel!T:T,Predev_Scenarios!D497)</f>
        <v>68.906927529038938</v>
      </c>
      <c r="F497" t="s">
        <v>109</v>
      </c>
      <c r="G497">
        <f>SUMIFS(RenewableJetFuel!$Y:$Y,RenewableJetFuel!S:S,Predev_Scenarios!A497,RenewableJetFuel!W:W,Predev_Scenarios!B497,RenewableJetFuel!T:T,Predev_Scenarios!D497)</f>
        <v>9.8145886943302087E-3</v>
      </c>
      <c r="H497" s="13" t="str">
        <f>IF(C497="Electricity",E497*SUMIFS(Electricity!S:S,Electricity!P:P,Predev_Scenarios!B497,Electricity!M:M,Predev_Scenarios!A497,Electricity!O:O,Predev_Scenarios!D497),"")</f>
        <v/>
      </c>
      <c r="I497" s="12">
        <f>SUMIFS(RenewableJetFuel!AD:AD,RenewableJetFuel!$S:$S,Predev_Scenarios!$A497,RenewableJetFuel!$T:$T,Predev_Scenarios!$D497,RenewableJetFuel!$W:$W,Predev_Scenarios!$B497)</f>
        <v>-36.64</v>
      </c>
      <c r="J497" s="12">
        <f>SUMIFS(RenewableJetFuel!AE:AE,RenewableJetFuel!$S:$S,Predev_Scenarios!$A497,RenewableJetFuel!$T:$T,Predev_Scenarios!$D497,RenewableJetFuel!$W:$W,Predev_Scenarios!$B497)</f>
        <v>-36.64</v>
      </c>
      <c r="K497" s="12">
        <f>SUMIFS(RenewableJetFuel!AF:AF,RenewableJetFuel!$S:$S,Predev_Scenarios!$A497,RenewableJetFuel!$T:$T,Predev_Scenarios!$D497,RenewableJetFuel!$W:$W,Predev_Scenarios!$B497)</f>
        <v>-53.84</v>
      </c>
      <c r="L497" s="63">
        <f t="shared" si="29"/>
        <v>0.35960652976025886</v>
      </c>
      <c r="M497" s="63">
        <f t="shared" si="30"/>
        <v>0.35960652976025886</v>
      </c>
      <c r="N497" s="63">
        <f t="shared" si="31"/>
        <v>0.52841745530273843</v>
      </c>
      <c r="O497" s="30">
        <f>IF(OR(LEFT($D497,5)="Solar",$D497="Wind"),INDEX(Land_Use[AVG],MATCH(LEFT($D497,5),Land_Use[Tech],0)),0)*$E497</f>
        <v>0</v>
      </c>
      <c r="P497" s="30">
        <f>IF(OR(LEFT($D497,5)="Solar",$D497="Wind"),INDEX(Land_Use[MIN],MATCH(LEFT($D497,5),Land_Use[Tech],0)),0)*$E497</f>
        <v>0</v>
      </c>
      <c r="Q497" s="30">
        <f>IF(OR(LEFT($D497,5)="Solar",$D497="Wind"),INDEX(Land_Use[MAX],MATCH(LEFT($D497,5),Land_Use[Tech],0)),0)*$E497</f>
        <v>0</v>
      </c>
      <c r="R497" s="31">
        <f>IFERROR(INDEX(WaterUseH2[Average Direct Water Consumption (Gal/ kg h2)],MATCH(LEFT(D497,3),WaterUseH2[Key],0)),0)</f>
        <v>0</v>
      </c>
      <c r="S497" s="15">
        <f t="shared" si="32"/>
        <v>0</v>
      </c>
    </row>
    <row r="498" spans="1:19" x14ac:dyDescent="0.35">
      <c r="A498" t="s">
        <v>107</v>
      </c>
      <c r="B498">
        <v>2037</v>
      </c>
      <c r="C498" t="s">
        <v>92</v>
      </c>
      <c r="D498" t="s">
        <v>96</v>
      </c>
      <c r="E498" s="9">
        <f>SUMIFS(RenewableJetFuel!$Z:$Z,RenewableJetFuel!S:S,Predev_Scenarios!A498,RenewableJetFuel!W:W,Predev_Scenarios!B498,RenewableJetFuel!T:T,Predev_Scenarios!D498)</f>
        <v>84.689534200285678</v>
      </c>
      <c r="F498" t="s">
        <v>109</v>
      </c>
      <c r="G498">
        <f>SUMIFS(RenewableJetFuel!$Y:$Y,RenewableJetFuel!S:S,Predev_Scenarios!A498,RenewableJetFuel!W:W,Predev_Scenarios!B498,RenewableJetFuel!T:T,Predev_Scenarios!D498)</f>
        <v>1.2062545446391175E-2</v>
      </c>
      <c r="H498" s="13" t="str">
        <f>IF(C498="Electricity",E498*SUMIFS(Electricity!S:S,Electricity!P:P,Predev_Scenarios!B498,Electricity!M:M,Predev_Scenarios!A498,Electricity!O:O,Predev_Scenarios!D498),"")</f>
        <v/>
      </c>
      <c r="I498" s="12">
        <f>SUMIFS(RenewableJetFuel!AD:AD,RenewableJetFuel!$S:$S,Predev_Scenarios!$A498,RenewableJetFuel!$T:$T,Predev_Scenarios!$D498,RenewableJetFuel!$W:$W,Predev_Scenarios!$B498)</f>
        <v>-36.64</v>
      </c>
      <c r="J498" s="12">
        <f>SUMIFS(RenewableJetFuel!AE:AE,RenewableJetFuel!$S:$S,Predev_Scenarios!$A498,RenewableJetFuel!$T:$T,Predev_Scenarios!$D498,RenewableJetFuel!$W:$W,Predev_Scenarios!$B498)</f>
        <v>-36.64</v>
      </c>
      <c r="K498" s="12">
        <f>SUMIFS(RenewableJetFuel!AF:AF,RenewableJetFuel!$S:$S,Predev_Scenarios!$A498,RenewableJetFuel!$T:$T,Predev_Scenarios!$D498,RenewableJetFuel!$W:$W,Predev_Scenarios!$B498)</f>
        <v>-53.84</v>
      </c>
      <c r="L498" s="63">
        <f t="shared" si="29"/>
        <v>0.44197166515577263</v>
      </c>
      <c r="M498" s="63">
        <f t="shared" si="30"/>
        <v>0.44197166515577263</v>
      </c>
      <c r="N498" s="63">
        <f t="shared" si="31"/>
        <v>0.64944744683370093</v>
      </c>
      <c r="O498" s="30">
        <f>IF(OR(LEFT($D498,5)="Solar",$D498="Wind"),INDEX(Land_Use[AVG],MATCH(LEFT($D498,5),Land_Use[Tech],0)),0)*$E498</f>
        <v>0</v>
      </c>
      <c r="P498" s="30">
        <f>IF(OR(LEFT($D498,5)="Solar",$D498="Wind"),INDEX(Land_Use[MIN],MATCH(LEFT($D498,5),Land_Use[Tech],0)),0)*$E498</f>
        <v>0</v>
      </c>
      <c r="Q498" s="30">
        <f>IF(OR(LEFT($D498,5)="Solar",$D498="Wind"),INDEX(Land_Use[MAX],MATCH(LEFT($D498,5),Land_Use[Tech],0)),0)*$E498</f>
        <v>0</v>
      </c>
      <c r="R498" s="31">
        <f>IFERROR(INDEX(WaterUseH2[Average Direct Water Consumption (Gal/ kg h2)],MATCH(LEFT(D498,3),WaterUseH2[Key],0)),0)</f>
        <v>0</v>
      </c>
      <c r="S498" s="15">
        <f t="shared" si="32"/>
        <v>0</v>
      </c>
    </row>
    <row r="499" spans="1:19" x14ac:dyDescent="0.35">
      <c r="A499" t="s">
        <v>107</v>
      </c>
      <c r="B499">
        <v>2038</v>
      </c>
      <c r="C499" t="s">
        <v>92</v>
      </c>
      <c r="D499" t="s">
        <v>96</v>
      </c>
      <c r="E499" s="9">
        <f>SUMIFS(RenewableJetFuel!$Z:$Z,RenewableJetFuel!S:S,Predev_Scenarios!A499,RenewableJetFuel!W:W,Predev_Scenarios!B499,RenewableJetFuel!T:T,Predev_Scenarios!D499)</f>
        <v>103.92129482128423</v>
      </c>
      <c r="F499" t="s">
        <v>109</v>
      </c>
      <c r="G499">
        <f>SUMIFS(RenewableJetFuel!$Y:$Y,RenewableJetFuel!S:S,Predev_Scenarios!A499,RenewableJetFuel!W:W,Predev_Scenarios!B499,RenewableJetFuel!T:T,Predev_Scenarios!D499)</f>
        <v>1.4801773955504038E-2</v>
      </c>
      <c r="H499" s="13" t="str">
        <f>IF(C499="Electricity",E499*SUMIFS(Electricity!S:S,Electricity!P:P,Predev_Scenarios!B499,Electricity!M:M,Predev_Scenarios!A499,Electricity!O:O,Predev_Scenarios!D499),"")</f>
        <v/>
      </c>
      <c r="I499" s="12">
        <f>SUMIFS(RenewableJetFuel!AD:AD,RenewableJetFuel!$S:$S,Predev_Scenarios!$A499,RenewableJetFuel!$T:$T,Predev_Scenarios!$D499,RenewableJetFuel!$W:$W,Predev_Scenarios!$B499)</f>
        <v>-36.64</v>
      </c>
      <c r="J499" s="12">
        <f>SUMIFS(RenewableJetFuel!AE:AE,RenewableJetFuel!$S:$S,Predev_Scenarios!$A499,RenewableJetFuel!$T:$T,Predev_Scenarios!$D499,RenewableJetFuel!$W:$W,Predev_Scenarios!$B499)</f>
        <v>-36.64</v>
      </c>
      <c r="K499" s="12">
        <f>SUMIFS(RenewableJetFuel!AF:AF,RenewableJetFuel!$S:$S,Predev_Scenarios!$A499,RenewableJetFuel!$T:$T,Predev_Scenarios!$D499,RenewableJetFuel!$W:$W,Predev_Scenarios!$B499)</f>
        <v>-53.84</v>
      </c>
      <c r="L499" s="63">
        <f t="shared" si="29"/>
        <v>0.54233699772966792</v>
      </c>
      <c r="M499" s="63">
        <f t="shared" si="30"/>
        <v>0.54233699772966792</v>
      </c>
      <c r="N499" s="63">
        <f t="shared" si="31"/>
        <v>0.79692750976433746</v>
      </c>
      <c r="O499" s="30">
        <f>IF(OR(LEFT($D499,5)="Solar",$D499="Wind"),INDEX(Land_Use[AVG],MATCH(LEFT($D499,5),Land_Use[Tech],0)),0)*$E499</f>
        <v>0</v>
      </c>
      <c r="P499" s="30">
        <f>IF(OR(LEFT($D499,5)="Solar",$D499="Wind"),INDEX(Land_Use[MIN],MATCH(LEFT($D499,5),Land_Use[Tech],0)),0)*$E499</f>
        <v>0</v>
      </c>
      <c r="Q499" s="30">
        <f>IF(OR(LEFT($D499,5)="Solar",$D499="Wind"),INDEX(Land_Use[MAX],MATCH(LEFT($D499,5),Land_Use[Tech],0)),0)*$E499</f>
        <v>0</v>
      </c>
      <c r="R499" s="31">
        <f>IFERROR(INDEX(WaterUseH2[Average Direct Water Consumption (Gal/ kg h2)],MATCH(LEFT(D499,3),WaterUseH2[Key],0)),0)</f>
        <v>0</v>
      </c>
      <c r="S499" s="15">
        <f t="shared" si="32"/>
        <v>0</v>
      </c>
    </row>
    <row r="500" spans="1:19" x14ac:dyDescent="0.35">
      <c r="A500" t="s">
        <v>107</v>
      </c>
      <c r="B500">
        <v>2039</v>
      </c>
      <c r="C500" t="s">
        <v>92</v>
      </c>
      <c r="D500" t="s">
        <v>96</v>
      </c>
      <c r="E500" s="9">
        <f>SUMIFS(RenewableJetFuel!$Z:$Z,RenewableJetFuel!S:S,Predev_Scenarios!A500,RenewableJetFuel!W:W,Predev_Scenarios!B500,RenewableJetFuel!T:T,Predev_Scenarios!D500)</f>
        <v>127.33254835775304</v>
      </c>
      <c r="F500" t="s">
        <v>109</v>
      </c>
      <c r="G500">
        <f>SUMIFS(RenewableJetFuel!$Y:$Y,RenewableJetFuel!S:S,Predev_Scenarios!A500,RenewableJetFuel!W:W,Predev_Scenarios!B500,RenewableJetFuel!T:T,Predev_Scenarios!D500)</f>
        <v>1.813629825543446E-2</v>
      </c>
      <c r="H500" s="13" t="str">
        <f>IF(C500="Electricity",E500*SUMIFS(Electricity!S:S,Electricity!P:P,Predev_Scenarios!B500,Electricity!M:M,Predev_Scenarios!A500,Electricity!O:O,Predev_Scenarios!D500),"")</f>
        <v/>
      </c>
      <c r="I500" s="12">
        <f>SUMIFS(RenewableJetFuel!AD:AD,RenewableJetFuel!$S:$S,Predev_Scenarios!$A500,RenewableJetFuel!$T:$T,Predev_Scenarios!$D500,RenewableJetFuel!$W:$W,Predev_Scenarios!$B500)</f>
        <v>-36.64</v>
      </c>
      <c r="J500" s="12">
        <f>SUMIFS(RenewableJetFuel!AE:AE,RenewableJetFuel!$S:$S,Predev_Scenarios!$A500,RenewableJetFuel!$T:$T,Predev_Scenarios!$D500,RenewableJetFuel!$W:$W,Predev_Scenarios!$B500)</f>
        <v>-36.64</v>
      </c>
      <c r="K500" s="12">
        <f>SUMIFS(RenewableJetFuel!AF:AF,RenewableJetFuel!$S:$S,Predev_Scenarios!$A500,RenewableJetFuel!$T:$T,Predev_Scenarios!$D500,RenewableJetFuel!$W:$W,Predev_Scenarios!$B500)</f>
        <v>-53.84</v>
      </c>
      <c r="L500" s="63">
        <f t="shared" si="29"/>
        <v>0.66451396807911867</v>
      </c>
      <c r="M500" s="63">
        <f t="shared" si="30"/>
        <v>0.66451396807911867</v>
      </c>
      <c r="N500" s="63">
        <f t="shared" si="31"/>
        <v>0.97645829807259144</v>
      </c>
      <c r="O500" s="30">
        <f>IF(OR(LEFT($D500,5)="Solar",$D500="Wind"),INDEX(Land_Use[AVG],MATCH(LEFT($D500,5),Land_Use[Tech],0)),0)*$E500</f>
        <v>0</v>
      </c>
      <c r="P500" s="30">
        <f>IF(OR(LEFT($D500,5)="Solar",$D500="Wind"),INDEX(Land_Use[MIN],MATCH(LEFT($D500,5),Land_Use[Tech],0)),0)*$E500</f>
        <v>0</v>
      </c>
      <c r="Q500" s="30">
        <f>IF(OR(LEFT($D500,5)="Solar",$D500="Wind"),INDEX(Land_Use[MAX],MATCH(LEFT($D500,5),Land_Use[Tech],0)),0)*$E500</f>
        <v>0</v>
      </c>
      <c r="R500" s="31">
        <f>IFERROR(INDEX(WaterUseH2[Average Direct Water Consumption (Gal/ kg h2)],MATCH(LEFT(D500,3),WaterUseH2[Key],0)),0)</f>
        <v>0</v>
      </c>
      <c r="S500" s="15">
        <f t="shared" si="32"/>
        <v>0</v>
      </c>
    </row>
    <row r="501" spans="1:19" x14ac:dyDescent="0.35">
      <c r="A501" t="s">
        <v>107</v>
      </c>
      <c r="B501">
        <v>2040</v>
      </c>
      <c r="C501" t="s">
        <v>92</v>
      </c>
      <c r="D501" t="s">
        <v>96</v>
      </c>
      <c r="E501" s="9">
        <f>SUMIFS(RenewableJetFuel!$Z:$Z,RenewableJetFuel!S:S,Predev_Scenarios!A501,RenewableJetFuel!W:W,Predev_Scenarios!B501,RenewableJetFuel!T:T,Predev_Scenarios!D501)</f>
        <v>155.80480321514096</v>
      </c>
      <c r="F501" t="s">
        <v>109</v>
      </c>
      <c r="G501">
        <f>SUMIFS(RenewableJetFuel!$Y:$Y,RenewableJetFuel!S:S,Predev_Scenarios!A501,RenewableJetFuel!W:W,Predev_Scenarios!B501,RenewableJetFuel!T:T,Predev_Scenarios!D501)</f>
        <v>2.2191673827181499E-2</v>
      </c>
      <c r="H501" s="13" t="str">
        <f>IF(C501="Electricity",E501*SUMIFS(Electricity!S:S,Electricity!P:P,Predev_Scenarios!B501,Electricity!M:M,Predev_Scenarios!A501,Electricity!O:O,Predev_Scenarios!D501),"")</f>
        <v/>
      </c>
      <c r="I501" s="12">
        <f>SUMIFS(RenewableJetFuel!AD:AD,RenewableJetFuel!$S:$S,Predev_Scenarios!$A501,RenewableJetFuel!$T:$T,Predev_Scenarios!$D501,RenewableJetFuel!$W:$W,Predev_Scenarios!$B501)</f>
        <v>-36.64</v>
      </c>
      <c r="J501" s="12">
        <f>SUMIFS(RenewableJetFuel!AE:AE,RenewableJetFuel!$S:$S,Predev_Scenarios!$A501,RenewableJetFuel!$T:$T,Predev_Scenarios!$D501,RenewableJetFuel!$W:$W,Predev_Scenarios!$B501)</f>
        <v>-36.64</v>
      </c>
      <c r="K501" s="12">
        <f>SUMIFS(RenewableJetFuel!AF:AF,RenewableJetFuel!$S:$S,Predev_Scenarios!$A501,RenewableJetFuel!$T:$T,Predev_Scenarios!$D501,RenewableJetFuel!$W:$W,Predev_Scenarios!$B501)</f>
        <v>-53.84</v>
      </c>
      <c r="L501" s="63">
        <f t="shared" si="29"/>
        <v>0.81310292902793013</v>
      </c>
      <c r="M501" s="63">
        <f t="shared" si="30"/>
        <v>0.81310292902793013</v>
      </c>
      <c r="N501" s="63">
        <f t="shared" si="31"/>
        <v>1.194799718855452</v>
      </c>
      <c r="O501" s="30">
        <f>IF(OR(LEFT($D501,5)="Solar",$D501="Wind"),INDEX(Land_Use[AVG],MATCH(LEFT($D501,5),Land_Use[Tech],0)),0)*$E501</f>
        <v>0</v>
      </c>
      <c r="P501" s="30">
        <f>IF(OR(LEFT($D501,5)="Solar",$D501="Wind"),INDEX(Land_Use[MIN],MATCH(LEFT($D501,5),Land_Use[Tech],0)),0)*$E501</f>
        <v>0</v>
      </c>
      <c r="Q501" s="30">
        <f>IF(OR(LEFT($D501,5)="Solar",$D501="Wind"),INDEX(Land_Use[MAX],MATCH(LEFT($D501,5),Land_Use[Tech],0)),0)*$E501</f>
        <v>0</v>
      </c>
      <c r="R501" s="31">
        <f>IFERROR(INDEX(WaterUseH2[Average Direct Water Consumption (Gal/ kg h2)],MATCH(LEFT(D501,3),WaterUseH2[Key],0)),0)</f>
        <v>0</v>
      </c>
      <c r="S501" s="15">
        <f t="shared" si="32"/>
        <v>0</v>
      </c>
    </row>
    <row r="502" spans="1:19" x14ac:dyDescent="0.35">
      <c r="A502" t="s">
        <v>107</v>
      </c>
      <c r="B502">
        <v>2041</v>
      </c>
      <c r="C502" t="s">
        <v>92</v>
      </c>
      <c r="D502" t="s">
        <v>96</v>
      </c>
      <c r="E502" s="9">
        <f>SUMIFS(RenewableJetFuel!$Z:$Z,RenewableJetFuel!S:S,Predev_Scenarios!A502,RenewableJetFuel!W:W,Predev_Scenarios!B502,RenewableJetFuel!T:T,Predev_Scenarios!D502)</f>
        <v>190.40149525436087</v>
      </c>
      <c r="F502" t="s">
        <v>109</v>
      </c>
      <c r="G502">
        <f>SUMIFS(RenewableJetFuel!$Y:$Y,RenewableJetFuel!S:S,Predev_Scenarios!A502,RenewableJetFuel!W:W,Predev_Scenarios!B502,RenewableJetFuel!T:T,Predev_Scenarios!D502)</f>
        <v>2.7119368541276192E-2</v>
      </c>
      <c r="H502" s="13" t="str">
        <f>IF(C502="Electricity",E502*SUMIFS(Electricity!S:S,Electricity!P:P,Predev_Scenarios!B502,Electricity!M:M,Predev_Scenarios!A502,Electricity!O:O,Predev_Scenarios!D502),"")</f>
        <v/>
      </c>
      <c r="I502" s="12">
        <f>SUMIFS(RenewableJetFuel!AD:AD,RenewableJetFuel!$S:$S,Predev_Scenarios!$A502,RenewableJetFuel!$T:$T,Predev_Scenarios!$D502,RenewableJetFuel!$W:$W,Predev_Scenarios!$B502)</f>
        <v>-36.64</v>
      </c>
      <c r="J502" s="12">
        <f>SUMIFS(RenewableJetFuel!AE:AE,RenewableJetFuel!$S:$S,Predev_Scenarios!$A502,RenewableJetFuel!$T:$T,Predev_Scenarios!$D502,RenewableJetFuel!$W:$W,Predev_Scenarios!$B502)</f>
        <v>-36.64</v>
      </c>
      <c r="K502" s="12">
        <f>SUMIFS(RenewableJetFuel!AF:AF,RenewableJetFuel!$S:$S,Predev_Scenarios!$A502,RenewableJetFuel!$T:$T,Predev_Scenarios!$D502,RenewableJetFuel!$W:$W,Predev_Scenarios!$B502)</f>
        <v>-53.84</v>
      </c>
      <c r="L502" s="63">
        <f t="shared" si="29"/>
        <v>0.99365366335235972</v>
      </c>
      <c r="M502" s="63">
        <f t="shared" si="30"/>
        <v>0.99365366335235972</v>
      </c>
      <c r="N502" s="63">
        <f t="shared" si="31"/>
        <v>1.4601068022623103</v>
      </c>
      <c r="O502" s="30">
        <f>IF(OR(LEFT($D502,5)="Solar",$D502="Wind"),INDEX(Land_Use[AVG],MATCH(LEFT($D502,5),Land_Use[Tech],0)),0)*$E502</f>
        <v>0</v>
      </c>
      <c r="P502" s="30">
        <f>IF(OR(LEFT($D502,5)="Solar",$D502="Wind"),INDEX(Land_Use[MIN],MATCH(LEFT($D502,5),Land_Use[Tech],0)),0)*$E502</f>
        <v>0</v>
      </c>
      <c r="Q502" s="30">
        <f>IF(OR(LEFT($D502,5)="Solar",$D502="Wind"),INDEX(Land_Use[MAX],MATCH(LEFT($D502,5),Land_Use[Tech],0)),0)*$E502</f>
        <v>0</v>
      </c>
      <c r="R502" s="31">
        <f>IFERROR(INDEX(WaterUseH2[Average Direct Water Consumption (Gal/ kg h2)],MATCH(LEFT(D502,3),WaterUseH2[Key],0)),0)</f>
        <v>0</v>
      </c>
      <c r="S502" s="15">
        <f t="shared" si="32"/>
        <v>0</v>
      </c>
    </row>
    <row r="503" spans="1:19" x14ac:dyDescent="0.35">
      <c r="A503" t="s">
        <v>107</v>
      </c>
      <c r="B503">
        <v>2042</v>
      </c>
      <c r="C503" t="s">
        <v>92</v>
      </c>
      <c r="D503" t="s">
        <v>96</v>
      </c>
      <c r="E503" s="9">
        <f>SUMIFS(RenewableJetFuel!$Z:$Z,RenewableJetFuel!S:S,Predev_Scenarios!A503,RenewableJetFuel!W:W,Predev_Scenarios!B503,RenewableJetFuel!T:T,Predev_Scenarios!D503)</f>
        <v>232.40492080348736</v>
      </c>
      <c r="F503" t="s">
        <v>109</v>
      </c>
      <c r="G503">
        <f>SUMIFS(RenewableJetFuel!$Y:$Y,RenewableJetFuel!S:S,Predev_Scenarios!A503,RenewableJetFuel!W:W,Predev_Scenarios!B503,RenewableJetFuel!T:T,Predev_Scenarios!D503)</f>
        <v>3.310202312043832E-2</v>
      </c>
      <c r="H503" s="13" t="str">
        <f>IF(C503="Electricity",E503*SUMIFS(Electricity!S:S,Electricity!P:P,Predev_Scenarios!B503,Electricity!M:M,Predev_Scenarios!A503,Electricity!O:O,Predev_Scenarios!D503),"")</f>
        <v/>
      </c>
      <c r="I503" s="12">
        <f>SUMIFS(RenewableJetFuel!AD:AD,RenewableJetFuel!$S:$S,Predev_Scenarios!$A503,RenewableJetFuel!$T:$T,Predev_Scenarios!$D503,RenewableJetFuel!$W:$W,Predev_Scenarios!$B503)</f>
        <v>-36.64</v>
      </c>
      <c r="J503" s="12">
        <f>SUMIFS(RenewableJetFuel!AE:AE,RenewableJetFuel!$S:$S,Predev_Scenarios!$A503,RenewableJetFuel!$T:$T,Predev_Scenarios!$D503,RenewableJetFuel!$W:$W,Predev_Scenarios!$B503)</f>
        <v>-36.64</v>
      </c>
      <c r="K503" s="12">
        <f>SUMIFS(RenewableJetFuel!AF:AF,RenewableJetFuel!$S:$S,Predev_Scenarios!$A503,RenewableJetFuel!$T:$T,Predev_Scenarios!$D503,RenewableJetFuel!$W:$W,Predev_Scenarios!$B503)</f>
        <v>-53.84</v>
      </c>
      <c r="L503" s="63">
        <f t="shared" si="29"/>
        <v>1.21285812713286</v>
      </c>
      <c r="M503" s="63">
        <f t="shared" si="30"/>
        <v>1.21285812713286</v>
      </c>
      <c r="N503" s="63">
        <f t="shared" si="31"/>
        <v>1.7822129248043992</v>
      </c>
      <c r="O503" s="30">
        <f>IF(OR(LEFT($D503,5)="Solar",$D503="Wind"),INDEX(Land_Use[AVG],MATCH(LEFT($D503,5),Land_Use[Tech],0)),0)*$E503</f>
        <v>0</v>
      </c>
      <c r="P503" s="30">
        <f>IF(OR(LEFT($D503,5)="Solar",$D503="Wind"),INDEX(Land_Use[MIN],MATCH(LEFT($D503,5),Land_Use[Tech],0)),0)*$E503</f>
        <v>0</v>
      </c>
      <c r="Q503" s="30">
        <f>IF(OR(LEFT($D503,5)="Solar",$D503="Wind"),INDEX(Land_Use[MAX],MATCH(LEFT($D503,5),Land_Use[Tech],0)),0)*$E503</f>
        <v>0</v>
      </c>
      <c r="R503" s="31">
        <f>IFERROR(INDEX(WaterUseH2[Average Direct Water Consumption (Gal/ kg h2)],MATCH(LEFT(D503,3),WaterUseH2[Key],0)),0)</f>
        <v>0</v>
      </c>
      <c r="S503" s="15">
        <f t="shared" si="32"/>
        <v>0</v>
      </c>
    </row>
    <row r="504" spans="1:19" x14ac:dyDescent="0.35">
      <c r="A504" t="s">
        <v>107</v>
      </c>
      <c r="B504">
        <v>2043</v>
      </c>
      <c r="C504" t="s">
        <v>92</v>
      </c>
      <c r="D504" t="s">
        <v>96</v>
      </c>
      <c r="E504" s="9">
        <f>SUMIFS(RenewableJetFuel!$Z:$Z,RenewableJetFuel!S:S,Predev_Scenarios!A504,RenewableJetFuel!W:W,Predev_Scenarios!B504,RenewableJetFuel!T:T,Predev_Scenarios!D504)</f>
        <v>283.36057110420887</v>
      </c>
      <c r="F504" t="s">
        <v>109</v>
      </c>
      <c r="G504">
        <f>SUMIFS(RenewableJetFuel!$Y:$Y,RenewableJetFuel!S:S,Predev_Scenarios!A504,RenewableJetFuel!W:W,Predev_Scenarios!B504,RenewableJetFuel!T:T,Predev_Scenarios!D504)</f>
        <v>4.0359765807382937E-2</v>
      </c>
      <c r="H504" s="13" t="str">
        <f>IF(C504="Electricity",E504*SUMIFS(Electricity!S:S,Electricity!P:P,Predev_Scenarios!B504,Electricity!M:M,Predev_Scenarios!A504,Electricity!O:O,Predev_Scenarios!D504),"")</f>
        <v/>
      </c>
      <c r="I504" s="12">
        <f>SUMIFS(RenewableJetFuel!AD:AD,RenewableJetFuel!$S:$S,Predev_Scenarios!$A504,RenewableJetFuel!$T:$T,Predev_Scenarios!$D504,RenewableJetFuel!$W:$W,Predev_Scenarios!$B504)</f>
        <v>-36.64</v>
      </c>
      <c r="J504" s="12">
        <f>SUMIFS(RenewableJetFuel!AE:AE,RenewableJetFuel!$S:$S,Predev_Scenarios!$A504,RenewableJetFuel!$T:$T,Predev_Scenarios!$D504,RenewableJetFuel!$W:$W,Predev_Scenarios!$B504)</f>
        <v>-36.64</v>
      </c>
      <c r="K504" s="12">
        <f>SUMIFS(RenewableJetFuel!AF:AF,RenewableJetFuel!$S:$S,Predev_Scenarios!$A504,RenewableJetFuel!$T:$T,Predev_Scenarios!$D504,RenewableJetFuel!$W:$W,Predev_Scenarios!$B504)</f>
        <v>-53.84</v>
      </c>
      <c r="L504" s="63">
        <f t="shared" si="29"/>
        <v>1.4787818191825108</v>
      </c>
      <c r="M504" s="63">
        <f t="shared" si="30"/>
        <v>1.4787818191825108</v>
      </c>
      <c r="N504" s="63">
        <f t="shared" si="31"/>
        <v>2.1729697910694976</v>
      </c>
      <c r="O504" s="30">
        <f>IF(OR(LEFT($D504,5)="Solar",$D504="Wind"),INDEX(Land_Use[AVG],MATCH(LEFT($D504,5),Land_Use[Tech],0)),0)*$E504</f>
        <v>0</v>
      </c>
      <c r="P504" s="30">
        <f>IF(OR(LEFT($D504,5)="Solar",$D504="Wind"),INDEX(Land_Use[MIN],MATCH(LEFT($D504,5),Land_Use[Tech],0)),0)*$E504</f>
        <v>0</v>
      </c>
      <c r="Q504" s="30">
        <f>IF(OR(LEFT($D504,5)="Solar",$D504="Wind"),INDEX(Land_Use[MAX],MATCH(LEFT($D504,5),Land_Use[Tech],0)),0)*$E504</f>
        <v>0</v>
      </c>
      <c r="R504" s="31">
        <f>IFERROR(INDEX(WaterUseH2[Average Direct Water Consumption (Gal/ kg h2)],MATCH(LEFT(D504,3),WaterUseH2[Key],0)),0)</f>
        <v>0</v>
      </c>
      <c r="S504" s="15">
        <f t="shared" si="32"/>
        <v>0</v>
      </c>
    </row>
    <row r="505" spans="1:19" x14ac:dyDescent="0.35">
      <c r="A505" t="s">
        <v>107</v>
      </c>
      <c r="B505">
        <v>2044</v>
      </c>
      <c r="C505" t="s">
        <v>92</v>
      </c>
      <c r="D505" t="s">
        <v>96</v>
      </c>
      <c r="E505" s="9">
        <f>SUMIFS(RenewableJetFuel!$Z:$Z,RenewableJetFuel!S:S,Predev_Scenarios!A505,RenewableJetFuel!W:W,Predev_Scenarios!B505,RenewableJetFuel!T:T,Predev_Scenarios!D505)</f>
        <v>345.13033607903759</v>
      </c>
      <c r="F505" t="s">
        <v>109</v>
      </c>
      <c r="G505">
        <f>SUMIFS(RenewableJetFuel!$Y:$Y,RenewableJetFuel!S:S,Predev_Scenarios!A505,RenewableJetFuel!W:W,Predev_Scenarios!B505,RenewableJetFuel!T:T,Predev_Scenarios!D505)</f>
        <v>4.9157790312508394E-2</v>
      </c>
      <c r="H505" s="13" t="str">
        <f>IF(C505="Electricity",E505*SUMIFS(Electricity!S:S,Electricity!P:P,Predev_Scenarios!B505,Electricity!M:M,Predev_Scenarios!A505,Electricity!O:O,Predev_Scenarios!D505),"")</f>
        <v/>
      </c>
      <c r="I505" s="12">
        <f>SUMIFS(RenewableJetFuel!AD:AD,RenewableJetFuel!$S:$S,Predev_Scenarios!$A505,RenewableJetFuel!$T:$T,Predev_Scenarios!$D505,RenewableJetFuel!$W:$W,Predev_Scenarios!$B505)</f>
        <v>-36.64</v>
      </c>
      <c r="J505" s="12">
        <f>SUMIFS(RenewableJetFuel!AE:AE,RenewableJetFuel!$S:$S,Predev_Scenarios!$A505,RenewableJetFuel!$T:$T,Predev_Scenarios!$D505,RenewableJetFuel!$W:$W,Predev_Scenarios!$B505)</f>
        <v>-36.64</v>
      </c>
      <c r="K505" s="12">
        <f>SUMIFS(RenewableJetFuel!AF:AF,RenewableJetFuel!$S:$S,Predev_Scenarios!$A505,RenewableJetFuel!$T:$T,Predev_Scenarios!$D505,RenewableJetFuel!$W:$W,Predev_Scenarios!$B505)</f>
        <v>-53.84</v>
      </c>
      <c r="L505" s="63">
        <f t="shared" si="29"/>
        <v>1.8011414370503076</v>
      </c>
      <c r="M505" s="63">
        <f t="shared" si="30"/>
        <v>1.8011414370503076</v>
      </c>
      <c r="N505" s="63">
        <f t="shared" si="31"/>
        <v>2.6466554304254521</v>
      </c>
      <c r="O505" s="30">
        <f>IF(OR(LEFT($D505,5)="Solar",$D505="Wind"),INDEX(Land_Use[AVG],MATCH(LEFT($D505,5),Land_Use[Tech],0)),0)*$E505</f>
        <v>0</v>
      </c>
      <c r="P505" s="30">
        <f>IF(OR(LEFT($D505,5)="Solar",$D505="Wind"),INDEX(Land_Use[MIN],MATCH(LEFT($D505,5),Land_Use[Tech],0)),0)*$E505</f>
        <v>0</v>
      </c>
      <c r="Q505" s="30">
        <f>IF(OR(LEFT($D505,5)="Solar",$D505="Wind"),INDEX(Land_Use[MAX],MATCH(LEFT($D505,5),Land_Use[Tech],0)),0)*$E505</f>
        <v>0</v>
      </c>
      <c r="R505" s="31">
        <f>IFERROR(INDEX(WaterUseH2[Average Direct Water Consumption (Gal/ kg h2)],MATCH(LEFT(D505,3),WaterUseH2[Key],0)),0)</f>
        <v>0</v>
      </c>
      <c r="S505" s="15">
        <f t="shared" si="32"/>
        <v>0</v>
      </c>
    </row>
    <row r="506" spans="1:19" x14ac:dyDescent="0.35">
      <c r="A506" t="s">
        <v>107</v>
      </c>
      <c r="B506">
        <v>2045</v>
      </c>
      <c r="C506" t="s">
        <v>92</v>
      </c>
      <c r="D506" t="s">
        <v>96</v>
      </c>
      <c r="E506" s="9">
        <f>SUMIFS(RenewableJetFuel!$Z:$Z,RenewableJetFuel!S:S,Predev_Scenarios!A506,RenewableJetFuel!W:W,Predev_Scenarios!B506,RenewableJetFuel!T:T,Predev_Scenarios!D506)</f>
        <v>419.95633394102902</v>
      </c>
      <c r="F506" t="s">
        <v>109</v>
      </c>
      <c r="G506">
        <f>SUMIFS(RenewableJetFuel!$Y:$Y,RenewableJetFuel!S:S,Predev_Scenarios!A506,RenewableJetFuel!W:W,Predev_Scenarios!B506,RenewableJetFuel!T:T,Predev_Scenarios!D506)</f>
        <v>5.98154472273199E-2</v>
      </c>
      <c r="H506" s="13" t="str">
        <f>IF(C506="Electricity",E506*SUMIFS(Electricity!S:S,Electricity!P:P,Predev_Scenarios!B506,Electricity!M:M,Predev_Scenarios!A506,Electricity!O:O,Predev_Scenarios!D506),"")</f>
        <v/>
      </c>
      <c r="I506" s="12">
        <f>SUMIFS(RenewableJetFuel!AD:AD,RenewableJetFuel!$S:$S,Predev_Scenarios!$A506,RenewableJetFuel!$T:$T,Predev_Scenarios!$D506,RenewableJetFuel!$W:$W,Predev_Scenarios!$B506)</f>
        <v>-36.64</v>
      </c>
      <c r="J506" s="12">
        <f>SUMIFS(RenewableJetFuel!AE:AE,RenewableJetFuel!$S:$S,Predev_Scenarios!$A506,RenewableJetFuel!$T:$T,Predev_Scenarios!$D506,RenewableJetFuel!$W:$W,Predev_Scenarios!$B506)</f>
        <v>-36.64</v>
      </c>
      <c r="K506" s="12">
        <f>SUMIFS(RenewableJetFuel!AF:AF,RenewableJetFuel!$S:$S,Predev_Scenarios!$A506,RenewableJetFuel!$T:$T,Predev_Scenarios!$D506,RenewableJetFuel!$W:$W,Predev_Scenarios!$B506)</f>
        <v>-53.84</v>
      </c>
      <c r="L506" s="63">
        <f t="shared" si="29"/>
        <v>2.1916379864090012</v>
      </c>
      <c r="M506" s="63">
        <f t="shared" si="30"/>
        <v>2.1916379864090012</v>
      </c>
      <c r="N506" s="63">
        <f t="shared" si="31"/>
        <v>3.2204636787189038</v>
      </c>
      <c r="O506" s="30">
        <f>IF(OR(LEFT($D506,5)="Solar",$D506="Wind"),INDEX(Land_Use[AVG],MATCH(LEFT($D506,5),Land_Use[Tech],0)),0)*$E506</f>
        <v>0</v>
      </c>
      <c r="P506" s="30">
        <f>IF(OR(LEFT($D506,5)="Solar",$D506="Wind"),INDEX(Land_Use[MIN],MATCH(LEFT($D506,5),Land_Use[Tech],0)),0)*$E506</f>
        <v>0</v>
      </c>
      <c r="Q506" s="30">
        <f>IF(OR(LEFT($D506,5)="Solar",$D506="Wind"),INDEX(Land_Use[MAX],MATCH(LEFT($D506,5),Land_Use[Tech],0)),0)*$E506</f>
        <v>0</v>
      </c>
      <c r="R506" s="31">
        <f>IFERROR(INDEX(WaterUseH2[Average Direct Water Consumption (Gal/ kg h2)],MATCH(LEFT(D506,3),WaterUseH2[Key],0)),0)</f>
        <v>0</v>
      </c>
      <c r="S506" s="15">
        <f t="shared" si="32"/>
        <v>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850BF-E2B5-4A05-BF68-4F371C537209}">
  <dimension ref="A1:AG212"/>
  <sheetViews>
    <sheetView topLeftCell="G1" workbookViewId="0">
      <selection activeCell="S2" sqref="S2"/>
    </sheetView>
  </sheetViews>
  <sheetFormatPr defaultColWidth="8.83203125" defaultRowHeight="15.5" x14ac:dyDescent="0.35"/>
  <cols>
    <col min="1" max="1" width="11.5" customWidth="1"/>
    <col min="3" max="3" width="11" customWidth="1"/>
    <col min="4" max="4" width="10.83203125" customWidth="1"/>
    <col min="5" max="5" width="13.33203125" customWidth="1"/>
    <col min="6" max="6" width="12.08203125" customWidth="1"/>
    <col min="7" max="7" width="13.58203125" customWidth="1"/>
    <col min="8" max="8" width="11.08203125" customWidth="1"/>
    <col min="9" max="9" width="12.33203125" customWidth="1"/>
    <col min="10" max="10" width="12.58203125" customWidth="1"/>
    <col min="11" max="11" width="14.5" customWidth="1"/>
    <col min="12" max="12" width="2.33203125" style="26" customWidth="1"/>
    <col min="13" max="13" width="12.5" bestFit="1" customWidth="1"/>
    <col min="14" max="14" width="12.5" customWidth="1"/>
    <col min="17" max="17" width="12.5" bestFit="1" customWidth="1"/>
    <col min="18" max="18" width="12.5" customWidth="1"/>
    <col min="19" max="19" width="17.08203125" customWidth="1"/>
    <col min="20" max="20" width="11.08203125" bestFit="1" customWidth="1"/>
    <col min="21" max="21" width="18.33203125" bestFit="1" customWidth="1"/>
    <col min="22" max="22" width="18.58203125" customWidth="1"/>
    <col min="23" max="23" width="19.08203125" customWidth="1"/>
    <col min="24" max="24" width="12.58203125" bestFit="1" customWidth="1"/>
    <col min="25" max="25" width="13.08203125" customWidth="1"/>
    <col min="26" max="26" width="13" customWidth="1"/>
    <col min="27" max="27" width="15.08203125" customWidth="1"/>
    <col min="31" max="31" width="3" style="44" customWidth="1"/>
    <col min="32" max="32" width="10.08203125" bestFit="1" customWidth="1"/>
    <col min="33" max="33" width="37.58203125" customWidth="1"/>
  </cols>
  <sheetData>
    <row r="1" spans="1:33" x14ac:dyDescent="0.35">
      <c r="A1" s="5" t="s">
        <v>110</v>
      </c>
      <c r="M1" s="5" t="s">
        <v>111</v>
      </c>
      <c r="AF1" s="5" t="s">
        <v>62</v>
      </c>
      <c r="AG1" s="5"/>
    </row>
    <row r="2" spans="1:33" ht="47.25" customHeight="1" x14ac:dyDescent="0.35">
      <c r="A2" s="16" t="s">
        <v>112</v>
      </c>
      <c r="B2" t="s">
        <v>0</v>
      </c>
      <c r="C2" s="16" t="s">
        <v>113</v>
      </c>
      <c r="D2" s="16" t="s">
        <v>114</v>
      </c>
      <c r="E2" s="16" t="s">
        <v>115</v>
      </c>
      <c r="F2" s="16" t="s">
        <v>116</v>
      </c>
      <c r="G2" s="16" t="s">
        <v>117</v>
      </c>
      <c r="H2" s="16" t="s">
        <v>118</v>
      </c>
      <c r="I2" s="16" t="s">
        <v>119</v>
      </c>
      <c r="J2" s="16" t="s">
        <v>120</v>
      </c>
      <c r="M2" s="16" t="s">
        <v>112</v>
      </c>
      <c r="N2" s="16" t="s">
        <v>121</v>
      </c>
      <c r="O2" s="16" t="s">
        <v>122</v>
      </c>
      <c r="P2" s="16" t="s">
        <v>0</v>
      </c>
      <c r="Q2" s="16" t="s">
        <v>123</v>
      </c>
      <c r="R2" s="16" t="s">
        <v>124</v>
      </c>
      <c r="S2" s="16" t="s">
        <v>125</v>
      </c>
      <c r="T2" s="16" t="s">
        <v>126</v>
      </c>
      <c r="U2" s="16" t="s">
        <v>127</v>
      </c>
      <c r="V2" s="16" t="s">
        <v>128</v>
      </c>
      <c r="W2" s="16" t="s">
        <v>129</v>
      </c>
      <c r="X2" s="16" t="s">
        <v>130</v>
      </c>
      <c r="Y2" s="16" t="s">
        <v>131</v>
      </c>
      <c r="Z2" s="16" t="s">
        <v>132</v>
      </c>
      <c r="AA2" s="16" t="s">
        <v>118</v>
      </c>
      <c r="AB2" s="16" t="s">
        <v>119</v>
      </c>
      <c r="AC2" s="16" t="s">
        <v>120</v>
      </c>
      <c r="AF2" t="s">
        <v>133</v>
      </c>
      <c r="AG2" t="s">
        <v>134</v>
      </c>
    </row>
    <row r="3" spans="1:33" x14ac:dyDescent="0.35">
      <c r="A3" t="s">
        <v>76</v>
      </c>
      <c r="B3">
        <v>2025</v>
      </c>
      <c r="C3" s="43">
        <f t="shared" ref="C3:C44" si="0">SUMIFS($R$3:$R$212,$P$3:$P$212,$B3,$M$3:$M$212,$A3,$O$3:$O$212,"Solar")</f>
        <v>1170.8813598627298</v>
      </c>
      <c r="D3" s="43">
        <f t="shared" ref="D3:D44" si="1">SUMIFS($R$3:$R$212,$P$3:$P$212,$B3,$M$3:$M$212,$A3,$O$3:$O$212,"Wind")</f>
        <v>99.380000000000024</v>
      </c>
      <c r="E3" s="8">
        <f t="shared" ref="E3:E44" si="2">SUMIFS(X:X,$P:$P,$B3,$M:$M,$A3)/1000000</f>
        <v>-0.52189964061300609</v>
      </c>
      <c r="F3" s="8">
        <f t="shared" ref="F3:F44" si="3">SUMIFS(Y:Y,$P:$P,$B3,$M:$M,$A3)/1000000</f>
        <v>-0.4784887393536203</v>
      </c>
      <c r="G3" s="8">
        <f t="shared" ref="G3:G44" si="4">SUMIFS(Z:Z,$P:$P,$B3,$M:$M,$A3)/1000000</f>
        <v>-0.56531053824885324</v>
      </c>
      <c r="H3" s="13">
        <f t="shared" ref="H3:H44" si="5">SUMIFS(AA:AA,$P:$P,$B3,$M:$M,$A3)</f>
        <v>4346.5347595195544</v>
      </c>
      <c r="I3" s="13">
        <f t="shared" ref="I3:I44" si="6">SUMIFS(AB:AB,$P:$P,$B3,$M:$M,$A3)</f>
        <v>3357.9718076156432</v>
      </c>
      <c r="J3" s="13">
        <f t="shared" ref="J3:J44" si="7">SUMIFS(AC:AC,$P:$P,$B3,$M:$M,$A3)</f>
        <v>5335.0977114234656</v>
      </c>
      <c r="M3" t="s">
        <v>76</v>
      </c>
      <c r="N3">
        <v>1</v>
      </c>
      <c r="O3" t="s">
        <v>85</v>
      </c>
      <c r="P3">
        <v>2025</v>
      </c>
      <c r="Q3" s="13">
        <v>588.13652173913044</v>
      </c>
      <c r="R3" s="13">
        <f>SUMIFS($Q$3:Q3,$O$3:O3,O3,$M$3:M3,M3)</f>
        <v>588.13652173913044</v>
      </c>
      <c r="S3" s="13">
        <v>1171.0983188067505</v>
      </c>
      <c r="T3" s="13">
        <f>R3*S3</f>
        <v>688765.69183754548</v>
      </c>
      <c r="U3" s="42">
        <f>Assumptions!B85</f>
        <v>-0.14403038200000001</v>
      </c>
      <c r="V3" s="42">
        <f>Assumptions!C85</f>
        <v>-0.13205013099999999</v>
      </c>
      <c r="W3" s="42">
        <f>Assumptions!D85</f>
        <v>-0.15601063200000001</v>
      </c>
      <c r="X3" s="30">
        <f>$T3*U3</f>
        <v>-99203.185703855968</v>
      </c>
      <c r="Y3" s="30">
        <f t="shared" ref="Y3:Z3" si="8">$T3*V3</f>
        <v>-90951.599835453497</v>
      </c>
      <c r="Z3" s="30">
        <f t="shared" si="8"/>
        <v>-107454.77088349272</v>
      </c>
      <c r="AA3" s="30">
        <f>IF(OR($O3="Solar",$O3="Wind"),INDEX(Land_Use[AVG],MATCH($O3,Land_Use[Tech],0)),0)*$R3</f>
        <v>0</v>
      </c>
      <c r="AB3" s="30">
        <f>IF(OR($O3="Solar",$O3="Wind"),INDEX(Land_Use[MIN],MATCH($O3,Land_Use[Tech],0)),0)*$R3</f>
        <v>0</v>
      </c>
      <c r="AC3" s="30">
        <f>IF(OR($O3="Solar",$O3="Wind"),INDEX(Land_Use[MAX],MATCH($O3,Land_Use[Tech],0)),0)*$R3</f>
        <v>0</v>
      </c>
      <c r="AF3" t="s">
        <v>76</v>
      </c>
      <c r="AG3" t="s">
        <v>135</v>
      </c>
    </row>
    <row r="4" spans="1:33" x14ac:dyDescent="0.35">
      <c r="A4" t="s">
        <v>76</v>
      </c>
      <c r="B4">
        <v>2026</v>
      </c>
      <c r="C4" s="43">
        <f t="shared" si="0"/>
        <v>2341.7627197254601</v>
      </c>
      <c r="D4" s="43">
        <f t="shared" si="1"/>
        <v>212.33</v>
      </c>
      <c r="E4" s="8">
        <f t="shared" si="2"/>
        <v>-1.0038912641706137</v>
      </c>
      <c r="F4" s="8">
        <f t="shared" si="3"/>
        <v>-0.91116059703913033</v>
      </c>
      <c r="G4" s="8">
        <f t="shared" si="4"/>
        <v>-1.0966219241215185</v>
      </c>
      <c r="H4" s="13">
        <f t="shared" si="5"/>
        <v>8726.9945190391118</v>
      </c>
      <c r="I4" s="13">
        <f t="shared" si="6"/>
        <v>6726.799615231288</v>
      </c>
      <c r="J4" s="13">
        <f t="shared" si="7"/>
        <v>10727.189422846934</v>
      </c>
      <c r="M4" t="s">
        <v>76</v>
      </c>
      <c r="N4">
        <v>1</v>
      </c>
      <c r="O4" t="s">
        <v>85</v>
      </c>
      <c r="P4">
        <v>2026</v>
      </c>
      <c r="Q4" s="13">
        <v>588.13652173913044</v>
      </c>
      <c r="R4" s="13">
        <f>SUMIFS($Q$3:Q4,$O$3:O4,O4,$M$3:M4,M4)</f>
        <v>1176.2730434782609</v>
      </c>
      <c r="S4" s="13">
        <v>1171.0983188067505</v>
      </c>
      <c r="T4" s="13">
        <f t="shared" ref="T4:T67" si="9">R4*S4</f>
        <v>1377531.383675091</v>
      </c>
      <c r="U4" s="42">
        <f>Assumptions!B86</f>
        <v>-0.13980645780000001</v>
      </c>
      <c r="V4" s="42">
        <f>Assumptions!C86</f>
        <v>-0.12689236385</v>
      </c>
      <c r="W4" s="42">
        <f>Assumptions!D86</f>
        <v>-0.15272055075000002</v>
      </c>
      <c r="X4" s="30">
        <f t="shared" ref="X4:X67" si="10">$T4*U4</f>
        <v>-192587.78325994723</v>
      </c>
      <c r="Y4" s="30">
        <f t="shared" ref="Y4:Y67" si="11">$T4*V4</f>
        <v>-174798.2135520936</v>
      </c>
      <c r="Z4" s="30">
        <f t="shared" ref="Z4:Z67" si="12">$T4*W4</f>
        <v>-210377.35159026948</v>
      </c>
      <c r="AA4" s="30">
        <f>IF(OR($O4="Solar",$O4="Wind"),INDEX(Land_Use[AVG],MATCH($O4,Land_Use[Tech],0)),0)*$R4</f>
        <v>0</v>
      </c>
      <c r="AB4" s="30">
        <f>IF(OR($O4="Solar",$O4="Wind"),INDEX(Land_Use[MIN],MATCH($O4,Land_Use[Tech],0)),0)*$R4</f>
        <v>0</v>
      </c>
      <c r="AC4" s="30">
        <f>IF(OR($O4="Solar",$O4="Wind"),INDEX(Land_Use[MAX],MATCH($O4,Land_Use[Tech],0)),0)*$R4</f>
        <v>0</v>
      </c>
      <c r="AF4" t="s">
        <v>107</v>
      </c>
      <c r="AG4" t="s">
        <v>136</v>
      </c>
    </row>
    <row r="5" spans="1:33" x14ac:dyDescent="0.35">
      <c r="A5" t="s">
        <v>76</v>
      </c>
      <c r="B5">
        <v>2027</v>
      </c>
      <c r="C5" s="43">
        <f t="shared" si="0"/>
        <v>3512.6440795881904</v>
      </c>
      <c r="D5" s="43">
        <f t="shared" si="1"/>
        <v>325.27999999999997</v>
      </c>
      <c r="E5" s="8">
        <f t="shared" si="2"/>
        <v>-1.4340229131582778</v>
      </c>
      <c r="F5" s="8">
        <f t="shared" si="3"/>
        <v>-1.287556710711018</v>
      </c>
      <c r="G5" s="8">
        <f t="shared" si="4"/>
        <v>-1.580489105028785</v>
      </c>
      <c r="H5" s="13">
        <f t="shared" si="5"/>
        <v>13107.454278558667</v>
      </c>
      <c r="I5" s="13">
        <f t="shared" si="6"/>
        <v>10095.627422846932</v>
      </c>
      <c r="J5" s="13">
        <f t="shared" si="7"/>
        <v>16119.281134270399</v>
      </c>
      <c r="M5" t="s">
        <v>76</v>
      </c>
      <c r="N5">
        <v>1</v>
      </c>
      <c r="O5" t="s">
        <v>85</v>
      </c>
      <c r="P5">
        <v>2027</v>
      </c>
      <c r="Q5" s="13">
        <v>588.13652173913044</v>
      </c>
      <c r="R5" s="13">
        <f>SUMIFS($Q$3:Q5,$O$3:O5,O5,$M$3:M5,M5)</f>
        <v>1764.4095652173914</v>
      </c>
      <c r="S5" s="13">
        <v>1171.0983188067505</v>
      </c>
      <c r="T5" s="13">
        <f t="shared" si="9"/>
        <v>2066297.0755126367</v>
      </c>
      <c r="U5" s="42">
        <f>Assumptions!B87</f>
        <v>-0.1355825336</v>
      </c>
      <c r="V5" s="42">
        <f>Assumptions!C87</f>
        <v>-0.1217345967</v>
      </c>
      <c r="W5" s="42">
        <f>Assumptions!D87</f>
        <v>-0.14943046950000002</v>
      </c>
      <c r="X5" s="30">
        <f t="shared" si="10"/>
        <v>-280153.79266827379</v>
      </c>
      <c r="Y5" s="30">
        <f t="shared" si="11"/>
        <v>-251539.84114992028</v>
      </c>
      <c r="Z5" s="30">
        <f t="shared" si="12"/>
        <v>-308767.74212033028</v>
      </c>
      <c r="AA5" s="30">
        <f>IF(OR($O5="Solar",$O5="Wind"),INDEX(Land_Use[AVG],MATCH($O5,Land_Use[Tech],0)),0)*$R5</f>
        <v>0</v>
      </c>
      <c r="AB5" s="30">
        <f>IF(OR($O5="Solar",$O5="Wind"),INDEX(Land_Use[MIN],MATCH($O5,Land_Use[Tech],0)),0)*$R5</f>
        <v>0</v>
      </c>
      <c r="AC5" s="30">
        <f>IF(OR($O5="Solar",$O5="Wind"),INDEX(Land_Use[MAX],MATCH($O5,Land_Use[Tech],0)),0)*$R5</f>
        <v>0</v>
      </c>
    </row>
    <row r="6" spans="1:33" x14ac:dyDescent="0.35">
      <c r="A6" t="s">
        <v>76</v>
      </c>
      <c r="B6">
        <v>2028</v>
      </c>
      <c r="C6" s="43">
        <f t="shared" si="0"/>
        <v>4683.5254394509193</v>
      </c>
      <c r="D6" s="43">
        <f t="shared" si="1"/>
        <v>438.23</v>
      </c>
      <c r="E6" s="8">
        <f t="shared" si="2"/>
        <v>-1.8182968491586886</v>
      </c>
      <c r="F6" s="8">
        <f t="shared" si="3"/>
        <v>-1.6136839665392695</v>
      </c>
      <c r="G6" s="8">
        <f t="shared" si="4"/>
        <v>-2.0229097179358733</v>
      </c>
      <c r="H6" s="13">
        <f t="shared" si="5"/>
        <v>17487.914038078219</v>
      </c>
      <c r="I6" s="13">
        <f t="shared" si="6"/>
        <v>13464.455230462574</v>
      </c>
      <c r="J6" s="13">
        <f t="shared" si="7"/>
        <v>21511.372845693862</v>
      </c>
      <c r="M6" t="s">
        <v>76</v>
      </c>
      <c r="N6">
        <v>1</v>
      </c>
      <c r="O6" t="s">
        <v>85</v>
      </c>
      <c r="P6">
        <v>2028</v>
      </c>
      <c r="Q6" s="13">
        <v>588.13652173913044</v>
      </c>
      <c r="R6" s="13">
        <f>SUMIFS($Q$3:Q6,$O$3:O6,O6,$M$3:M6,M6)</f>
        <v>2352.5460869565218</v>
      </c>
      <c r="S6" s="13">
        <v>1171.0983188067505</v>
      </c>
      <c r="T6" s="13">
        <f t="shared" si="9"/>
        <v>2755062.7673501819</v>
      </c>
      <c r="U6" s="42">
        <f>Assumptions!B88</f>
        <v>-0.13135860939999999</v>
      </c>
      <c r="V6" s="42">
        <f>Assumptions!C88</f>
        <v>-0.11657682955000001</v>
      </c>
      <c r="W6" s="42">
        <f>Assumptions!D88</f>
        <v>-0.14614038825000003</v>
      </c>
      <c r="X6" s="30">
        <f t="shared" si="10"/>
        <v>-361901.21392883558</v>
      </c>
      <c r="Y6" s="30">
        <f t="shared" si="11"/>
        <v>-321176.4826289335</v>
      </c>
      <c r="Z6" s="30">
        <f t="shared" si="12"/>
        <v>-402625.94247367512</v>
      </c>
      <c r="AA6" s="30">
        <f>IF(OR($O6="Solar",$O6="Wind"),INDEX(Land_Use[AVG],MATCH($O6,Land_Use[Tech],0)),0)*$R6</f>
        <v>0</v>
      </c>
      <c r="AB6" s="30">
        <f>IF(OR($O6="Solar",$O6="Wind"),INDEX(Land_Use[MIN],MATCH($O6,Land_Use[Tech],0)),0)*$R6</f>
        <v>0</v>
      </c>
      <c r="AC6" s="30">
        <f>IF(OR($O6="Solar",$O6="Wind"),INDEX(Land_Use[MAX],MATCH($O6,Land_Use[Tech],0)),0)*$R6</f>
        <v>0</v>
      </c>
    </row>
    <row r="7" spans="1:33" x14ac:dyDescent="0.35">
      <c r="A7" t="s">
        <v>76</v>
      </c>
      <c r="B7">
        <v>2029</v>
      </c>
      <c r="C7" s="43">
        <f t="shared" si="0"/>
        <v>5854.4067993136505</v>
      </c>
      <c r="D7" s="43">
        <f t="shared" si="1"/>
        <v>551.17999999999995</v>
      </c>
      <c r="E7" s="8">
        <f t="shared" si="2"/>
        <v>-2.1583691551665245</v>
      </c>
      <c r="F7" s="8">
        <f t="shared" si="3"/>
        <v>-1.8915645813211512</v>
      </c>
      <c r="G7" s="8">
        <f t="shared" si="4"/>
        <v>-2.4251737120348711</v>
      </c>
      <c r="H7" s="13">
        <f t="shared" si="5"/>
        <v>21868.373797597778</v>
      </c>
      <c r="I7" s="13">
        <f t="shared" si="6"/>
        <v>16833.283038078222</v>
      </c>
      <c r="J7" s="13">
        <f t="shared" si="7"/>
        <v>26903.464557117331</v>
      </c>
      <c r="M7" t="s">
        <v>76</v>
      </c>
      <c r="N7">
        <v>1</v>
      </c>
      <c r="O7" t="s">
        <v>85</v>
      </c>
      <c r="P7">
        <v>2029</v>
      </c>
      <c r="Q7" s="13">
        <v>588.13652173913044</v>
      </c>
      <c r="R7" s="13">
        <f>SUMIFS($Q$3:Q7,$O$3:O7,O7,$M$3:M7,M7)</f>
        <v>2940.6826086956521</v>
      </c>
      <c r="S7" s="13">
        <v>1171.0983188067505</v>
      </c>
      <c r="T7" s="13">
        <f t="shared" si="9"/>
        <v>3443828.4591877274</v>
      </c>
      <c r="U7" s="42">
        <f>Assumptions!B89</f>
        <v>-0.12713468519999999</v>
      </c>
      <c r="V7" s="42">
        <f>Assumptions!C89</f>
        <v>-0.11141906240000002</v>
      </c>
      <c r="W7" s="42">
        <f>Assumptions!D89</f>
        <v>-0.14285030700000004</v>
      </c>
      <c r="X7" s="30">
        <f t="shared" si="10"/>
        <v>-437830.0470416327</v>
      </c>
      <c r="Y7" s="30">
        <f t="shared" si="11"/>
        <v>-383708.13798913331</v>
      </c>
      <c r="Z7" s="30">
        <f t="shared" si="12"/>
        <v>-491951.95265030395</v>
      </c>
      <c r="AA7" s="30">
        <f>IF(OR($O7="Solar",$O7="Wind"),INDEX(Land_Use[AVG],MATCH($O7,Land_Use[Tech],0)),0)*$R7</f>
        <v>0</v>
      </c>
      <c r="AB7" s="30">
        <f>IF(OR($O7="Solar",$O7="Wind"),INDEX(Land_Use[MIN],MATCH($O7,Land_Use[Tech],0)),0)*$R7</f>
        <v>0</v>
      </c>
      <c r="AC7" s="30">
        <f>IF(OR($O7="Solar",$O7="Wind"),INDEX(Land_Use[MAX],MATCH($O7,Land_Use[Tech],0)),0)*$R7</f>
        <v>0</v>
      </c>
    </row>
    <row r="8" spans="1:33" x14ac:dyDescent="0.35">
      <c r="A8" t="s">
        <v>76</v>
      </c>
      <c r="B8">
        <v>2030</v>
      </c>
      <c r="C8" s="43">
        <f t="shared" si="0"/>
        <v>7025.2881591763798</v>
      </c>
      <c r="D8" s="43">
        <f t="shared" si="1"/>
        <v>664.13</v>
      </c>
      <c r="E8" s="8">
        <f t="shared" si="2"/>
        <v>-2.4594706762128102</v>
      </c>
      <c r="F8" s="8">
        <f t="shared" si="3"/>
        <v>-2.126311297379134</v>
      </c>
      <c r="G8" s="8">
        <f t="shared" si="4"/>
        <v>-2.7926300350362743</v>
      </c>
      <c r="H8" s="13">
        <f t="shared" si="5"/>
        <v>26248.83355711733</v>
      </c>
      <c r="I8" s="13">
        <f t="shared" si="6"/>
        <v>20202.110845693864</v>
      </c>
      <c r="J8" s="13">
        <f t="shared" si="7"/>
        <v>32295.556268540797</v>
      </c>
      <c r="M8" t="s">
        <v>76</v>
      </c>
      <c r="N8">
        <v>1</v>
      </c>
      <c r="O8" t="s">
        <v>85</v>
      </c>
      <c r="P8">
        <v>2030</v>
      </c>
      <c r="Q8" s="13">
        <v>588.13652173913044</v>
      </c>
      <c r="R8" s="13">
        <f>SUMIFS($Q$3:Q8,$O$3:O8,O8,$M$3:M8,M8)</f>
        <v>3528.8191304347824</v>
      </c>
      <c r="S8" s="13">
        <v>1171.0983188067505</v>
      </c>
      <c r="T8" s="13">
        <f t="shared" si="9"/>
        <v>4132594.1510252729</v>
      </c>
      <c r="U8" s="42">
        <f>Assumptions!B90</f>
        <v>-0.12291076099999998</v>
      </c>
      <c r="V8" s="42">
        <f>Assumptions!C90</f>
        <v>-0.10626129525000003</v>
      </c>
      <c r="W8" s="42">
        <f>Assumptions!D90</f>
        <v>-0.13956022575000004</v>
      </c>
      <c r="X8" s="30">
        <f t="shared" si="10"/>
        <v>-507940.29200666514</v>
      </c>
      <c r="Y8" s="30">
        <f t="shared" si="11"/>
        <v>-439134.80723051971</v>
      </c>
      <c r="Z8" s="30">
        <f t="shared" si="12"/>
        <v>-576745.77265021682</v>
      </c>
      <c r="AA8" s="30">
        <f>IF(OR($O8="Solar",$O8="Wind"),INDEX(Land_Use[AVG],MATCH($O8,Land_Use[Tech],0)),0)*$R8</f>
        <v>0</v>
      </c>
      <c r="AB8" s="30">
        <f>IF(OR($O8="Solar",$O8="Wind"),INDEX(Land_Use[MIN],MATCH($O8,Land_Use[Tech],0)),0)*$R8</f>
        <v>0</v>
      </c>
      <c r="AC8" s="30">
        <f>IF(OR($O8="Solar",$O8="Wind"),INDEX(Land_Use[MAX],MATCH($O8,Land_Use[Tech],0)),0)*$R8</f>
        <v>0</v>
      </c>
    </row>
    <row r="9" spans="1:33" x14ac:dyDescent="0.35">
      <c r="A9" t="s">
        <v>76</v>
      </c>
      <c r="B9">
        <v>2031</v>
      </c>
      <c r="C9" s="43">
        <f t="shared" si="0"/>
        <v>8196.1695190391092</v>
      </c>
      <c r="D9" s="43">
        <f t="shared" si="1"/>
        <v>777.08</v>
      </c>
      <c r="E9" s="8">
        <f t="shared" si="2"/>
        <v>-2.7159592189959239</v>
      </c>
      <c r="F9" s="8">
        <f t="shared" si="3"/>
        <v>-2.3135932056132495</v>
      </c>
      <c r="G9" s="8">
        <f t="shared" si="4"/>
        <v>-3.1183252094951937</v>
      </c>
      <c r="H9" s="13">
        <f t="shared" si="5"/>
        <v>30629.293316636882</v>
      </c>
      <c r="I9" s="13">
        <f t="shared" si="6"/>
        <v>23570.938653309506</v>
      </c>
      <c r="J9" s="13">
        <f t="shared" si="7"/>
        <v>37687.647979964255</v>
      </c>
      <c r="M9" t="s">
        <v>76</v>
      </c>
      <c r="N9">
        <v>1</v>
      </c>
      <c r="O9" t="s">
        <v>85</v>
      </c>
      <c r="P9">
        <v>2031</v>
      </c>
      <c r="Q9" s="13">
        <v>588.13652173913044</v>
      </c>
      <c r="R9" s="13">
        <f>SUMIFS($Q$3:Q9,$O$3:O9,O9,$M$3:M9,M9)</f>
        <v>4116.9556521739132</v>
      </c>
      <c r="S9" s="13">
        <v>1171.0983188067505</v>
      </c>
      <c r="T9" s="13">
        <f t="shared" si="9"/>
        <v>4821359.8428628193</v>
      </c>
      <c r="U9" s="42">
        <f>Assumptions!B91</f>
        <v>-0.11868683679999997</v>
      </c>
      <c r="V9" s="42">
        <f>Assumptions!C91</f>
        <v>-0.10110352810000003</v>
      </c>
      <c r="W9" s="42">
        <f>Assumptions!D91</f>
        <v>-0.13627014450000005</v>
      </c>
      <c r="X9" s="30">
        <f t="shared" si="10"/>
        <v>-572231.94882393291</v>
      </c>
      <c r="Y9" s="30">
        <f t="shared" si="11"/>
        <v>-487456.49035309278</v>
      </c>
      <c r="Z9" s="30">
        <f t="shared" si="12"/>
        <v>-657007.40247341397</v>
      </c>
      <c r="AA9" s="30">
        <f>IF(OR($O9="Solar",$O9="Wind"),INDEX(Land_Use[AVG],MATCH($O9,Land_Use[Tech],0)),0)*$R9</f>
        <v>0</v>
      </c>
      <c r="AB9" s="30">
        <f>IF(OR($O9="Solar",$O9="Wind"),INDEX(Land_Use[MIN],MATCH($O9,Land_Use[Tech],0)),0)*$R9</f>
        <v>0</v>
      </c>
      <c r="AC9" s="30">
        <f>IF(OR($O9="Solar",$O9="Wind"),INDEX(Land_Use[MAX],MATCH($O9,Land_Use[Tech],0)),0)*$R9</f>
        <v>0</v>
      </c>
    </row>
    <row r="10" spans="1:33" x14ac:dyDescent="0.35">
      <c r="A10" t="s">
        <v>76</v>
      </c>
      <c r="B10">
        <v>2032</v>
      </c>
      <c r="C10" s="43">
        <f t="shared" si="0"/>
        <v>9367.0508789018404</v>
      </c>
      <c r="D10" s="43">
        <f t="shared" si="1"/>
        <v>890.03</v>
      </c>
      <c r="E10" s="8">
        <f t="shared" si="2"/>
        <v>-2.9364953257507964</v>
      </c>
      <c r="F10" s="8">
        <f t="shared" si="3"/>
        <v>-2.4614460016394735</v>
      </c>
      <c r="G10" s="8">
        <f t="shared" si="4"/>
        <v>-3.4115446242075667</v>
      </c>
      <c r="H10" s="13">
        <f t="shared" si="5"/>
        <v>35009.753076156441</v>
      </c>
      <c r="I10" s="13">
        <f t="shared" si="6"/>
        <v>26939.766460925151</v>
      </c>
      <c r="J10" s="13">
        <f t="shared" si="7"/>
        <v>43079.739691387731</v>
      </c>
      <c r="M10" t="s">
        <v>76</v>
      </c>
      <c r="N10">
        <v>1</v>
      </c>
      <c r="O10" t="s">
        <v>85</v>
      </c>
      <c r="P10">
        <v>2032</v>
      </c>
      <c r="Q10" s="13">
        <v>588.13652173913044</v>
      </c>
      <c r="R10" s="13">
        <f>SUMIFS($Q$3:Q10,$O$3:O10,O10,$M$3:M10,M10)</f>
        <v>4705.0921739130436</v>
      </c>
      <c r="S10" s="13">
        <v>1171.0983188067505</v>
      </c>
      <c r="T10" s="13">
        <f t="shared" si="9"/>
        <v>5510125.5347003639</v>
      </c>
      <c r="U10" s="42">
        <f>Assumptions!B92</f>
        <v>-0.11446291259999997</v>
      </c>
      <c r="V10" s="42">
        <f>Assumptions!C92</f>
        <v>-9.5945760950000042E-2</v>
      </c>
      <c r="W10" s="42">
        <f>Assumptions!D92</f>
        <v>-0.13298006325000006</v>
      </c>
      <c r="X10" s="30">
        <f t="shared" si="10"/>
        <v>-630705.01749343588</v>
      </c>
      <c r="Y10" s="30">
        <f t="shared" si="11"/>
        <v>-528673.18735685223</v>
      </c>
      <c r="Z10" s="30">
        <f t="shared" si="12"/>
        <v>-732736.84211989481</v>
      </c>
      <c r="AA10" s="30">
        <f>IF(OR($O10="Solar",$O10="Wind"),INDEX(Land_Use[AVG],MATCH($O10,Land_Use[Tech],0)),0)*$R10</f>
        <v>0</v>
      </c>
      <c r="AB10" s="30">
        <f>IF(OR($O10="Solar",$O10="Wind"),INDEX(Land_Use[MIN],MATCH($O10,Land_Use[Tech],0)),0)*$R10</f>
        <v>0</v>
      </c>
      <c r="AC10" s="30">
        <f>IF(OR($O10="Solar",$O10="Wind"),INDEX(Land_Use[MAX],MATCH($O10,Land_Use[Tech],0)),0)*$R10</f>
        <v>0</v>
      </c>
    </row>
    <row r="11" spans="1:33" x14ac:dyDescent="0.35">
      <c r="A11" t="s">
        <v>76</v>
      </c>
      <c r="B11">
        <v>2033</v>
      </c>
      <c r="C11" s="43">
        <f t="shared" si="0"/>
        <v>10537.93223876457</v>
      </c>
      <c r="D11" s="43">
        <f t="shared" si="1"/>
        <v>1002.98</v>
      </c>
      <c r="E11" s="8">
        <f t="shared" si="2"/>
        <v>-3.116031812070204</v>
      </c>
      <c r="F11" s="8">
        <f t="shared" si="3"/>
        <v>-2.5662270757451249</v>
      </c>
      <c r="G11" s="8">
        <f t="shared" si="4"/>
        <v>-3.6658365201291394</v>
      </c>
      <c r="H11" s="13">
        <f t="shared" si="5"/>
        <v>39390.212835675993</v>
      </c>
      <c r="I11" s="13">
        <f t="shared" si="6"/>
        <v>30308.594268540794</v>
      </c>
      <c r="J11" s="13">
        <f t="shared" si="7"/>
        <v>48471.8314028112</v>
      </c>
      <c r="M11" t="s">
        <v>76</v>
      </c>
      <c r="N11">
        <v>1</v>
      </c>
      <c r="O11" t="s">
        <v>85</v>
      </c>
      <c r="P11">
        <v>2033</v>
      </c>
      <c r="Q11" s="13">
        <v>588.13652173913044</v>
      </c>
      <c r="R11" s="13">
        <f>SUMIFS($Q$3:Q11,$O$3:O11,O11,$M$3:M11,M11)</f>
        <v>5293.2286956521739</v>
      </c>
      <c r="S11" s="13">
        <v>1171.0983188067505</v>
      </c>
      <c r="T11" s="13">
        <f t="shared" si="9"/>
        <v>6198891.2265379094</v>
      </c>
      <c r="U11" s="42">
        <f>Assumptions!B93</f>
        <v>-0.11023898839999996</v>
      </c>
      <c r="V11" s="42">
        <f>Assumptions!C93</f>
        <v>-9.078799380000005E-2</v>
      </c>
      <c r="W11" s="42">
        <f>Assumptions!D93</f>
        <v>-0.12968998200000006</v>
      </c>
      <c r="X11" s="30">
        <f t="shared" si="10"/>
        <v>-683359.49801517406</v>
      </c>
      <c r="Y11" s="30">
        <f t="shared" si="11"/>
        <v>-562784.89824179839</v>
      </c>
      <c r="Z11" s="30">
        <f t="shared" si="12"/>
        <v>-803934.0915896598</v>
      </c>
      <c r="AA11" s="30">
        <f>IF(OR($O11="Solar",$O11="Wind"),INDEX(Land_Use[AVG],MATCH($O11,Land_Use[Tech],0)),0)*$R11</f>
        <v>0</v>
      </c>
      <c r="AB11" s="30">
        <f>IF(OR($O11="Solar",$O11="Wind"),INDEX(Land_Use[MIN],MATCH($O11,Land_Use[Tech],0)),0)*$R11</f>
        <v>0</v>
      </c>
      <c r="AC11" s="30">
        <f>IF(OR($O11="Solar",$O11="Wind"),INDEX(Land_Use[MAX],MATCH($O11,Land_Use[Tech],0)),0)*$R11</f>
        <v>0</v>
      </c>
    </row>
    <row r="12" spans="1:33" x14ac:dyDescent="0.35">
      <c r="A12" t="s">
        <v>76</v>
      </c>
      <c r="B12">
        <v>2034</v>
      </c>
      <c r="C12" s="43">
        <f t="shared" si="0"/>
        <v>11708.813598627299</v>
      </c>
      <c r="D12" s="43">
        <f t="shared" si="1"/>
        <v>1115.93</v>
      </c>
      <c r="E12" s="8">
        <f t="shared" si="2"/>
        <v>-3.4627213084463446</v>
      </c>
      <c r="F12" s="8">
        <f t="shared" si="3"/>
        <v>-2.7969007301515676</v>
      </c>
      <c r="G12" s="8">
        <f t="shared" si="4"/>
        <v>-4.1285418540785876</v>
      </c>
      <c r="H12" s="13">
        <f t="shared" si="5"/>
        <v>43770.672595195545</v>
      </c>
      <c r="I12" s="13">
        <f t="shared" si="6"/>
        <v>33677.422076156436</v>
      </c>
      <c r="J12" s="13">
        <f t="shared" si="7"/>
        <v>53863.923114234662</v>
      </c>
      <c r="M12" t="s">
        <v>76</v>
      </c>
      <c r="N12">
        <v>1</v>
      </c>
      <c r="O12" t="s">
        <v>85</v>
      </c>
      <c r="P12">
        <v>2034</v>
      </c>
      <c r="Q12" s="13">
        <v>588.13652173913044</v>
      </c>
      <c r="R12" s="13">
        <f>SUMIFS($Q$3:Q12,$O$3:O12,O12,$M$3:M12,M12)</f>
        <v>5881.3652173913042</v>
      </c>
      <c r="S12" s="13">
        <v>1171.0983188067505</v>
      </c>
      <c r="T12" s="13">
        <f t="shared" si="9"/>
        <v>6887656.9183754548</v>
      </c>
      <c r="U12" s="42">
        <f>Assumptions!B94</f>
        <v>-0.10601506419999995</v>
      </c>
      <c r="V12" s="42">
        <f>Assumptions!C94</f>
        <v>-8.5630226650000058E-2</v>
      </c>
      <c r="W12" s="42">
        <f>Assumptions!D94</f>
        <v>-0.12639990075000007</v>
      </c>
      <c r="X12" s="30">
        <f t="shared" si="10"/>
        <v>-730195.39038914768</v>
      </c>
      <c r="Y12" s="30">
        <f t="shared" si="11"/>
        <v>-589791.62300793116</v>
      </c>
      <c r="Z12" s="30">
        <f t="shared" si="12"/>
        <v>-870599.15088270884</v>
      </c>
      <c r="AA12" s="30">
        <f>IF(OR($O12="Solar",$O12="Wind"),INDEX(Land_Use[AVG],MATCH($O12,Land_Use[Tech],0)),0)*$R12</f>
        <v>0</v>
      </c>
      <c r="AB12" s="30">
        <f>IF(OR($O12="Solar",$O12="Wind"),INDEX(Land_Use[MIN],MATCH($O12,Land_Use[Tech],0)),0)*$R12</f>
        <v>0</v>
      </c>
      <c r="AC12" s="30">
        <f>IF(OR($O12="Solar",$O12="Wind"),INDEX(Land_Use[MAX],MATCH($O12,Land_Use[Tech],0)),0)*$R12</f>
        <v>0</v>
      </c>
    </row>
    <row r="13" spans="1:33" x14ac:dyDescent="0.35">
      <c r="A13" t="s">
        <v>76</v>
      </c>
      <c r="B13">
        <v>2035</v>
      </c>
      <c r="C13" s="43">
        <f t="shared" si="0"/>
        <v>12879.69495849003</v>
      </c>
      <c r="D13" s="43">
        <f t="shared" si="1"/>
        <v>1228.8800000000001</v>
      </c>
      <c r="E13" s="8">
        <f t="shared" si="2"/>
        <v>-3.5667551564496169</v>
      </c>
      <c r="F13" s="8">
        <f t="shared" si="3"/>
        <v>-2.8197499298446638</v>
      </c>
      <c r="G13" s="8">
        <f t="shared" si="4"/>
        <v>-4.3137603480146405</v>
      </c>
      <c r="H13" s="13">
        <f t="shared" si="5"/>
        <v>48151.132354715104</v>
      </c>
      <c r="I13" s="13">
        <f t="shared" si="6"/>
        <v>37046.249883772085</v>
      </c>
      <c r="J13" s="13">
        <f t="shared" si="7"/>
        <v>59256.014825658131</v>
      </c>
      <c r="M13" t="s">
        <v>76</v>
      </c>
      <c r="N13">
        <v>1</v>
      </c>
      <c r="O13" t="s">
        <v>85</v>
      </c>
      <c r="P13">
        <v>2035</v>
      </c>
      <c r="Q13" s="13">
        <v>588.13652173913044</v>
      </c>
      <c r="R13" s="13">
        <f>SUMIFS($Q$3:Q13,$O$3:O13,O13,$M$3:M13,M13)</f>
        <v>6469.5017391304345</v>
      </c>
      <c r="S13" s="13">
        <v>1171.0983188067505</v>
      </c>
      <c r="T13" s="13">
        <f t="shared" si="9"/>
        <v>7576422.6102130003</v>
      </c>
      <c r="U13" s="42">
        <f>Assumptions!B95</f>
        <v>-0.10179113999999995</v>
      </c>
      <c r="V13" s="42">
        <f>Assumptions!C95</f>
        <v>-8.0472459500000065E-2</v>
      </c>
      <c r="W13" s="42">
        <f>Assumptions!D95</f>
        <v>-0.12310981950000006</v>
      </c>
      <c r="X13" s="30">
        <f t="shared" si="10"/>
        <v>-771212.69461535651</v>
      </c>
      <c r="Y13" s="30">
        <f t="shared" si="11"/>
        <v>-609693.36165525042</v>
      </c>
      <c r="Z13" s="30">
        <f t="shared" si="12"/>
        <v>-932732.0199990418</v>
      </c>
      <c r="AA13" s="30">
        <f>IF(OR($O13="Solar",$O13="Wind"),INDEX(Land_Use[AVG],MATCH($O13,Land_Use[Tech],0)),0)*$R13</f>
        <v>0</v>
      </c>
      <c r="AB13" s="30">
        <f>IF(OR($O13="Solar",$O13="Wind"),INDEX(Land_Use[MIN],MATCH($O13,Land_Use[Tech],0)),0)*$R13</f>
        <v>0</v>
      </c>
      <c r="AC13" s="30">
        <f>IF(OR($O13="Solar",$O13="Wind"),INDEX(Land_Use[MAX],MATCH($O13,Land_Use[Tech],0)),0)*$R13</f>
        <v>0</v>
      </c>
    </row>
    <row r="14" spans="1:33" x14ac:dyDescent="0.35">
      <c r="A14" t="s">
        <v>76</v>
      </c>
      <c r="B14">
        <v>2036</v>
      </c>
      <c r="C14" s="43">
        <f t="shared" si="0"/>
        <v>12879.69495849003</v>
      </c>
      <c r="D14" s="43">
        <f t="shared" si="1"/>
        <v>1228.8800000000001</v>
      </c>
      <c r="E14" s="8">
        <f t="shared" si="2"/>
        <v>-3.3512329426512539</v>
      </c>
      <c r="F14" s="8">
        <f t="shared" si="3"/>
        <v>-2.5869045867450575</v>
      </c>
      <c r="G14" s="8">
        <f t="shared" si="4"/>
        <v>-4.1155612642095205</v>
      </c>
      <c r="H14" s="13">
        <f t="shared" si="5"/>
        <v>48151.132354715104</v>
      </c>
      <c r="I14" s="13">
        <f t="shared" si="6"/>
        <v>37046.249883772085</v>
      </c>
      <c r="J14" s="13">
        <f t="shared" si="7"/>
        <v>59256.014825658131</v>
      </c>
      <c r="M14" t="s">
        <v>76</v>
      </c>
      <c r="N14">
        <v>1</v>
      </c>
      <c r="O14" t="s">
        <v>85</v>
      </c>
      <c r="P14">
        <v>2036</v>
      </c>
      <c r="Q14" s="13">
        <v>0</v>
      </c>
      <c r="R14" s="13">
        <f>SUMIFS($Q$3:Q14,$O$3:O14,O14,$M$3:M14,M14)</f>
        <v>6469.5017391304345</v>
      </c>
      <c r="S14" s="13">
        <v>1171.0983188067505</v>
      </c>
      <c r="T14" s="13">
        <f t="shared" si="9"/>
        <v>7576422.6102130003</v>
      </c>
      <c r="U14" s="42">
        <f>Assumptions!B96</f>
        <v>-9.756721579999994E-2</v>
      </c>
      <c r="V14" s="42">
        <f>Assumptions!C96</f>
        <v>-7.5314692350000073E-2</v>
      </c>
      <c r="W14" s="42">
        <f>Assumptions!D96</f>
        <v>-0.11981973825000006</v>
      </c>
      <c r="X14" s="30">
        <f t="shared" si="10"/>
        <v>-739210.45980265061</v>
      </c>
      <c r="Y14" s="30">
        <f t="shared" si="11"/>
        <v>-570615.9380017767</v>
      </c>
      <c r="Z14" s="30">
        <f t="shared" si="12"/>
        <v>-907804.97402710386</v>
      </c>
      <c r="AA14" s="30">
        <f>IF(OR($O14="Solar",$O14="Wind"),INDEX(Land_Use[AVG],MATCH($O14,Land_Use[Tech],0)),0)*$R14</f>
        <v>0</v>
      </c>
      <c r="AB14" s="30">
        <f>IF(OR($O14="Solar",$O14="Wind"),INDEX(Land_Use[MIN],MATCH($O14,Land_Use[Tech],0)),0)*$R14</f>
        <v>0</v>
      </c>
      <c r="AC14" s="30">
        <f>IF(OR($O14="Solar",$O14="Wind"),INDEX(Land_Use[MAX],MATCH($O14,Land_Use[Tech],0)),0)*$R14</f>
        <v>0</v>
      </c>
    </row>
    <row r="15" spans="1:33" x14ac:dyDescent="0.35">
      <c r="A15" t="s">
        <v>76</v>
      </c>
      <c r="B15">
        <v>2037</v>
      </c>
      <c r="C15" s="43">
        <f t="shared" si="0"/>
        <v>12879.69495849003</v>
      </c>
      <c r="D15" s="43">
        <f t="shared" si="1"/>
        <v>1228.8800000000001</v>
      </c>
      <c r="E15" s="8">
        <f t="shared" si="2"/>
        <v>-3.1415566106471684</v>
      </c>
      <c r="F15" s="8">
        <f t="shared" si="3"/>
        <v>-2.3611975576050863</v>
      </c>
      <c r="G15" s="8">
        <f t="shared" si="4"/>
        <v>-3.9219156300333147</v>
      </c>
      <c r="H15" s="13">
        <f t="shared" si="5"/>
        <v>48151.132354715104</v>
      </c>
      <c r="I15" s="13">
        <f t="shared" si="6"/>
        <v>37046.249883772085</v>
      </c>
      <c r="J15" s="13">
        <f t="shared" si="7"/>
        <v>59256.014825658131</v>
      </c>
      <c r="M15" t="s">
        <v>76</v>
      </c>
      <c r="N15">
        <v>1</v>
      </c>
      <c r="O15" t="s">
        <v>85</v>
      </c>
      <c r="P15">
        <v>2037</v>
      </c>
      <c r="Q15" s="13">
        <v>0</v>
      </c>
      <c r="R15" s="13">
        <f>SUMIFS($Q$3:Q15,$O$3:O15,O15,$M$3:M15,M15)</f>
        <v>6469.5017391304345</v>
      </c>
      <c r="S15" s="13">
        <v>1171.0983188067505</v>
      </c>
      <c r="T15" s="13">
        <f t="shared" si="9"/>
        <v>7576422.6102130003</v>
      </c>
      <c r="U15" s="42">
        <f>Assumptions!B97</f>
        <v>-9.3343291599999934E-2</v>
      </c>
      <c r="V15" s="42">
        <f>Assumptions!C97</f>
        <v>-7.0156925200000081E-2</v>
      </c>
      <c r="W15" s="42">
        <f>Assumptions!D97</f>
        <v>-0.11652965700000005</v>
      </c>
      <c r="X15" s="30">
        <f t="shared" si="10"/>
        <v>-707208.22498994472</v>
      </c>
      <c r="Y15" s="30">
        <f t="shared" si="11"/>
        <v>-531538.51434830285</v>
      </c>
      <c r="Z15" s="30">
        <f t="shared" si="12"/>
        <v>-882877.92805516603</v>
      </c>
      <c r="AA15" s="30">
        <f>IF(OR($O15="Solar",$O15="Wind"),INDEX(Land_Use[AVG],MATCH($O15,Land_Use[Tech],0)),0)*$R15</f>
        <v>0</v>
      </c>
      <c r="AB15" s="30">
        <f>IF(OR($O15="Solar",$O15="Wind"),INDEX(Land_Use[MIN],MATCH($O15,Land_Use[Tech],0)),0)*$R15</f>
        <v>0</v>
      </c>
      <c r="AC15" s="30">
        <f>IF(OR($O15="Solar",$O15="Wind"),INDEX(Land_Use[MAX],MATCH($O15,Land_Use[Tech],0)),0)*$R15</f>
        <v>0</v>
      </c>
    </row>
    <row r="16" spans="1:33" x14ac:dyDescent="0.35">
      <c r="A16" t="s">
        <v>76</v>
      </c>
      <c r="B16">
        <v>2038</v>
      </c>
      <c r="C16" s="43">
        <f t="shared" si="0"/>
        <v>12879.69495849003</v>
      </c>
      <c r="D16" s="43">
        <f t="shared" si="1"/>
        <v>1228.8800000000001</v>
      </c>
      <c r="E16" s="8">
        <f t="shared" si="2"/>
        <v>-2.9377261604373572</v>
      </c>
      <c r="F16" s="8">
        <f t="shared" si="3"/>
        <v>-2.1426288424247479</v>
      </c>
      <c r="G16" s="8">
        <f t="shared" si="4"/>
        <v>-3.7328234454860278</v>
      </c>
      <c r="H16" s="13">
        <f t="shared" si="5"/>
        <v>48151.132354715104</v>
      </c>
      <c r="I16" s="13">
        <f t="shared" si="6"/>
        <v>37046.249883772085</v>
      </c>
      <c r="J16" s="13">
        <f t="shared" si="7"/>
        <v>59256.014825658131</v>
      </c>
      <c r="M16" t="s">
        <v>76</v>
      </c>
      <c r="N16">
        <v>1</v>
      </c>
      <c r="O16" t="s">
        <v>85</v>
      </c>
      <c r="P16">
        <v>2038</v>
      </c>
      <c r="Q16" s="13">
        <v>0</v>
      </c>
      <c r="R16" s="13">
        <f>SUMIFS($Q$3:Q16,$O$3:O16,O16,$M$3:M16,M16)</f>
        <v>6469.5017391304345</v>
      </c>
      <c r="S16" s="13">
        <v>1171.0983188067505</v>
      </c>
      <c r="T16" s="13">
        <f t="shared" si="9"/>
        <v>7576422.6102130003</v>
      </c>
      <c r="U16" s="42">
        <f>Assumptions!B98</f>
        <v>-8.9119367399999927E-2</v>
      </c>
      <c r="V16" s="42">
        <f>Assumptions!C98</f>
        <v>-6.4999158050000089E-2</v>
      </c>
      <c r="W16" s="42">
        <f>Assumptions!D98</f>
        <v>-0.11323957575000004</v>
      </c>
      <c r="X16" s="30">
        <f t="shared" si="10"/>
        <v>-675205.99017723883</v>
      </c>
      <c r="Y16" s="30">
        <f t="shared" si="11"/>
        <v>-492461.09069482901</v>
      </c>
      <c r="Z16" s="30">
        <f t="shared" si="12"/>
        <v>-857950.88208322809</v>
      </c>
      <c r="AA16" s="30">
        <f>IF(OR($O16="Solar",$O16="Wind"),INDEX(Land_Use[AVG],MATCH($O16,Land_Use[Tech],0)),0)*$R16</f>
        <v>0</v>
      </c>
      <c r="AB16" s="30">
        <f>IF(OR($O16="Solar",$O16="Wind"),INDEX(Land_Use[MIN],MATCH($O16,Land_Use[Tech],0)),0)*$R16</f>
        <v>0</v>
      </c>
      <c r="AC16" s="30">
        <f>IF(OR($O16="Solar",$O16="Wind"),INDEX(Land_Use[MAX],MATCH($O16,Land_Use[Tech],0)),0)*$R16</f>
        <v>0</v>
      </c>
    </row>
    <row r="17" spans="1:29" x14ac:dyDescent="0.35">
      <c r="A17" t="s">
        <v>76</v>
      </c>
      <c r="B17">
        <v>2039</v>
      </c>
      <c r="C17" s="43">
        <f t="shared" si="0"/>
        <v>12879.69495849003</v>
      </c>
      <c r="D17" s="43">
        <f t="shared" si="1"/>
        <v>1228.8800000000001</v>
      </c>
      <c r="E17" s="8">
        <f t="shared" si="2"/>
        <v>-2.7397415920218222</v>
      </c>
      <c r="F17" s="8">
        <f t="shared" si="3"/>
        <v>-1.9311984412040455</v>
      </c>
      <c r="G17" s="8">
        <f t="shared" si="4"/>
        <v>-3.5482847105676569</v>
      </c>
      <c r="H17" s="13">
        <f t="shared" si="5"/>
        <v>48151.132354715104</v>
      </c>
      <c r="I17" s="13">
        <f t="shared" si="6"/>
        <v>37046.249883772085</v>
      </c>
      <c r="J17" s="13">
        <f t="shared" si="7"/>
        <v>59256.014825658131</v>
      </c>
      <c r="M17" t="s">
        <v>76</v>
      </c>
      <c r="N17">
        <v>1</v>
      </c>
      <c r="O17" t="s">
        <v>85</v>
      </c>
      <c r="P17">
        <v>2039</v>
      </c>
      <c r="Q17" s="13">
        <v>0</v>
      </c>
      <c r="R17" s="13">
        <f>SUMIFS($Q$3:Q17,$O$3:O17,O17,$M$3:M17,M17)</f>
        <v>6469.5017391304345</v>
      </c>
      <c r="S17" s="13">
        <v>1171.0983188067505</v>
      </c>
      <c r="T17" s="13">
        <f t="shared" si="9"/>
        <v>7576422.6102130003</v>
      </c>
      <c r="U17" s="42">
        <f>Assumptions!B99</f>
        <v>-8.489544319999992E-2</v>
      </c>
      <c r="V17" s="42">
        <f>Assumptions!C99</f>
        <v>-5.984139090000009E-2</v>
      </c>
      <c r="W17" s="42">
        <f>Assumptions!D99</f>
        <v>-0.10994949450000004</v>
      </c>
      <c r="X17" s="30">
        <f t="shared" si="10"/>
        <v>-643203.75536453293</v>
      </c>
      <c r="Y17" s="30">
        <f t="shared" si="11"/>
        <v>-453383.66704135516</v>
      </c>
      <c r="Z17" s="30">
        <f t="shared" si="12"/>
        <v>-833023.83611129015</v>
      </c>
      <c r="AA17" s="30">
        <f>IF(OR($O17="Solar",$O17="Wind"),INDEX(Land_Use[AVG],MATCH($O17,Land_Use[Tech],0)),0)*$R17</f>
        <v>0</v>
      </c>
      <c r="AB17" s="30">
        <f>IF(OR($O17="Solar",$O17="Wind"),INDEX(Land_Use[MIN],MATCH($O17,Land_Use[Tech],0)),0)*$R17</f>
        <v>0</v>
      </c>
      <c r="AC17" s="30">
        <f>IF(OR($O17="Solar",$O17="Wind"),INDEX(Land_Use[MAX],MATCH($O17,Land_Use[Tech],0)),0)*$R17</f>
        <v>0</v>
      </c>
    </row>
    <row r="18" spans="1:29" x14ac:dyDescent="0.35">
      <c r="A18" t="s">
        <v>76</v>
      </c>
      <c r="B18">
        <v>2040</v>
      </c>
      <c r="C18" s="43">
        <f t="shared" si="0"/>
        <v>12879.69495849003</v>
      </c>
      <c r="D18" s="43">
        <f t="shared" si="1"/>
        <v>1228.8800000000001</v>
      </c>
      <c r="E18" s="8">
        <f t="shared" si="2"/>
        <v>-2.5476029054005629</v>
      </c>
      <c r="F18" s="8">
        <f t="shared" si="3"/>
        <v>-1.726906353942977</v>
      </c>
      <c r="G18" s="8">
        <f t="shared" si="4"/>
        <v>-3.3682994252782033</v>
      </c>
      <c r="H18" s="13">
        <f t="shared" si="5"/>
        <v>48151.132354715104</v>
      </c>
      <c r="I18" s="13">
        <f t="shared" si="6"/>
        <v>37046.249883772085</v>
      </c>
      <c r="J18" s="13">
        <f t="shared" si="7"/>
        <v>59256.014825658131</v>
      </c>
      <c r="M18" t="s">
        <v>76</v>
      </c>
      <c r="N18">
        <v>1</v>
      </c>
      <c r="O18" t="s">
        <v>85</v>
      </c>
      <c r="P18">
        <v>2040</v>
      </c>
      <c r="Q18" s="13">
        <v>0</v>
      </c>
      <c r="R18" s="13">
        <f>SUMIFS($Q$3:Q18,$O$3:O18,O18,$M$3:M18,M18)</f>
        <v>6469.5017391304345</v>
      </c>
      <c r="S18" s="13">
        <v>1171.0983188067505</v>
      </c>
      <c r="T18" s="13">
        <f t="shared" si="9"/>
        <v>7576422.6102130003</v>
      </c>
      <c r="U18" s="42">
        <f>Assumptions!B100</f>
        <v>-8.0671518999999914E-2</v>
      </c>
      <c r="V18" s="42">
        <f>Assumptions!C100</f>
        <v>-5.468362375000009E-2</v>
      </c>
      <c r="W18" s="42">
        <f>Assumptions!D100</f>
        <v>-0.10665941325000003</v>
      </c>
      <c r="X18" s="30">
        <f t="shared" si="10"/>
        <v>-611201.52055182704</v>
      </c>
      <c r="Y18" s="30">
        <f t="shared" si="11"/>
        <v>-414306.24338788132</v>
      </c>
      <c r="Z18" s="30">
        <f t="shared" si="12"/>
        <v>-808096.79013935232</v>
      </c>
      <c r="AA18" s="30">
        <f>IF(OR($O18="Solar",$O18="Wind"),INDEX(Land_Use[AVG],MATCH($O18,Land_Use[Tech],0)),0)*$R18</f>
        <v>0</v>
      </c>
      <c r="AB18" s="30">
        <f>IF(OR($O18="Solar",$O18="Wind"),INDEX(Land_Use[MIN],MATCH($O18,Land_Use[Tech],0)),0)*$R18</f>
        <v>0</v>
      </c>
      <c r="AC18" s="30">
        <f>IF(OR($O18="Solar",$O18="Wind"),INDEX(Land_Use[MAX],MATCH($O18,Land_Use[Tech],0)),0)*$R18</f>
        <v>0</v>
      </c>
    </row>
    <row r="19" spans="1:29" x14ac:dyDescent="0.35">
      <c r="A19" t="s">
        <v>76</v>
      </c>
      <c r="B19">
        <v>2041</v>
      </c>
      <c r="C19" s="43">
        <f t="shared" si="0"/>
        <v>12879.69495849003</v>
      </c>
      <c r="D19" s="43">
        <f t="shared" si="1"/>
        <v>1228.8800000000001</v>
      </c>
      <c r="E19" s="8">
        <f t="shared" si="2"/>
        <v>-2.3613101005735793</v>
      </c>
      <c r="F19" s="8">
        <f t="shared" si="3"/>
        <v>-1.5297525806415428</v>
      </c>
      <c r="G19" s="8">
        <f t="shared" si="4"/>
        <v>-3.1928675896176664</v>
      </c>
      <c r="H19" s="13">
        <f t="shared" si="5"/>
        <v>48151.132354715104</v>
      </c>
      <c r="I19" s="13">
        <f t="shared" si="6"/>
        <v>37046.249883772085</v>
      </c>
      <c r="J19" s="13">
        <f t="shared" si="7"/>
        <v>59256.014825658131</v>
      </c>
      <c r="M19" t="s">
        <v>76</v>
      </c>
      <c r="N19">
        <v>1</v>
      </c>
      <c r="O19" t="s">
        <v>85</v>
      </c>
      <c r="P19">
        <v>2041</v>
      </c>
      <c r="Q19" s="13">
        <v>0</v>
      </c>
      <c r="R19" s="13">
        <f>SUMIFS($Q$3:Q19,$O$3:O19,O19,$M$3:M19,M19)</f>
        <v>6469.5017391304345</v>
      </c>
      <c r="S19" s="13">
        <v>1171.0983188067505</v>
      </c>
      <c r="T19" s="13">
        <f t="shared" si="9"/>
        <v>7576422.6102130003</v>
      </c>
      <c r="U19" s="42">
        <f>Assumptions!B101</f>
        <v>-7.6447594799999907E-2</v>
      </c>
      <c r="V19" s="42">
        <f>Assumptions!C101</f>
        <v>-4.9525856600000091E-2</v>
      </c>
      <c r="W19" s="42">
        <f>Assumptions!D101</f>
        <v>-0.10336933200000002</v>
      </c>
      <c r="X19" s="30">
        <f t="shared" si="10"/>
        <v>-579199.28573912114</v>
      </c>
      <c r="Y19" s="30">
        <f t="shared" si="11"/>
        <v>-375228.81973440741</v>
      </c>
      <c r="Z19" s="30">
        <f t="shared" si="12"/>
        <v>-783169.74416741438</v>
      </c>
      <c r="AA19" s="30">
        <f>IF(OR($O19="Solar",$O19="Wind"),INDEX(Land_Use[AVG],MATCH($O19,Land_Use[Tech],0)),0)*$R19</f>
        <v>0</v>
      </c>
      <c r="AB19" s="30">
        <f>IF(OR($O19="Solar",$O19="Wind"),INDEX(Land_Use[MIN],MATCH($O19,Land_Use[Tech],0)),0)*$R19</f>
        <v>0</v>
      </c>
      <c r="AC19" s="30">
        <f>IF(OR($O19="Solar",$O19="Wind"),INDEX(Land_Use[MAX],MATCH($O19,Land_Use[Tech],0)),0)*$R19</f>
        <v>0</v>
      </c>
    </row>
    <row r="20" spans="1:29" x14ac:dyDescent="0.35">
      <c r="A20" t="s">
        <v>76</v>
      </c>
      <c r="B20">
        <v>2042</v>
      </c>
      <c r="C20" s="43">
        <f t="shared" si="0"/>
        <v>12879.69495849003</v>
      </c>
      <c r="D20" s="43">
        <f t="shared" si="1"/>
        <v>1228.8800000000001</v>
      </c>
      <c r="E20" s="8">
        <f t="shared" si="2"/>
        <v>-2.1808631775408704</v>
      </c>
      <c r="F20" s="8">
        <f t="shared" si="3"/>
        <v>-1.3397371212997438</v>
      </c>
      <c r="G20" s="8">
        <f t="shared" si="4"/>
        <v>-3.0219892035860454</v>
      </c>
      <c r="H20" s="13">
        <f t="shared" si="5"/>
        <v>48151.132354715104</v>
      </c>
      <c r="I20" s="13">
        <f t="shared" si="6"/>
        <v>37046.249883772085</v>
      </c>
      <c r="J20" s="13">
        <f t="shared" si="7"/>
        <v>59256.014825658131</v>
      </c>
      <c r="M20" t="s">
        <v>76</v>
      </c>
      <c r="N20">
        <v>1</v>
      </c>
      <c r="O20" t="s">
        <v>85</v>
      </c>
      <c r="P20">
        <v>2042</v>
      </c>
      <c r="Q20" s="13">
        <v>0</v>
      </c>
      <c r="R20" s="13">
        <f>SUMIFS($Q$3:Q20,$O$3:O20,O20,$M$3:M20,M20)</f>
        <v>6469.5017391304345</v>
      </c>
      <c r="S20" s="13">
        <v>1171.0983188067505</v>
      </c>
      <c r="T20" s="13">
        <f t="shared" si="9"/>
        <v>7576422.6102130003</v>
      </c>
      <c r="U20" s="42">
        <f>Assumptions!B102</f>
        <v>-7.2223670599999901E-2</v>
      </c>
      <c r="V20" s="42">
        <f>Assumptions!C102</f>
        <v>-4.4368089450000092E-2</v>
      </c>
      <c r="W20" s="42">
        <f>Assumptions!D102</f>
        <v>-0.10007925075000002</v>
      </c>
      <c r="X20" s="30">
        <f t="shared" si="10"/>
        <v>-547197.05092641513</v>
      </c>
      <c r="Y20" s="30">
        <f t="shared" si="11"/>
        <v>-336151.39608093357</v>
      </c>
      <c r="Z20" s="30">
        <f t="shared" si="12"/>
        <v>-758242.69819547643</v>
      </c>
      <c r="AA20" s="30">
        <f>IF(OR($O20="Solar",$O20="Wind"),INDEX(Land_Use[AVG],MATCH($O20,Land_Use[Tech],0)),0)*$R20</f>
        <v>0</v>
      </c>
      <c r="AB20" s="30">
        <f>IF(OR($O20="Solar",$O20="Wind"),INDEX(Land_Use[MIN],MATCH($O20,Land_Use[Tech],0)),0)*$R20</f>
        <v>0</v>
      </c>
      <c r="AC20" s="30">
        <f>IF(OR($O20="Solar",$O20="Wind"),INDEX(Land_Use[MAX],MATCH($O20,Land_Use[Tech],0)),0)*$R20</f>
        <v>0</v>
      </c>
    </row>
    <row r="21" spans="1:29" x14ac:dyDescent="0.35">
      <c r="A21" t="s">
        <v>76</v>
      </c>
      <c r="B21">
        <v>2043</v>
      </c>
      <c r="C21" s="43">
        <f t="shared" si="0"/>
        <v>12879.69495849003</v>
      </c>
      <c r="D21" s="43">
        <f t="shared" si="1"/>
        <v>1228.8800000000001</v>
      </c>
      <c r="E21" s="8">
        <f t="shared" si="2"/>
        <v>-2.0062621363024378</v>
      </c>
      <c r="F21" s="8">
        <f t="shared" si="3"/>
        <v>-1.1568599759175784</v>
      </c>
      <c r="G21" s="8">
        <f t="shared" si="4"/>
        <v>-2.8556642671833412</v>
      </c>
      <c r="H21" s="13">
        <f t="shared" si="5"/>
        <v>48151.132354715104</v>
      </c>
      <c r="I21" s="13">
        <f t="shared" si="6"/>
        <v>37046.249883772085</v>
      </c>
      <c r="J21" s="13">
        <f t="shared" si="7"/>
        <v>59256.014825658131</v>
      </c>
      <c r="M21" t="s">
        <v>76</v>
      </c>
      <c r="N21">
        <v>1</v>
      </c>
      <c r="O21" t="s">
        <v>85</v>
      </c>
      <c r="P21">
        <v>2043</v>
      </c>
      <c r="Q21" s="13">
        <v>0</v>
      </c>
      <c r="R21" s="13">
        <f>SUMIFS($Q$3:Q21,$O$3:O21,O21,$M$3:M21,M21)</f>
        <v>6469.5017391304345</v>
      </c>
      <c r="S21" s="13">
        <v>1171.0983188067505</v>
      </c>
      <c r="T21" s="13">
        <f t="shared" si="9"/>
        <v>7576422.6102130003</v>
      </c>
      <c r="U21" s="42">
        <f>Assumptions!B103</f>
        <v>-6.7999746399999894E-2</v>
      </c>
      <c r="V21" s="42">
        <f>Assumptions!C103</f>
        <v>-3.9210322300000093E-2</v>
      </c>
      <c r="W21" s="42">
        <f>Assumptions!D103</f>
        <v>-9.6789169500000008E-2</v>
      </c>
      <c r="X21" s="30">
        <f t="shared" si="10"/>
        <v>-515194.8161137093</v>
      </c>
      <c r="Y21" s="30">
        <f t="shared" si="11"/>
        <v>-297073.97242745972</v>
      </c>
      <c r="Z21" s="30">
        <f t="shared" si="12"/>
        <v>-733315.65222353861</v>
      </c>
      <c r="AA21" s="30">
        <f>IF(OR($O21="Solar",$O21="Wind"),INDEX(Land_Use[AVG],MATCH($O21,Land_Use[Tech],0)),0)*$R21</f>
        <v>0</v>
      </c>
      <c r="AB21" s="30">
        <f>IF(OR($O21="Solar",$O21="Wind"),INDEX(Land_Use[MIN],MATCH($O21,Land_Use[Tech],0)),0)*$R21</f>
        <v>0</v>
      </c>
      <c r="AC21" s="30">
        <f>IF(OR($O21="Solar",$O21="Wind"),INDEX(Land_Use[MAX],MATCH($O21,Land_Use[Tech],0)),0)*$R21</f>
        <v>0</v>
      </c>
    </row>
    <row r="22" spans="1:29" x14ac:dyDescent="0.35">
      <c r="A22" t="s">
        <v>76</v>
      </c>
      <c r="B22">
        <v>2044</v>
      </c>
      <c r="C22" s="43">
        <f t="shared" si="0"/>
        <v>12879.69495849003</v>
      </c>
      <c r="D22" s="43">
        <f t="shared" si="1"/>
        <v>1228.8800000000001</v>
      </c>
      <c r="E22" s="8">
        <f t="shared" si="2"/>
        <v>-1.8375069768582806</v>
      </c>
      <c r="F22" s="8">
        <f t="shared" si="3"/>
        <v>-0.98112114449504761</v>
      </c>
      <c r="G22" s="8">
        <f t="shared" si="4"/>
        <v>-2.6938927804095552</v>
      </c>
      <c r="H22" s="13">
        <f t="shared" si="5"/>
        <v>48151.132354715104</v>
      </c>
      <c r="I22" s="13">
        <f t="shared" si="6"/>
        <v>37046.249883772085</v>
      </c>
      <c r="J22" s="13">
        <f t="shared" si="7"/>
        <v>59256.014825658131</v>
      </c>
      <c r="M22" t="s">
        <v>76</v>
      </c>
      <c r="N22">
        <v>1</v>
      </c>
      <c r="O22" t="s">
        <v>85</v>
      </c>
      <c r="P22">
        <v>2044</v>
      </c>
      <c r="Q22" s="13">
        <v>0</v>
      </c>
      <c r="R22" s="13">
        <f>SUMIFS($Q$3:Q22,$O$3:O22,O22,$M$3:M22,M22)</f>
        <v>6469.5017391304345</v>
      </c>
      <c r="S22" s="13">
        <v>1171.0983188067505</v>
      </c>
      <c r="T22" s="13">
        <f t="shared" si="9"/>
        <v>7576422.6102130003</v>
      </c>
      <c r="U22" s="42">
        <f>Assumptions!B104</f>
        <v>-6.3775822199999888E-2</v>
      </c>
      <c r="V22" s="42">
        <f>Assumptions!C104</f>
        <v>-3.4052555150000094E-2</v>
      </c>
      <c r="W22" s="42">
        <f>Assumptions!D104</f>
        <v>-9.3499088250000001E-2</v>
      </c>
      <c r="X22" s="30">
        <f t="shared" si="10"/>
        <v>-483192.58130100335</v>
      </c>
      <c r="Y22" s="30">
        <f t="shared" si="11"/>
        <v>-257996.54877398585</v>
      </c>
      <c r="Z22" s="30">
        <f t="shared" si="12"/>
        <v>-708388.60625160066</v>
      </c>
      <c r="AA22" s="30">
        <f>IF(OR($O22="Solar",$O22="Wind"),INDEX(Land_Use[AVG],MATCH($O22,Land_Use[Tech],0)),0)*$R22</f>
        <v>0</v>
      </c>
      <c r="AB22" s="30">
        <f>IF(OR($O22="Solar",$O22="Wind"),INDEX(Land_Use[MIN],MATCH($O22,Land_Use[Tech],0)),0)*$R22</f>
        <v>0</v>
      </c>
      <c r="AC22" s="30">
        <f>IF(OR($O22="Solar",$O22="Wind"),INDEX(Land_Use[MAX],MATCH($O22,Land_Use[Tech],0)),0)*$R22</f>
        <v>0</v>
      </c>
    </row>
    <row r="23" spans="1:29" x14ac:dyDescent="0.35">
      <c r="A23" t="s">
        <v>76</v>
      </c>
      <c r="B23">
        <v>2045</v>
      </c>
      <c r="C23" s="43">
        <f t="shared" si="0"/>
        <v>12879.69495849003</v>
      </c>
      <c r="D23" s="43">
        <f t="shared" si="1"/>
        <v>1228.8800000000001</v>
      </c>
      <c r="E23" s="8">
        <f t="shared" si="2"/>
        <v>-1.6745976992083995</v>
      </c>
      <c r="F23" s="8">
        <f t="shared" si="3"/>
        <v>-0.81252062703215144</v>
      </c>
      <c r="G23" s="8">
        <f t="shared" si="4"/>
        <v>-2.5366747432646846</v>
      </c>
      <c r="H23" s="13">
        <f t="shared" si="5"/>
        <v>48151.132354715104</v>
      </c>
      <c r="I23" s="13">
        <f t="shared" si="6"/>
        <v>37046.249883772085</v>
      </c>
      <c r="J23" s="13">
        <f t="shared" si="7"/>
        <v>59256.014825658131</v>
      </c>
      <c r="M23" t="s">
        <v>76</v>
      </c>
      <c r="N23">
        <v>1</v>
      </c>
      <c r="O23" t="s">
        <v>85</v>
      </c>
      <c r="P23">
        <v>2045</v>
      </c>
      <c r="Q23" s="13">
        <v>0</v>
      </c>
      <c r="R23" s="13">
        <f>SUMIFS($Q$3:Q23,$O$3:O23,O23,$M$3:M23,M23)</f>
        <v>6469.5017391304345</v>
      </c>
      <c r="S23" s="13">
        <v>1171.0983188067505</v>
      </c>
      <c r="T23" s="13">
        <f t="shared" si="9"/>
        <v>7576422.6102130003</v>
      </c>
      <c r="U23" s="42">
        <f>Assumptions!B105</f>
        <v>-5.9551897999999888E-2</v>
      </c>
      <c r="V23" s="42">
        <f>Assumptions!C105</f>
        <v>-2.8894788000000095E-2</v>
      </c>
      <c r="W23" s="42">
        <f>Assumptions!D105</f>
        <v>-9.0209006999999994E-2</v>
      </c>
      <c r="X23" s="30">
        <f t="shared" si="10"/>
        <v>-451190.34648829751</v>
      </c>
      <c r="Y23" s="30">
        <f t="shared" si="11"/>
        <v>-218919.12512051201</v>
      </c>
      <c r="Z23" s="30">
        <f t="shared" si="12"/>
        <v>-683461.56027966272</v>
      </c>
      <c r="AA23" s="30">
        <f>IF(OR($O23="Solar",$O23="Wind"),INDEX(Land_Use[AVG],MATCH($O23,Land_Use[Tech],0)),0)*$R23</f>
        <v>0</v>
      </c>
      <c r="AB23" s="30">
        <f>IF(OR($O23="Solar",$O23="Wind"),INDEX(Land_Use[MIN],MATCH($O23,Land_Use[Tech],0)),0)*$R23</f>
        <v>0</v>
      </c>
      <c r="AC23" s="30">
        <f>IF(OR($O23="Solar",$O23="Wind"),INDEX(Land_Use[MAX],MATCH($O23,Land_Use[Tech],0)),0)*$R23</f>
        <v>0</v>
      </c>
    </row>
    <row r="24" spans="1:29" x14ac:dyDescent="0.35">
      <c r="A24" t="s">
        <v>107</v>
      </c>
      <c r="B24">
        <v>2025</v>
      </c>
      <c r="C24" s="43">
        <f t="shared" si="0"/>
        <v>1170.8813598627298</v>
      </c>
      <c r="D24" s="43">
        <f t="shared" si="1"/>
        <v>99.380000000000024</v>
      </c>
      <c r="E24" s="8">
        <f t="shared" si="2"/>
        <v>-0.52189964061300609</v>
      </c>
      <c r="F24" s="8">
        <f t="shared" si="3"/>
        <v>-0.4784887393536203</v>
      </c>
      <c r="G24" s="8">
        <f t="shared" si="4"/>
        <v>-0.56531053824885324</v>
      </c>
      <c r="H24" s="13">
        <f t="shared" si="5"/>
        <v>4346.5347595195544</v>
      </c>
      <c r="I24" s="13">
        <f t="shared" si="6"/>
        <v>3357.9718076156432</v>
      </c>
      <c r="J24" s="13">
        <f t="shared" si="7"/>
        <v>5335.0977114234656</v>
      </c>
      <c r="M24" t="s">
        <v>76</v>
      </c>
      <c r="N24">
        <v>1</v>
      </c>
      <c r="O24" t="s">
        <v>80</v>
      </c>
      <c r="P24">
        <v>2025</v>
      </c>
      <c r="Q24" s="13">
        <v>1170.8813598627298</v>
      </c>
      <c r="R24" s="13">
        <f>SUMIFS($Q$3:Q24,$O$3:O24,O24,$M$3:M24,M24)</f>
        <v>1170.8813598627298</v>
      </c>
      <c r="S24" s="13">
        <v>2294.03577178978</v>
      </c>
      <c r="T24" s="13">
        <f t="shared" si="9"/>
        <v>2686043.7240469647</v>
      </c>
      <c r="U24" s="42">
        <f>U3</f>
        <v>-0.14403038200000001</v>
      </c>
      <c r="V24" s="42">
        <f t="shared" ref="V24:W24" si="13">V3</f>
        <v>-0.13205013099999999</v>
      </c>
      <c r="W24" s="42">
        <f t="shared" si="13"/>
        <v>-0.15601063200000001</v>
      </c>
      <c r="X24" s="30">
        <f>$T24*U24</f>
        <v>-386871.90364318696</v>
      </c>
      <c r="Y24" s="30">
        <f t="shared" si="11"/>
        <v>-354692.42563212948</v>
      </c>
      <c r="Z24" s="30">
        <f t="shared" si="12"/>
        <v>-419051.37896820059</v>
      </c>
      <c r="AA24" s="30">
        <f>IF(OR($O24="Solar",$O24="Wind"),INDEX(Land_Use[AVG],MATCH($O24,Land_Use[Tech],0)),0)*$R24</f>
        <v>4098.0847595195546</v>
      </c>
      <c r="AB24" s="30">
        <f>IF(OR($O24="Solar",$O24="Wind"),INDEX(Land_Use[MIN],MATCH($O24,Land_Use[Tech],0)),0)*$R24</f>
        <v>3278.4678076156433</v>
      </c>
      <c r="AC24" s="30">
        <f>IF(OR($O24="Solar",$O24="Wind"),INDEX(Land_Use[MAX],MATCH($O24,Land_Use[Tech],0)),0)*$R24</f>
        <v>4917.7017114234659</v>
      </c>
    </row>
    <row r="25" spans="1:29" x14ac:dyDescent="0.35">
      <c r="A25" t="s">
        <v>107</v>
      </c>
      <c r="B25">
        <v>2026</v>
      </c>
      <c r="C25" s="43">
        <f t="shared" si="0"/>
        <v>2341.7627197254601</v>
      </c>
      <c r="D25" s="43">
        <f t="shared" si="1"/>
        <v>212.33</v>
      </c>
      <c r="E25" s="8">
        <f t="shared" si="2"/>
        <v>-1.0038912641706137</v>
      </c>
      <c r="F25" s="8">
        <f t="shared" si="3"/>
        <v>-0.91116059703913033</v>
      </c>
      <c r="G25" s="8">
        <f t="shared" si="4"/>
        <v>-1.0966219241215185</v>
      </c>
      <c r="H25" s="13">
        <f t="shared" si="5"/>
        <v>8726.9945190391118</v>
      </c>
      <c r="I25" s="13">
        <f t="shared" si="6"/>
        <v>6726.799615231288</v>
      </c>
      <c r="J25" s="13">
        <f t="shared" si="7"/>
        <v>10727.189422846934</v>
      </c>
      <c r="M25" t="s">
        <v>76</v>
      </c>
      <c r="N25">
        <v>1</v>
      </c>
      <c r="O25" t="s">
        <v>80</v>
      </c>
      <c r="P25">
        <v>2026</v>
      </c>
      <c r="Q25" s="13">
        <v>1170.8813598627303</v>
      </c>
      <c r="R25" s="13">
        <f>SUMIFS($Q$3:Q25,$O$3:O25,O25,$M$3:M25,M25)</f>
        <v>2341.7627197254601</v>
      </c>
      <c r="S25" s="13">
        <v>2240.1604058664384</v>
      </c>
      <c r="T25" s="13">
        <f t="shared" si="9"/>
        <v>5245924.124663081</v>
      </c>
      <c r="U25" s="42">
        <f t="shared" ref="U25:W25" si="14">U4</f>
        <v>-0.13980645780000001</v>
      </c>
      <c r="V25" s="42">
        <f t="shared" si="14"/>
        <v>-0.12689236385</v>
      </c>
      <c r="W25" s="42">
        <f t="shared" si="14"/>
        <v>-0.15272055075000002</v>
      </c>
      <c r="X25" s="30">
        <f t="shared" si="10"/>
        <v>-733414.06975671102</v>
      </c>
      <c r="Y25" s="30">
        <f t="shared" si="11"/>
        <v>-665667.71275624039</v>
      </c>
      <c r="Z25" s="30">
        <f t="shared" si="12"/>
        <v>-801160.42151125753</v>
      </c>
      <c r="AA25" s="30">
        <f>IF(OR($O25="Solar",$O25="Wind"),INDEX(Land_Use[AVG],MATCH($O25,Land_Use[Tech],0)),0)*$R25</f>
        <v>8196.169519039111</v>
      </c>
      <c r="AB25" s="30">
        <f>IF(OR($O25="Solar",$O25="Wind"),INDEX(Land_Use[MIN],MATCH($O25,Land_Use[Tech],0)),0)*$R25</f>
        <v>6556.9356152312876</v>
      </c>
      <c r="AC25" s="30">
        <f>IF(OR($O25="Solar",$O25="Wind"),INDEX(Land_Use[MAX],MATCH($O25,Land_Use[Tech],0)),0)*$R25</f>
        <v>9835.4034228469336</v>
      </c>
    </row>
    <row r="26" spans="1:29" x14ac:dyDescent="0.35">
      <c r="A26" t="s">
        <v>107</v>
      </c>
      <c r="B26">
        <v>2027</v>
      </c>
      <c r="C26" s="43">
        <f t="shared" si="0"/>
        <v>3512.6440795881904</v>
      </c>
      <c r="D26" s="43">
        <f t="shared" si="1"/>
        <v>325.27999999999997</v>
      </c>
      <c r="E26" s="8">
        <f t="shared" si="2"/>
        <v>-1.4340229131582778</v>
      </c>
      <c r="F26" s="8">
        <f t="shared" si="3"/>
        <v>-1.287556710711018</v>
      </c>
      <c r="G26" s="8">
        <f t="shared" si="4"/>
        <v>-1.580489105028785</v>
      </c>
      <c r="H26" s="13">
        <f t="shared" si="5"/>
        <v>13107.454278558667</v>
      </c>
      <c r="I26" s="13">
        <f t="shared" si="6"/>
        <v>10095.627422846932</v>
      </c>
      <c r="J26" s="13">
        <f t="shared" si="7"/>
        <v>16119.281134270399</v>
      </c>
      <c r="M26" t="s">
        <v>76</v>
      </c>
      <c r="N26">
        <v>1</v>
      </c>
      <c r="O26" t="s">
        <v>80</v>
      </c>
      <c r="P26">
        <v>2027</v>
      </c>
      <c r="Q26" s="13">
        <v>1170.8813598627303</v>
      </c>
      <c r="R26" s="13">
        <f>SUMIFS($Q$3:Q26,$O$3:O26,O26,$M$3:M26,M26)</f>
        <v>3512.6440795881904</v>
      </c>
      <c r="S26" s="13">
        <v>2186.2850399430968</v>
      </c>
      <c r="T26" s="13">
        <f t="shared" si="9"/>
        <v>7679641.2018483495</v>
      </c>
      <c r="U26" s="42">
        <f t="shared" ref="U26:W26" si="15">U5</f>
        <v>-0.1355825336</v>
      </c>
      <c r="V26" s="42">
        <f t="shared" si="15"/>
        <v>-0.1217345967</v>
      </c>
      <c r="W26" s="42">
        <f t="shared" si="15"/>
        <v>-0.14943046950000002</v>
      </c>
      <c r="X26" s="30">
        <f t="shared" si="10"/>
        <v>-1041225.2112855483</v>
      </c>
      <c r="Y26" s="30">
        <f t="shared" si="11"/>
        <v>-934878.02450771211</v>
      </c>
      <c r="Z26" s="30">
        <f t="shared" si="12"/>
        <v>-1147572.3903837432</v>
      </c>
      <c r="AA26" s="30">
        <f>IF(OR($O26="Solar",$O26="Wind"),INDEX(Land_Use[AVG],MATCH($O26,Land_Use[Tech],0)),0)*$R26</f>
        <v>12294.254278558667</v>
      </c>
      <c r="AB26" s="30">
        <f>IF(OR($O26="Solar",$O26="Wind"),INDEX(Land_Use[MIN],MATCH($O26,Land_Use[Tech],0)),0)*$R26</f>
        <v>9835.4034228469318</v>
      </c>
      <c r="AC26" s="30">
        <f>IF(OR($O26="Solar",$O26="Wind"),INDEX(Land_Use[MAX],MATCH($O26,Land_Use[Tech],0)),0)*$R26</f>
        <v>14753.1051342704</v>
      </c>
    </row>
    <row r="27" spans="1:29" x14ac:dyDescent="0.35">
      <c r="A27" t="s">
        <v>107</v>
      </c>
      <c r="B27">
        <v>2028</v>
      </c>
      <c r="C27" s="43">
        <f t="shared" si="0"/>
        <v>4683.5254394509193</v>
      </c>
      <c r="D27" s="43">
        <f t="shared" si="1"/>
        <v>438.23</v>
      </c>
      <c r="E27" s="8">
        <f t="shared" si="2"/>
        <v>-1.8182968491586886</v>
      </c>
      <c r="F27" s="8">
        <f t="shared" si="3"/>
        <v>-1.6136839665392695</v>
      </c>
      <c r="G27" s="8">
        <f t="shared" si="4"/>
        <v>-2.0229097179358733</v>
      </c>
      <c r="H27" s="13">
        <f t="shared" si="5"/>
        <v>17487.914038078219</v>
      </c>
      <c r="I27" s="13">
        <f t="shared" si="6"/>
        <v>13464.455230462574</v>
      </c>
      <c r="J27" s="13">
        <f t="shared" si="7"/>
        <v>21511.372845693862</v>
      </c>
      <c r="M27" t="s">
        <v>76</v>
      </c>
      <c r="N27">
        <v>1</v>
      </c>
      <c r="O27" t="s">
        <v>80</v>
      </c>
      <c r="P27">
        <v>2028</v>
      </c>
      <c r="Q27" s="13">
        <v>1170.8813598627294</v>
      </c>
      <c r="R27" s="13">
        <f>SUMIFS($Q$3:Q27,$O$3:O27,O27,$M$3:M27,M27)</f>
        <v>4683.5254394509193</v>
      </c>
      <c r="S27" s="13">
        <v>2132.4096740197551</v>
      </c>
      <c r="T27" s="13">
        <f t="shared" si="9"/>
        <v>9987194.9556027651</v>
      </c>
      <c r="U27" s="42">
        <f t="shared" ref="U27:W27" si="16">U6</f>
        <v>-0.13135860939999999</v>
      </c>
      <c r="V27" s="42">
        <f t="shared" si="16"/>
        <v>-0.11657682955000001</v>
      </c>
      <c r="W27" s="42">
        <f t="shared" si="16"/>
        <v>-0.14614038825000003</v>
      </c>
      <c r="X27" s="30">
        <f t="shared" si="10"/>
        <v>-1311904.0411746739</v>
      </c>
      <c r="Y27" s="30">
        <f t="shared" si="11"/>
        <v>-1164275.5240219235</v>
      </c>
      <c r="Z27" s="30">
        <f t="shared" si="12"/>
        <v>-1459532.54834023</v>
      </c>
      <c r="AA27" s="30">
        <f>IF(OR($O27="Solar",$O27="Wind"),INDEX(Land_Use[AVG],MATCH($O27,Land_Use[Tech],0)),0)*$R27</f>
        <v>16392.339038078218</v>
      </c>
      <c r="AB27" s="30">
        <f>IF(OR($O27="Solar",$O27="Wind"),INDEX(Land_Use[MIN],MATCH($O27,Land_Use[Tech],0)),0)*$R27</f>
        <v>13113.871230462573</v>
      </c>
      <c r="AC27" s="30">
        <f>IF(OR($O27="Solar",$O27="Wind"),INDEX(Land_Use[MAX],MATCH($O27,Land_Use[Tech],0)),0)*$R27</f>
        <v>19670.806845693864</v>
      </c>
    </row>
    <row r="28" spans="1:29" x14ac:dyDescent="0.35">
      <c r="A28" t="s">
        <v>107</v>
      </c>
      <c r="B28">
        <v>2029</v>
      </c>
      <c r="C28" s="43">
        <f t="shared" si="0"/>
        <v>5854.4067993136505</v>
      </c>
      <c r="D28" s="43">
        <f t="shared" si="1"/>
        <v>551.17999999999995</v>
      </c>
      <c r="E28" s="8">
        <f t="shared" si="2"/>
        <v>-2.1583691551665245</v>
      </c>
      <c r="F28" s="8">
        <f t="shared" si="3"/>
        <v>-1.8915645813211512</v>
      </c>
      <c r="G28" s="8">
        <f t="shared" si="4"/>
        <v>-2.4251737120348711</v>
      </c>
      <c r="H28" s="13">
        <f t="shared" si="5"/>
        <v>21868.373797597778</v>
      </c>
      <c r="I28" s="13">
        <f t="shared" si="6"/>
        <v>16833.283038078222</v>
      </c>
      <c r="J28" s="13">
        <f t="shared" si="7"/>
        <v>26903.464557117331</v>
      </c>
      <c r="M28" t="s">
        <v>76</v>
      </c>
      <c r="N28">
        <v>1</v>
      </c>
      <c r="O28" t="s">
        <v>80</v>
      </c>
      <c r="P28">
        <v>2029</v>
      </c>
      <c r="Q28" s="13">
        <v>1170.8813598627312</v>
      </c>
      <c r="R28" s="13">
        <f>SUMIFS($Q$3:Q28,$O$3:O28,O28,$M$3:M28,M28)</f>
        <v>5854.4067993136505</v>
      </c>
      <c r="S28" s="13">
        <v>2078.5343080964135</v>
      </c>
      <c r="T28" s="13">
        <f t="shared" si="9"/>
        <v>12168585.385926338</v>
      </c>
      <c r="U28" s="42">
        <f t="shared" ref="U28:W28" si="17">U7</f>
        <v>-0.12713468519999999</v>
      </c>
      <c r="V28" s="42">
        <f t="shared" si="17"/>
        <v>-0.11141906240000002</v>
      </c>
      <c r="W28" s="42">
        <f t="shared" si="17"/>
        <v>-0.14285030700000004</v>
      </c>
      <c r="X28" s="30">
        <f t="shared" si="10"/>
        <v>-1547049.2723690653</v>
      </c>
      <c r="Y28" s="30">
        <f t="shared" si="11"/>
        <v>-1355812.3744342551</v>
      </c>
      <c r="Z28" s="30">
        <f t="shared" si="12"/>
        <v>-1738286.1581352914</v>
      </c>
      <c r="AA28" s="30">
        <f>IF(OR($O28="Solar",$O28="Wind"),INDEX(Land_Use[AVG],MATCH($O28,Land_Use[Tech],0)),0)*$R28</f>
        <v>20490.423797597778</v>
      </c>
      <c r="AB28" s="30">
        <f>IF(OR($O28="Solar",$O28="Wind"),INDEX(Land_Use[MIN],MATCH($O28,Land_Use[Tech],0)),0)*$R28</f>
        <v>16392.339038078222</v>
      </c>
      <c r="AC28" s="30">
        <f>IF(OR($O28="Solar",$O28="Wind"),INDEX(Land_Use[MAX],MATCH($O28,Land_Use[Tech],0)),0)*$R28</f>
        <v>24588.508557117333</v>
      </c>
    </row>
    <row r="29" spans="1:29" x14ac:dyDescent="0.35">
      <c r="A29" t="s">
        <v>107</v>
      </c>
      <c r="B29">
        <v>2030</v>
      </c>
      <c r="C29" s="43">
        <f t="shared" si="0"/>
        <v>7025.2881591763798</v>
      </c>
      <c r="D29" s="43">
        <f t="shared" si="1"/>
        <v>664.13</v>
      </c>
      <c r="E29" s="8">
        <f t="shared" si="2"/>
        <v>-2.4594706762128102</v>
      </c>
      <c r="F29" s="8">
        <f t="shared" si="3"/>
        <v>-2.126311297379134</v>
      </c>
      <c r="G29" s="8">
        <f t="shared" si="4"/>
        <v>-2.7926300350362743</v>
      </c>
      <c r="H29" s="13">
        <f t="shared" si="5"/>
        <v>26248.83355711733</v>
      </c>
      <c r="I29" s="13">
        <f t="shared" si="6"/>
        <v>20202.110845693864</v>
      </c>
      <c r="J29" s="13">
        <f t="shared" si="7"/>
        <v>32295.556268540797</v>
      </c>
      <c r="M29" t="s">
        <v>76</v>
      </c>
      <c r="N29">
        <v>1</v>
      </c>
      <c r="O29" t="s">
        <v>80</v>
      </c>
      <c r="P29">
        <v>2030</v>
      </c>
      <c r="Q29" s="13">
        <v>1170.8813598627294</v>
      </c>
      <c r="R29" s="13">
        <f>SUMIFS($Q$3:Q29,$O$3:O29,O29,$M$3:M29,M29)</f>
        <v>7025.2881591763798</v>
      </c>
      <c r="S29" s="13">
        <v>2024.6589421730721</v>
      </c>
      <c r="T29" s="13">
        <f t="shared" si="9"/>
        <v>14223812.492819058</v>
      </c>
      <c r="U29" s="42">
        <f t="shared" ref="U29:W29" si="18">U8</f>
        <v>-0.12291076099999998</v>
      </c>
      <c r="V29" s="42">
        <f t="shared" si="18"/>
        <v>-0.10626129525000003</v>
      </c>
      <c r="W29" s="42">
        <f t="shared" si="18"/>
        <v>-0.13956022575000004</v>
      </c>
      <c r="X29" s="30">
        <f t="shared" si="10"/>
        <v>-1748259.6178136971</v>
      </c>
      <c r="Y29" s="30">
        <f t="shared" si="11"/>
        <v>-1511440.7388800848</v>
      </c>
      <c r="Z29" s="30">
        <f t="shared" si="12"/>
        <v>-1985078.4825234986</v>
      </c>
      <c r="AA29" s="30">
        <f>IF(OR($O29="Solar",$O29="Wind"),INDEX(Land_Use[AVG],MATCH($O29,Land_Use[Tech],0)),0)*$R29</f>
        <v>24588.508557117329</v>
      </c>
      <c r="AB29" s="30">
        <f>IF(OR($O29="Solar",$O29="Wind"),INDEX(Land_Use[MIN],MATCH($O29,Land_Use[Tech],0)),0)*$R29</f>
        <v>19670.806845693864</v>
      </c>
      <c r="AC29" s="30">
        <f>IF(OR($O29="Solar",$O29="Wind"),INDEX(Land_Use[MAX],MATCH($O29,Land_Use[Tech],0)),0)*$R29</f>
        <v>29506.210268540795</v>
      </c>
    </row>
    <row r="30" spans="1:29" x14ac:dyDescent="0.35">
      <c r="A30" t="s">
        <v>107</v>
      </c>
      <c r="B30">
        <v>2031</v>
      </c>
      <c r="C30" s="43">
        <f t="shared" si="0"/>
        <v>8196.1695190391092</v>
      </c>
      <c r="D30" s="43">
        <f t="shared" si="1"/>
        <v>777.08</v>
      </c>
      <c r="E30" s="8">
        <f t="shared" si="2"/>
        <v>-2.7159592189959239</v>
      </c>
      <c r="F30" s="8">
        <f t="shared" si="3"/>
        <v>-2.3135932056132495</v>
      </c>
      <c r="G30" s="8">
        <f t="shared" si="4"/>
        <v>-3.1183252094951937</v>
      </c>
      <c r="H30" s="13">
        <f t="shared" si="5"/>
        <v>30629.293316636882</v>
      </c>
      <c r="I30" s="13">
        <f t="shared" si="6"/>
        <v>23570.938653309506</v>
      </c>
      <c r="J30" s="13">
        <f t="shared" si="7"/>
        <v>37687.647979964255</v>
      </c>
      <c r="M30" t="s">
        <v>76</v>
      </c>
      <c r="N30">
        <v>1</v>
      </c>
      <c r="O30" t="s">
        <v>80</v>
      </c>
      <c r="P30">
        <v>2031</v>
      </c>
      <c r="Q30" s="13">
        <v>1170.8813598627294</v>
      </c>
      <c r="R30" s="13">
        <f>SUMIFS($Q$3:Q30,$O$3:O30,O30,$M$3:M30,M30)</f>
        <v>8196.1695190391092</v>
      </c>
      <c r="S30" s="13">
        <v>1970.7835762497307</v>
      </c>
      <c r="T30" s="13">
        <f t="shared" si="9"/>
        <v>16152876.27628093</v>
      </c>
      <c r="U30" s="42">
        <f t="shared" ref="U30:W30" si="19">U9</f>
        <v>-0.11868683679999997</v>
      </c>
      <c r="V30" s="42">
        <f t="shared" si="19"/>
        <v>-0.10110352810000003</v>
      </c>
      <c r="W30" s="42">
        <f t="shared" si="19"/>
        <v>-0.13627014450000005</v>
      </c>
      <c r="X30" s="30">
        <f t="shared" si="10"/>
        <v>-1917133.790453546</v>
      </c>
      <c r="Y30" s="30">
        <f t="shared" si="11"/>
        <v>-1633112.7804947929</v>
      </c>
      <c r="Z30" s="30">
        <f t="shared" si="12"/>
        <v>-2201154.784259425</v>
      </c>
      <c r="AA30" s="30">
        <f>IF(OR($O30="Solar",$O30="Wind"),INDEX(Land_Use[AVG],MATCH($O30,Land_Use[Tech],0)),0)*$R30</f>
        <v>28686.593316636881</v>
      </c>
      <c r="AB30" s="30">
        <f>IF(OR($O30="Solar",$O30="Wind"),INDEX(Land_Use[MIN],MATCH($O30,Land_Use[Tech],0)),0)*$R30</f>
        <v>22949.274653309505</v>
      </c>
      <c r="AC30" s="30">
        <f>IF(OR($O30="Solar",$O30="Wind"),INDEX(Land_Use[MAX],MATCH($O30,Land_Use[Tech],0)),0)*$R30</f>
        <v>34423.911979964258</v>
      </c>
    </row>
    <row r="31" spans="1:29" x14ac:dyDescent="0.35">
      <c r="A31" t="s">
        <v>107</v>
      </c>
      <c r="B31">
        <v>2032</v>
      </c>
      <c r="C31" s="43">
        <f t="shared" si="0"/>
        <v>9367.0508789018404</v>
      </c>
      <c r="D31" s="43">
        <f t="shared" si="1"/>
        <v>890.03</v>
      </c>
      <c r="E31" s="8">
        <f t="shared" si="2"/>
        <v>-2.9364953257507964</v>
      </c>
      <c r="F31" s="8">
        <f t="shared" si="3"/>
        <v>-2.4614460016394735</v>
      </c>
      <c r="G31" s="8">
        <f t="shared" si="4"/>
        <v>-3.4115446242075667</v>
      </c>
      <c r="H31" s="13">
        <f t="shared" si="5"/>
        <v>35009.753076156441</v>
      </c>
      <c r="I31" s="13">
        <f t="shared" si="6"/>
        <v>26939.766460925151</v>
      </c>
      <c r="J31" s="13">
        <f t="shared" si="7"/>
        <v>43079.739691387731</v>
      </c>
      <c r="M31" t="s">
        <v>76</v>
      </c>
      <c r="N31">
        <v>1</v>
      </c>
      <c r="O31" t="s">
        <v>80</v>
      </c>
      <c r="P31">
        <v>2032</v>
      </c>
      <c r="Q31" s="13">
        <v>1170.8813598627312</v>
      </c>
      <c r="R31" s="13">
        <f>SUMIFS($Q$3:Q31,$O$3:O31,O31,$M$3:M31,M31)</f>
        <v>9367.0508789018404</v>
      </c>
      <c r="S31" s="13">
        <v>1916.9082103263893</v>
      </c>
      <c r="T31" s="13">
        <f t="shared" si="9"/>
        <v>17955776.736311957</v>
      </c>
      <c r="U31" s="42">
        <f t="shared" ref="U31:W31" si="20">U10</f>
        <v>-0.11446291259999997</v>
      </c>
      <c r="V31" s="42">
        <f t="shared" si="20"/>
        <v>-9.5945760950000042E-2</v>
      </c>
      <c r="W31" s="42">
        <f t="shared" si="20"/>
        <v>-0.13298006325000006</v>
      </c>
      <c r="X31" s="30">
        <f t="shared" si="10"/>
        <v>-2055270.5032335883</v>
      </c>
      <c r="Y31" s="30">
        <f t="shared" si="11"/>
        <v>-1722780.6624137589</v>
      </c>
      <c r="Z31" s="30">
        <f t="shared" si="12"/>
        <v>-2387760.3260976435</v>
      </c>
      <c r="AA31" s="30">
        <f>IF(OR($O31="Solar",$O31="Wind"),INDEX(Land_Use[AVG],MATCH($O31,Land_Use[Tech],0)),0)*$R31</f>
        <v>32784.678076156444</v>
      </c>
      <c r="AB31" s="30">
        <f>IF(OR($O31="Solar",$O31="Wind"),INDEX(Land_Use[MIN],MATCH($O31,Land_Use[Tech],0)),0)*$R31</f>
        <v>26227.74246092515</v>
      </c>
      <c r="AC31" s="30">
        <f>IF(OR($O31="Solar",$O31="Wind"),INDEX(Land_Use[MAX],MATCH($O31,Land_Use[Tech],0)),0)*$R31</f>
        <v>39341.613691387734</v>
      </c>
    </row>
    <row r="32" spans="1:29" x14ac:dyDescent="0.35">
      <c r="A32" t="s">
        <v>107</v>
      </c>
      <c r="B32">
        <v>2033</v>
      </c>
      <c r="C32" s="43">
        <f t="shared" si="0"/>
        <v>10537.93223876457</v>
      </c>
      <c r="D32" s="43">
        <f t="shared" si="1"/>
        <v>1002.98</v>
      </c>
      <c r="E32" s="8">
        <f t="shared" si="2"/>
        <v>-3.116031812070204</v>
      </c>
      <c r="F32" s="8">
        <f t="shared" si="3"/>
        <v>-2.5662270757451249</v>
      </c>
      <c r="G32" s="8">
        <f t="shared" si="4"/>
        <v>-3.6658365201291394</v>
      </c>
      <c r="H32" s="13">
        <f t="shared" si="5"/>
        <v>39390.212835675993</v>
      </c>
      <c r="I32" s="13">
        <f t="shared" si="6"/>
        <v>30308.594268540794</v>
      </c>
      <c r="J32" s="13">
        <f t="shared" si="7"/>
        <v>48471.8314028112</v>
      </c>
      <c r="M32" t="s">
        <v>76</v>
      </c>
      <c r="N32">
        <v>1</v>
      </c>
      <c r="O32" t="s">
        <v>80</v>
      </c>
      <c r="P32">
        <v>2033</v>
      </c>
      <c r="Q32" s="13">
        <v>1170.8813598627294</v>
      </c>
      <c r="R32" s="13">
        <f>SUMIFS($Q$3:Q32,$O$3:O32,O32,$M$3:M32,M32)</f>
        <v>10537.93223876457</v>
      </c>
      <c r="S32" s="13">
        <v>1863.0328444030479</v>
      </c>
      <c r="T32" s="13">
        <f t="shared" si="9"/>
        <v>19632513.872912135</v>
      </c>
      <c r="U32" s="42">
        <f t="shared" ref="U32:W32" si="21">U11</f>
        <v>-0.11023898839999996</v>
      </c>
      <c r="V32" s="42">
        <f t="shared" si="21"/>
        <v>-9.078799380000005E-2</v>
      </c>
      <c r="W32" s="42">
        <f t="shared" si="21"/>
        <v>-0.12968998200000006</v>
      </c>
      <c r="X32" s="30">
        <f t="shared" si="10"/>
        <v>-2164268.4690987989</v>
      </c>
      <c r="Y32" s="30">
        <f t="shared" si="11"/>
        <v>-1782396.5477723619</v>
      </c>
      <c r="Z32" s="30">
        <f t="shared" si="12"/>
        <v>-2546140.3707927265</v>
      </c>
      <c r="AA32" s="30">
        <f>IF(OR($O32="Solar",$O32="Wind"),INDEX(Land_Use[AVG],MATCH($O32,Land_Use[Tech],0)),0)*$R32</f>
        <v>36882.762835675996</v>
      </c>
      <c r="AB32" s="30">
        <f>IF(OR($O32="Solar",$O32="Wind"),INDEX(Land_Use[MIN],MATCH($O32,Land_Use[Tech],0)),0)*$R32</f>
        <v>29506.210268540792</v>
      </c>
      <c r="AC32" s="30">
        <f>IF(OR($O32="Solar",$O32="Wind"),INDEX(Land_Use[MAX],MATCH($O32,Land_Use[Tech],0)),0)*$R32</f>
        <v>44259.315402811197</v>
      </c>
    </row>
    <row r="33" spans="1:29" x14ac:dyDescent="0.35">
      <c r="A33" t="s">
        <v>107</v>
      </c>
      <c r="B33">
        <v>2034</v>
      </c>
      <c r="C33" s="43">
        <f t="shared" si="0"/>
        <v>11708.813598627299</v>
      </c>
      <c r="D33" s="43">
        <f t="shared" si="1"/>
        <v>1115.93</v>
      </c>
      <c r="E33" s="8">
        <f t="shared" si="2"/>
        <v>-3.4627213084463446</v>
      </c>
      <c r="F33" s="8">
        <f t="shared" si="3"/>
        <v>-2.7969007301515676</v>
      </c>
      <c r="G33" s="8">
        <f t="shared" si="4"/>
        <v>-4.1285418540785876</v>
      </c>
      <c r="H33" s="13">
        <f t="shared" si="5"/>
        <v>43770.672595195545</v>
      </c>
      <c r="I33" s="13">
        <f t="shared" si="6"/>
        <v>33677.422076156436</v>
      </c>
      <c r="J33" s="13">
        <f t="shared" si="7"/>
        <v>53863.923114234662</v>
      </c>
      <c r="M33" t="s">
        <v>76</v>
      </c>
      <c r="N33">
        <v>1</v>
      </c>
      <c r="O33" t="s">
        <v>80</v>
      </c>
      <c r="P33">
        <v>2034</v>
      </c>
      <c r="Q33" s="13">
        <v>1170.8813598627294</v>
      </c>
      <c r="R33" s="13">
        <f>SUMIFS($Q$3:Q33,$O$3:O33,O33,$M$3:M33,M33)</f>
        <v>11708.813598627299</v>
      </c>
      <c r="S33" s="13">
        <v>1809.1574784797065</v>
      </c>
      <c r="T33" s="13">
        <f t="shared" si="9"/>
        <v>21183087.686081462</v>
      </c>
      <c r="U33" s="42">
        <f t="shared" ref="U33:W33" si="22">U12</f>
        <v>-0.10601506419999995</v>
      </c>
      <c r="V33" s="42">
        <f t="shared" si="22"/>
        <v>-8.5630226650000058E-2</v>
      </c>
      <c r="W33" s="42">
        <f t="shared" si="22"/>
        <v>-0.12639990075000007</v>
      </c>
      <c r="X33" s="30">
        <f t="shared" si="10"/>
        <v>-2245726.4009941546</v>
      </c>
      <c r="Y33" s="30">
        <f t="shared" si="11"/>
        <v>-1813912.5997059809</v>
      </c>
      <c r="Z33" s="30">
        <f t="shared" si="12"/>
        <v>-2677540.1810992453</v>
      </c>
      <c r="AA33" s="30">
        <f>IF(OR($O33="Solar",$O33="Wind"),INDEX(Land_Use[AVG],MATCH($O33,Land_Use[Tech],0)),0)*$R33</f>
        <v>40980.847595195548</v>
      </c>
      <c r="AB33" s="30">
        <f>IF(OR($O33="Solar",$O33="Wind"),INDEX(Land_Use[MIN],MATCH($O33,Land_Use[Tech],0)),0)*$R33</f>
        <v>32784.678076156437</v>
      </c>
      <c r="AC33" s="30">
        <f>IF(OR($O33="Solar",$O33="Wind"),INDEX(Land_Use[MAX],MATCH($O33,Land_Use[Tech],0)),0)*$R33</f>
        <v>49177.017114234659</v>
      </c>
    </row>
    <row r="34" spans="1:29" x14ac:dyDescent="0.35">
      <c r="A34" t="s">
        <v>107</v>
      </c>
      <c r="B34">
        <v>2035</v>
      </c>
      <c r="C34" s="43">
        <f t="shared" si="0"/>
        <v>12879.69495849003</v>
      </c>
      <c r="D34" s="43">
        <f t="shared" si="1"/>
        <v>1228.8800000000001</v>
      </c>
      <c r="E34" s="8">
        <f t="shared" si="2"/>
        <v>-3.5667551564496169</v>
      </c>
      <c r="F34" s="8">
        <f t="shared" si="3"/>
        <v>-2.8197499298446638</v>
      </c>
      <c r="G34" s="8">
        <f t="shared" si="4"/>
        <v>-4.3137603480146405</v>
      </c>
      <c r="H34" s="13">
        <f t="shared" si="5"/>
        <v>48151.132354715104</v>
      </c>
      <c r="I34" s="13">
        <f t="shared" si="6"/>
        <v>37046.249883772085</v>
      </c>
      <c r="J34" s="13">
        <f t="shared" si="7"/>
        <v>59256.014825658131</v>
      </c>
      <c r="M34" t="s">
        <v>76</v>
      </c>
      <c r="N34">
        <v>1</v>
      </c>
      <c r="O34" t="s">
        <v>80</v>
      </c>
      <c r="P34">
        <v>2035</v>
      </c>
      <c r="Q34" s="13">
        <v>1170.8813598627312</v>
      </c>
      <c r="R34" s="13">
        <f>SUMIFS($Q$3:Q34,$O$3:O34,O34,$M$3:M34,M34)</f>
        <v>12879.69495849003</v>
      </c>
      <c r="S34" s="13">
        <v>1755.2821125563651</v>
      </c>
      <c r="T34" s="13">
        <f t="shared" si="9"/>
        <v>22607498.175819945</v>
      </c>
      <c r="U34" s="42">
        <f t="shared" ref="U34:W34" si="23">U13</f>
        <v>-0.10179113999999995</v>
      </c>
      <c r="V34" s="42">
        <f t="shared" si="23"/>
        <v>-8.0472459500000065E-2</v>
      </c>
      <c r="W34" s="42">
        <f t="shared" si="23"/>
        <v>-0.12310981950000006</v>
      </c>
      <c r="X34" s="30">
        <f t="shared" si="10"/>
        <v>-2301243.0118646314</v>
      </c>
      <c r="Y34" s="30">
        <f t="shared" si="11"/>
        <v>-1819280.9813499958</v>
      </c>
      <c r="Z34" s="30">
        <f t="shared" si="12"/>
        <v>-2783205.0197717743</v>
      </c>
      <c r="AA34" s="30">
        <f>IF(OR($O34="Solar",$O34="Wind"),INDEX(Land_Use[AVG],MATCH($O34,Land_Use[Tech],0)),0)*$R34</f>
        <v>45078.932354715107</v>
      </c>
      <c r="AB34" s="30">
        <f>IF(OR($O34="Solar",$O34="Wind"),INDEX(Land_Use[MIN],MATCH($O34,Land_Use[Tech],0)),0)*$R34</f>
        <v>36063.145883772086</v>
      </c>
      <c r="AC34" s="30">
        <f>IF(OR($O34="Solar",$O34="Wind"),INDEX(Land_Use[MAX],MATCH($O34,Land_Use[Tech],0)),0)*$R34</f>
        <v>54094.718825658128</v>
      </c>
    </row>
    <row r="35" spans="1:29" x14ac:dyDescent="0.35">
      <c r="A35" t="s">
        <v>107</v>
      </c>
      <c r="B35">
        <v>2036</v>
      </c>
      <c r="C35" s="43">
        <f t="shared" si="0"/>
        <v>14050.576318352762</v>
      </c>
      <c r="D35" s="43">
        <f t="shared" si="1"/>
        <v>1341.83</v>
      </c>
      <c r="E35" s="8">
        <f t="shared" si="2"/>
        <v>-3.6379539867188502</v>
      </c>
      <c r="F35" s="8">
        <f t="shared" si="3"/>
        <v>-2.8082320792553217</v>
      </c>
      <c r="G35" s="8">
        <f t="shared" si="4"/>
        <v>-4.4676758568957444</v>
      </c>
      <c r="H35" s="13">
        <f t="shared" si="5"/>
        <v>52531.592114234663</v>
      </c>
      <c r="I35" s="13">
        <f t="shared" si="6"/>
        <v>40415.077691387727</v>
      </c>
      <c r="J35" s="13">
        <f t="shared" si="7"/>
        <v>64648.1065370816</v>
      </c>
      <c r="M35" t="s">
        <v>76</v>
      </c>
      <c r="N35">
        <v>1</v>
      </c>
      <c r="O35" t="s">
        <v>80</v>
      </c>
      <c r="P35">
        <v>2036</v>
      </c>
      <c r="Q35" s="13">
        <v>0</v>
      </c>
      <c r="R35" s="13">
        <f>SUMIFS($Q$3:Q35,$O$3:O35,O35,$M$3:M35,M35)</f>
        <v>12879.69495849003</v>
      </c>
      <c r="S35" s="13">
        <v>1701.4067466330237</v>
      </c>
      <c r="T35" s="13">
        <f t="shared" si="9"/>
        <v>21913599.896950278</v>
      </c>
      <c r="U35" s="42">
        <f t="shared" ref="U35:W35" si="24">U14</f>
        <v>-9.756721579999994E-2</v>
      </c>
      <c r="V35" s="42">
        <f t="shared" si="24"/>
        <v>-7.5314692350000073E-2</v>
      </c>
      <c r="W35" s="42">
        <f t="shared" si="24"/>
        <v>-0.11981973825000006</v>
      </c>
      <c r="X35" s="30">
        <f t="shared" si="10"/>
        <v>-2138048.9301006044</v>
      </c>
      <c r="Y35" s="30">
        <f t="shared" si="11"/>
        <v>-1650416.0345198035</v>
      </c>
      <c r="Z35" s="30">
        <f t="shared" si="12"/>
        <v>-2625681.8037678106</v>
      </c>
      <c r="AA35" s="30">
        <f>IF(OR($O35="Solar",$O35="Wind"),INDEX(Land_Use[AVG],MATCH($O35,Land_Use[Tech],0)),0)*$R35</f>
        <v>45078.932354715107</v>
      </c>
      <c r="AB35" s="30">
        <f>IF(OR($O35="Solar",$O35="Wind"),INDEX(Land_Use[MIN],MATCH($O35,Land_Use[Tech],0)),0)*$R35</f>
        <v>36063.145883772086</v>
      </c>
      <c r="AC35" s="30">
        <f>IF(OR($O35="Solar",$O35="Wind"),INDEX(Land_Use[MAX],MATCH($O35,Land_Use[Tech],0)),0)*$R35</f>
        <v>54094.718825658128</v>
      </c>
    </row>
    <row r="36" spans="1:29" x14ac:dyDescent="0.35">
      <c r="A36" t="s">
        <v>107</v>
      </c>
      <c r="B36">
        <v>2037</v>
      </c>
      <c r="C36" s="43">
        <f t="shared" si="0"/>
        <v>15221.457678215489</v>
      </c>
      <c r="D36" s="43">
        <f t="shared" si="1"/>
        <v>1454.78</v>
      </c>
      <c r="E36" s="8">
        <f t="shared" si="2"/>
        <v>-3.6779738822487213</v>
      </c>
      <c r="F36" s="8">
        <f t="shared" si="3"/>
        <v>-2.764369395180807</v>
      </c>
      <c r="G36" s="8">
        <f t="shared" si="4"/>
        <v>-4.5915783299139887</v>
      </c>
      <c r="H36" s="13">
        <f t="shared" si="5"/>
        <v>56912.051873754208</v>
      </c>
      <c r="I36" s="13">
        <f t="shared" si="6"/>
        <v>43783.905499003369</v>
      </c>
      <c r="J36" s="13">
        <f t="shared" si="7"/>
        <v>70040.198248505054</v>
      </c>
      <c r="M36" t="s">
        <v>76</v>
      </c>
      <c r="N36">
        <v>1</v>
      </c>
      <c r="O36" t="s">
        <v>80</v>
      </c>
      <c r="P36">
        <v>2037</v>
      </c>
      <c r="Q36" s="13">
        <v>0</v>
      </c>
      <c r="R36" s="13">
        <f>SUMIFS($Q$3:Q36,$O$3:O36,O36,$M$3:M36,M36)</f>
        <v>12879.69495849003</v>
      </c>
      <c r="S36" s="13">
        <v>1647.5313807096823</v>
      </c>
      <c r="T36" s="13">
        <f t="shared" si="9"/>
        <v>21219701.618080612</v>
      </c>
      <c r="U36" s="42">
        <f t="shared" ref="U36:W36" si="25">U15</f>
        <v>-9.3343291599999934E-2</v>
      </c>
      <c r="V36" s="42">
        <f t="shared" si="25"/>
        <v>-7.0156925200000081E-2</v>
      </c>
      <c r="W36" s="42">
        <f t="shared" si="25"/>
        <v>-0.11652965700000005</v>
      </c>
      <c r="X36" s="30">
        <f t="shared" si="10"/>
        <v>-1980716.7958014889</v>
      </c>
      <c r="Y36" s="30">
        <f t="shared" si="11"/>
        <v>-1488709.0191860022</v>
      </c>
      <c r="Z36" s="30">
        <f t="shared" si="12"/>
        <v>-2472724.5511972797</v>
      </c>
      <c r="AA36" s="30">
        <f>IF(OR($O36="Solar",$O36="Wind"),INDEX(Land_Use[AVG],MATCH($O36,Land_Use[Tech],0)),0)*$R36</f>
        <v>45078.932354715107</v>
      </c>
      <c r="AB36" s="30">
        <f>IF(OR($O36="Solar",$O36="Wind"),INDEX(Land_Use[MIN],MATCH($O36,Land_Use[Tech],0)),0)*$R36</f>
        <v>36063.145883772086</v>
      </c>
      <c r="AC36" s="30">
        <f>IF(OR($O36="Solar",$O36="Wind"),INDEX(Land_Use[MAX],MATCH($O36,Land_Use[Tech],0)),0)*$R36</f>
        <v>54094.718825658128</v>
      </c>
    </row>
    <row r="37" spans="1:29" x14ac:dyDescent="0.35">
      <c r="A37" t="s">
        <v>107</v>
      </c>
      <c r="B37">
        <v>2038</v>
      </c>
      <c r="C37" s="43">
        <f t="shared" si="0"/>
        <v>16392.339038078222</v>
      </c>
      <c r="D37" s="43">
        <f t="shared" si="1"/>
        <v>1567.73</v>
      </c>
      <c r="E37" s="8">
        <f t="shared" si="2"/>
        <v>-3.6884709260339079</v>
      </c>
      <c r="F37" s="8">
        <f t="shared" si="3"/>
        <v>-2.6901840944183855</v>
      </c>
      <c r="G37" s="8">
        <f t="shared" si="4"/>
        <v>-4.6867577162614591</v>
      </c>
      <c r="H37" s="13">
        <f t="shared" si="5"/>
        <v>61292.511633273774</v>
      </c>
      <c r="I37" s="13">
        <f t="shared" si="6"/>
        <v>47152.733306619019</v>
      </c>
      <c r="J37" s="13">
        <f t="shared" si="7"/>
        <v>75432.28995992853</v>
      </c>
      <c r="M37" t="s">
        <v>76</v>
      </c>
      <c r="N37">
        <v>1</v>
      </c>
      <c r="O37" t="s">
        <v>80</v>
      </c>
      <c r="P37">
        <v>2038</v>
      </c>
      <c r="Q37" s="13">
        <v>0</v>
      </c>
      <c r="R37" s="13">
        <f>SUMIFS($Q$3:Q37,$O$3:O37,O37,$M$3:M37,M37)</f>
        <v>12879.69495849003</v>
      </c>
      <c r="S37" s="13">
        <v>1593.6560147863408</v>
      </c>
      <c r="T37" s="13">
        <f t="shared" si="9"/>
        <v>20525803.339210946</v>
      </c>
      <c r="U37" s="42">
        <f t="shared" ref="U37:W37" si="26">U16</f>
        <v>-8.9119367399999927E-2</v>
      </c>
      <c r="V37" s="42">
        <f t="shared" si="26"/>
        <v>-6.4999158050000089E-2</v>
      </c>
      <c r="W37" s="42">
        <f t="shared" si="26"/>
        <v>-0.11323957575000004</v>
      </c>
      <c r="X37" s="30">
        <f t="shared" si="10"/>
        <v>-1829246.6089672856</v>
      </c>
      <c r="Y37" s="30">
        <f t="shared" si="11"/>
        <v>-1334159.9353485918</v>
      </c>
      <c r="Z37" s="30">
        <f t="shared" si="12"/>
        <v>-2324333.2620601817</v>
      </c>
      <c r="AA37" s="30">
        <f>IF(OR($O37="Solar",$O37="Wind"),INDEX(Land_Use[AVG],MATCH($O37,Land_Use[Tech],0)),0)*$R37</f>
        <v>45078.932354715107</v>
      </c>
      <c r="AB37" s="30">
        <f>IF(OR($O37="Solar",$O37="Wind"),INDEX(Land_Use[MIN],MATCH($O37,Land_Use[Tech],0)),0)*$R37</f>
        <v>36063.145883772086</v>
      </c>
      <c r="AC37" s="30">
        <f>IF(OR($O37="Solar",$O37="Wind"),INDEX(Land_Use[MAX],MATCH($O37,Land_Use[Tech],0)),0)*$R37</f>
        <v>54094.718825658128</v>
      </c>
    </row>
    <row r="38" spans="1:29" x14ac:dyDescent="0.35">
      <c r="A38" t="s">
        <v>107</v>
      </c>
      <c r="B38">
        <v>2039</v>
      </c>
      <c r="C38" s="43">
        <f t="shared" si="0"/>
        <v>17563.220397940953</v>
      </c>
      <c r="D38" s="43">
        <f t="shared" si="1"/>
        <v>1680.68</v>
      </c>
      <c r="E38" s="8">
        <f t="shared" si="2"/>
        <v>-3.6711012010690851</v>
      </c>
      <c r="F38" s="8">
        <f t="shared" si="3"/>
        <v>-2.5876983937653222</v>
      </c>
      <c r="G38" s="8">
        <f t="shared" si="4"/>
        <v>-4.7545039651302421</v>
      </c>
      <c r="H38" s="13">
        <f t="shared" si="5"/>
        <v>65672.971392793334</v>
      </c>
      <c r="I38" s="13">
        <f t="shared" si="6"/>
        <v>50521.561114234668</v>
      </c>
      <c r="J38" s="13">
        <f t="shared" si="7"/>
        <v>80824.381671352006</v>
      </c>
      <c r="M38" t="s">
        <v>76</v>
      </c>
      <c r="N38">
        <v>1</v>
      </c>
      <c r="O38" t="s">
        <v>80</v>
      </c>
      <c r="P38">
        <v>2039</v>
      </c>
      <c r="Q38" s="13">
        <v>0</v>
      </c>
      <c r="R38" s="13">
        <f>SUMIFS($Q$3:Q38,$O$3:O38,O38,$M$3:M38,M38)</f>
        <v>12879.69495849003</v>
      </c>
      <c r="S38" s="13">
        <v>1539.7806488629994</v>
      </c>
      <c r="T38" s="13">
        <f t="shared" si="9"/>
        <v>19831905.06034128</v>
      </c>
      <c r="U38" s="42">
        <f t="shared" ref="U38:W38" si="27">U17</f>
        <v>-8.489544319999992E-2</v>
      </c>
      <c r="V38" s="42">
        <f t="shared" si="27"/>
        <v>-5.984139090000009E-2</v>
      </c>
      <c r="W38" s="42">
        <f t="shared" si="27"/>
        <v>-0.10994949450000004</v>
      </c>
      <c r="X38" s="30">
        <f t="shared" si="10"/>
        <v>-1683638.369597994</v>
      </c>
      <c r="Y38" s="30">
        <f t="shared" si="11"/>
        <v>-1186768.7830075724</v>
      </c>
      <c r="Z38" s="30">
        <f t="shared" si="12"/>
        <v>-2180507.9363565166</v>
      </c>
      <c r="AA38" s="30">
        <f>IF(OR($O38="Solar",$O38="Wind"),INDEX(Land_Use[AVG],MATCH($O38,Land_Use[Tech],0)),0)*$R38</f>
        <v>45078.932354715107</v>
      </c>
      <c r="AB38" s="30">
        <f>IF(OR($O38="Solar",$O38="Wind"),INDEX(Land_Use[MIN],MATCH($O38,Land_Use[Tech],0)),0)*$R38</f>
        <v>36063.145883772086</v>
      </c>
      <c r="AC38" s="30">
        <f>IF(OR($O38="Solar",$O38="Wind"),INDEX(Land_Use[MAX],MATCH($O38,Land_Use[Tech],0)),0)*$R38</f>
        <v>54094.718825658128</v>
      </c>
    </row>
    <row r="39" spans="1:29" x14ac:dyDescent="0.35">
      <c r="A39" t="s">
        <v>107</v>
      </c>
      <c r="B39">
        <v>2040</v>
      </c>
      <c r="C39" s="43">
        <f t="shared" si="0"/>
        <v>18734.101757803681</v>
      </c>
      <c r="D39" s="43">
        <f t="shared" si="1"/>
        <v>1793.63</v>
      </c>
      <c r="E39" s="8">
        <f t="shared" si="2"/>
        <v>-3.627520790348929</v>
      </c>
      <c r="F39" s="8">
        <f t="shared" si="3"/>
        <v>-2.4589345100188829</v>
      </c>
      <c r="G39" s="8">
        <f t="shared" si="4"/>
        <v>-4.7961070257124261</v>
      </c>
      <c r="H39" s="13">
        <f t="shared" si="5"/>
        <v>70053.431152312885</v>
      </c>
      <c r="I39" s="13">
        <f t="shared" si="6"/>
        <v>53890.388921850303</v>
      </c>
      <c r="J39" s="13">
        <f t="shared" si="7"/>
        <v>86216.473382775468</v>
      </c>
      <c r="M39" t="s">
        <v>76</v>
      </c>
      <c r="N39">
        <v>1</v>
      </c>
      <c r="O39" t="s">
        <v>80</v>
      </c>
      <c r="P39">
        <v>2040</v>
      </c>
      <c r="Q39" s="13">
        <v>0</v>
      </c>
      <c r="R39" s="13">
        <f>SUMIFS($Q$3:Q39,$O$3:O39,O39,$M$3:M39,M39)</f>
        <v>12879.69495849003</v>
      </c>
      <c r="S39" s="13">
        <v>1485.905282939658</v>
      </c>
      <c r="T39" s="13">
        <f t="shared" si="9"/>
        <v>19138006.781471618</v>
      </c>
      <c r="U39" s="42">
        <f t="shared" ref="U39:W39" si="28">U18</f>
        <v>-8.0671518999999914E-2</v>
      </c>
      <c r="V39" s="42">
        <f t="shared" si="28"/>
        <v>-5.468362375000009E-2</v>
      </c>
      <c r="W39" s="42">
        <f t="shared" si="28"/>
        <v>-0.10665941325000003</v>
      </c>
      <c r="X39" s="30">
        <f t="shared" si="10"/>
        <v>-1543892.0776936149</v>
      </c>
      <c r="Y39" s="30">
        <f t="shared" si="11"/>
        <v>-1046535.5621629441</v>
      </c>
      <c r="Z39" s="30">
        <f t="shared" si="12"/>
        <v>-2041248.5740862843</v>
      </c>
      <c r="AA39" s="30">
        <f>IF(OR($O39="Solar",$O39="Wind"),INDEX(Land_Use[AVG],MATCH($O39,Land_Use[Tech],0)),0)*$R39</f>
        <v>45078.932354715107</v>
      </c>
      <c r="AB39" s="30">
        <f>IF(OR($O39="Solar",$O39="Wind"),INDEX(Land_Use[MIN],MATCH($O39,Land_Use[Tech],0)),0)*$R39</f>
        <v>36063.145883772086</v>
      </c>
      <c r="AC39" s="30">
        <f>IF(OR($O39="Solar",$O39="Wind"),INDEX(Land_Use[MAX],MATCH($O39,Land_Use[Tech],0)),0)*$R39</f>
        <v>54094.718825658128</v>
      </c>
    </row>
    <row r="40" spans="1:29" x14ac:dyDescent="0.35">
      <c r="A40" t="s">
        <v>107</v>
      </c>
      <c r="B40">
        <v>2041</v>
      </c>
      <c r="C40" s="43">
        <f t="shared" si="0"/>
        <v>19904.983117666412</v>
      </c>
      <c r="D40" s="43">
        <f t="shared" si="1"/>
        <v>1906.5800000000002</v>
      </c>
      <c r="E40" s="8">
        <f t="shared" si="2"/>
        <v>-3.5593857768681176</v>
      </c>
      <c r="F40" s="8">
        <f t="shared" si="3"/>
        <v>-2.3059146599763332</v>
      </c>
      <c r="G40" s="8">
        <f t="shared" si="4"/>
        <v>-4.8128568472001003</v>
      </c>
      <c r="H40" s="13">
        <f t="shared" si="5"/>
        <v>74433.890911832437</v>
      </c>
      <c r="I40" s="13">
        <f t="shared" si="6"/>
        <v>57259.216729465952</v>
      </c>
      <c r="J40" s="13">
        <f t="shared" si="7"/>
        <v>91608.56509419893</v>
      </c>
      <c r="M40" t="s">
        <v>76</v>
      </c>
      <c r="N40">
        <v>1</v>
      </c>
      <c r="O40" t="s">
        <v>80</v>
      </c>
      <c r="P40">
        <v>2041</v>
      </c>
      <c r="Q40" s="13">
        <v>0</v>
      </c>
      <c r="R40" s="13">
        <f>SUMIFS($Q$3:Q40,$O$3:O40,O40,$M$3:M40,M40)</f>
        <v>12879.69495849003</v>
      </c>
      <c r="S40" s="13">
        <v>1432.0299170163166</v>
      </c>
      <c r="T40" s="13">
        <f t="shared" si="9"/>
        <v>18444108.502601951</v>
      </c>
      <c r="U40" s="42">
        <f t="shared" ref="U40:W40" si="29">U19</f>
        <v>-7.6447594799999907E-2</v>
      </c>
      <c r="V40" s="42">
        <f t="shared" si="29"/>
        <v>-4.9525856600000091E-2</v>
      </c>
      <c r="W40" s="42">
        <f t="shared" si="29"/>
        <v>-0.10336933200000002</v>
      </c>
      <c r="X40" s="30">
        <f t="shared" si="10"/>
        <v>-1410007.733254147</v>
      </c>
      <c r="Y40" s="30">
        <f t="shared" si="11"/>
        <v>-913460.27281470667</v>
      </c>
      <c r="Z40" s="30">
        <f t="shared" si="12"/>
        <v>-1906555.1752494844</v>
      </c>
      <c r="AA40" s="30">
        <f>IF(OR($O40="Solar",$O40="Wind"),INDEX(Land_Use[AVG],MATCH($O40,Land_Use[Tech],0)),0)*$R40</f>
        <v>45078.932354715107</v>
      </c>
      <c r="AB40" s="30">
        <f>IF(OR($O40="Solar",$O40="Wind"),INDEX(Land_Use[MIN],MATCH($O40,Land_Use[Tech],0)),0)*$R40</f>
        <v>36063.145883772086</v>
      </c>
      <c r="AC40" s="30">
        <f>IF(OR($O40="Solar",$O40="Wind"),INDEX(Land_Use[MAX],MATCH($O40,Land_Use[Tech],0)),0)*$R40</f>
        <v>54094.718825658128</v>
      </c>
    </row>
    <row r="41" spans="1:29" x14ac:dyDescent="0.35">
      <c r="A41" t="s">
        <v>107</v>
      </c>
      <c r="B41">
        <v>2042</v>
      </c>
      <c r="C41" s="43">
        <f t="shared" si="0"/>
        <v>21075.864477529143</v>
      </c>
      <c r="D41" s="43">
        <f t="shared" si="1"/>
        <v>2019.53</v>
      </c>
      <c r="E41" s="8">
        <f t="shared" si="2"/>
        <v>-3.4683522436213257</v>
      </c>
      <c r="F41" s="8">
        <f t="shared" si="3"/>
        <v>-2.1306610604349387</v>
      </c>
      <c r="G41" s="8">
        <f t="shared" si="4"/>
        <v>-4.8060433787853523</v>
      </c>
      <c r="H41" s="13">
        <f t="shared" si="5"/>
        <v>78814.350671352004</v>
      </c>
      <c r="I41" s="13">
        <f t="shared" si="6"/>
        <v>60628.044537081601</v>
      </c>
      <c r="J41" s="13">
        <f t="shared" si="7"/>
        <v>97000.656805622406</v>
      </c>
      <c r="M41" t="s">
        <v>76</v>
      </c>
      <c r="N41">
        <v>1</v>
      </c>
      <c r="O41" t="s">
        <v>80</v>
      </c>
      <c r="P41">
        <v>2042</v>
      </c>
      <c r="Q41" s="13">
        <v>0</v>
      </c>
      <c r="R41" s="13">
        <f>SUMIFS($Q$3:Q41,$O$3:O41,O41,$M$3:M41,M41)</f>
        <v>12879.69495849003</v>
      </c>
      <c r="S41" s="13">
        <v>1378.1545510929752</v>
      </c>
      <c r="T41" s="13">
        <f t="shared" si="9"/>
        <v>17750210.223732285</v>
      </c>
      <c r="U41" s="42">
        <f t="shared" ref="U41:W41" si="30">U20</f>
        <v>-7.2223670599999901E-2</v>
      </c>
      <c r="V41" s="42">
        <f t="shared" si="30"/>
        <v>-4.4368089450000092E-2</v>
      </c>
      <c r="W41" s="42">
        <f t="shared" si="30"/>
        <v>-0.10007925075000002</v>
      </c>
      <c r="X41" s="30">
        <f t="shared" si="10"/>
        <v>-1281985.3362795911</v>
      </c>
      <c r="Y41" s="30">
        <f t="shared" si="11"/>
        <v>-787542.91496286017</v>
      </c>
      <c r="Z41" s="30">
        <f t="shared" si="12"/>
        <v>-1776427.7398461173</v>
      </c>
      <c r="AA41" s="30">
        <f>IF(OR($O41="Solar",$O41="Wind"),INDEX(Land_Use[AVG],MATCH($O41,Land_Use[Tech],0)),0)*$R41</f>
        <v>45078.932354715107</v>
      </c>
      <c r="AB41" s="30">
        <f>IF(OR($O41="Solar",$O41="Wind"),INDEX(Land_Use[MIN],MATCH($O41,Land_Use[Tech],0)),0)*$R41</f>
        <v>36063.145883772086</v>
      </c>
      <c r="AC41" s="30">
        <f>IF(OR($O41="Solar",$O41="Wind"),INDEX(Land_Use[MAX],MATCH($O41,Land_Use[Tech],0)),0)*$R41</f>
        <v>54094.718825658128</v>
      </c>
    </row>
    <row r="42" spans="1:29" x14ac:dyDescent="0.35">
      <c r="A42" t="s">
        <v>107</v>
      </c>
      <c r="B42">
        <v>2043</v>
      </c>
      <c r="C42" s="43">
        <f t="shared" si="0"/>
        <v>22246.745837391871</v>
      </c>
      <c r="D42" s="43">
        <f t="shared" si="1"/>
        <v>2132.4800000000005</v>
      </c>
      <c r="E42" s="8">
        <f t="shared" si="2"/>
        <v>-3.3560762736032315</v>
      </c>
      <c r="F42" s="8">
        <f t="shared" si="3"/>
        <v>-1.9351959281919648</v>
      </c>
      <c r="G42" s="8">
        <f t="shared" si="4"/>
        <v>-4.7769565696602667</v>
      </c>
      <c r="H42" s="13">
        <f t="shared" si="5"/>
        <v>83194.810430871541</v>
      </c>
      <c r="I42" s="13">
        <f t="shared" si="6"/>
        <v>63996.872344697229</v>
      </c>
      <c r="J42" s="13">
        <f t="shared" si="7"/>
        <v>102392.74851704585</v>
      </c>
      <c r="M42" t="s">
        <v>76</v>
      </c>
      <c r="N42">
        <v>1</v>
      </c>
      <c r="O42" t="s">
        <v>80</v>
      </c>
      <c r="P42">
        <v>2043</v>
      </c>
      <c r="Q42" s="13">
        <v>0</v>
      </c>
      <c r="R42" s="13">
        <f>SUMIFS($Q$3:Q42,$O$3:O42,O42,$M$3:M42,M42)</f>
        <v>12879.69495849003</v>
      </c>
      <c r="S42" s="13">
        <v>1324.2791851696338</v>
      </c>
      <c r="T42" s="13">
        <f t="shared" si="9"/>
        <v>17056311.944862619</v>
      </c>
      <c r="U42" s="42">
        <f t="shared" ref="U42:W42" si="31">U21</f>
        <v>-6.7999746399999894E-2</v>
      </c>
      <c r="V42" s="42">
        <f t="shared" si="31"/>
        <v>-3.9210322300000093E-2</v>
      </c>
      <c r="W42" s="42">
        <f t="shared" si="31"/>
        <v>-9.6789169500000008E-2</v>
      </c>
      <c r="X42" s="30">
        <f t="shared" si="10"/>
        <v>-1159824.8867699471</v>
      </c>
      <c r="Y42" s="30">
        <f t="shared" si="11"/>
        <v>-668783.48860740475</v>
      </c>
      <c r="Z42" s="30">
        <f t="shared" si="12"/>
        <v>-1650866.2678761829</v>
      </c>
      <c r="AA42" s="30">
        <f>IF(OR($O42="Solar",$O42="Wind"),INDEX(Land_Use[AVG],MATCH($O42,Land_Use[Tech],0)),0)*$R42</f>
        <v>45078.932354715107</v>
      </c>
      <c r="AB42" s="30">
        <f>IF(OR($O42="Solar",$O42="Wind"),INDEX(Land_Use[MIN],MATCH($O42,Land_Use[Tech],0)),0)*$R42</f>
        <v>36063.145883772086</v>
      </c>
      <c r="AC42" s="30">
        <f>IF(OR($O42="Solar",$O42="Wind"),INDEX(Land_Use[MAX],MATCH($O42,Land_Use[Tech],0)),0)*$R42</f>
        <v>54094.718825658128</v>
      </c>
    </row>
    <row r="43" spans="1:29" x14ac:dyDescent="0.35">
      <c r="A43" t="s">
        <v>107</v>
      </c>
      <c r="B43">
        <v>2044</v>
      </c>
      <c r="C43" s="43">
        <f t="shared" si="0"/>
        <v>23417.627197254602</v>
      </c>
      <c r="D43" s="43">
        <f t="shared" si="1"/>
        <v>2245.4300000000003</v>
      </c>
      <c r="E43" s="8">
        <f t="shared" si="2"/>
        <v>-3.363713302655003</v>
      </c>
      <c r="F43" s="8">
        <f t="shared" si="3"/>
        <v>-1.7960259671485448</v>
      </c>
      <c r="G43" s="8">
        <f t="shared" si="4"/>
        <v>-4.9314005854187108</v>
      </c>
      <c r="H43" s="13">
        <f t="shared" si="5"/>
        <v>87575.270190391107</v>
      </c>
      <c r="I43" s="13">
        <f t="shared" si="6"/>
        <v>67365.700152312886</v>
      </c>
      <c r="J43" s="13">
        <f t="shared" si="7"/>
        <v>107784.84022846933</v>
      </c>
      <c r="M43" t="s">
        <v>76</v>
      </c>
      <c r="N43">
        <v>1</v>
      </c>
      <c r="O43" t="s">
        <v>80</v>
      </c>
      <c r="P43">
        <v>2044</v>
      </c>
      <c r="Q43" s="13">
        <v>0</v>
      </c>
      <c r="R43" s="13">
        <f>SUMIFS($Q$3:Q43,$O$3:O43,O43,$M$3:M43,M43)</f>
        <v>12879.69495849003</v>
      </c>
      <c r="S43" s="13">
        <v>1270.4038192462924</v>
      </c>
      <c r="T43" s="13">
        <f t="shared" si="9"/>
        <v>16362413.665992953</v>
      </c>
      <c r="U43" s="42">
        <f t="shared" ref="U43:W43" si="32">U22</f>
        <v>-6.3775822199999888E-2</v>
      </c>
      <c r="V43" s="42">
        <f t="shared" si="32"/>
        <v>-3.4052555150000094E-2</v>
      </c>
      <c r="W43" s="42">
        <f t="shared" si="32"/>
        <v>-9.3499088250000001E-2</v>
      </c>
      <c r="X43" s="30">
        <f t="shared" si="10"/>
        <v>-1043526.3847252149</v>
      </c>
      <c r="Y43" s="30">
        <f t="shared" si="11"/>
        <v>-557181.99374834029</v>
      </c>
      <c r="Z43" s="30">
        <f t="shared" si="12"/>
        <v>-1529870.7593396811</v>
      </c>
      <c r="AA43" s="30">
        <f>IF(OR($O43="Solar",$O43="Wind"),INDEX(Land_Use[AVG],MATCH($O43,Land_Use[Tech],0)),0)*$R43</f>
        <v>45078.932354715107</v>
      </c>
      <c r="AB43" s="30">
        <f>IF(OR($O43="Solar",$O43="Wind"),INDEX(Land_Use[MIN],MATCH($O43,Land_Use[Tech],0)),0)*$R43</f>
        <v>36063.145883772086</v>
      </c>
      <c r="AC43" s="30">
        <f>IF(OR($O43="Solar",$O43="Wind"),INDEX(Land_Use[MAX],MATCH($O43,Land_Use[Tech],0)),0)*$R43</f>
        <v>54094.718825658128</v>
      </c>
    </row>
    <row r="44" spans="1:29" x14ac:dyDescent="0.35">
      <c r="A44" t="s">
        <v>107</v>
      </c>
      <c r="B44">
        <v>2045</v>
      </c>
      <c r="C44" s="43">
        <f t="shared" si="0"/>
        <v>24588.508557117333</v>
      </c>
      <c r="D44" s="43">
        <f t="shared" si="1"/>
        <v>2358.38</v>
      </c>
      <c r="E44" s="8">
        <f t="shared" si="2"/>
        <v>-3.2063004810700595</v>
      </c>
      <c r="F44" s="8">
        <f t="shared" si="3"/>
        <v>-1.5557081432537694</v>
      </c>
      <c r="G44" s="8">
        <f t="shared" si="4"/>
        <v>-4.8568927650459264</v>
      </c>
      <c r="H44" s="13">
        <f t="shared" si="5"/>
        <v>91955.729949910659</v>
      </c>
      <c r="I44" s="13">
        <f t="shared" si="6"/>
        <v>70734.527959928528</v>
      </c>
      <c r="J44" s="13">
        <f t="shared" si="7"/>
        <v>113176.93193989281</v>
      </c>
      <c r="M44" t="s">
        <v>76</v>
      </c>
      <c r="N44">
        <v>1</v>
      </c>
      <c r="O44" t="s">
        <v>80</v>
      </c>
      <c r="P44">
        <v>2045</v>
      </c>
      <c r="Q44" s="13">
        <v>0</v>
      </c>
      <c r="R44" s="13">
        <f>SUMIFS($Q$3:Q44,$O$3:O44,O44,$M$3:M44,M44)</f>
        <v>12879.69495849003</v>
      </c>
      <c r="S44" s="13">
        <v>1216.528453322951</v>
      </c>
      <c r="T44" s="13">
        <f t="shared" si="9"/>
        <v>15668515.387123287</v>
      </c>
      <c r="U44" s="42">
        <f t="shared" ref="U44:W44" si="33">U23</f>
        <v>-5.9551897999999888E-2</v>
      </c>
      <c r="V44" s="42">
        <f t="shared" si="33"/>
        <v>-2.8894788000000095E-2</v>
      </c>
      <c r="W44" s="42">
        <f t="shared" si="33"/>
        <v>-9.0209006999999994E-2</v>
      </c>
      <c r="X44" s="30">
        <f t="shared" si="10"/>
        <v>-933089.83014539478</v>
      </c>
      <c r="Y44" s="30">
        <f t="shared" si="11"/>
        <v>-452738.43038566678</v>
      </c>
      <c r="Z44" s="30">
        <f t="shared" si="12"/>
        <v>-1413441.2142366122</v>
      </c>
      <c r="AA44" s="30">
        <f>IF(OR($O44="Solar",$O44="Wind"),INDEX(Land_Use[AVG],MATCH($O44,Land_Use[Tech],0)),0)*$R44</f>
        <v>45078.932354715107</v>
      </c>
      <c r="AB44" s="30">
        <f>IF(OR($O44="Solar",$O44="Wind"),INDEX(Land_Use[MIN],MATCH($O44,Land_Use[Tech],0)),0)*$R44</f>
        <v>36063.145883772086</v>
      </c>
      <c r="AC44" s="30">
        <f>IF(OR($O44="Solar",$O44="Wind"),INDEX(Land_Use[MAX],MATCH($O44,Land_Use[Tech],0)),0)*$R44</f>
        <v>54094.718825658128</v>
      </c>
    </row>
    <row r="45" spans="1:29" x14ac:dyDescent="0.35">
      <c r="M45" t="s">
        <v>76</v>
      </c>
      <c r="N45">
        <v>1</v>
      </c>
      <c r="O45" t="s">
        <v>83</v>
      </c>
      <c r="P45">
        <v>2025</v>
      </c>
      <c r="Q45" s="13">
        <v>99.380000000000024</v>
      </c>
      <c r="R45" s="13">
        <f>SUMIFS($Q$3:Q45,$O$3:O45,O45,$M$3:M45,M45)</f>
        <v>99.380000000000024</v>
      </c>
      <c r="S45" s="13">
        <v>2502.8086901013899</v>
      </c>
      <c r="T45" s="13">
        <f t="shared" si="9"/>
        <v>248729.1276222762</v>
      </c>
      <c r="U45" s="42">
        <f t="shared" ref="U45:W45" si="34">U24</f>
        <v>-0.14403038200000001</v>
      </c>
      <c r="V45" s="42">
        <f t="shared" si="34"/>
        <v>-0.13205013099999999</v>
      </c>
      <c r="W45" s="42">
        <f t="shared" si="34"/>
        <v>-0.15601063200000001</v>
      </c>
      <c r="X45" s="30">
        <f t="shared" si="10"/>
        <v>-35824.551265963193</v>
      </c>
      <c r="Y45" s="30">
        <f t="shared" si="11"/>
        <v>-32844.713886037287</v>
      </c>
      <c r="Z45" s="30">
        <f t="shared" si="12"/>
        <v>-38804.388397159972</v>
      </c>
      <c r="AA45" s="30">
        <f>IF(OR($O45="Solar",$O45="Wind"),INDEX(Land_Use[AVG],MATCH($O45,Land_Use[Tech],0)),0)*$R45</f>
        <v>248.45000000000005</v>
      </c>
      <c r="AB45" s="30">
        <f>IF(OR($O45="Solar",$O45="Wind"),INDEX(Land_Use[MIN],MATCH($O45,Land_Use[Tech],0)),0)*$R45</f>
        <v>79.504000000000019</v>
      </c>
      <c r="AC45" s="30">
        <f>IF(OR($O45="Solar",$O45="Wind"),INDEX(Land_Use[MAX],MATCH($O45,Land_Use[Tech],0)),0)*$R45</f>
        <v>417.39600000000013</v>
      </c>
    </row>
    <row r="46" spans="1:29" x14ac:dyDescent="0.35">
      <c r="M46" t="s">
        <v>76</v>
      </c>
      <c r="N46">
        <v>1</v>
      </c>
      <c r="O46" t="s">
        <v>83</v>
      </c>
      <c r="P46">
        <v>2026</v>
      </c>
      <c r="Q46" s="13">
        <v>112.94999999999999</v>
      </c>
      <c r="R46" s="13">
        <f>SUMIFS($Q$3:Q46,$O$3:O46,O46,$M$3:M46,M46)</f>
        <v>212.33</v>
      </c>
      <c r="S46" s="13">
        <v>2482.7671254296229</v>
      </c>
      <c r="T46" s="13">
        <f t="shared" si="9"/>
        <v>527165.94374247186</v>
      </c>
      <c r="U46" s="42">
        <f t="shared" ref="U46:W46" si="35">U25</f>
        <v>-0.13980645780000001</v>
      </c>
      <c r="V46" s="42">
        <f t="shared" si="35"/>
        <v>-0.12689236385</v>
      </c>
      <c r="W46" s="42">
        <f t="shared" si="35"/>
        <v>-0.15272055075000002</v>
      </c>
      <c r="X46" s="30">
        <f t="shared" si="10"/>
        <v>-73701.203267429068</v>
      </c>
      <c r="Y46" s="30">
        <f t="shared" si="11"/>
        <v>-66893.332742698374</v>
      </c>
      <c r="Z46" s="30">
        <f t="shared" si="12"/>
        <v>-80509.073264993829</v>
      </c>
      <c r="AA46" s="30">
        <f>IF(OR($O46="Solar",$O46="Wind"),INDEX(Land_Use[AVG],MATCH($O46,Land_Use[Tech],0)),0)*$R46</f>
        <v>530.82500000000005</v>
      </c>
      <c r="AB46" s="30">
        <f>IF(OR($O46="Solar",$O46="Wind"),INDEX(Land_Use[MIN],MATCH($O46,Land_Use[Tech],0)),0)*$R46</f>
        <v>169.86400000000003</v>
      </c>
      <c r="AC46" s="30">
        <f>IF(OR($O46="Solar",$O46="Wind"),INDEX(Land_Use[MAX],MATCH($O46,Land_Use[Tech],0)),0)*$R46</f>
        <v>891.78600000000006</v>
      </c>
    </row>
    <row r="47" spans="1:29" x14ac:dyDescent="0.35">
      <c r="M47" t="s">
        <v>76</v>
      </c>
      <c r="N47">
        <v>1</v>
      </c>
      <c r="O47" t="s">
        <v>83</v>
      </c>
      <c r="P47">
        <v>2027</v>
      </c>
      <c r="Q47" s="13">
        <v>112.94999999999996</v>
      </c>
      <c r="R47" s="13">
        <f>SUMIFS($Q$3:Q47,$O$3:O47,O47,$M$3:M47,M47)</f>
        <v>325.27999999999997</v>
      </c>
      <c r="S47" s="13">
        <v>2462.7255607578559</v>
      </c>
      <c r="T47" s="13">
        <f t="shared" si="9"/>
        <v>801075.37040331529</v>
      </c>
      <c r="U47" s="42">
        <f t="shared" ref="U47:W47" si="36">U26</f>
        <v>-0.1355825336</v>
      </c>
      <c r="V47" s="42">
        <f t="shared" si="36"/>
        <v>-0.1217345967</v>
      </c>
      <c r="W47" s="42">
        <f t="shared" si="36"/>
        <v>-0.14943046950000002</v>
      </c>
      <c r="X47" s="30">
        <f t="shared" si="10"/>
        <v>-108611.82832383995</v>
      </c>
      <c r="Y47" s="30">
        <f t="shared" si="11"/>
        <v>-97518.587142350705</v>
      </c>
      <c r="Z47" s="30">
        <f t="shared" si="12"/>
        <v>-119705.06870425383</v>
      </c>
      <c r="AA47" s="30">
        <f>IF(OR($O47="Solar",$O47="Wind"),INDEX(Land_Use[AVG],MATCH($O47,Land_Use[Tech],0)),0)*$R47</f>
        <v>813.19999999999993</v>
      </c>
      <c r="AB47" s="30">
        <f>IF(OR($O47="Solar",$O47="Wind"),INDEX(Land_Use[MIN],MATCH($O47,Land_Use[Tech],0)),0)*$R47</f>
        <v>260.22399999999999</v>
      </c>
      <c r="AC47" s="30">
        <f>IF(OR($O47="Solar",$O47="Wind"),INDEX(Land_Use[MAX],MATCH($O47,Land_Use[Tech],0)),0)*$R47</f>
        <v>1366.1759999999999</v>
      </c>
    </row>
    <row r="48" spans="1:29" x14ac:dyDescent="0.35">
      <c r="M48" t="s">
        <v>76</v>
      </c>
      <c r="N48">
        <v>1</v>
      </c>
      <c r="O48" t="s">
        <v>83</v>
      </c>
      <c r="P48">
        <v>2028</v>
      </c>
      <c r="Q48" s="13">
        <v>112.95000000000005</v>
      </c>
      <c r="R48" s="13">
        <f>SUMIFS($Q$3:Q48,$O$3:O48,O48,$M$3:M48,M48)</f>
        <v>438.23</v>
      </c>
      <c r="S48" s="13">
        <v>2442.6839960860889</v>
      </c>
      <c r="T48" s="13">
        <f t="shared" si="9"/>
        <v>1070457.4076048068</v>
      </c>
      <c r="U48" s="42">
        <f t="shared" ref="U48:W48" si="37">U27</f>
        <v>-0.13135860939999999</v>
      </c>
      <c r="V48" s="42">
        <f t="shared" si="37"/>
        <v>-0.11657682955000001</v>
      </c>
      <c r="W48" s="42">
        <f t="shared" si="37"/>
        <v>-0.14614038825000003</v>
      </c>
      <c r="X48" s="30">
        <f t="shared" si="10"/>
        <v>-140613.79648489639</v>
      </c>
      <c r="Y48" s="30">
        <f t="shared" si="11"/>
        <v>-124790.53074688045</v>
      </c>
      <c r="Z48" s="30">
        <f t="shared" si="12"/>
        <v>-156437.06115245502</v>
      </c>
      <c r="AA48" s="30">
        <f>IF(OR($O48="Solar",$O48="Wind"),INDEX(Land_Use[AVG],MATCH($O48,Land_Use[Tech],0)),0)*$R48</f>
        <v>1095.575</v>
      </c>
      <c r="AB48" s="30">
        <f>IF(OR($O48="Solar",$O48="Wind"),INDEX(Land_Use[MIN],MATCH($O48,Land_Use[Tech],0)),0)*$R48</f>
        <v>350.58400000000006</v>
      </c>
      <c r="AC48" s="30">
        <f>IF(OR($O48="Solar",$O48="Wind"),INDEX(Land_Use[MAX],MATCH($O48,Land_Use[Tech],0)),0)*$R48</f>
        <v>1840.5660000000003</v>
      </c>
    </row>
    <row r="49" spans="13:29" x14ac:dyDescent="0.35">
      <c r="M49" t="s">
        <v>76</v>
      </c>
      <c r="N49">
        <v>1</v>
      </c>
      <c r="O49" t="s">
        <v>83</v>
      </c>
      <c r="P49">
        <v>2029</v>
      </c>
      <c r="Q49" s="13">
        <v>112.94999999999993</v>
      </c>
      <c r="R49" s="13">
        <f>SUMIFS($Q$3:Q49,$O$3:O49,O49,$M$3:M49,M49)</f>
        <v>551.17999999999995</v>
      </c>
      <c r="S49" s="13">
        <v>2422.6424314143219</v>
      </c>
      <c r="T49" s="13">
        <f t="shared" si="9"/>
        <v>1335312.0553469458</v>
      </c>
      <c r="U49" s="42">
        <f t="shared" ref="U49:W49" si="38">U28</f>
        <v>-0.12713468519999999</v>
      </c>
      <c r="V49" s="42">
        <f t="shared" si="38"/>
        <v>-0.11141906240000002</v>
      </c>
      <c r="W49" s="42">
        <f t="shared" si="38"/>
        <v>-0.14285030700000004</v>
      </c>
      <c r="X49" s="30">
        <f t="shared" si="10"/>
        <v>-169764.47780029892</v>
      </c>
      <c r="Y49" s="30">
        <f t="shared" si="11"/>
        <v>-148779.21721817364</v>
      </c>
      <c r="Z49" s="30">
        <f t="shared" si="12"/>
        <v>-190749.73704711226</v>
      </c>
      <c r="AA49" s="30">
        <f>IF(OR($O49="Solar",$O49="Wind"),INDEX(Land_Use[AVG],MATCH($O49,Land_Use[Tech],0)),0)*$R49</f>
        <v>1377.9499999999998</v>
      </c>
      <c r="AB49" s="30">
        <f>IF(OR($O49="Solar",$O49="Wind"),INDEX(Land_Use[MIN],MATCH($O49,Land_Use[Tech],0)),0)*$R49</f>
        <v>440.94399999999996</v>
      </c>
      <c r="AC49" s="30">
        <f>IF(OR($O49="Solar",$O49="Wind"),INDEX(Land_Use[MAX],MATCH($O49,Land_Use[Tech],0)),0)*$R49</f>
        <v>2314.9559999999997</v>
      </c>
    </row>
    <row r="50" spans="13:29" x14ac:dyDescent="0.35">
      <c r="M50" t="s">
        <v>76</v>
      </c>
      <c r="N50">
        <v>1</v>
      </c>
      <c r="O50" t="s">
        <v>83</v>
      </c>
      <c r="P50">
        <v>2030</v>
      </c>
      <c r="Q50" s="13">
        <v>112.95000000000005</v>
      </c>
      <c r="R50" s="13">
        <f>SUMIFS($Q$3:Q50,$O$3:O50,O50,$M$3:M50,M50)</f>
        <v>664.13</v>
      </c>
      <c r="S50" s="13">
        <v>2402.6008667425549</v>
      </c>
      <c r="T50" s="13">
        <f t="shared" si="9"/>
        <v>1595639.3136297329</v>
      </c>
      <c r="U50" s="42">
        <f t="shared" ref="U50:W50" si="39">U29</f>
        <v>-0.12291076099999998</v>
      </c>
      <c r="V50" s="42">
        <f t="shared" si="39"/>
        <v>-0.10626129525000003</v>
      </c>
      <c r="W50" s="42">
        <f t="shared" si="39"/>
        <v>-0.13956022575000004</v>
      </c>
      <c r="X50" s="30">
        <f t="shared" si="10"/>
        <v>-196121.24231974813</v>
      </c>
      <c r="Y50" s="30">
        <f t="shared" si="11"/>
        <v>-169554.70021811643</v>
      </c>
      <c r="Z50" s="30">
        <f t="shared" si="12"/>
        <v>-222687.78282574064</v>
      </c>
      <c r="AA50" s="30">
        <f>IF(OR($O50="Solar",$O50="Wind"),INDEX(Land_Use[AVG],MATCH($O50,Land_Use[Tech],0)),0)*$R50</f>
        <v>1660.325</v>
      </c>
      <c r="AB50" s="30">
        <f>IF(OR($O50="Solar",$O50="Wind"),INDEX(Land_Use[MIN],MATCH($O50,Land_Use[Tech],0)),0)*$R50</f>
        <v>531.30399999999997</v>
      </c>
      <c r="AC50" s="30">
        <f>IF(OR($O50="Solar",$O50="Wind"),INDEX(Land_Use[MAX],MATCH($O50,Land_Use[Tech],0)),0)*$R50</f>
        <v>2789.346</v>
      </c>
    </row>
    <row r="51" spans="13:29" x14ac:dyDescent="0.35">
      <c r="M51" t="s">
        <v>76</v>
      </c>
      <c r="N51">
        <v>1</v>
      </c>
      <c r="O51" t="s">
        <v>83</v>
      </c>
      <c r="P51">
        <v>2031</v>
      </c>
      <c r="Q51" s="13">
        <v>112.95000000000005</v>
      </c>
      <c r="R51" s="13">
        <f>SUMIFS($Q$3:Q51,$O$3:O51,O51,$M$3:M51,M51)</f>
        <v>777.08</v>
      </c>
      <c r="S51" s="13">
        <v>2382.5593020707879</v>
      </c>
      <c r="T51" s="13">
        <f t="shared" si="9"/>
        <v>1851439.1824531679</v>
      </c>
      <c r="U51" s="42">
        <f t="shared" ref="U51:W51" si="40">U30</f>
        <v>-0.11868683679999997</v>
      </c>
      <c r="V51" s="42">
        <f t="shared" si="40"/>
        <v>-0.10110352810000003</v>
      </c>
      <c r="W51" s="42">
        <f t="shared" si="40"/>
        <v>-0.13627014450000005</v>
      </c>
      <c r="X51" s="30">
        <f t="shared" si="10"/>
        <v>-219741.4600929445</v>
      </c>
      <c r="Y51" s="30">
        <f t="shared" si="11"/>
        <v>-187187.03340859496</v>
      </c>
      <c r="Z51" s="30">
        <f t="shared" si="12"/>
        <v>-252295.88492585515</v>
      </c>
      <c r="AA51" s="30">
        <f>IF(OR($O51="Solar",$O51="Wind"),INDEX(Land_Use[AVG],MATCH($O51,Land_Use[Tech],0)),0)*$R51</f>
        <v>1942.7</v>
      </c>
      <c r="AB51" s="30">
        <f>IF(OR($O51="Solar",$O51="Wind"),INDEX(Land_Use[MIN],MATCH($O51,Land_Use[Tech],0)),0)*$R51</f>
        <v>621.6640000000001</v>
      </c>
      <c r="AC51" s="30">
        <f>IF(OR($O51="Solar",$O51="Wind"),INDEX(Land_Use[MAX],MATCH($O51,Land_Use[Tech],0)),0)*$R51</f>
        <v>3263.7360000000003</v>
      </c>
    </row>
    <row r="52" spans="13:29" x14ac:dyDescent="0.35">
      <c r="M52" t="s">
        <v>76</v>
      </c>
      <c r="N52">
        <v>1</v>
      </c>
      <c r="O52" t="s">
        <v>83</v>
      </c>
      <c r="P52">
        <v>2032</v>
      </c>
      <c r="Q52" s="13">
        <v>112.94999999999993</v>
      </c>
      <c r="R52" s="13">
        <f>SUMIFS($Q$3:Q52,$O$3:O52,O52,$M$3:M52,M52)</f>
        <v>890.03</v>
      </c>
      <c r="S52" s="13">
        <v>2362.5177373990209</v>
      </c>
      <c r="T52" s="13">
        <f t="shared" si="9"/>
        <v>2102711.6618172503</v>
      </c>
      <c r="U52" s="42">
        <f t="shared" ref="U52:W52" si="41">U31</f>
        <v>-0.11446291259999997</v>
      </c>
      <c r="V52" s="42">
        <f t="shared" si="41"/>
        <v>-9.5945760950000042E-2</v>
      </c>
      <c r="W52" s="42">
        <f t="shared" si="41"/>
        <v>-0.13298006325000006</v>
      </c>
      <c r="X52" s="30">
        <f t="shared" si="10"/>
        <v>-240682.50116958862</v>
      </c>
      <c r="Y52" s="30">
        <f t="shared" si="11"/>
        <v>-201746.27045149522</v>
      </c>
      <c r="Z52" s="30">
        <f t="shared" si="12"/>
        <v>-279618.7297849707</v>
      </c>
      <c r="AA52" s="30">
        <f>IF(OR($O52="Solar",$O52="Wind"),INDEX(Land_Use[AVG],MATCH($O52,Land_Use[Tech],0)),0)*$R52</f>
        <v>2225.0749999999998</v>
      </c>
      <c r="AB52" s="30">
        <f>IF(OR($O52="Solar",$O52="Wind"),INDEX(Land_Use[MIN],MATCH($O52,Land_Use[Tech],0)),0)*$R52</f>
        <v>712.024</v>
      </c>
      <c r="AC52" s="30">
        <f>IF(OR($O52="Solar",$O52="Wind"),INDEX(Land_Use[MAX],MATCH($O52,Land_Use[Tech],0)),0)*$R52</f>
        <v>3738.1260000000002</v>
      </c>
    </row>
    <row r="53" spans="13:29" x14ac:dyDescent="0.35">
      <c r="M53" t="s">
        <v>76</v>
      </c>
      <c r="N53">
        <v>1</v>
      </c>
      <c r="O53" t="s">
        <v>83</v>
      </c>
      <c r="P53">
        <v>2033</v>
      </c>
      <c r="Q53" s="13">
        <v>112.95000000000005</v>
      </c>
      <c r="R53" s="13">
        <f>SUMIFS($Q$3:Q53,$O$3:O53,O53,$M$3:M53,M53)</f>
        <v>1002.98</v>
      </c>
      <c r="S53" s="13">
        <v>2342.4761727272539</v>
      </c>
      <c r="T53" s="13">
        <f t="shared" si="9"/>
        <v>2349456.751721981</v>
      </c>
      <c r="U53" s="42">
        <f t="shared" ref="U53:W53" si="42">U32</f>
        <v>-0.11023898839999996</v>
      </c>
      <c r="V53" s="42">
        <f t="shared" si="42"/>
        <v>-9.078799380000005E-2</v>
      </c>
      <c r="W53" s="42">
        <f t="shared" si="42"/>
        <v>-0.12968998200000006</v>
      </c>
      <c r="X53" s="30">
        <f t="shared" si="10"/>
        <v>-259001.73559938103</v>
      </c>
      <c r="Y53" s="30">
        <f t="shared" si="11"/>
        <v>-213302.46500870347</v>
      </c>
      <c r="Z53" s="30">
        <f t="shared" si="12"/>
        <v>-304701.00384060235</v>
      </c>
      <c r="AA53" s="30">
        <f>IF(OR($O53="Solar",$O53="Wind"),INDEX(Land_Use[AVG],MATCH($O53,Land_Use[Tech],0)),0)*$R53</f>
        <v>2507.4499999999998</v>
      </c>
      <c r="AB53" s="30">
        <f>IF(OR($O53="Solar",$O53="Wind"),INDEX(Land_Use[MIN],MATCH($O53,Land_Use[Tech],0)),0)*$R53</f>
        <v>802.38400000000001</v>
      </c>
      <c r="AC53" s="30">
        <f>IF(OR($O53="Solar",$O53="Wind"),INDEX(Land_Use[MAX],MATCH($O53,Land_Use[Tech],0)),0)*$R53</f>
        <v>4212.5160000000005</v>
      </c>
    </row>
    <row r="54" spans="13:29" x14ac:dyDescent="0.35">
      <c r="M54" t="s">
        <v>76</v>
      </c>
      <c r="N54">
        <v>1</v>
      </c>
      <c r="O54" t="s">
        <v>83</v>
      </c>
      <c r="P54">
        <v>2034</v>
      </c>
      <c r="Q54" s="13">
        <v>112.95000000000005</v>
      </c>
      <c r="R54" s="13">
        <f>SUMIFS($Q$3:Q54,$O$3:O54,O54,$M$3:M54,M54)</f>
        <v>1115.93</v>
      </c>
      <c r="S54" s="13">
        <v>2322.4346080554869</v>
      </c>
      <c r="T54" s="13">
        <f t="shared" si="9"/>
        <v>2591674.4521673596</v>
      </c>
      <c r="U54" s="42">
        <f t="shared" ref="U54:W54" si="43">U33</f>
        <v>-0.10601506419999995</v>
      </c>
      <c r="V54" s="42">
        <f t="shared" si="43"/>
        <v>-8.5630226650000058E-2</v>
      </c>
      <c r="W54" s="42">
        <f t="shared" si="43"/>
        <v>-0.12639990075000007</v>
      </c>
      <c r="X54" s="30">
        <f t="shared" si="10"/>
        <v>-274756.53343202232</v>
      </c>
      <c r="Y54" s="30">
        <f t="shared" si="11"/>
        <v>-221925.67074210575</v>
      </c>
      <c r="Z54" s="30">
        <f t="shared" si="12"/>
        <v>-327587.39353026508</v>
      </c>
      <c r="AA54" s="30">
        <f>IF(OR($O54="Solar",$O54="Wind"),INDEX(Land_Use[AVG],MATCH($O54,Land_Use[Tech],0)),0)*$R54</f>
        <v>2789.8250000000003</v>
      </c>
      <c r="AB54" s="30">
        <f>IF(OR($O54="Solar",$O54="Wind"),INDEX(Land_Use[MIN],MATCH($O54,Land_Use[Tech],0)),0)*$R54</f>
        <v>892.74400000000014</v>
      </c>
      <c r="AC54" s="30">
        <f>IF(OR($O54="Solar",$O54="Wind"),INDEX(Land_Use[MAX],MATCH($O54,Land_Use[Tech],0)),0)*$R54</f>
        <v>4686.9060000000009</v>
      </c>
    </row>
    <row r="55" spans="13:29" x14ac:dyDescent="0.35">
      <c r="M55" t="s">
        <v>76</v>
      </c>
      <c r="N55">
        <v>1</v>
      </c>
      <c r="O55" t="s">
        <v>83</v>
      </c>
      <c r="P55">
        <v>2035</v>
      </c>
      <c r="Q55" s="13">
        <v>112.95000000000005</v>
      </c>
      <c r="R55" s="13">
        <f>SUMIFS($Q$3:Q55,$O$3:O55,O55,$M$3:M55,M55)</f>
        <v>1228.8800000000001</v>
      </c>
      <c r="S55" s="13">
        <v>2302.3930433837199</v>
      </c>
      <c r="T55" s="13">
        <f t="shared" si="9"/>
        <v>2829364.7631533858</v>
      </c>
      <c r="U55" s="42">
        <f t="shared" ref="U55:W55" si="44">U34</f>
        <v>-0.10179113999999995</v>
      </c>
      <c r="V55" s="42">
        <f t="shared" si="44"/>
        <v>-8.0472459500000065E-2</v>
      </c>
      <c r="W55" s="42">
        <f t="shared" si="44"/>
        <v>-0.12310981950000006</v>
      </c>
      <c r="X55" s="30">
        <f t="shared" si="10"/>
        <v>-288004.26471721299</v>
      </c>
      <c r="Y55" s="30">
        <f t="shared" si="11"/>
        <v>-227685.94131358812</v>
      </c>
      <c r="Z55" s="30">
        <f t="shared" si="12"/>
        <v>-348322.58529147378</v>
      </c>
      <c r="AA55" s="30">
        <f>IF(OR($O55="Solar",$O55="Wind"),INDEX(Land_Use[AVG],MATCH($O55,Land_Use[Tech],0)),0)*$R55</f>
        <v>3072.2000000000003</v>
      </c>
      <c r="AB55" s="30">
        <f>IF(OR($O55="Solar",$O55="Wind"),INDEX(Land_Use[MIN],MATCH($O55,Land_Use[Tech],0)),0)*$R55</f>
        <v>983.10400000000016</v>
      </c>
      <c r="AC55" s="30">
        <f>IF(OR($O55="Solar",$O55="Wind"),INDEX(Land_Use[MAX],MATCH($O55,Land_Use[Tech],0)),0)*$R55</f>
        <v>5161.2960000000003</v>
      </c>
    </row>
    <row r="56" spans="13:29" x14ac:dyDescent="0.35">
      <c r="M56" t="s">
        <v>76</v>
      </c>
      <c r="N56">
        <v>1</v>
      </c>
      <c r="O56" t="s">
        <v>83</v>
      </c>
      <c r="P56">
        <v>2036</v>
      </c>
      <c r="Q56" s="13">
        <v>0</v>
      </c>
      <c r="R56" s="13">
        <f>SUMIFS($Q$3:Q56,$O$3:O56,O56,$M$3:M56,M56)</f>
        <v>1228.8800000000001</v>
      </c>
      <c r="S56" s="13">
        <v>2282.351478711953</v>
      </c>
      <c r="T56" s="13">
        <f t="shared" si="9"/>
        <v>2804736.0851595448</v>
      </c>
      <c r="U56" s="42">
        <f t="shared" ref="U56:W56" si="45">U35</f>
        <v>-9.756721579999994E-2</v>
      </c>
      <c r="V56" s="42">
        <f t="shared" si="45"/>
        <v>-7.5314692350000073E-2</v>
      </c>
      <c r="W56" s="42">
        <f t="shared" si="45"/>
        <v>-0.11981973825000006</v>
      </c>
      <c r="X56" s="30">
        <f t="shared" si="10"/>
        <v>-273650.29088280833</v>
      </c>
      <c r="Y56" s="30">
        <f t="shared" si="11"/>
        <v>-211237.83537673473</v>
      </c>
      <c r="Z56" s="30">
        <f t="shared" si="12"/>
        <v>-336062.74358414655</v>
      </c>
      <c r="AA56" s="30">
        <f>IF(OR($O56="Solar",$O56="Wind"),INDEX(Land_Use[AVG],MATCH($O56,Land_Use[Tech],0)),0)*$R56</f>
        <v>3072.2000000000003</v>
      </c>
      <c r="AB56" s="30">
        <f>IF(OR($O56="Solar",$O56="Wind"),INDEX(Land_Use[MIN],MATCH($O56,Land_Use[Tech],0)),0)*$R56</f>
        <v>983.10400000000016</v>
      </c>
      <c r="AC56" s="30">
        <f>IF(OR($O56="Solar",$O56="Wind"),INDEX(Land_Use[MAX],MATCH($O56,Land_Use[Tech],0)),0)*$R56</f>
        <v>5161.2960000000003</v>
      </c>
    </row>
    <row r="57" spans="13:29" x14ac:dyDescent="0.35">
      <c r="M57" t="s">
        <v>76</v>
      </c>
      <c r="N57">
        <v>1</v>
      </c>
      <c r="O57" t="s">
        <v>83</v>
      </c>
      <c r="P57">
        <v>2037</v>
      </c>
      <c r="Q57" s="13">
        <v>0</v>
      </c>
      <c r="R57" s="13">
        <f>SUMIFS($Q$3:Q57,$O$3:O57,O57,$M$3:M57,M57)</f>
        <v>1228.8800000000001</v>
      </c>
      <c r="S57" s="13">
        <v>2262.309914040186</v>
      </c>
      <c r="T57" s="13">
        <f t="shared" si="9"/>
        <v>2780107.4071657038</v>
      </c>
      <c r="U57" s="42">
        <f t="shared" ref="U57:W57" si="46">U36</f>
        <v>-9.3343291599999934E-2</v>
      </c>
      <c r="V57" s="42">
        <f t="shared" si="46"/>
        <v>-7.0156925200000081E-2</v>
      </c>
      <c r="W57" s="42">
        <f t="shared" si="46"/>
        <v>-0.11652965700000005</v>
      </c>
      <c r="X57" s="30">
        <f t="shared" si="10"/>
        <v>-259504.37638638803</v>
      </c>
      <c r="Y57" s="30">
        <f t="shared" si="11"/>
        <v>-195043.78741249046</v>
      </c>
      <c r="Z57" s="30">
        <f t="shared" si="12"/>
        <v>-323964.96258017892</v>
      </c>
      <c r="AA57" s="30">
        <f>IF(OR($O57="Solar",$O57="Wind"),INDEX(Land_Use[AVG],MATCH($O57,Land_Use[Tech],0)),0)*$R57</f>
        <v>3072.2000000000003</v>
      </c>
      <c r="AB57" s="30">
        <f>IF(OR($O57="Solar",$O57="Wind"),INDEX(Land_Use[MIN],MATCH($O57,Land_Use[Tech],0)),0)*$R57</f>
        <v>983.10400000000016</v>
      </c>
      <c r="AC57" s="30">
        <f>IF(OR($O57="Solar",$O57="Wind"),INDEX(Land_Use[MAX],MATCH($O57,Land_Use[Tech],0)),0)*$R57</f>
        <v>5161.2960000000003</v>
      </c>
    </row>
    <row r="58" spans="13:29" x14ac:dyDescent="0.35">
      <c r="M58" t="s">
        <v>76</v>
      </c>
      <c r="N58">
        <v>1</v>
      </c>
      <c r="O58" t="s">
        <v>83</v>
      </c>
      <c r="P58">
        <v>2038</v>
      </c>
      <c r="Q58" s="13">
        <v>0</v>
      </c>
      <c r="R58" s="13">
        <f>SUMIFS($Q$3:Q58,$O$3:O58,O58,$M$3:M58,M58)</f>
        <v>1228.8800000000001</v>
      </c>
      <c r="S58" s="13">
        <v>2242.268349368419</v>
      </c>
      <c r="T58" s="13">
        <f t="shared" si="9"/>
        <v>2755478.7291718628</v>
      </c>
      <c r="U58" s="42">
        <f t="shared" ref="U58:W58" si="47">U37</f>
        <v>-8.9119367399999927E-2</v>
      </c>
      <c r="V58" s="42">
        <f t="shared" si="47"/>
        <v>-6.4999158050000089E-2</v>
      </c>
      <c r="W58" s="42">
        <f t="shared" si="47"/>
        <v>-0.11323957575000004</v>
      </c>
      <c r="X58" s="30">
        <f t="shared" si="10"/>
        <v>-245566.52122795215</v>
      </c>
      <c r="Y58" s="30">
        <f t="shared" si="11"/>
        <v>-179103.79742085529</v>
      </c>
      <c r="Z58" s="30">
        <f t="shared" si="12"/>
        <v>-312029.24227957102</v>
      </c>
      <c r="AA58" s="30">
        <f>IF(OR($O58="Solar",$O58="Wind"),INDEX(Land_Use[AVG],MATCH($O58,Land_Use[Tech],0)),0)*$R58</f>
        <v>3072.2000000000003</v>
      </c>
      <c r="AB58" s="30">
        <f>IF(OR($O58="Solar",$O58="Wind"),INDEX(Land_Use[MIN],MATCH($O58,Land_Use[Tech],0)),0)*$R58</f>
        <v>983.10400000000016</v>
      </c>
      <c r="AC58" s="30">
        <f>IF(OR($O58="Solar",$O58="Wind"),INDEX(Land_Use[MAX],MATCH($O58,Land_Use[Tech],0)),0)*$R58</f>
        <v>5161.2960000000003</v>
      </c>
    </row>
    <row r="59" spans="13:29" x14ac:dyDescent="0.35">
      <c r="M59" t="s">
        <v>76</v>
      </c>
      <c r="N59">
        <v>1</v>
      </c>
      <c r="O59" t="s">
        <v>83</v>
      </c>
      <c r="P59">
        <v>2039</v>
      </c>
      <c r="Q59" s="13">
        <v>0</v>
      </c>
      <c r="R59" s="13">
        <f>SUMIFS($Q$3:Q59,$O$3:O59,O59,$M$3:M59,M59)</f>
        <v>1228.8800000000001</v>
      </c>
      <c r="S59" s="13">
        <v>2222.226784696652</v>
      </c>
      <c r="T59" s="13">
        <f t="shared" si="9"/>
        <v>2730850.0511780218</v>
      </c>
      <c r="U59" s="42">
        <f t="shared" ref="U59:W59" si="48">U38</f>
        <v>-8.489544319999992E-2</v>
      </c>
      <c r="V59" s="42">
        <f t="shared" si="48"/>
        <v>-5.984139090000009E-2</v>
      </c>
      <c r="W59" s="42">
        <f t="shared" si="48"/>
        <v>-0.10994949450000004</v>
      </c>
      <c r="X59" s="30">
        <f t="shared" si="10"/>
        <v>-231836.72540750063</v>
      </c>
      <c r="Y59" s="30">
        <f t="shared" si="11"/>
        <v>-163417.86540182924</v>
      </c>
      <c r="Z59" s="30">
        <f t="shared" si="12"/>
        <v>-300255.58268232271</v>
      </c>
      <c r="AA59" s="30">
        <f>IF(OR($O59="Solar",$O59="Wind"),INDEX(Land_Use[AVG],MATCH($O59,Land_Use[Tech],0)),0)*$R59</f>
        <v>3072.2000000000003</v>
      </c>
      <c r="AB59" s="30">
        <f>IF(OR($O59="Solar",$O59="Wind"),INDEX(Land_Use[MIN],MATCH($O59,Land_Use[Tech],0)),0)*$R59</f>
        <v>983.10400000000016</v>
      </c>
      <c r="AC59" s="30">
        <f>IF(OR($O59="Solar",$O59="Wind"),INDEX(Land_Use[MAX],MATCH($O59,Land_Use[Tech],0)),0)*$R59</f>
        <v>5161.2960000000003</v>
      </c>
    </row>
    <row r="60" spans="13:29" x14ac:dyDescent="0.35">
      <c r="M60" t="s">
        <v>76</v>
      </c>
      <c r="N60">
        <v>1</v>
      </c>
      <c r="O60" t="s">
        <v>83</v>
      </c>
      <c r="P60">
        <v>2040</v>
      </c>
      <c r="Q60" s="13">
        <v>0</v>
      </c>
      <c r="R60" s="13">
        <f>SUMIFS($Q$3:Q60,$O$3:O60,O60,$M$3:M60,M60)</f>
        <v>1228.8800000000001</v>
      </c>
      <c r="S60" s="13">
        <v>2202.185220024885</v>
      </c>
      <c r="T60" s="13">
        <f t="shared" si="9"/>
        <v>2706221.3731841808</v>
      </c>
      <c r="U60" s="42">
        <f t="shared" ref="U60:W60" si="49">U39</f>
        <v>-8.0671518999999914E-2</v>
      </c>
      <c r="V60" s="42">
        <f t="shared" si="49"/>
        <v>-5.468362375000009E-2</v>
      </c>
      <c r="W60" s="42">
        <f t="shared" si="49"/>
        <v>-0.10665941325000003</v>
      </c>
      <c r="X60" s="30">
        <f t="shared" si="10"/>
        <v>-218314.98892503351</v>
      </c>
      <c r="Y60" s="30">
        <f t="shared" si="11"/>
        <v>-147985.99135541232</v>
      </c>
      <c r="Z60" s="30">
        <f t="shared" si="12"/>
        <v>-288643.98378843407</v>
      </c>
      <c r="AA60" s="30">
        <f>IF(OR($O60="Solar",$O60="Wind"),INDEX(Land_Use[AVG],MATCH($O60,Land_Use[Tech],0)),0)*$R60</f>
        <v>3072.2000000000003</v>
      </c>
      <c r="AB60" s="30">
        <f>IF(OR($O60="Solar",$O60="Wind"),INDEX(Land_Use[MIN],MATCH($O60,Land_Use[Tech],0)),0)*$R60</f>
        <v>983.10400000000016</v>
      </c>
      <c r="AC60" s="30">
        <f>IF(OR($O60="Solar",$O60="Wind"),INDEX(Land_Use[MAX],MATCH($O60,Land_Use[Tech],0)),0)*$R60</f>
        <v>5161.2960000000003</v>
      </c>
    </row>
    <row r="61" spans="13:29" x14ac:dyDescent="0.35">
      <c r="M61" t="s">
        <v>76</v>
      </c>
      <c r="N61">
        <v>1</v>
      </c>
      <c r="O61" t="s">
        <v>83</v>
      </c>
      <c r="P61">
        <v>2041</v>
      </c>
      <c r="Q61" s="13">
        <v>0</v>
      </c>
      <c r="R61" s="13">
        <f>SUMIFS($Q$3:Q61,$O$3:O61,O61,$M$3:M61,M61)</f>
        <v>1228.8800000000001</v>
      </c>
      <c r="S61" s="13">
        <v>2182.143655353118</v>
      </c>
      <c r="T61" s="13">
        <f t="shared" si="9"/>
        <v>2681592.6951903398</v>
      </c>
      <c r="U61" s="42">
        <f t="shared" ref="U61:W61" si="50">U40</f>
        <v>-7.6447594799999907E-2</v>
      </c>
      <c r="V61" s="42">
        <f t="shared" si="50"/>
        <v>-4.9525856600000091E-2</v>
      </c>
      <c r="W61" s="42">
        <f t="shared" si="50"/>
        <v>-0.10336933200000002</v>
      </c>
      <c r="X61" s="30">
        <f t="shared" si="10"/>
        <v>-205001.31178055075</v>
      </c>
      <c r="Y61" s="30">
        <f t="shared" si="11"/>
        <v>-132808.17528160452</v>
      </c>
      <c r="Z61" s="30">
        <f t="shared" si="12"/>
        <v>-277194.44559790508</v>
      </c>
      <c r="AA61" s="30">
        <f>IF(OR($O61="Solar",$O61="Wind"),INDEX(Land_Use[AVG],MATCH($O61,Land_Use[Tech],0)),0)*$R61</f>
        <v>3072.2000000000003</v>
      </c>
      <c r="AB61" s="30">
        <f>IF(OR($O61="Solar",$O61="Wind"),INDEX(Land_Use[MIN],MATCH($O61,Land_Use[Tech],0)),0)*$R61</f>
        <v>983.10400000000016</v>
      </c>
      <c r="AC61" s="30">
        <f>IF(OR($O61="Solar",$O61="Wind"),INDEX(Land_Use[MAX],MATCH($O61,Land_Use[Tech],0)),0)*$R61</f>
        <v>5161.2960000000003</v>
      </c>
    </row>
    <row r="62" spans="13:29" x14ac:dyDescent="0.35">
      <c r="M62" t="s">
        <v>76</v>
      </c>
      <c r="N62">
        <v>1</v>
      </c>
      <c r="O62" t="s">
        <v>83</v>
      </c>
      <c r="P62">
        <v>2042</v>
      </c>
      <c r="Q62" s="13">
        <v>0</v>
      </c>
      <c r="R62" s="13">
        <f>SUMIFS($Q$3:Q62,$O$3:O62,O62,$M$3:M62,M62)</f>
        <v>1228.8800000000001</v>
      </c>
      <c r="S62" s="13">
        <v>2162.102090681351</v>
      </c>
      <c r="T62" s="13">
        <f t="shared" si="9"/>
        <v>2656964.0171964988</v>
      </c>
      <c r="U62" s="42">
        <f t="shared" ref="U62:W62" si="51">U41</f>
        <v>-7.2223670599999901E-2</v>
      </c>
      <c r="V62" s="42">
        <f t="shared" si="51"/>
        <v>-4.4368089450000092E-2</v>
      </c>
      <c r="W62" s="42">
        <f t="shared" si="51"/>
        <v>-0.10007925075000002</v>
      </c>
      <c r="X62" s="30">
        <f t="shared" si="10"/>
        <v>-191895.69397405241</v>
      </c>
      <c r="Y62" s="30">
        <f t="shared" si="11"/>
        <v>-117884.41718040584</v>
      </c>
      <c r="Z62" s="30">
        <f t="shared" si="12"/>
        <v>-265906.96811073576</v>
      </c>
      <c r="AA62" s="30">
        <f>IF(OR($O62="Solar",$O62="Wind"),INDEX(Land_Use[AVG],MATCH($O62,Land_Use[Tech],0)),0)*$R62</f>
        <v>3072.2000000000003</v>
      </c>
      <c r="AB62" s="30">
        <f>IF(OR($O62="Solar",$O62="Wind"),INDEX(Land_Use[MIN],MATCH($O62,Land_Use[Tech],0)),0)*$R62</f>
        <v>983.10400000000016</v>
      </c>
      <c r="AC62" s="30">
        <f>IF(OR($O62="Solar",$O62="Wind"),INDEX(Land_Use[MAX],MATCH($O62,Land_Use[Tech],0)),0)*$R62</f>
        <v>5161.2960000000003</v>
      </c>
    </row>
    <row r="63" spans="13:29" x14ac:dyDescent="0.35">
      <c r="M63" t="s">
        <v>76</v>
      </c>
      <c r="N63">
        <v>1</v>
      </c>
      <c r="O63" t="s">
        <v>83</v>
      </c>
      <c r="P63">
        <v>2043</v>
      </c>
      <c r="Q63" s="13">
        <v>0</v>
      </c>
      <c r="R63" s="13">
        <f>SUMIFS($Q$3:Q63,$O$3:O63,O63,$M$3:M63,M63)</f>
        <v>1228.8800000000001</v>
      </c>
      <c r="S63" s="13">
        <v>2142.060526009584</v>
      </c>
      <c r="T63" s="13">
        <f t="shared" si="9"/>
        <v>2632335.3392026578</v>
      </c>
      <c r="U63" s="42">
        <f t="shared" ref="U63:W63" si="52">U42</f>
        <v>-6.7999746399999894E-2</v>
      </c>
      <c r="V63" s="42">
        <f t="shared" si="52"/>
        <v>-3.9210322300000093E-2</v>
      </c>
      <c r="W63" s="42">
        <f t="shared" si="52"/>
        <v>-9.6789169500000008E-2</v>
      </c>
      <c r="X63" s="30">
        <f t="shared" si="10"/>
        <v>-178998.13550553843</v>
      </c>
      <c r="Y63" s="30">
        <f t="shared" si="11"/>
        <v>-103214.71705181629</v>
      </c>
      <c r="Z63" s="30">
        <f t="shared" si="12"/>
        <v>-254781.55132692607</v>
      </c>
      <c r="AA63" s="30">
        <f>IF(OR($O63="Solar",$O63="Wind"),INDEX(Land_Use[AVG],MATCH($O63,Land_Use[Tech],0)),0)*$R63</f>
        <v>3072.2000000000003</v>
      </c>
      <c r="AB63" s="30">
        <f>IF(OR($O63="Solar",$O63="Wind"),INDEX(Land_Use[MIN],MATCH($O63,Land_Use[Tech],0)),0)*$R63</f>
        <v>983.10400000000016</v>
      </c>
      <c r="AC63" s="30">
        <f>IF(OR($O63="Solar",$O63="Wind"),INDEX(Land_Use[MAX],MATCH($O63,Land_Use[Tech],0)),0)*$R63</f>
        <v>5161.2960000000003</v>
      </c>
    </row>
    <row r="64" spans="13:29" x14ac:dyDescent="0.35">
      <c r="M64" t="s">
        <v>76</v>
      </c>
      <c r="N64">
        <v>1</v>
      </c>
      <c r="O64" t="s">
        <v>83</v>
      </c>
      <c r="P64">
        <v>2044</v>
      </c>
      <c r="Q64" s="13">
        <v>0</v>
      </c>
      <c r="R64" s="13">
        <f>SUMIFS($Q$3:Q64,$O$3:O64,O64,$M$3:M64,M64)</f>
        <v>1228.8800000000001</v>
      </c>
      <c r="S64" s="13">
        <v>2122.018961337817</v>
      </c>
      <c r="T64" s="13">
        <f t="shared" si="9"/>
        <v>2607706.6612088168</v>
      </c>
      <c r="U64" s="42">
        <f t="shared" ref="U64:W64" si="53">U43</f>
        <v>-6.3775822199999888E-2</v>
      </c>
      <c r="V64" s="42">
        <f t="shared" si="53"/>
        <v>-3.4052555150000094E-2</v>
      </c>
      <c r="W64" s="42">
        <f t="shared" si="53"/>
        <v>-9.3499088250000001E-2</v>
      </c>
      <c r="X64" s="30">
        <f t="shared" si="10"/>
        <v>-166308.63637500885</v>
      </c>
      <c r="Y64" s="30">
        <f t="shared" si="11"/>
        <v>-88799.074895835845</v>
      </c>
      <c r="Z64" s="30">
        <f t="shared" si="12"/>
        <v>-243818.19524647601</v>
      </c>
      <c r="AA64" s="30">
        <f>IF(OR($O64="Solar",$O64="Wind"),INDEX(Land_Use[AVG],MATCH($O64,Land_Use[Tech],0)),0)*$R64</f>
        <v>3072.2000000000003</v>
      </c>
      <c r="AB64" s="30">
        <f>IF(OR($O64="Solar",$O64="Wind"),INDEX(Land_Use[MIN],MATCH($O64,Land_Use[Tech],0)),0)*$R64</f>
        <v>983.10400000000016</v>
      </c>
      <c r="AC64" s="30">
        <f>IF(OR($O64="Solar",$O64="Wind"),INDEX(Land_Use[MAX],MATCH($O64,Land_Use[Tech],0)),0)*$R64</f>
        <v>5161.2960000000003</v>
      </c>
    </row>
    <row r="65" spans="13:29" x14ac:dyDescent="0.35">
      <c r="M65" t="s">
        <v>76</v>
      </c>
      <c r="N65">
        <v>1</v>
      </c>
      <c r="O65" t="s">
        <v>83</v>
      </c>
      <c r="P65">
        <v>2045</v>
      </c>
      <c r="Q65" s="13">
        <v>0</v>
      </c>
      <c r="R65" s="13">
        <f>SUMIFS($Q$3:Q65,$O$3:O65,O65,$M$3:M65,M65)</f>
        <v>1228.8800000000001</v>
      </c>
      <c r="S65" s="13">
        <v>2101.97739666605</v>
      </c>
      <c r="T65" s="13">
        <f t="shared" si="9"/>
        <v>2583077.9832149758</v>
      </c>
      <c r="U65" s="42">
        <f t="shared" ref="U65:W65" si="54">U44</f>
        <v>-5.9551897999999888E-2</v>
      </c>
      <c r="V65" s="42">
        <f t="shared" si="54"/>
        <v>-2.8894788000000095E-2</v>
      </c>
      <c r="W65" s="42">
        <f t="shared" si="54"/>
        <v>-9.0209006999999994E-2</v>
      </c>
      <c r="X65" s="30">
        <f t="shared" si="10"/>
        <v>-153827.19658246366</v>
      </c>
      <c r="Y65" s="30">
        <f t="shared" si="11"/>
        <v>-74637.490712464525</v>
      </c>
      <c r="Z65" s="30">
        <f t="shared" si="12"/>
        <v>-233016.89986938561</v>
      </c>
      <c r="AA65" s="30">
        <f>IF(OR($O65="Solar",$O65="Wind"),INDEX(Land_Use[AVG],MATCH($O65,Land_Use[Tech],0)),0)*$R65</f>
        <v>3072.2000000000003</v>
      </c>
      <c r="AB65" s="30">
        <f>IF(OR($O65="Solar",$O65="Wind"),INDEX(Land_Use[MIN],MATCH($O65,Land_Use[Tech],0)),0)*$R65</f>
        <v>983.10400000000016</v>
      </c>
      <c r="AC65" s="30">
        <f>IF(OR($O65="Solar",$O65="Wind"),INDEX(Land_Use[MAX],MATCH($O65,Land_Use[Tech],0)),0)*$R65</f>
        <v>5161.2960000000003</v>
      </c>
    </row>
    <row r="66" spans="13:29" x14ac:dyDescent="0.35">
      <c r="M66" t="s">
        <v>76</v>
      </c>
      <c r="N66">
        <v>1</v>
      </c>
      <c r="O66" t="s">
        <v>84</v>
      </c>
      <c r="P66">
        <v>2025</v>
      </c>
      <c r="Q66" s="13">
        <v>0</v>
      </c>
      <c r="R66" s="13">
        <f>SUMIFS($Q$3:Q66,$O$3:O66,O66,$M$3:M66,M66)</f>
        <v>0</v>
      </c>
      <c r="S66" s="13">
        <v>6035.0858307307299</v>
      </c>
      <c r="T66" s="13">
        <f t="shared" si="9"/>
        <v>0</v>
      </c>
      <c r="U66" s="42">
        <f t="shared" ref="U66:W66" si="55">U45</f>
        <v>-0.14403038200000001</v>
      </c>
      <c r="V66" s="42">
        <f t="shared" si="55"/>
        <v>-0.13205013099999999</v>
      </c>
      <c r="W66" s="42">
        <f t="shared" si="55"/>
        <v>-0.15601063200000001</v>
      </c>
      <c r="X66" s="30">
        <f t="shared" si="10"/>
        <v>0</v>
      </c>
      <c r="Y66" s="30">
        <f t="shared" si="11"/>
        <v>0</v>
      </c>
      <c r="Z66" s="30">
        <f t="shared" si="12"/>
        <v>0</v>
      </c>
      <c r="AA66" s="30">
        <f>IF(OR($O66="Solar",$O66="Wind"),INDEX(Land_Use[AVG],MATCH($O66,Land_Use[Tech],0)),0)*$R66</f>
        <v>0</v>
      </c>
      <c r="AB66" s="30">
        <f>IF(OR($O66="Solar",$O66="Wind"),INDEX(Land_Use[MIN],MATCH($O66,Land_Use[Tech],0)),0)*$R66</f>
        <v>0</v>
      </c>
      <c r="AC66" s="30">
        <f>IF(OR($O66="Solar",$O66="Wind"),INDEX(Land_Use[MAX],MATCH($O66,Land_Use[Tech],0)),0)*$R66</f>
        <v>0</v>
      </c>
    </row>
    <row r="67" spans="13:29" x14ac:dyDescent="0.35">
      <c r="M67" t="s">
        <v>76</v>
      </c>
      <c r="N67">
        <v>1</v>
      </c>
      <c r="O67" t="s">
        <v>84</v>
      </c>
      <c r="P67">
        <v>2026</v>
      </c>
      <c r="Q67" s="13">
        <v>5</v>
      </c>
      <c r="R67" s="13">
        <f>SUMIFS($Q$3:Q67,$O$3:O67,O67,$M$3:M67,M67)</f>
        <v>5</v>
      </c>
      <c r="S67" s="13">
        <v>5991.4369513857655</v>
      </c>
      <c r="T67" s="13">
        <f t="shared" si="9"/>
        <v>29957.184756928829</v>
      </c>
      <c r="U67" s="42">
        <f t="shared" ref="U67:W67" si="56">U46</f>
        <v>-0.13980645780000001</v>
      </c>
      <c r="V67" s="42">
        <f t="shared" si="56"/>
        <v>-0.12689236385</v>
      </c>
      <c r="W67" s="42">
        <f t="shared" si="56"/>
        <v>-0.15272055075000002</v>
      </c>
      <c r="X67" s="30">
        <f t="shared" si="10"/>
        <v>-4188.2078865263738</v>
      </c>
      <c r="Y67" s="30">
        <f t="shared" si="11"/>
        <v>-3801.3379880978869</v>
      </c>
      <c r="Z67" s="30">
        <f t="shared" si="12"/>
        <v>-4575.0777549976765</v>
      </c>
      <c r="AA67" s="30">
        <f>IF(OR($O67="Solar",$O67="Wind"),INDEX(Land_Use[AVG],MATCH($O67,Land_Use[Tech],0)),0)*$R67</f>
        <v>0</v>
      </c>
      <c r="AB67" s="30">
        <f>IF(OR($O67="Solar",$O67="Wind"),INDEX(Land_Use[MIN],MATCH($O67,Land_Use[Tech],0)),0)*$R67</f>
        <v>0</v>
      </c>
      <c r="AC67" s="30">
        <f>IF(OR($O67="Solar",$O67="Wind"),INDEX(Land_Use[MAX],MATCH($O67,Land_Use[Tech],0)),0)*$R67</f>
        <v>0</v>
      </c>
    </row>
    <row r="68" spans="13:29" x14ac:dyDescent="0.35">
      <c r="M68" t="s">
        <v>76</v>
      </c>
      <c r="N68">
        <v>1</v>
      </c>
      <c r="O68" t="s">
        <v>84</v>
      </c>
      <c r="P68">
        <v>2027</v>
      </c>
      <c r="Q68" s="13">
        <v>0</v>
      </c>
      <c r="R68" s="13">
        <f>SUMIFS($Q$3:Q68,$O$3:O68,O68,$M$3:M68,M68)</f>
        <v>5</v>
      </c>
      <c r="S68" s="13">
        <v>5947.7880720408011</v>
      </c>
      <c r="T68" s="13">
        <f t="shared" ref="T68:T131" si="57">R68*S68</f>
        <v>29738.940360204004</v>
      </c>
      <c r="U68" s="42">
        <f t="shared" ref="U68:W68" si="58">U47</f>
        <v>-0.1355825336</v>
      </c>
      <c r="V68" s="42">
        <f t="shared" si="58"/>
        <v>-0.1217345967</v>
      </c>
      <c r="W68" s="42">
        <f t="shared" si="58"/>
        <v>-0.14943046950000002</v>
      </c>
      <c r="X68" s="30">
        <f t="shared" ref="X68:X131" si="59">$T68*U68</f>
        <v>-4032.0808806157556</v>
      </c>
      <c r="Y68" s="30">
        <f t="shared" ref="Y68:Y131" si="60">$T68*V68</f>
        <v>-3620.2579110347874</v>
      </c>
      <c r="Z68" s="30">
        <f t="shared" ref="Z68:Z131" si="61">$T68*W68</f>
        <v>-4443.9038204577837</v>
      </c>
      <c r="AA68" s="30">
        <f>IF(OR($O68="Solar",$O68="Wind"),INDEX(Land_Use[AVG],MATCH($O68,Land_Use[Tech],0)),0)*$R68</f>
        <v>0</v>
      </c>
      <c r="AB68" s="30">
        <f>IF(OR($O68="Solar",$O68="Wind"),INDEX(Land_Use[MIN],MATCH($O68,Land_Use[Tech],0)),0)*$R68</f>
        <v>0</v>
      </c>
      <c r="AC68" s="30">
        <f>IF(OR($O68="Solar",$O68="Wind"),INDEX(Land_Use[MAX],MATCH($O68,Land_Use[Tech],0)),0)*$R68</f>
        <v>0</v>
      </c>
    </row>
    <row r="69" spans="13:29" x14ac:dyDescent="0.35">
      <c r="M69" t="s">
        <v>76</v>
      </c>
      <c r="N69">
        <v>1</v>
      </c>
      <c r="O69" t="s">
        <v>84</v>
      </c>
      <c r="P69">
        <v>2028</v>
      </c>
      <c r="Q69" s="13">
        <v>0</v>
      </c>
      <c r="R69" s="13">
        <f>SUMIFS($Q$3:Q69,$O$3:O69,O69,$M$3:M69,M69)</f>
        <v>5</v>
      </c>
      <c r="S69" s="13">
        <v>5904.1391926958368</v>
      </c>
      <c r="T69" s="13">
        <f t="shared" si="57"/>
        <v>29520.695963479186</v>
      </c>
      <c r="U69" s="42">
        <f t="shared" ref="U69:W69" si="62">U48</f>
        <v>-0.13135860939999999</v>
      </c>
      <c r="V69" s="42">
        <f t="shared" si="62"/>
        <v>-0.11657682955000001</v>
      </c>
      <c r="W69" s="42">
        <f t="shared" si="62"/>
        <v>-0.14614038825000003</v>
      </c>
      <c r="X69" s="30">
        <f t="shared" si="59"/>
        <v>-3877.7975702828189</v>
      </c>
      <c r="Y69" s="30">
        <f t="shared" si="60"/>
        <v>-3441.4291415318862</v>
      </c>
      <c r="Z69" s="30">
        <f t="shared" si="61"/>
        <v>-4314.1659695130566</v>
      </c>
      <c r="AA69" s="30">
        <f>IF(OR($O69="Solar",$O69="Wind"),INDEX(Land_Use[AVG],MATCH($O69,Land_Use[Tech],0)),0)*$R69</f>
        <v>0</v>
      </c>
      <c r="AB69" s="30">
        <f>IF(OR($O69="Solar",$O69="Wind"),INDEX(Land_Use[MIN],MATCH($O69,Land_Use[Tech],0)),0)*$R69</f>
        <v>0</v>
      </c>
      <c r="AC69" s="30">
        <f>IF(OR($O69="Solar",$O69="Wind"),INDEX(Land_Use[MAX],MATCH($O69,Land_Use[Tech],0)),0)*$R69</f>
        <v>0</v>
      </c>
    </row>
    <row r="70" spans="13:29" x14ac:dyDescent="0.35">
      <c r="M70" t="s">
        <v>76</v>
      </c>
      <c r="N70">
        <v>1</v>
      </c>
      <c r="O70" t="s">
        <v>84</v>
      </c>
      <c r="P70">
        <v>2029</v>
      </c>
      <c r="Q70" s="13">
        <v>0</v>
      </c>
      <c r="R70" s="13">
        <f>SUMIFS($Q$3:Q70,$O$3:O70,O70,$M$3:M70,M70)</f>
        <v>5</v>
      </c>
      <c r="S70" s="13">
        <v>5860.4903133508724</v>
      </c>
      <c r="T70" s="13">
        <f t="shared" si="57"/>
        <v>29302.45156675436</v>
      </c>
      <c r="U70" s="42">
        <f t="shared" ref="U70:W70" si="63">U49</f>
        <v>-0.12713468519999999</v>
      </c>
      <c r="V70" s="42">
        <f t="shared" si="63"/>
        <v>-0.11141906240000002</v>
      </c>
      <c r="W70" s="42">
        <f t="shared" si="63"/>
        <v>-0.14285030700000004</v>
      </c>
      <c r="X70" s="30">
        <f t="shared" si="59"/>
        <v>-3725.3579555275619</v>
      </c>
      <c r="Y70" s="30">
        <f t="shared" si="60"/>
        <v>-3264.8516795891824</v>
      </c>
      <c r="Z70" s="30">
        <f t="shared" si="61"/>
        <v>-4185.8642021634923</v>
      </c>
      <c r="AA70" s="30">
        <f>IF(OR($O70="Solar",$O70="Wind"),INDEX(Land_Use[AVG],MATCH($O70,Land_Use[Tech],0)),0)*$R70</f>
        <v>0</v>
      </c>
      <c r="AB70" s="30">
        <f>IF(OR($O70="Solar",$O70="Wind"),INDEX(Land_Use[MIN],MATCH($O70,Land_Use[Tech],0)),0)*$R70</f>
        <v>0</v>
      </c>
      <c r="AC70" s="30">
        <f>IF(OR($O70="Solar",$O70="Wind"),INDEX(Land_Use[MAX],MATCH($O70,Land_Use[Tech],0)),0)*$R70</f>
        <v>0</v>
      </c>
    </row>
    <row r="71" spans="13:29" x14ac:dyDescent="0.35">
      <c r="M71" t="s">
        <v>76</v>
      </c>
      <c r="N71">
        <v>1</v>
      </c>
      <c r="O71" t="s">
        <v>84</v>
      </c>
      <c r="P71">
        <v>2030</v>
      </c>
      <c r="Q71" s="13">
        <v>5</v>
      </c>
      <c r="R71" s="13">
        <f>SUMIFS($Q$3:Q71,$O$3:O71,O71,$M$3:M71,M71)</f>
        <v>10</v>
      </c>
      <c r="S71" s="13">
        <v>5816.841434005908</v>
      </c>
      <c r="T71" s="13">
        <f t="shared" si="57"/>
        <v>58168.414340059084</v>
      </c>
      <c r="U71" s="42">
        <f t="shared" ref="U71:W71" si="64">U50</f>
        <v>-0.12291076099999998</v>
      </c>
      <c r="V71" s="42">
        <f t="shared" si="64"/>
        <v>-0.10626129525000003</v>
      </c>
      <c r="W71" s="42">
        <f t="shared" si="64"/>
        <v>-0.13956022575000004</v>
      </c>
      <c r="X71" s="30">
        <f t="shared" si="59"/>
        <v>-7149.5240726999737</v>
      </c>
      <c r="Y71" s="30">
        <f t="shared" si="60"/>
        <v>-6181.0510504133536</v>
      </c>
      <c r="Z71" s="30">
        <f t="shared" si="61"/>
        <v>-8117.9970368181857</v>
      </c>
      <c r="AA71" s="30">
        <f>IF(OR($O71="Solar",$O71="Wind"),INDEX(Land_Use[AVG],MATCH($O71,Land_Use[Tech],0)),0)*$R71</f>
        <v>0</v>
      </c>
      <c r="AB71" s="30">
        <f>IF(OR($O71="Solar",$O71="Wind"),INDEX(Land_Use[MIN],MATCH($O71,Land_Use[Tech],0)),0)*$R71</f>
        <v>0</v>
      </c>
      <c r="AC71" s="30">
        <f>IF(OR($O71="Solar",$O71="Wind"),INDEX(Land_Use[MAX],MATCH($O71,Land_Use[Tech],0)),0)*$R71</f>
        <v>0</v>
      </c>
    </row>
    <row r="72" spans="13:29" x14ac:dyDescent="0.35">
      <c r="M72" t="s">
        <v>76</v>
      </c>
      <c r="N72">
        <v>1</v>
      </c>
      <c r="O72" t="s">
        <v>84</v>
      </c>
      <c r="P72">
        <v>2031</v>
      </c>
      <c r="Q72" s="13">
        <v>0</v>
      </c>
      <c r="R72" s="13">
        <f>SUMIFS($Q$3:Q72,$O$3:O72,O72,$M$3:M72,M72)</f>
        <v>10</v>
      </c>
      <c r="S72" s="13">
        <v>5773.1925546609436</v>
      </c>
      <c r="T72" s="13">
        <f t="shared" si="57"/>
        <v>57731.925546609433</v>
      </c>
      <c r="U72" s="42">
        <f t="shared" ref="U72:W72" si="65">U51</f>
        <v>-0.11868683679999997</v>
      </c>
      <c r="V72" s="42">
        <f t="shared" si="65"/>
        <v>-0.10110352810000003</v>
      </c>
      <c r="W72" s="42">
        <f t="shared" si="65"/>
        <v>-0.13627014450000005</v>
      </c>
      <c r="X72" s="30">
        <f t="shared" si="59"/>
        <v>-6852.0196255001829</v>
      </c>
      <c r="Y72" s="30">
        <f t="shared" si="60"/>
        <v>-5836.9013567687371</v>
      </c>
      <c r="Z72" s="30">
        <f t="shared" si="61"/>
        <v>-7867.1378364997117</v>
      </c>
      <c r="AA72" s="30">
        <f>IF(OR($O72="Solar",$O72="Wind"),INDEX(Land_Use[AVG],MATCH($O72,Land_Use[Tech],0)),0)*$R72</f>
        <v>0</v>
      </c>
      <c r="AB72" s="30">
        <f>IF(OR($O72="Solar",$O72="Wind"),INDEX(Land_Use[MIN],MATCH($O72,Land_Use[Tech],0)),0)*$R72</f>
        <v>0</v>
      </c>
      <c r="AC72" s="30">
        <f>IF(OR($O72="Solar",$O72="Wind"),INDEX(Land_Use[MAX],MATCH($O72,Land_Use[Tech],0)),0)*$R72</f>
        <v>0</v>
      </c>
    </row>
    <row r="73" spans="13:29" x14ac:dyDescent="0.35">
      <c r="M73" t="s">
        <v>76</v>
      </c>
      <c r="N73">
        <v>1</v>
      </c>
      <c r="O73" t="s">
        <v>84</v>
      </c>
      <c r="P73">
        <v>2032</v>
      </c>
      <c r="Q73" s="13">
        <v>5</v>
      </c>
      <c r="R73" s="13">
        <f>SUMIFS($Q$3:Q73,$O$3:O73,O73,$M$3:M73,M73)</f>
        <v>15</v>
      </c>
      <c r="S73" s="13">
        <v>5729.5436753159793</v>
      </c>
      <c r="T73" s="13">
        <f t="shared" si="57"/>
        <v>85943.155129739695</v>
      </c>
      <c r="U73" s="42">
        <f t="shared" ref="U73:W73" si="66">U52</f>
        <v>-0.11446291259999997</v>
      </c>
      <c r="V73" s="42">
        <f t="shared" si="66"/>
        <v>-9.5945760950000042E-2</v>
      </c>
      <c r="W73" s="42">
        <f t="shared" si="66"/>
        <v>-0.13298006325000006</v>
      </c>
      <c r="X73" s="30">
        <f t="shared" si="59"/>
        <v>-9837.303854183634</v>
      </c>
      <c r="Y73" s="30">
        <f t="shared" si="60"/>
        <v>-8245.8814173667743</v>
      </c>
      <c r="Z73" s="30">
        <f t="shared" si="61"/>
        <v>-11428.726205057352</v>
      </c>
      <c r="AA73" s="30">
        <f>IF(OR($O73="Solar",$O73="Wind"),INDEX(Land_Use[AVG],MATCH($O73,Land_Use[Tech],0)),0)*$R73</f>
        <v>0</v>
      </c>
      <c r="AB73" s="30">
        <f>IF(OR($O73="Solar",$O73="Wind"),INDEX(Land_Use[MIN],MATCH($O73,Land_Use[Tech],0)),0)*$R73</f>
        <v>0</v>
      </c>
      <c r="AC73" s="30">
        <f>IF(OR($O73="Solar",$O73="Wind"),INDEX(Land_Use[MAX],MATCH($O73,Land_Use[Tech],0)),0)*$R73</f>
        <v>0</v>
      </c>
    </row>
    <row r="74" spans="13:29" x14ac:dyDescent="0.35">
      <c r="M74" t="s">
        <v>76</v>
      </c>
      <c r="N74">
        <v>1</v>
      </c>
      <c r="O74" t="s">
        <v>84</v>
      </c>
      <c r="P74">
        <v>2033</v>
      </c>
      <c r="Q74" s="13">
        <v>0</v>
      </c>
      <c r="R74" s="13">
        <f>SUMIFS($Q$3:Q74,$O$3:O74,O74,$M$3:M74,M74)</f>
        <v>15</v>
      </c>
      <c r="S74" s="13">
        <v>5685.8947959710149</v>
      </c>
      <c r="T74" s="13">
        <f t="shared" si="57"/>
        <v>85288.421939565218</v>
      </c>
      <c r="U74" s="42">
        <f t="shared" ref="U74:W74" si="67">U53</f>
        <v>-0.11023898839999996</v>
      </c>
      <c r="V74" s="42">
        <f t="shared" si="67"/>
        <v>-9.078799380000005E-2</v>
      </c>
      <c r="W74" s="42">
        <f t="shared" si="67"/>
        <v>-0.12968998200000006</v>
      </c>
      <c r="X74" s="30">
        <f t="shared" si="59"/>
        <v>-9402.1093568500328</v>
      </c>
      <c r="Y74" s="30">
        <f t="shared" si="60"/>
        <v>-7743.1647222610354</v>
      </c>
      <c r="Z74" s="30">
        <f t="shared" si="61"/>
        <v>-11061.053906150624</v>
      </c>
      <c r="AA74" s="30">
        <f>IF(OR($O74="Solar",$O74="Wind"),INDEX(Land_Use[AVG],MATCH($O74,Land_Use[Tech],0)),0)*$R74</f>
        <v>0</v>
      </c>
      <c r="AB74" s="30">
        <f>IF(OR($O74="Solar",$O74="Wind"),INDEX(Land_Use[MIN],MATCH($O74,Land_Use[Tech],0)),0)*$R74</f>
        <v>0</v>
      </c>
      <c r="AC74" s="30">
        <f>IF(OR($O74="Solar",$O74="Wind"),INDEX(Land_Use[MAX],MATCH($O74,Land_Use[Tech],0)),0)*$R74</f>
        <v>0</v>
      </c>
    </row>
    <row r="75" spans="13:29" x14ac:dyDescent="0.35">
      <c r="M75" t="s">
        <v>76</v>
      </c>
      <c r="N75">
        <v>1</v>
      </c>
      <c r="O75" t="s">
        <v>84</v>
      </c>
      <c r="P75">
        <v>2034</v>
      </c>
      <c r="Q75" s="13">
        <v>0</v>
      </c>
      <c r="R75" s="13">
        <f>SUMIFS($Q$3:Q75,$O$3:O75,O75,$M$3:M75,M75)</f>
        <v>15</v>
      </c>
      <c r="S75" s="13">
        <v>5642.2459166260505</v>
      </c>
      <c r="T75" s="13">
        <f t="shared" si="57"/>
        <v>84633.688749390756</v>
      </c>
      <c r="U75" s="42">
        <f t="shared" ref="U75:W75" si="68">U54</f>
        <v>-0.10601506419999995</v>
      </c>
      <c r="V75" s="42">
        <f t="shared" si="68"/>
        <v>-8.5630226650000058E-2</v>
      </c>
      <c r="W75" s="42">
        <f t="shared" si="68"/>
        <v>-0.12639990075000007</v>
      </c>
      <c r="X75" s="30">
        <f t="shared" si="59"/>
        <v>-8972.4459462494742</v>
      </c>
      <c r="Y75" s="30">
        <f t="shared" si="60"/>
        <v>-7247.2019498358904</v>
      </c>
      <c r="Z75" s="30">
        <f t="shared" si="61"/>
        <v>-10697.689858029389</v>
      </c>
      <c r="AA75" s="30">
        <f>IF(OR($O75="Solar",$O75="Wind"),INDEX(Land_Use[AVG],MATCH($O75,Land_Use[Tech],0)),0)*$R75</f>
        <v>0</v>
      </c>
      <c r="AB75" s="30">
        <f>IF(OR($O75="Solar",$O75="Wind"),INDEX(Land_Use[MIN],MATCH($O75,Land_Use[Tech],0)),0)*$R75</f>
        <v>0</v>
      </c>
      <c r="AC75" s="30">
        <f>IF(OR($O75="Solar",$O75="Wind"),INDEX(Land_Use[MAX],MATCH($O75,Land_Use[Tech],0)),0)*$R75</f>
        <v>0</v>
      </c>
    </row>
    <row r="76" spans="13:29" x14ac:dyDescent="0.35">
      <c r="M76" t="s">
        <v>76</v>
      </c>
      <c r="N76">
        <v>1</v>
      </c>
      <c r="O76" t="s">
        <v>84</v>
      </c>
      <c r="P76">
        <v>2035</v>
      </c>
      <c r="Q76" s="13">
        <v>0</v>
      </c>
      <c r="R76" s="13">
        <f>SUMIFS($Q$3:Q76,$O$3:O76,O76,$M$3:M76,M76)</f>
        <v>15</v>
      </c>
      <c r="S76" s="13">
        <v>5598.5970372810862</v>
      </c>
      <c r="T76" s="13">
        <f t="shared" si="57"/>
        <v>83978.955559216294</v>
      </c>
      <c r="U76" s="42">
        <f t="shared" ref="U76:W76" si="69">U55</f>
        <v>-0.10179113999999995</v>
      </c>
      <c r="V76" s="42">
        <f t="shared" si="69"/>
        <v>-8.0472459500000065E-2</v>
      </c>
      <c r="W76" s="42">
        <f t="shared" si="69"/>
        <v>-0.12310981950000006</v>
      </c>
      <c r="X76" s="30">
        <f t="shared" si="59"/>
        <v>-8548.3136223819602</v>
      </c>
      <c r="Y76" s="30">
        <f t="shared" si="60"/>
        <v>-6757.9931000913384</v>
      </c>
      <c r="Z76" s="30">
        <f t="shared" si="61"/>
        <v>-10338.634060693645</v>
      </c>
      <c r="AA76" s="30">
        <f>IF(OR($O76="Solar",$O76="Wind"),INDEX(Land_Use[AVG],MATCH($O76,Land_Use[Tech],0)),0)*$R76</f>
        <v>0</v>
      </c>
      <c r="AB76" s="30">
        <f>IF(OR($O76="Solar",$O76="Wind"),INDEX(Land_Use[MIN],MATCH($O76,Land_Use[Tech],0)),0)*$R76</f>
        <v>0</v>
      </c>
      <c r="AC76" s="30">
        <f>IF(OR($O76="Solar",$O76="Wind"),INDEX(Land_Use[MAX],MATCH($O76,Land_Use[Tech],0)),0)*$R76</f>
        <v>0</v>
      </c>
    </row>
    <row r="77" spans="13:29" x14ac:dyDescent="0.35">
      <c r="M77" t="s">
        <v>76</v>
      </c>
      <c r="N77">
        <v>1</v>
      </c>
      <c r="O77" t="s">
        <v>84</v>
      </c>
      <c r="P77">
        <v>2036</v>
      </c>
      <c r="Q77" s="13">
        <v>0</v>
      </c>
      <c r="R77" s="13">
        <f>SUMIFS($Q$3:Q77,$O$3:O77,O77,$M$3:M77,M77)</f>
        <v>15</v>
      </c>
      <c r="S77" s="13">
        <v>5554.9481579361218</v>
      </c>
      <c r="T77" s="13">
        <f t="shared" si="57"/>
        <v>83324.222369041832</v>
      </c>
      <c r="U77" s="42">
        <f t="shared" ref="U77:W77" si="70">U56</f>
        <v>-9.756721579999994E-2</v>
      </c>
      <c r="V77" s="42">
        <f t="shared" si="70"/>
        <v>-7.5314692350000073E-2</v>
      </c>
      <c r="W77" s="42">
        <f t="shared" si="70"/>
        <v>-0.11981973825000006</v>
      </c>
      <c r="X77" s="30">
        <f t="shared" si="59"/>
        <v>-8129.712385247487</v>
      </c>
      <c r="Y77" s="30">
        <f t="shared" si="60"/>
        <v>-6275.5381730273803</v>
      </c>
      <c r="Z77" s="30">
        <f t="shared" si="61"/>
        <v>-9983.8865141433926</v>
      </c>
      <c r="AA77" s="30">
        <f>IF(OR($O77="Solar",$O77="Wind"),INDEX(Land_Use[AVG],MATCH($O77,Land_Use[Tech],0)),0)*$R77</f>
        <v>0</v>
      </c>
      <c r="AB77" s="30">
        <f>IF(OR($O77="Solar",$O77="Wind"),INDEX(Land_Use[MIN],MATCH($O77,Land_Use[Tech],0)),0)*$R77</f>
        <v>0</v>
      </c>
      <c r="AC77" s="30">
        <f>IF(OR($O77="Solar",$O77="Wind"),INDEX(Land_Use[MAX],MATCH($O77,Land_Use[Tech],0)),0)*$R77</f>
        <v>0</v>
      </c>
    </row>
    <row r="78" spans="13:29" x14ac:dyDescent="0.35">
      <c r="M78" t="s">
        <v>76</v>
      </c>
      <c r="N78">
        <v>1</v>
      </c>
      <c r="O78" t="s">
        <v>84</v>
      </c>
      <c r="P78">
        <v>2037</v>
      </c>
      <c r="Q78" s="13">
        <v>0</v>
      </c>
      <c r="R78" s="13">
        <f>SUMIFS($Q$3:Q78,$O$3:O78,O78,$M$3:M78,M78)</f>
        <v>15</v>
      </c>
      <c r="S78" s="13">
        <v>5511.2992785911574</v>
      </c>
      <c r="T78" s="13">
        <f t="shared" si="57"/>
        <v>82669.489178867356</v>
      </c>
      <c r="U78" s="42">
        <f t="shared" ref="U78:W78" si="71">U57</f>
        <v>-9.3343291599999934E-2</v>
      </c>
      <c r="V78" s="42">
        <f t="shared" si="71"/>
        <v>-7.0156925200000081E-2</v>
      </c>
      <c r="W78" s="42">
        <f t="shared" si="71"/>
        <v>-0.11652965700000005</v>
      </c>
      <c r="X78" s="30">
        <f t="shared" si="59"/>
        <v>-7716.6422348460546</v>
      </c>
      <c r="Y78" s="30">
        <f t="shared" si="60"/>
        <v>-5799.8371686440132</v>
      </c>
      <c r="Z78" s="30">
        <f t="shared" si="61"/>
        <v>-9633.4472183786293</v>
      </c>
      <c r="AA78" s="30">
        <f>IF(OR($O78="Solar",$O78="Wind"),INDEX(Land_Use[AVG],MATCH($O78,Land_Use[Tech],0)),0)*$R78</f>
        <v>0</v>
      </c>
      <c r="AB78" s="30">
        <f>IF(OR($O78="Solar",$O78="Wind"),INDEX(Land_Use[MIN],MATCH($O78,Land_Use[Tech],0)),0)*$R78</f>
        <v>0</v>
      </c>
      <c r="AC78" s="30">
        <f>IF(OR($O78="Solar",$O78="Wind"),INDEX(Land_Use[MAX],MATCH($O78,Land_Use[Tech],0)),0)*$R78</f>
        <v>0</v>
      </c>
    </row>
    <row r="79" spans="13:29" x14ac:dyDescent="0.35">
      <c r="M79" t="s">
        <v>76</v>
      </c>
      <c r="N79">
        <v>1</v>
      </c>
      <c r="O79" t="s">
        <v>84</v>
      </c>
      <c r="P79">
        <v>2038</v>
      </c>
      <c r="Q79" s="13">
        <v>0</v>
      </c>
      <c r="R79" s="13">
        <f>SUMIFS($Q$3:Q79,$O$3:O79,O79,$M$3:M79,M79)</f>
        <v>15</v>
      </c>
      <c r="S79" s="13">
        <v>5467.650399246193</v>
      </c>
      <c r="T79" s="13">
        <f t="shared" si="57"/>
        <v>82014.755988692894</v>
      </c>
      <c r="U79" s="42">
        <f t="shared" ref="U79:W79" si="72">U58</f>
        <v>-8.9119367399999927E-2</v>
      </c>
      <c r="V79" s="42">
        <f t="shared" si="72"/>
        <v>-6.4999158050000089E-2</v>
      </c>
      <c r="W79" s="42">
        <f t="shared" si="72"/>
        <v>-0.11323957575000004</v>
      </c>
      <c r="X79" s="30">
        <f t="shared" si="59"/>
        <v>-7309.1031711776659</v>
      </c>
      <c r="Y79" s="30">
        <f t="shared" si="60"/>
        <v>-5330.890086941241</v>
      </c>
      <c r="Z79" s="30">
        <f t="shared" si="61"/>
        <v>-9287.3161733993584</v>
      </c>
      <c r="AA79" s="30">
        <f>IF(OR($O79="Solar",$O79="Wind"),INDEX(Land_Use[AVG],MATCH($O79,Land_Use[Tech],0)),0)*$R79</f>
        <v>0</v>
      </c>
      <c r="AB79" s="30">
        <f>IF(OR($O79="Solar",$O79="Wind"),INDEX(Land_Use[MIN],MATCH($O79,Land_Use[Tech],0)),0)*$R79</f>
        <v>0</v>
      </c>
      <c r="AC79" s="30">
        <f>IF(OR($O79="Solar",$O79="Wind"),INDEX(Land_Use[MAX],MATCH($O79,Land_Use[Tech],0)),0)*$R79</f>
        <v>0</v>
      </c>
    </row>
    <row r="80" spans="13:29" x14ac:dyDescent="0.35">
      <c r="M80" t="s">
        <v>76</v>
      </c>
      <c r="N80">
        <v>1</v>
      </c>
      <c r="O80" t="s">
        <v>84</v>
      </c>
      <c r="P80">
        <v>2039</v>
      </c>
      <c r="Q80" s="13">
        <v>0</v>
      </c>
      <c r="R80" s="13">
        <f>SUMIFS($Q$3:Q80,$O$3:O80,O80,$M$3:M80,M80)</f>
        <v>15</v>
      </c>
      <c r="S80" s="13">
        <v>5424.0015199012287</v>
      </c>
      <c r="T80" s="13">
        <f t="shared" si="57"/>
        <v>81360.022798518432</v>
      </c>
      <c r="U80" s="42">
        <f t="shared" ref="U80:W80" si="73">U59</f>
        <v>-8.489544319999992E-2</v>
      </c>
      <c r="V80" s="42">
        <f t="shared" si="73"/>
        <v>-5.984139090000009E-2</v>
      </c>
      <c r="W80" s="42">
        <f t="shared" si="73"/>
        <v>-0.10994949450000004</v>
      </c>
      <c r="X80" s="30">
        <f t="shared" si="59"/>
        <v>-6907.0951942423198</v>
      </c>
      <c r="Y80" s="30">
        <f t="shared" si="60"/>
        <v>-4868.6969279190607</v>
      </c>
      <c r="Z80" s="30">
        <f t="shared" si="61"/>
        <v>-8945.4933792055799</v>
      </c>
      <c r="AA80" s="30">
        <f>IF(OR($O80="Solar",$O80="Wind"),INDEX(Land_Use[AVG],MATCH($O80,Land_Use[Tech],0)),0)*$R80</f>
        <v>0</v>
      </c>
      <c r="AB80" s="30">
        <f>IF(OR($O80="Solar",$O80="Wind"),INDEX(Land_Use[MIN],MATCH($O80,Land_Use[Tech],0)),0)*$R80</f>
        <v>0</v>
      </c>
      <c r="AC80" s="30">
        <f>IF(OR($O80="Solar",$O80="Wind"),INDEX(Land_Use[MAX],MATCH($O80,Land_Use[Tech],0)),0)*$R80</f>
        <v>0</v>
      </c>
    </row>
    <row r="81" spans="13:29" x14ac:dyDescent="0.35">
      <c r="M81" t="s">
        <v>76</v>
      </c>
      <c r="N81">
        <v>1</v>
      </c>
      <c r="O81" t="s">
        <v>84</v>
      </c>
      <c r="P81">
        <v>2040</v>
      </c>
      <c r="Q81" s="13">
        <v>0</v>
      </c>
      <c r="R81" s="13">
        <f>SUMIFS($Q$3:Q81,$O$3:O81,O81,$M$3:M81,M81)</f>
        <v>15</v>
      </c>
      <c r="S81" s="13">
        <v>5380.3526405562643</v>
      </c>
      <c r="T81" s="13">
        <f t="shared" si="57"/>
        <v>80705.28960834397</v>
      </c>
      <c r="U81" s="42">
        <f t="shared" ref="U81:W81" si="74">U60</f>
        <v>-8.0671518999999914E-2</v>
      </c>
      <c r="V81" s="42">
        <f t="shared" si="74"/>
        <v>-5.468362375000009E-2</v>
      </c>
      <c r="W81" s="42">
        <f t="shared" si="74"/>
        <v>-0.10665941325000003</v>
      </c>
      <c r="X81" s="30">
        <f t="shared" si="59"/>
        <v>-6510.6183040400165</v>
      </c>
      <c r="Y81" s="30">
        <f t="shared" si="60"/>
        <v>-4413.2576915774735</v>
      </c>
      <c r="Z81" s="30">
        <f t="shared" si="61"/>
        <v>-8607.978835797292</v>
      </c>
      <c r="AA81" s="30">
        <f>IF(OR($O81="Solar",$O81="Wind"),INDEX(Land_Use[AVG],MATCH($O81,Land_Use[Tech],0)),0)*$R81</f>
        <v>0</v>
      </c>
      <c r="AB81" s="30">
        <f>IF(OR($O81="Solar",$O81="Wind"),INDEX(Land_Use[MIN],MATCH($O81,Land_Use[Tech],0)),0)*$R81</f>
        <v>0</v>
      </c>
      <c r="AC81" s="30">
        <f>IF(OR($O81="Solar",$O81="Wind"),INDEX(Land_Use[MAX],MATCH($O81,Land_Use[Tech],0)),0)*$R81</f>
        <v>0</v>
      </c>
    </row>
    <row r="82" spans="13:29" x14ac:dyDescent="0.35">
      <c r="M82" t="s">
        <v>76</v>
      </c>
      <c r="N82">
        <v>1</v>
      </c>
      <c r="O82" t="s">
        <v>84</v>
      </c>
      <c r="P82">
        <v>2041</v>
      </c>
      <c r="Q82" s="13">
        <v>0</v>
      </c>
      <c r="R82" s="13">
        <f>SUMIFS($Q$3:Q82,$O$3:O82,O82,$M$3:M82,M82)</f>
        <v>15</v>
      </c>
      <c r="S82" s="13">
        <v>5336.7037612112999</v>
      </c>
      <c r="T82" s="13">
        <f t="shared" si="57"/>
        <v>80050.556418169494</v>
      </c>
      <c r="U82" s="42">
        <f t="shared" ref="U82:W82" si="75">U61</f>
        <v>-7.6447594799999907E-2</v>
      </c>
      <c r="V82" s="42">
        <f t="shared" si="75"/>
        <v>-4.9525856600000091E-2</v>
      </c>
      <c r="W82" s="42">
        <f t="shared" si="75"/>
        <v>-0.10336933200000002</v>
      </c>
      <c r="X82" s="30">
        <f t="shared" si="59"/>
        <v>-6119.6725005707531</v>
      </c>
      <c r="Y82" s="30">
        <f t="shared" si="60"/>
        <v>-3964.5723779164791</v>
      </c>
      <c r="Z82" s="30">
        <f t="shared" si="61"/>
        <v>-8274.7725431744948</v>
      </c>
      <c r="AA82" s="30">
        <f>IF(OR($O82="Solar",$O82="Wind"),INDEX(Land_Use[AVG],MATCH($O82,Land_Use[Tech],0)),0)*$R82</f>
        <v>0</v>
      </c>
      <c r="AB82" s="30">
        <f>IF(OR($O82="Solar",$O82="Wind"),INDEX(Land_Use[MIN],MATCH($O82,Land_Use[Tech],0)),0)*$R82</f>
        <v>0</v>
      </c>
      <c r="AC82" s="30">
        <f>IF(OR($O82="Solar",$O82="Wind"),INDEX(Land_Use[MAX],MATCH($O82,Land_Use[Tech],0)),0)*$R82</f>
        <v>0</v>
      </c>
    </row>
    <row r="83" spans="13:29" x14ac:dyDescent="0.35">
      <c r="M83" t="s">
        <v>76</v>
      </c>
      <c r="N83">
        <v>1</v>
      </c>
      <c r="O83" t="s">
        <v>84</v>
      </c>
      <c r="P83">
        <v>2042</v>
      </c>
      <c r="Q83" s="13">
        <v>0</v>
      </c>
      <c r="R83" s="13">
        <f>SUMIFS($Q$3:Q83,$O$3:O83,O83,$M$3:M83,M83)</f>
        <v>15</v>
      </c>
      <c r="S83" s="13">
        <v>5293.0548818663356</v>
      </c>
      <c r="T83" s="13">
        <f t="shared" si="57"/>
        <v>79395.823227995032</v>
      </c>
      <c r="U83" s="42">
        <f t="shared" ref="U83:W83" si="76">U62</f>
        <v>-7.2223670599999901E-2</v>
      </c>
      <c r="V83" s="42">
        <f t="shared" si="76"/>
        <v>-4.4368089450000092E-2</v>
      </c>
      <c r="W83" s="42">
        <f t="shared" si="76"/>
        <v>-0.10007925075000002</v>
      </c>
      <c r="X83" s="30">
        <f t="shared" si="59"/>
        <v>-5734.2577838345342</v>
      </c>
      <c r="Y83" s="30">
        <f t="shared" si="60"/>
        <v>-3522.6409869360787</v>
      </c>
      <c r="Z83" s="30">
        <f t="shared" si="61"/>
        <v>-7945.8745013371899</v>
      </c>
      <c r="AA83" s="30">
        <f>IF(OR($O83="Solar",$O83="Wind"),INDEX(Land_Use[AVG],MATCH($O83,Land_Use[Tech],0)),0)*$R83</f>
        <v>0</v>
      </c>
      <c r="AB83" s="30">
        <f>IF(OR($O83="Solar",$O83="Wind"),INDEX(Land_Use[MIN],MATCH($O83,Land_Use[Tech],0)),0)*$R83</f>
        <v>0</v>
      </c>
      <c r="AC83" s="30">
        <f>IF(OR($O83="Solar",$O83="Wind"),INDEX(Land_Use[MAX],MATCH($O83,Land_Use[Tech],0)),0)*$R83</f>
        <v>0</v>
      </c>
    </row>
    <row r="84" spans="13:29" x14ac:dyDescent="0.35">
      <c r="M84" t="s">
        <v>76</v>
      </c>
      <c r="N84">
        <v>1</v>
      </c>
      <c r="O84" t="s">
        <v>84</v>
      </c>
      <c r="P84">
        <v>2043</v>
      </c>
      <c r="Q84" s="13">
        <v>0</v>
      </c>
      <c r="R84" s="13">
        <f>SUMIFS($Q$3:Q84,$O$3:O84,O84,$M$3:M84,M84)</f>
        <v>15</v>
      </c>
      <c r="S84" s="13">
        <v>5249.4060025213712</v>
      </c>
      <c r="T84" s="13">
        <f t="shared" si="57"/>
        <v>78741.09003782057</v>
      </c>
      <c r="U84" s="42">
        <f t="shared" ref="U84:W84" si="77">U63</f>
        <v>-6.7999746399999894E-2</v>
      </c>
      <c r="V84" s="42">
        <f t="shared" si="77"/>
        <v>-3.9210322300000093E-2</v>
      </c>
      <c r="W84" s="42">
        <f t="shared" si="77"/>
        <v>-9.6789169500000008E-2</v>
      </c>
      <c r="X84" s="30">
        <f t="shared" si="59"/>
        <v>-5354.374153831357</v>
      </c>
      <c r="Y84" s="30">
        <f t="shared" si="60"/>
        <v>-3087.4635186362711</v>
      </c>
      <c r="Z84" s="30">
        <f t="shared" si="61"/>
        <v>-7621.2847102853775</v>
      </c>
      <c r="AA84" s="30">
        <f>IF(OR($O84="Solar",$O84="Wind"),INDEX(Land_Use[AVG],MATCH($O84,Land_Use[Tech],0)),0)*$R84</f>
        <v>0</v>
      </c>
      <c r="AB84" s="30">
        <f>IF(OR($O84="Solar",$O84="Wind"),INDEX(Land_Use[MIN],MATCH($O84,Land_Use[Tech],0)),0)*$R84</f>
        <v>0</v>
      </c>
      <c r="AC84" s="30">
        <f>IF(OR($O84="Solar",$O84="Wind"),INDEX(Land_Use[MAX],MATCH($O84,Land_Use[Tech],0)),0)*$R84</f>
        <v>0</v>
      </c>
    </row>
    <row r="85" spans="13:29" x14ac:dyDescent="0.35">
      <c r="M85" t="s">
        <v>76</v>
      </c>
      <c r="N85">
        <v>1</v>
      </c>
      <c r="O85" t="s">
        <v>84</v>
      </c>
      <c r="P85">
        <v>2044</v>
      </c>
      <c r="Q85" s="13">
        <v>0</v>
      </c>
      <c r="R85" s="13">
        <f>SUMIFS($Q$3:Q85,$O$3:O85,O85,$M$3:M85,M85)</f>
        <v>15</v>
      </c>
      <c r="S85" s="13">
        <v>5205.7571231764068</v>
      </c>
      <c r="T85" s="13">
        <f t="shared" si="57"/>
        <v>78086.356847646108</v>
      </c>
      <c r="U85" s="42">
        <f t="shared" ref="U85:W85" si="78">U64</f>
        <v>-6.3775822199999888E-2</v>
      </c>
      <c r="V85" s="42">
        <f t="shared" si="78"/>
        <v>-3.4052555150000094E-2</v>
      </c>
      <c r="W85" s="42">
        <f t="shared" si="78"/>
        <v>-9.3499088250000001E-2</v>
      </c>
      <c r="X85" s="30">
        <f t="shared" si="59"/>
        <v>-4980.0216105612217</v>
      </c>
      <c r="Y85" s="30">
        <f t="shared" si="60"/>
        <v>-2659.0399730170566</v>
      </c>
      <c r="Z85" s="30">
        <f t="shared" si="61"/>
        <v>-7301.0031700190557</v>
      </c>
      <c r="AA85" s="30">
        <f>IF(OR($O85="Solar",$O85="Wind"),INDEX(Land_Use[AVG],MATCH($O85,Land_Use[Tech],0)),0)*$R85</f>
        <v>0</v>
      </c>
      <c r="AB85" s="30">
        <f>IF(OR($O85="Solar",$O85="Wind"),INDEX(Land_Use[MIN],MATCH($O85,Land_Use[Tech],0)),0)*$R85</f>
        <v>0</v>
      </c>
      <c r="AC85" s="30">
        <f>IF(OR($O85="Solar",$O85="Wind"),INDEX(Land_Use[MAX],MATCH($O85,Land_Use[Tech],0)),0)*$R85</f>
        <v>0</v>
      </c>
    </row>
    <row r="86" spans="13:29" x14ac:dyDescent="0.35">
      <c r="M86" t="s">
        <v>76</v>
      </c>
      <c r="N86">
        <v>1</v>
      </c>
      <c r="O86" t="s">
        <v>84</v>
      </c>
      <c r="P86">
        <v>2045</v>
      </c>
      <c r="Q86" s="13">
        <v>0</v>
      </c>
      <c r="R86" s="13">
        <f>SUMIFS($Q$3:Q86,$O$3:O86,O86,$M$3:M86,M86)</f>
        <v>15</v>
      </c>
      <c r="S86" s="13">
        <v>5162.1082438314425</v>
      </c>
      <c r="T86" s="13">
        <f t="shared" si="57"/>
        <v>77431.623657471631</v>
      </c>
      <c r="U86" s="42">
        <f t="shared" ref="U86:W86" si="79">U65</f>
        <v>-5.9551897999999888E-2</v>
      </c>
      <c r="V86" s="42">
        <f t="shared" si="79"/>
        <v>-2.8894788000000095E-2</v>
      </c>
      <c r="W86" s="42">
        <f t="shared" si="79"/>
        <v>-9.0209006999999994E-2</v>
      </c>
      <c r="X86" s="30">
        <f t="shared" si="59"/>
        <v>-4611.200154024129</v>
      </c>
      <c r="Y86" s="30">
        <f t="shared" si="60"/>
        <v>-2237.370350078435</v>
      </c>
      <c r="Z86" s="30">
        <f t="shared" si="61"/>
        <v>-6985.0298805382236</v>
      </c>
      <c r="AA86" s="30">
        <f>IF(OR($O86="Solar",$O86="Wind"),INDEX(Land_Use[AVG],MATCH($O86,Land_Use[Tech],0)),0)*$R86</f>
        <v>0</v>
      </c>
      <c r="AB86" s="30">
        <f>IF(OR($O86="Solar",$O86="Wind"),INDEX(Land_Use[MIN],MATCH($O86,Land_Use[Tech],0)),0)*$R86</f>
        <v>0</v>
      </c>
      <c r="AC86" s="30">
        <f>IF(OR($O86="Solar",$O86="Wind"),INDEX(Land_Use[MAX],MATCH($O86,Land_Use[Tech],0)),0)*$R86</f>
        <v>0</v>
      </c>
    </row>
    <row r="87" spans="13:29" x14ac:dyDescent="0.35">
      <c r="M87" t="s">
        <v>76</v>
      </c>
      <c r="N87">
        <v>1</v>
      </c>
      <c r="O87" t="s">
        <v>86</v>
      </c>
      <c r="P87">
        <v>2025</v>
      </c>
      <c r="Q87" s="13">
        <v>0</v>
      </c>
      <c r="R87" s="13">
        <f>SUMIFS($Q$3:Q87,$O$3:O87,O87,$M$3:M87,M87)</f>
        <v>0</v>
      </c>
      <c r="S87" s="13">
        <v>1670.82114582243</v>
      </c>
      <c r="T87" s="13">
        <f t="shared" si="57"/>
        <v>0</v>
      </c>
      <c r="U87" s="42">
        <f t="shared" ref="U87:W87" si="80">U66</f>
        <v>-0.14403038200000001</v>
      </c>
      <c r="V87" s="42">
        <f t="shared" si="80"/>
        <v>-0.13205013099999999</v>
      </c>
      <c r="W87" s="42">
        <f t="shared" si="80"/>
        <v>-0.15601063200000001</v>
      </c>
      <c r="X87" s="30">
        <f t="shared" si="59"/>
        <v>0</v>
      </c>
      <c r="Y87" s="30">
        <f t="shared" si="60"/>
        <v>0</v>
      </c>
      <c r="Z87" s="30">
        <f t="shared" si="61"/>
        <v>0</v>
      </c>
      <c r="AA87" s="30">
        <f>IF(OR($O87="Solar",$O87="Wind"),INDEX(Land_Use[AVG],MATCH($O87,Land_Use[Tech],0)),0)*$R87</f>
        <v>0</v>
      </c>
      <c r="AB87" s="30">
        <f>IF(OR($O87="Solar",$O87="Wind"),INDEX(Land_Use[MIN],MATCH($O87,Land_Use[Tech],0)),0)*$R87</f>
        <v>0</v>
      </c>
      <c r="AC87" s="30">
        <f>IF(OR($O87="Solar",$O87="Wind"),INDEX(Land_Use[MAX],MATCH($O87,Land_Use[Tech],0)),0)*$R87</f>
        <v>0</v>
      </c>
    </row>
    <row r="88" spans="13:29" x14ac:dyDescent="0.35">
      <c r="M88" t="s">
        <v>76</v>
      </c>
      <c r="N88">
        <v>1</v>
      </c>
      <c r="O88" t="s">
        <v>86</v>
      </c>
      <c r="P88">
        <v>2026</v>
      </c>
      <c r="Q88" s="13">
        <v>0</v>
      </c>
      <c r="R88" s="13">
        <f>SUMIFS($Q$3:Q88,$O$3:O88,O88,$M$3:M88,M88)</f>
        <v>0</v>
      </c>
      <c r="S88" s="13">
        <v>1698.006304040191</v>
      </c>
      <c r="T88" s="13">
        <f t="shared" si="57"/>
        <v>0</v>
      </c>
      <c r="U88" s="42">
        <f t="shared" ref="U88:W88" si="81">U67</f>
        <v>-0.13980645780000001</v>
      </c>
      <c r="V88" s="42">
        <f t="shared" si="81"/>
        <v>-0.12689236385</v>
      </c>
      <c r="W88" s="42">
        <f t="shared" si="81"/>
        <v>-0.15272055075000002</v>
      </c>
      <c r="X88" s="30">
        <f t="shared" si="59"/>
        <v>0</v>
      </c>
      <c r="Y88" s="30">
        <f t="shared" si="60"/>
        <v>0</v>
      </c>
      <c r="Z88" s="30">
        <f t="shared" si="61"/>
        <v>0</v>
      </c>
      <c r="AA88" s="30">
        <f>IF(OR($O88="Solar",$O88="Wind"),INDEX(Land_Use[AVG],MATCH($O88,Land_Use[Tech],0)),0)*$R88</f>
        <v>0</v>
      </c>
      <c r="AB88" s="30">
        <f>IF(OR($O88="Solar",$O88="Wind"),INDEX(Land_Use[MIN],MATCH($O88,Land_Use[Tech],0)),0)*$R88</f>
        <v>0</v>
      </c>
      <c r="AC88" s="30">
        <f>IF(OR($O88="Solar",$O88="Wind"),INDEX(Land_Use[MAX],MATCH($O88,Land_Use[Tech],0)),0)*$R88</f>
        <v>0</v>
      </c>
    </row>
    <row r="89" spans="13:29" x14ac:dyDescent="0.35">
      <c r="M89" t="s">
        <v>76</v>
      </c>
      <c r="N89">
        <v>1</v>
      </c>
      <c r="O89" t="s">
        <v>86</v>
      </c>
      <c r="P89">
        <v>2027</v>
      </c>
      <c r="Q89" s="13">
        <v>0</v>
      </c>
      <c r="R89" s="13">
        <f>SUMIFS($Q$3:Q89,$O$3:O89,O89,$M$3:M89,M89)</f>
        <v>0</v>
      </c>
      <c r="S89" s="13">
        <v>1725.191462257952</v>
      </c>
      <c r="T89" s="13">
        <f t="shared" si="57"/>
        <v>0</v>
      </c>
      <c r="U89" s="42">
        <f t="shared" ref="U89:W89" si="82">U68</f>
        <v>-0.1355825336</v>
      </c>
      <c r="V89" s="42">
        <f t="shared" si="82"/>
        <v>-0.1217345967</v>
      </c>
      <c r="W89" s="42">
        <f t="shared" si="82"/>
        <v>-0.14943046950000002</v>
      </c>
      <c r="X89" s="30">
        <f t="shared" si="59"/>
        <v>0</v>
      </c>
      <c r="Y89" s="30">
        <f t="shared" si="60"/>
        <v>0</v>
      </c>
      <c r="Z89" s="30">
        <f t="shared" si="61"/>
        <v>0</v>
      </c>
      <c r="AA89" s="30">
        <f>IF(OR($O89="Solar",$O89="Wind"),INDEX(Land_Use[AVG],MATCH($O89,Land_Use[Tech],0)),0)*$R89</f>
        <v>0</v>
      </c>
      <c r="AB89" s="30">
        <f>IF(OR($O89="Solar",$O89="Wind"),INDEX(Land_Use[MIN],MATCH($O89,Land_Use[Tech],0)),0)*$R89</f>
        <v>0</v>
      </c>
      <c r="AC89" s="30">
        <f>IF(OR($O89="Solar",$O89="Wind"),INDEX(Land_Use[MAX],MATCH($O89,Land_Use[Tech],0)),0)*$R89</f>
        <v>0</v>
      </c>
    </row>
    <row r="90" spans="13:29" x14ac:dyDescent="0.35">
      <c r="M90" t="s">
        <v>76</v>
      </c>
      <c r="N90">
        <v>1</v>
      </c>
      <c r="O90" t="s">
        <v>86</v>
      </c>
      <c r="P90">
        <v>2028</v>
      </c>
      <c r="Q90" s="13">
        <v>0</v>
      </c>
      <c r="R90" s="13">
        <f>SUMIFS($Q$3:Q90,$O$3:O90,O90,$M$3:M90,M90)</f>
        <v>0</v>
      </c>
      <c r="S90" s="13">
        <v>1752.376620475713</v>
      </c>
      <c r="T90" s="13">
        <f t="shared" si="57"/>
        <v>0</v>
      </c>
      <c r="U90" s="42">
        <f t="shared" ref="U90:W90" si="83">U69</f>
        <v>-0.13135860939999999</v>
      </c>
      <c r="V90" s="42">
        <f t="shared" si="83"/>
        <v>-0.11657682955000001</v>
      </c>
      <c r="W90" s="42">
        <f t="shared" si="83"/>
        <v>-0.14614038825000003</v>
      </c>
      <c r="X90" s="30">
        <f t="shared" si="59"/>
        <v>0</v>
      </c>
      <c r="Y90" s="30">
        <f t="shared" si="60"/>
        <v>0</v>
      </c>
      <c r="Z90" s="30">
        <f t="shared" si="61"/>
        <v>0</v>
      </c>
      <c r="AA90" s="30">
        <f>IF(OR($O90="Solar",$O90="Wind"),INDEX(Land_Use[AVG],MATCH($O90,Land_Use[Tech],0)),0)*$R90</f>
        <v>0</v>
      </c>
      <c r="AB90" s="30">
        <f>IF(OR($O90="Solar",$O90="Wind"),INDEX(Land_Use[MIN],MATCH($O90,Land_Use[Tech],0)),0)*$R90</f>
        <v>0</v>
      </c>
      <c r="AC90" s="30">
        <f>IF(OR($O90="Solar",$O90="Wind"),INDEX(Land_Use[MAX],MATCH($O90,Land_Use[Tech],0)),0)*$R90</f>
        <v>0</v>
      </c>
    </row>
    <row r="91" spans="13:29" x14ac:dyDescent="0.35">
      <c r="M91" t="s">
        <v>76</v>
      </c>
      <c r="N91">
        <v>1</v>
      </c>
      <c r="O91" t="s">
        <v>86</v>
      </c>
      <c r="P91">
        <v>2029</v>
      </c>
      <c r="Q91" s="13">
        <v>0</v>
      </c>
      <c r="R91" s="13">
        <f>SUMIFS($Q$3:Q91,$O$3:O91,O91,$M$3:M91,M91)</f>
        <v>0</v>
      </c>
      <c r="S91" s="13">
        <v>1779.561778693474</v>
      </c>
      <c r="T91" s="13">
        <f t="shared" si="57"/>
        <v>0</v>
      </c>
      <c r="U91" s="42">
        <f t="shared" ref="U91:W91" si="84">U70</f>
        <v>-0.12713468519999999</v>
      </c>
      <c r="V91" s="42">
        <f t="shared" si="84"/>
        <v>-0.11141906240000002</v>
      </c>
      <c r="W91" s="42">
        <f t="shared" si="84"/>
        <v>-0.14285030700000004</v>
      </c>
      <c r="X91" s="30">
        <f t="shared" si="59"/>
        <v>0</v>
      </c>
      <c r="Y91" s="30">
        <f t="shared" si="60"/>
        <v>0</v>
      </c>
      <c r="Z91" s="30">
        <f t="shared" si="61"/>
        <v>0</v>
      </c>
      <c r="AA91" s="30">
        <f>IF(OR($O91="Solar",$O91="Wind"),INDEX(Land_Use[AVG],MATCH($O91,Land_Use[Tech],0)),0)*$R91</f>
        <v>0</v>
      </c>
      <c r="AB91" s="30">
        <f>IF(OR($O91="Solar",$O91="Wind"),INDEX(Land_Use[MIN],MATCH($O91,Land_Use[Tech],0)),0)*$R91</f>
        <v>0</v>
      </c>
      <c r="AC91" s="30">
        <f>IF(OR($O91="Solar",$O91="Wind"),INDEX(Land_Use[MAX],MATCH($O91,Land_Use[Tech],0)),0)*$R91</f>
        <v>0</v>
      </c>
    </row>
    <row r="92" spans="13:29" x14ac:dyDescent="0.35">
      <c r="M92" t="s">
        <v>76</v>
      </c>
      <c r="N92">
        <v>1</v>
      </c>
      <c r="O92" t="s">
        <v>86</v>
      </c>
      <c r="P92">
        <v>2030</v>
      </c>
      <c r="Q92" s="13">
        <v>0</v>
      </c>
      <c r="R92" s="13">
        <f>SUMIFS($Q$3:Q92,$O$3:O92,O92,$M$3:M92,M92)</f>
        <v>0</v>
      </c>
      <c r="S92" s="13">
        <v>1806.746936911235</v>
      </c>
      <c r="T92" s="13">
        <f t="shared" si="57"/>
        <v>0</v>
      </c>
      <c r="U92" s="42">
        <f t="shared" ref="U92:W92" si="85">U71</f>
        <v>-0.12291076099999998</v>
      </c>
      <c r="V92" s="42">
        <f t="shared" si="85"/>
        <v>-0.10626129525000003</v>
      </c>
      <c r="W92" s="42">
        <f t="shared" si="85"/>
        <v>-0.13956022575000004</v>
      </c>
      <c r="X92" s="30">
        <f t="shared" si="59"/>
        <v>0</v>
      </c>
      <c r="Y92" s="30">
        <f t="shared" si="60"/>
        <v>0</v>
      </c>
      <c r="Z92" s="30">
        <f t="shared" si="61"/>
        <v>0</v>
      </c>
      <c r="AA92" s="30">
        <f>IF(OR($O92="Solar",$O92="Wind"),INDEX(Land_Use[AVG],MATCH($O92,Land_Use[Tech],0)),0)*$R92</f>
        <v>0</v>
      </c>
      <c r="AB92" s="30">
        <f>IF(OR($O92="Solar",$O92="Wind"),INDEX(Land_Use[MIN],MATCH($O92,Land_Use[Tech],0)),0)*$R92</f>
        <v>0</v>
      </c>
      <c r="AC92" s="30">
        <f>IF(OR($O92="Solar",$O92="Wind"),INDEX(Land_Use[MAX],MATCH($O92,Land_Use[Tech],0)),0)*$R92</f>
        <v>0</v>
      </c>
    </row>
    <row r="93" spans="13:29" x14ac:dyDescent="0.35">
      <c r="M93" t="s">
        <v>76</v>
      </c>
      <c r="N93">
        <v>1</v>
      </c>
      <c r="O93" t="s">
        <v>86</v>
      </c>
      <c r="P93">
        <v>2031</v>
      </c>
      <c r="Q93" s="13">
        <v>0</v>
      </c>
      <c r="R93" s="13">
        <f>SUMIFS($Q$3:Q93,$O$3:O93,O93,$M$3:M93,M93)</f>
        <v>0</v>
      </c>
      <c r="S93" s="13">
        <v>1833.932095128996</v>
      </c>
      <c r="T93" s="13">
        <f t="shared" si="57"/>
        <v>0</v>
      </c>
      <c r="U93" s="42">
        <f t="shared" ref="U93:W93" si="86">U72</f>
        <v>-0.11868683679999997</v>
      </c>
      <c r="V93" s="42">
        <f t="shared" si="86"/>
        <v>-0.10110352810000003</v>
      </c>
      <c r="W93" s="42">
        <f t="shared" si="86"/>
        <v>-0.13627014450000005</v>
      </c>
      <c r="X93" s="30">
        <f t="shared" si="59"/>
        <v>0</v>
      </c>
      <c r="Y93" s="30">
        <f t="shared" si="60"/>
        <v>0</v>
      </c>
      <c r="Z93" s="30">
        <f t="shared" si="61"/>
        <v>0</v>
      </c>
      <c r="AA93" s="30">
        <f>IF(OR($O93="Solar",$O93="Wind"),INDEX(Land_Use[AVG],MATCH($O93,Land_Use[Tech],0)),0)*$R93</f>
        <v>0</v>
      </c>
      <c r="AB93" s="30">
        <f>IF(OR($O93="Solar",$O93="Wind"),INDEX(Land_Use[MIN],MATCH($O93,Land_Use[Tech],0)),0)*$R93</f>
        <v>0</v>
      </c>
      <c r="AC93" s="30">
        <f>IF(OR($O93="Solar",$O93="Wind"),INDEX(Land_Use[MAX],MATCH($O93,Land_Use[Tech],0)),0)*$R93</f>
        <v>0</v>
      </c>
    </row>
    <row r="94" spans="13:29" x14ac:dyDescent="0.35">
      <c r="M94" t="s">
        <v>76</v>
      </c>
      <c r="N94">
        <v>1</v>
      </c>
      <c r="O94" t="s">
        <v>86</v>
      </c>
      <c r="P94">
        <v>2032</v>
      </c>
      <c r="Q94" s="13">
        <v>0</v>
      </c>
      <c r="R94" s="13">
        <f>SUMIFS($Q$3:Q94,$O$3:O94,O94,$M$3:M94,M94)</f>
        <v>0</v>
      </c>
      <c r="S94" s="13">
        <v>1861.117253346757</v>
      </c>
      <c r="T94" s="13">
        <f t="shared" si="57"/>
        <v>0</v>
      </c>
      <c r="U94" s="42">
        <f t="shared" ref="U94:W94" si="87">U73</f>
        <v>-0.11446291259999997</v>
      </c>
      <c r="V94" s="42">
        <f t="shared" si="87"/>
        <v>-9.5945760950000042E-2</v>
      </c>
      <c r="W94" s="42">
        <f t="shared" si="87"/>
        <v>-0.13298006325000006</v>
      </c>
      <c r="X94" s="30">
        <f t="shared" si="59"/>
        <v>0</v>
      </c>
      <c r="Y94" s="30">
        <f t="shared" si="60"/>
        <v>0</v>
      </c>
      <c r="Z94" s="30">
        <f t="shared" si="61"/>
        <v>0</v>
      </c>
      <c r="AA94" s="30">
        <f>IF(OR($O94="Solar",$O94="Wind"),INDEX(Land_Use[AVG],MATCH($O94,Land_Use[Tech],0)),0)*$R94</f>
        <v>0</v>
      </c>
      <c r="AB94" s="30">
        <f>IF(OR($O94="Solar",$O94="Wind"),INDEX(Land_Use[MIN],MATCH($O94,Land_Use[Tech],0)),0)*$R94</f>
        <v>0</v>
      </c>
      <c r="AC94" s="30">
        <f>IF(OR($O94="Solar",$O94="Wind"),INDEX(Land_Use[MAX],MATCH($O94,Land_Use[Tech],0)),0)*$R94</f>
        <v>0</v>
      </c>
    </row>
    <row r="95" spans="13:29" x14ac:dyDescent="0.35">
      <c r="M95" t="s">
        <v>76</v>
      </c>
      <c r="N95">
        <v>1</v>
      </c>
      <c r="O95" t="s">
        <v>86</v>
      </c>
      <c r="P95">
        <v>2033</v>
      </c>
      <c r="Q95" s="13">
        <v>0</v>
      </c>
      <c r="R95" s="13">
        <f>SUMIFS($Q$3:Q95,$O$3:O95,O95,$M$3:M95,M95)</f>
        <v>0</v>
      </c>
      <c r="S95" s="13">
        <v>1888.302411564518</v>
      </c>
      <c r="T95" s="13">
        <f t="shared" si="57"/>
        <v>0</v>
      </c>
      <c r="U95" s="42">
        <f t="shared" ref="U95:W95" si="88">U74</f>
        <v>-0.11023898839999996</v>
      </c>
      <c r="V95" s="42">
        <f t="shared" si="88"/>
        <v>-9.078799380000005E-2</v>
      </c>
      <c r="W95" s="42">
        <f t="shared" si="88"/>
        <v>-0.12968998200000006</v>
      </c>
      <c r="X95" s="30">
        <f t="shared" si="59"/>
        <v>0</v>
      </c>
      <c r="Y95" s="30">
        <f t="shared" si="60"/>
        <v>0</v>
      </c>
      <c r="Z95" s="30">
        <f t="shared" si="61"/>
        <v>0</v>
      </c>
      <c r="AA95" s="30">
        <f>IF(OR($O95="Solar",$O95="Wind"),INDEX(Land_Use[AVG],MATCH($O95,Land_Use[Tech],0)),0)*$R95</f>
        <v>0</v>
      </c>
      <c r="AB95" s="30">
        <f>IF(OR($O95="Solar",$O95="Wind"),INDEX(Land_Use[MIN],MATCH($O95,Land_Use[Tech],0)),0)*$R95</f>
        <v>0</v>
      </c>
      <c r="AC95" s="30">
        <f>IF(OR($O95="Solar",$O95="Wind"),INDEX(Land_Use[MAX],MATCH($O95,Land_Use[Tech],0)),0)*$R95</f>
        <v>0</v>
      </c>
    </row>
    <row r="96" spans="13:29" x14ac:dyDescent="0.35">
      <c r="M96" t="s">
        <v>76</v>
      </c>
      <c r="N96">
        <v>1</v>
      </c>
      <c r="O96" t="s">
        <v>86</v>
      </c>
      <c r="P96">
        <v>2034</v>
      </c>
      <c r="Q96" s="13">
        <v>1000</v>
      </c>
      <c r="R96" s="13">
        <f>SUMIFS($Q$3:Q96,$O$3:O96,O96,$M$3:M96,M96)</f>
        <v>1000</v>
      </c>
      <c r="S96" s="13">
        <v>1915.487569782279</v>
      </c>
      <c r="T96" s="13">
        <f t="shared" si="57"/>
        <v>1915487.569782279</v>
      </c>
      <c r="U96" s="42">
        <f t="shared" ref="U96:W96" si="89">U75</f>
        <v>-0.10601506419999995</v>
      </c>
      <c r="V96" s="42">
        <f t="shared" si="89"/>
        <v>-8.5630226650000058E-2</v>
      </c>
      <c r="W96" s="42">
        <f t="shared" si="89"/>
        <v>-0.12639990075000007</v>
      </c>
      <c r="X96" s="30">
        <f t="shared" si="59"/>
        <v>-203070.53768477018</v>
      </c>
      <c r="Y96" s="30">
        <f t="shared" si="60"/>
        <v>-164023.63474571434</v>
      </c>
      <c r="Z96" s="30">
        <f t="shared" si="61"/>
        <v>-242117.43870833889</v>
      </c>
      <c r="AA96" s="30">
        <f>IF(OR($O96="Solar",$O96="Wind"),INDEX(Land_Use[AVG],MATCH($O96,Land_Use[Tech],0)),0)*$R96</f>
        <v>0</v>
      </c>
      <c r="AB96" s="30">
        <f>IF(OR($O96="Solar",$O96="Wind"),INDEX(Land_Use[MIN],MATCH($O96,Land_Use[Tech],0)),0)*$R96</f>
        <v>0</v>
      </c>
      <c r="AC96" s="30">
        <f>IF(OR($O96="Solar",$O96="Wind"),INDEX(Land_Use[MAX],MATCH($O96,Land_Use[Tech],0)),0)*$R96</f>
        <v>0</v>
      </c>
    </row>
    <row r="97" spans="13:29" x14ac:dyDescent="0.35">
      <c r="M97" t="s">
        <v>76</v>
      </c>
      <c r="N97">
        <v>1</v>
      </c>
      <c r="O97" t="s">
        <v>86</v>
      </c>
      <c r="P97">
        <v>2035</v>
      </c>
      <c r="Q97" s="13">
        <v>0</v>
      </c>
      <c r="R97" s="13">
        <f>SUMIFS($Q$3:Q97,$O$3:O97,O97,$M$3:M97,M97)</f>
        <v>1000</v>
      </c>
      <c r="S97" s="13">
        <v>1942.67272800004</v>
      </c>
      <c r="T97" s="13">
        <f t="shared" si="57"/>
        <v>1942672.7280000399</v>
      </c>
      <c r="U97" s="42">
        <f t="shared" ref="U97:W97" si="90">U76</f>
        <v>-0.10179113999999995</v>
      </c>
      <c r="V97" s="42">
        <f t="shared" si="90"/>
        <v>-8.0472459500000065E-2</v>
      </c>
      <c r="W97" s="42">
        <f t="shared" si="90"/>
        <v>-0.12310981950000006</v>
      </c>
      <c r="X97" s="30">
        <f t="shared" si="59"/>
        <v>-197746.87163003389</v>
      </c>
      <c r="Y97" s="30">
        <f t="shared" si="60"/>
        <v>-156331.65242573785</v>
      </c>
      <c r="Z97" s="30">
        <f t="shared" si="61"/>
        <v>-239162.08889165765</v>
      </c>
      <c r="AA97" s="30">
        <f>IF(OR($O97="Solar",$O97="Wind"),INDEX(Land_Use[AVG],MATCH($O97,Land_Use[Tech],0)),0)*$R97</f>
        <v>0</v>
      </c>
      <c r="AB97" s="30">
        <f>IF(OR($O97="Solar",$O97="Wind"),INDEX(Land_Use[MIN],MATCH($O97,Land_Use[Tech],0)),0)*$R97</f>
        <v>0</v>
      </c>
      <c r="AC97" s="30">
        <f>IF(OR($O97="Solar",$O97="Wind"),INDEX(Land_Use[MAX],MATCH($O97,Land_Use[Tech],0)),0)*$R97</f>
        <v>0</v>
      </c>
    </row>
    <row r="98" spans="13:29" x14ac:dyDescent="0.35">
      <c r="M98" t="s">
        <v>76</v>
      </c>
      <c r="N98">
        <v>1</v>
      </c>
      <c r="O98" t="s">
        <v>86</v>
      </c>
      <c r="P98">
        <v>2036</v>
      </c>
      <c r="Q98" s="13">
        <v>0</v>
      </c>
      <c r="R98" s="13">
        <f>SUMIFS($Q$3:Q98,$O$3:O98,O98,$M$3:M98,M98)</f>
        <v>1000</v>
      </c>
      <c r="S98" s="13">
        <v>1969.857886217801</v>
      </c>
      <c r="T98" s="13">
        <f t="shared" si="57"/>
        <v>1969857.8862178011</v>
      </c>
      <c r="U98" s="42">
        <f t="shared" ref="U98:W98" si="91">U77</f>
        <v>-9.756721579999994E-2</v>
      </c>
      <c r="V98" s="42">
        <f t="shared" si="91"/>
        <v>-7.5314692350000073E-2</v>
      </c>
      <c r="W98" s="42">
        <f t="shared" si="91"/>
        <v>-0.11981973825000006</v>
      </c>
      <c r="X98" s="30">
        <f t="shared" si="59"/>
        <v>-192193.54947994393</v>
      </c>
      <c r="Y98" s="30">
        <f t="shared" si="60"/>
        <v>-148359.24067371513</v>
      </c>
      <c r="Z98" s="30">
        <f t="shared" si="61"/>
        <v>-236027.85631631533</v>
      </c>
      <c r="AA98" s="30">
        <f>IF(OR($O98="Solar",$O98="Wind"),INDEX(Land_Use[AVG],MATCH($O98,Land_Use[Tech],0)),0)*$R98</f>
        <v>0</v>
      </c>
      <c r="AB98" s="30">
        <f>IF(OR($O98="Solar",$O98="Wind"),INDEX(Land_Use[MIN],MATCH($O98,Land_Use[Tech],0)),0)*$R98</f>
        <v>0</v>
      </c>
      <c r="AC98" s="30">
        <f>IF(OR($O98="Solar",$O98="Wind"),INDEX(Land_Use[MAX],MATCH($O98,Land_Use[Tech],0)),0)*$R98</f>
        <v>0</v>
      </c>
    </row>
    <row r="99" spans="13:29" x14ac:dyDescent="0.35">
      <c r="M99" t="s">
        <v>76</v>
      </c>
      <c r="N99">
        <v>1</v>
      </c>
      <c r="O99" t="s">
        <v>86</v>
      </c>
      <c r="P99">
        <v>2037</v>
      </c>
      <c r="Q99" s="13">
        <v>0</v>
      </c>
      <c r="R99" s="13">
        <f>SUMIFS($Q$3:Q99,$O$3:O99,O99,$M$3:M99,M99)</f>
        <v>1000</v>
      </c>
      <c r="S99" s="13">
        <v>1997.043044435562</v>
      </c>
      <c r="T99" s="13">
        <f t="shared" si="57"/>
        <v>1997043.0444355621</v>
      </c>
      <c r="U99" s="42">
        <f t="shared" ref="U99:W99" si="92">U78</f>
        <v>-9.3343291599999934E-2</v>
      </c>
      <c r="V99" s="42">
        <f t="shared" si="92"/>
        <v>-7.0156925200000081E-2</v>
      </c>
      <c r="W99" s="42">
        <f t="shared" si="92"/>
        <v>-0.11652965700000005</v>
      </c>
      <c r="X99" s="30">
        <f t="shared" si="59"/>
        <v>-186410.5712345003</v>
      </c>
      <c r="Y99" s="30">
        <f t="shared" si="60"/>
        <v>-140106.39948964617</v>
      </c>
      <c r="Z99" s="30">
        <f t="shared" si="61"/>
        <v>-232714.74098231192</v>
      </c>
      <c r="AA99" s="30">
        <f>IF(OR($O99="Solar",$O99="Wind"),INDEX(Land_Use[AVG],MATCH($O99,Land_Use[Tech],0)),0)*$R99</f>
        <v>0</v>
      </c>
      <c r="AB99" s="30">
        <f>IF(OR($O99="Solar",$O99="Wind"),INDEX(Land_Use[MIN],MATCH($O99,Land_Use[Tech],0)),0)*$R99</f>
        <v>0</v>
      </c>
      <c r="AC99" s="30">
        <f>IF(OR($O99="Solar",$O99="Wind"),INDEX(Land_Use[MAX],MATCH($O99,Land_Use[Tech],0)),0)*$R99</f>
        <v>0</v>
      </c>
    </row>
    <row r="100" spans="13:29" x14ac:dyDescent="0.35">
      <c r="M100" t="s">
        <v>76</v>
      </c>
      <c r="N100">
        <v>1</v>
      </c>
      <c r="O100" t="s">
        <v>86</v>
      </c>
      <c r="P100">
        <v>2038</v>
      </c>
      <c r="Q100" s="13">
        <v>0</v>
      </c>
      <c r="R100" s="13">
        <f>SUMIFS($Q$3:Q100,$O$3:O100,O100,$M$3:M100,M100)</f>
        <v>1000</v>
      </c>
      <c r="S100" s="13">
        <v>2024.228202653323</v>
      </c>
      <c r="T100" s="13">
        <f t="shared" si="57"/>
        <v>2024228.2026533231</v>
      </c>
      <c r="U100" s="42">
        <f t="shared" ref="U100:W100" si="93">U79</f>
        <v>-8.9119367399999927E-2</v>
      </c>
      <c r="V100" s="42">
        <f t="shared" si="93"/>
        <v>-6.4999158050000089E-2</v>
      </c>
      <c r="W100" s="42">
        <f t="shared" si="93"/>
        <v>-0.11323957575000004</v>
      </c>
      <c r="X100" s="30">
        <f t="shared" si="59"/>
        <v>-180397.93689370301</v>
      </c>
      <c r="Y100" s="30">
        <f t="shared" si="60"/>
        <v>-131573.12887353095</v>
      </c>
      <c r="Z100" s="30">
        <f t="shared" si="61"/>
        <v>-229222.74288964743</v>
      </c>
      <c r="AA100" s="30">
        <f>IF(OR($O100="Solar",$O100="Wind"),INDEX(Land_Use[AVG],MATCH($O100,Land_Use[Tech],0)),0)*$R100</f>
        <v>0</v>
      </c>
      <c r="AB100" s="30">
        <f>IF(OR($O100="Solar",$O100="Wind"),INDEX(Land_Use[MIN],MATCH($O100,Land_Use[Tech],0)),0)*$R100</f>
        <v>0</v>
      </c>
      <c r="AC100" s="30">
        <f>IF(OR($O100="Solar",$O100="Wind"),INDEX(Land_Use[MAX],MATCH($O100,Land_Use[Tech],0)),0)*$R100</f>
        <v>0</v>
      </c>
    </row>
    <row r="101" spans="13:29" x14ac:dyDescent="0.35">
      <c r="M101" t="s">
        <v>76</v>
      </c>
      <c r="N101">
        <v>1</v>
      </c>
      <c r="O101" t="s">
        <v>86</v>
      </c>
      <c r="P101">
        <v>2039</v>
      </c>
      <c r="Q101" s="13">
        <v>0</v>
      </c>
      <c r="R101" s="13">
        <f>SUMIFS($Q$3:Q101,$O$3:O101,O101,$M$3:M101,M101)</f>
        <v>1000</v>
      </c>
      <c r="S101" s="13">
        <v>2051.413360871084</v>
      </c>
      <c r="T101" s="13">
        <f t="shared" si="57"/>
        <v>2051413.360871084</v>
      </c>
      <c r="U101" s="42">
        <f t="shared" ref="U101:W101" si="94">U80</f>
        <v>-8.489544319999992E-2</v>
      </c>
      <c r="V101" s="42">
        <f t="shared" si="94"/>
        <v>-5.984139090000009E-2</v>
      </c>
      <c r="W101" s="42">
        <f t="shared" si="94"/>
        <v>-0.10994949450000004</v>
      </c>
      <c r="X101" s="30">
        <f t="shared" si="59"/>
        <v>-174155.64645755207</v>
      </c>
      <c r="Y101" s="30">
        <f t="shared" si="60"/>
        <v>-122759.42882536948</v>
      </c>
      <c r="Z101" s="30">
        <f t="shared" si="61"/>
        <v>-225551.86203832185</v>
      </c>
      <c r="AA101" s="30">
        <f>IF(OR($O101="Solar",$O101="Wind"),INDEX(Land_Use[AVG],MATCH($O101,Land_Use[Tech],0)),0)*$R101</f>
        <v>0</v>
      </c>
      <c r="AB101" s="30">
        <f>IF(OR($O101="Solar",$O101="Wind"),INDEX(Land_Use[MIN],MATCH($O101,Land_Use[Tech],0)),0)*$R101</f>
        <v>0</v>
      </c>
      <c r="AC101" s="30">
        <f>IF(OR($O101="Solar",$O101="Wind"),INDEX(Land_Use[MAX],MATCH($O101,Land_Use[Tech],0)),0)*$R101</f>
        <v>0</v>
      </c>
    </row>
    <row r="102" spans="13:29" x14ac:dyDescent="0.35">
      <c r="M102" t="s">
        <v>76</v>
      </c>
      <c r="N102">
        <v>1</v>
      </c>
      <c r="O102" t="s">
        <v>86</v>
      </c>
      <c r="P102">
        <v>2040</v>
      </c>
      <c r="Q102" s="13">
        <v>0</v>
      </c>
      <c r="R102" s="13">
        <f>SUMIFS($Q$3:Q102,$O$3:O102,O102,$M$3:M102,M102)</f>
        <v>1000</v>
      </c>
      <c r="S102" s="13">
        <v>2078.598519088845</v>
      </c>
      <c r="T102" s="13">
        <f t="shared" si="57"/>
        <v>2078598.519088845</v>
      </c>
      <c r="U102" s="42">
        <f t="shared" ref="U102:W102" si="95">U81</f>
        <v>-8.0671518999999914E-2</v>
      </c>
      <c r="V102" s="42">
        <f t="shared" si="95"/>
        <v>-5.468362375000009E-2</v>
      </c>
      <c r="W102" s="42">
        <f t="shared" si="95"/>
        <v>-0.10665941325000003</v>
      </c>
      <c r="X102" s="30">
        <f t="shared" si="59"/>
        <v>-167683.69992604744</v>
      </c>
      <c r="Y102" s="30">
        <f t="shared" si="60"/>
        <v>-113665.29934516178</v>
      </c>
      <c r="Z102" s="30">
        <f t="shared" si="61"/>
        <v>-221702.09842833519</v>
      </c>
      <c r="AA102" s="30">
        <f>IF(OR($O102="Solar",$O102="Wind"),INDEX(Land_Use[AVG],MATCH($O102,Land_Use[Tech],0)),0)*$R102</f>
        <v>0</v>
      </c>
      <c r="AB102" s="30">
        <f>IF(OR($O102="Solar",$O102="Wind"),INDEX(Land_Use[MIN],MATCH($O102,Land_Use[Tech],0)),0)*$R102</f>
        <v>0</v>
      </c>
      <c r="AC102" s="30">
        <f>IF(OR($O102="Solar",$O102="Wind"),INDEX(Land_Use[MAX],MATCH($O102,Land_Use[Tech],0)),0)*$R102</f>
        <v>0</v>
      </c>
    </row>
    <row r="103" spans="13:29" x14ac:dyDescent="0.35">
      <c r="M103" t="s">
        <v>76</v>
      </c>
      <c r="N103">
        <v>1</v>
      </c>
      <c r="O103" t="s">
        <v>86</v>
      </c>
      <c r="P103">
        <v>2041</v>
      </c>
      <c r="Q103" s="13">
        <v>0</v>
      </c>
      <c r="R103" s="13">
        <f>SUMIFS($Q$3:Q103,$O$3:O103,O103,$M$3:M103,M103)</f>
        <v>1000</v>
      </c>
      <c r="S103" s="13">
        <v>2105.783677306606</v>
      </c>
      <c r="T103" s="13">
        <f t="shared" si="57"/>
        <v>2105783.677306606</v>
      </c>
      <c r="U103" s="42">
        <f t="shared" ref="U103:W103" si="96">U82</f>
        <v>-7.6447594799999907E-2</v>
      </c>
      <c r="V103" s="42">
        <f t="shared" si="96"/>
        <v>-4.9525856600000091E-2</v>
      </c>
      <c r="W103" s="42">
        <f t="shared" si="96"/>
        <v>-0.10336933200000002</v>
      </c>
      <c r="X103" s="30">
        <f t="shared" si="59"/>
        <v>-160982.09729918916</v>
      </c>
      <c r="Y103" s="30">
        <f t="shared" si="60"/>
        <v>-104290.74043290783</v>
      </c>
      <c r="Z103" s="30">
        <f t="shared" si="61"/>
        <v>-217673.45205968746</v>
      </c>
      <c r="AA103" s="30">
        <f>IF(OR($O103="Solar",$O103="Wind"),INDEX(Land_Use[AVG],MATCH($O103,Land_Use[Tech],0)),0)*$R103</f>
        <v>0</v>
      </c>
      <c r="AB103" s="30">
        <f>IF(OR($O103="Solar",$O103="Wind"),INDEX(Land_Use[MIN],MATCH($O103,Land_Use[Tech],0)),0)*$R103</f>
        <v>0</v>
      </c>
      <c r="AC103" s="30">
        <f>IF(OR($O103="Solar",$O103="Wind"),INDEX(Land_Use[MAX],MATCH($O103,Land_Use[Tech],0)),0)*$R103</f>
        <v>0</v>
      </c>
    </row>
    <row r="104" spans="13:29" x14ac:dyDescent="0.35">
      <c r="M104" t="s">
        <v>76</v>
      </c>
      <c r="N104">
        <v>1</v>
      </c>
      <c r="O104" t="s">
        <v>86</v>
      </c>
      <c r="P104">
        <v>2042</v>
      </c>
      <c r="Q104" s="13">
        <v>0</v>
      </c>
      <c r="R104" s="13">
        <f>SUMIFS($Q$3:Q104,$O$3:O104,O104,$M$3:M104,M104)</f>
        <v>1000</v>
      </c>
      <c r="S104" s="13">
        <v>2132.968835524367</v>
      </c>
      <c r="T104" s="13">
        <f t="shared" si="57"/>
        <v>2132968.8355243672</v>
      </c>
      <c r="U104" s="42">
        <f t="shared" ref="U104:W104" si="97">U83</f>
        <v>-7.2223670599999901E-2</v>
      </c>
      <c r="V104" s="42">
        <f t="shared" si="97"/>
        <v>-4.4368089450000092E-2</v>
      </c>
      <c r="W104" s="42">
        <f t="shared" si="97"/>
        <v>-0.10007925075000002</v>
      </c>
      <c r="X104" s="30">
        <f t="shared" si="59"/>
        <v>-154050.83857697726</v>
      </c>
      <c r="Y104" s="30">
        <f t="shared" si="60"/>
        <v>-94635.752088607653</v>
      </c>
      <c r="Z104" s="30">
        <f t="shared" si="61"/>
        <v>-213465.92293237869</v>
      </c>
      <c r="AA104" s="30">
        <f>IF(OR($O104="Solar",$O104="Wind"),INDEX(Land_Use[AVG],MATCH($O104,Land_Use[Tech],0)),0)*$R104</f>
        <v>0</v>
      </c>
      <c r="AB104" s="30">
        <f>IF(OR($O104="Solar",$O104="Wind"),INDEX(Land_Use[MIN],MATCH($O104,Land_Use[Tech],0)),0)*$R104</f>
        <v>0</v>
      </c>
      <c r="AC104" s="30">
        <f>IF(OR($O104="Solar",$O104="Wind"),INDEX(Land_Use[MAX],MATCH($O104,Land_Use[Tech],0)),0)*$R104</f>
        <v>0</v>
      </c>
    </row>
    <row r="105" spans="13:29" x14ac:dyDescent="0.35">
      <c r="M105" t="s">
        <v>76</v>
      </c>
      <c r="N105">
        <v>1</v>
      </c>
      <c r="O105" t="s">
        <v>86</v>
      </c>
      <c r="P105">
        <v>2043</v>
      </c>
      <c r="Q105" s="13">
        <v>0</v>
      </c>
      <c r="R105" s="13">
        <f>SUMIFS($Q$3:Q105,$O$3:O105,O105,$M$3:M105,M105)</f>
        <v>1000</v>
      </c>
      <c r="S105" s="13">
        <v>2160.153993742128</v>
      </c>
      <c r="T105" s="13">
        <f t="shared" si="57"/>
        <v>2160153.9937421279</v>
      </c>
      <c r="U105" s="42">
        <f t="shared" ref="U105:W105" si="98">U84</f>
        <v>-6.7999746399999894E-2</v>
      </c>
      <c r="V105" s="42">
        <f t="shared" si="98"/>
        <v>-3.9210322300000093E-2</v>
      </c>
      <c r="W105" s="42">
        <f t="shared" si="98"/>
        <v>-9.6789169500000008E-2</v>
      </c>
      <c r="X105" s="30">
        <f t="shared" si="59"/>
        <v>-146889.92375941164</v>
      </c>
      <c r="Y105" s="30">
        <f t="shared" si="60"/>
        <v>-84700.334312261213</v>
      </c>
      <c r="Z105" s="30">
        <f t="shared" si="61"/>
        <v>-209079.51104640876</v>
      </c>
      <c r="AA105" s="30">
        <f>IF(OR($O105="Solar",$O105="Wind"),INDEX(Land_Use[AVG],MATCH($O105,Land_Use[Tech],0)),0)*$R105</f>
        <v>0</v>
      </c>
      <c r="AB105" s="30">
        <f>IF(OR($O105="Solar",$O105="Wind"),INDEX(Land_Use[MIN],MATCH($O105,Land_Use[Tech],0)),0)*$R105</f>
        <v>0</v>
      </c>
      <c r="AC105" s="30">
        <f>IF(OR($O105="Solar",$O105="Wind"),INDEX(Land_Use[MAX],MATCH($O105,Land_Use[Tech],0)),0)*$R105</f>
        <v>0</v>
      </c>
    </row>
    <row r="106" spans="13:29" x14ac:dyDescent="0.35">
      <c r="M106" t="s">
        <v>76</v>
      </c>
      <c r="N106">
        <v>1</v>
      </c>
      <c r="O106" t="s">
        <v>86</v>
      </c>
      <c r="P106">
        <v>2044</v>
      </c>
      <c r="Q106" s="13">
        <v>0</v>
      </c>
      <c r="R106" s="13">
        <f>SUMIFS($Q$3:Q106,$O$3:O106,O106,$M$3:M106,M106)</f>
        <v>1000</v>
      </c>
      <c r="S106" s="13">
        <v>2187.339151959889</v>
      </c>
      <c r="T106" s="13">
        <f t="shared" si="57"/>
        <v>2187339.1519598891</v>
      </c>
      <c r="U106" s="42">
        <f t="shared" ref="U106:W106" si="99">U85</f>
        <v>-6.3775822199999888E-2</v>
      </c>
      <c r="V106" s="42">
        <f t="shared" si="99"/>
        <v>-3.4052555150000094E-2</v>
      </c>
      <c r="W106" s="42">
        <f t="shared" si="99"/>
        <v>-9.3499088250000001E-2</v>
      </c>
      <c r="X106" s="30">
        <f t="shared" si="59"/>
        <v>-139499.35284649243</v>
      </c>
      <c r="Y106" s="30">
        <f t="shared" si="60"/>
        <v>-74484.487103868567</v>
      </c>
      <c r="Z106" s="30">
        <f t="shared" si="61"/>
        <v>-204514.21640177784</v>
      </c>
      <c r="AA106" s="30">
        <f>IF(OR($O106="Solar",$O106="Wind"),INDEX(Land_Use[AVG],MATCH($O106,Land_Use[Tech],0)),0)*$R106</f>
        <v>0</v>
      </c>
      <c r="AB106" s="30">
        <f>IF(OR($O106="Solar",$O106="Wind"),INDEX(Land_Use[MIN],MATCH($O106,Land_Use[Tech],0)),0)*$R106</f>
        <v>0</v>
      </c>
      <c r="AC106" s="30">
        <f>IF(OR($O106="Solar",$O106="Wind"),INDEX(Land_Use[MAX],MATCH($O106,Land_Use[Tech],0)),0)*$R106</f>
        <v>0</v>
      </c>
    </row>
    <row r="107" spans="13:29" x14ac:dyDescent="0.35">
      <c r="M107" t="s">
        <v>76</v>
      </c>
      <c r="N107">
        <v>1</v>
      </c>
      <c r="O107" t="s">
        <v>86</v>
      </c>
      <c r="P107">
        <v>2045</v>
      </c>
      <c r="Q107" s="13">
        <v>0</v>
      </c>
      <c r="R107" s="13">
        <f>SUMIFS($Q$3:Q107,$O$3:O107,O107,$M$3:M107,M107)</f>
        <v>1000</v>
      </c>
      <c r="S107" s="13">
        <v>2214.52431017765</v>
      </c>
      <c r="T107" s="13">
        <f t="shared" si="57"/>
        <v>2214524.3101776498</v>
      </c>
      <c r="U107" s="42">
        <f t="shared" ref="U107:W107" si="100">U86</f>
        <v>-5.9551897999999888E-2</v>
      </c>
      <c r="V107" s="42">
        <f t="shared" si="100"/>
        <v>-2.8894788000000095E-2</v>
      </c>
      <c r="W107" s="42">
        <f t="shared" si="100"/>
        <v>-9.0209006999999994E-2</v>
      </c>
      <c r="X107" s="30">
        <f t="shared" si="59"/>
        <v>-131879.12583821951</v>
      </c>
      <c r="Y107" s="30">
        <f t="shared" si="60"/>
        <v>-63988.210463429641</v>
      </c>
      <c r="Z107" s="30">
        <f t="shared" si="61"/>
        <v>-199770.03899848578</v>
      </c>
      <c r="AA107" s="30">
        <f>IF(OR($O107="Solar",$O107="Wind"),INDEX(Land_Use[AVG],MATCH($O107,Land_Use[Tech],0)),0)*$R107</f>
        <v>0</v>
      </c>
      <c r="AB107" s="30">
        <f>IF(OR($O107="Solar",$O107="Wind"),INDEX(Land_Use[MIN],MATCH($O107,Land_Use[Tech],0)),0)*$R107</f>
        <v>0</v>
      </c>
      <c r="AC107" s="30">
        <f>IF(OR($O107="Solar",$O107="Wind"),INDEX(Land_Use[MAX],MATCH($O107,Land_Use[Tech],0)),0)*$R107</f>
        <v>0</v>
      </c>
    </row>
    <row r="108" spans="13:29" x14ac:dyDescent="0.35">
      <c r="M108" t="s">
        <v>107</v>
      </c>
      <c r="N108">
        <v>1</v>
      </c>
      <c r="O108" t="s">
        <v>85</v>
      </c>
      <c r="P108">
        <v>2025</v>
      </c>
      <c r="Q108" s="13">
        <v>588.13652173913044</v>
      </c>
      <c r="R108" s="13">
        <f>SUMIFS($Q$3:Q108,$O$3:O108,O108,$M$3:M108,M108)</f>
        <v>588.13652173913044</v>
      </c>
      <c r="S108" s="13">
        <v>1171.0983188067505</v>
      </c>
      <c r="T108" s="13">
        <f t="shared" si="57"/>
        <v>688765.69183754548</v>
      </c>
      <c r="U108" s="42">
        <f t="shared" ref="U108:W108" si="101">U87</f>
        <v>-0.14403038200000001</v>
      </c>
      <c r="V108" s="42">
        <f t="shared" si="101"/>
        <v>-0.13205013099999999</v>
      </c>
      <c r="W108" s="42">
        <f t="shared" si="101"/>
        <v>-0.15601063200000001</v>
      </c>
      <c r="X108" s="30">
        <f t="shared" si="59"/>
        <v>-99203.185703855968</v>
      </c>
      <c r="Y108" s="30">
        <f t="shared" si="60"/>
        <v>-90951.599835453497</v>
      </c>
      <c r="Z108" s="30">
        <f t="shared" si="61"/>
        <v>-107454.77088349272</v>
      </c>
      <c r="AA108" s="30">
        <f>IF(OR($O108="Solar",$O108="Wind"),INDEX(Land_Use[AVG],MATCH($O108,Land_Use[Tech],0)),0)*$R108</f>
        <v>0</v>
      </c>
      <c r="AB108" s="30">
        <f>IF(OR($O108="Solar",$O108="Wind"),INDEX(Land_Use[MIN],MATCH($O108,Land_Use[Tech],0)),0)*$R108</f>
        <v>0</v>
      </c>
      <c r="AC108" s="30">
        <f>IF(OR($O108="Solar",$O108="Wind"),INDEX(Land_Use[MAX],MATCH($O108,Land_Use[Tech],0)),0)*$R108</f>
        <v>0</v>
      </c>
    </row>
    <row r="109" spans="13:29" x14ac:dyDescent="0.35">
      <c r="M109" t="s">
        <v>107</v>
      </c>
      <c r="N109">
        <v>1</v>
      </c>
      <c r="O109" t="s">
        <v>85</v>
      </c>
      <c r="P109">
        <v>2026</v>
      </c>
      <c r="Q109" s="13">
        <v>588.13652173913044</v>
      </c>
      <c r="R109" s="13">
        <f>SUMIFS($Q$3:Q109,$O$3:O109,O109,$M$3:M109,M109)</f>
        <v>1176.2730434782609</v>
      </c>
      <c r="S109" s="13">
        <v>1171.0983188067505</v>
      </c>
      <c r="T109" s="13">
        <f t="shared" si="57"/>
        <v>1377531.383675091</v>
      </c>
      <c r="U109" s="42">
        <f t="shared" ref="U109:W109" si="102">U88</f>
        <v>-0.13980645780000001</v>
      </c>
      <c r="V109" s="42">
        <f t="shared" si="102"/>
        <v>-0.12689236385</v>
      </c>
      <c r="W109" s="42">
        <f t="shared" si="102"/>
        <v>-0.15272055075000002</v>
      </c>
      <c r="X109" s="30">
        <f t="shared" si="59"/>
        <v>-192587.78325994723</v>
      </c>
      <c r="Y109" s="30">
        <f t="shared" si="60"/>
        <v>-174798.2135520936</v>
      </c>
      <c r="Z109" s="30">
        <f t="shared" si="61"/>
        <v>-210377.35159026948</v>
      </c>
      <c r="AA109" s="30">
        <f>IF(OR($O109="Solar",$O109="Wind"),INDEX(Land_Use[AVG],MATCH($O109,Land_Use[Tech],0)),0)*$R109</f>
        <v>0</v>
      </c>
      <c r="AB109" s="30">
        <f>IF(OR($O109="Solar",$O109="Wind"),INDEX(Land_Use[MIN],MATCH($O109,Land_Use[Tech],0)),0)*$R109</f>
        <v>0</v>
      </c>
      <c r="AC109" s="30">
        <f>IF(OR($O109="Solar",$O109="Wind"),INDEX(Land_Use[MAX],MATCH($O109,Land_Use[Tech],0)),0)*$R109</f>
        <v>0</v>
      </c>
    </row>
    <row r="110" spans="13:29" x14ac:dyDescent="0.35">
      <c r="M110" t="s">
        <v>107</v>
      </c>
      <c r="N110">
        <v>1</v>
      </c>
      <c r="O110" t="s">
        <v>85</v>
      </c>
      <c r="P110">
        <v>2027</v>
      </c>
      <c r="Q110" s="13">
        <v>588.13652173913044</v>
      </c>
      <c r="R110" s="13">
        <f>SUMIFS($Q$3:Q110,$O$3:O110,O110,$M$3:M110,M110)</f>
        <v>1764.4095652173914</v>
      </c>
      <c r="S110" s="13">
        <v>1171.0983188067505</v>
      </c>
      <c r="T110" s="13">
        <f t="shared" si="57"/>
        <v>2066297.0755126367</v>
      </c>
      <c r="U110" s="42">
        <f t="shared" ref="U110:W110" si="103">U89</f>
        <v>-0.1355825336</v>
      </c>
      <c r="V110" s="42">
        <f t="shared" si="103"/>
        <v>-0.1217345967</v>
      </c>
      <c r="W110" s="42">
        <f t="shared" si="103"/>
        <v>-0.14943046950000002</v>
      </c>
      <c r="X110" s="30">
        <f t="shared" si="59"/>
        <v>-280153.79266827379</v>
      </c>
      <c r="Y110" s="30">
        <f t="shared" si="60"/>
        <v>-251539.84114992028</v>
      </c>
      <c r="Z110" s="30">
        <f t="shared" si="61"/>
        <v>-308767.74212033028</v>
      </c>
      <c r="AA110" s="30">
        <f>IF(OR($O110="Solar",$O110="Wind"),INDEX(Land_Use[AVG],MATCH($O110,Land_Use[Tech],0)),0)*$R110</f>
        <v>0</v>
      </c>
      <c r="AB110" s="30">
        <f>IF(OR($O110="Solar",$O110="Wind"),INDEX(Land_Use[MIN],MATCH($O110,Land_Use[Tech],0)),0)*$R110</f>
        <v>0</v>
      </c>
      <c r="AC110" s="30">
        <f>IF(OR($O110="Solar",$O110="Wind"),INDEX(Land_Use[MAX],MATCH($O110,Land_Use[Tech],0)),0)*$R110</f>
        <v>0</v>
      </c>
    </row>
    <row r="111" spans="13:29" x14ac:dyDescent="0.35">
      <c r="M111" t="s">
        <v>107</v>
      </c>
      <c r="N111">
        <v>1</v>
      </c>
      <c r="O111" t="s">
        <v>85</v>
      </c>
      <c r="P111">
        <v>2028</v>
      </c>
      <c r="Q111" s="13">
        <v>588.13652173913044</v>
      </c>
      <c r="R111" s="13">
        <f>SUMIFS($Q$3:Q111,$O$3:O111,O111,$M$3:M111,M111)</f>
        <v>2352.5460869565218</v>
      </c>
      <c r="S111" s="13">
        <v>1171.0983188067505</v>
      </c>
      <c r="T111" s="13">
        <f t="shared" si="57"/>
        <v>2755062.7673501819</v>
      </c>
      <c r="U111" s="42">
        <f t="shared" ref="U111:W111" si="104">U90</f>
        <v>-0.13135860939999999</v>
      </c>
      <c r="V111" s="42">
        <f t="shared" si="104"/>
        <v>-0.11657682955000001</v>
      </c>
      <c r="W111" s="42">
        <f t="shared" si="104"/>
        <v>-0.14614038825000003</v>
      </c>
      <c r="X111" s="30">
        <f t="shared" si="59"/>
        <v>-361901.21392883558</v>
      </c>
      <c r="Y111" s="30">
        <f t="shared" si="60"/>
        <v>-321176.4826289335</v>
      </c>
      <c r="Z111" s="30">
        <f t="shared" si="61"/>
        <v>-402625.94247367512</v>
      </c>
      <c r="AA111" s="30">
        <f>IF(OR($O111="Solar",$O111="Wind"),INDEX(Land_Use[AVG],MATCH($O111,Land_Use[Tech],0)),0)*$R111</f>
        <v>0</v>
      </c>
      <c r="AB111" s="30">
        <f>IF(OR($O111="Solar",$O111="Wind"),INDEX(Land_Use[MIN],MATCH($O111,Land_Use[Tech],0)),0)*$R111</f>
        <v>0</v>
      </c>
      <c r="AC111" s="30">
        <f>IF(OR($O111="Solar",$O111="Wind"),INDEX(Land_Use[MAX],MATCH($O111,Land_Use[Tech],0)),0)*$R111</f>
        <v>0</v>
      </c>
    </row>
    <row r="112" spans="13:29" x14ac:dyDescent="0.35">
      <c r="M112" t="s">
        <v>107</v>
      </c>
      <c r="N112">
        <v>1</v>
      </c>
      <c r="O112" t="s">
        <v>85</v>
      </c>
      <c r="P112">
        <v>2029</v>
      </c>
      <c r="Q112" s="13">
        <v>588.13652173913044</v>
      </c>
      <c r="R112" s="13">
        <f>SUMIFS($Q$3:Q112,$O$3:O112,O112,$M$3:M112,M112)</f>
        <v>2940.6826086956521</v>
      </c>
      <c r="S112" s="13">
        <v>1171.0983188067505</v>
      </c>
      <c r="T112" s="13">
        <f t="shared" si="57"/>
        <v>3443828.4591877274</v>
      </c>
      <c r="U112" s="42">
        <f t="shared" ref="U112:W112" si="105">U91</f>
        <v>-0.12713468519999999</v>
      </c>
      <c r="V112" s="42">
        <f t="shared" si="105"/>
        <v>-0.11141906240000002</v>
      </c>
      <c r="W112" s="42">
        <f t="shared" si="105"/>
        <v>-0.14285030700000004</v>
      </c>
      <c r="X112" s="30">
        <f t="shared" si="59"/>
        <v>-437830.0470416327</v>
      </c>
      <c r="Y112" s="30">
        <f t="shared" si="60"/>
        <v>-383708.13798913331</v>
      </c>
      <c r="Z112" s="30">
        <f t="shared" si="61"/>
        <v>-491951.95265030395</v>
      </c>
      <c r="AA112" s="30">
        <f>IF(OR($O112="Solar",$O112="Wind"),INDEX(Land_Use[AVG],MATCH($O112,Land_Use[Tech],0)),0)*$R112</f>
        <v>0</v>
      </c>
      <c r="AB112" s="30">
        <f>IF(OR($O112="Solar",$O112="Wind"),INDEX(Land_Use[MIN],MATCH($O112,Land_Use[Tech],0)),0)*$R112</f>
        <v>0</v>
      </c>
      <c r="AC112" s="30">
        <f>IF(OR($O112="Solar",$O112="Wind"),INDEX(Land_Use[MAX],MATCH($O112,Land_Use[Tech],0)),0)*$R112</f>
        <v>0</v>
      </c>
    </row>
    <row r="113" spans="13:29" x14ac:dyDescent="0.35">
      <c r="M113" t="s">
        <v>107</v>
      </c>
      <c r="N113">
        <v>1</v>
      </c>
      <c r="O113" t="s">
        <v>85</v>
      </c>
      <c r="P113">
        <v>2030</v>
      </c>
      <c r="Q113" s="13">
        <v>588.13652173913044</v>
      </c>
      <c r="R113" s="13">
        <f>SUMIFS($Q$3:Q113,$O$3:O113,O113,$M$3:M113,M113)</f>
        <v>3528.8191304347824</v>
      </c>
      <c r="S113" s="13">
        <v>1171.0983188067505</v>
      </c>
      <c r="T113" s="13">
        <f t="shared" si="57"/>
        <v>4132594.1510252729</v>
      </c>
      <c r="U113" s="42">
        <f t="shared" ref="U113:W113" si="106">U92</f>
        <v>-0.12291076099999998</v>
      </c>
      <c r="V113" s="42">
        <f t="shared" si="106"/>
        <v>-0.10626129525000003</v>
      </c>
      <c r="W113" s="42">
        <f t="shared" si="106"/>
        <v>-0.13956022575000004</v>
      </c>
      <c r="X113" s="30">
        <f t="shared" si="59"/>
        <v>-507940.29200666514</v>
      </c>
      <c r="Y113" s="30">
        <f t="shared" si="60"/>
        <v>-439134.80723051971</v>
      </c>
      <c r="Z113" s="30">
        <f t="shared" si="61"/>
        <v>-576745.77265021682</v>
      </c>
      <c r="AA113" s="30">
        <f>IF(OR($O113="Solar",$O113="Wind"),INDEX(Land_Use[AVG],MATCH($O113,Land_Use[Tech],0)),0)*$R113</f>
        <v>0</v>
      </c>
      <c r="AB113" s="30">
        <f>IF(OR($O113="Solar",$O113="Wind"),INDEX(Land_Use[MIN],MATCH($O113,Land_Use[Tech],0)),0)*$R113</f>
        <v>0</v>
      </c>
      <c r="AC113" s="30">
        <f>IF(OR($O113="Solar",$O113="Wind"),INDEX(Land_Use[MAX],MATCH($O113,Land_Use[Tech],0)),0)*$R113</f>
        <v>0</v>
      </c>
    </row>
    <row r="114" spans="13:29" x14ac:dyDescent="0.35">
      <c r="M114" t="s">
        <v>107</v>
      </c>
      <c r="N114">
        <v>1</v>
      </c>
      <c r="O114" t="s">
        <v>85</v>
      </c>
      <c r="P114">
        <v>2031</v>
      </c>
      <c r="Q114" s="13">
        <v>588.13652173913044</v>
      </c>
      <c r="R114" s="13">
        <f>SUMIFS($Q$3:Q114,$O$3:O114,O114,$M$3:M114,M114)</f>
        <v>4116.9556521739132</v>
      </c>
      <c r="S114" s="13">
        <v>1171.0983188067505</v>
      </c>
      <c r="T114" s="13">
        <f t="shared" si="57"/>
        <v>4821359.8428628193</v>
      </c>
      <c r="U114" s="42">
        <f t="shared" ref="U114:W114" si="107">U93</f>
        <v>-0.11868683679999997</v>
      </c>
      <c r="V114" s="42">
        <f t="shared" si="107"/>
        <v>-0.10110352810000003</v>
      </c>
      <c r="W114" s="42">
        <f t="shared" si="107"/>
        <v>-0.13627014450000005</v>
      </c>
      <c r="X114" s="30">
        <f t="shared" si="59"/>
        <v>-572231.94882393291</v>
      </c>
      <c r="Y114" s="30">
        <f t="shared" si="60"/>
        <v>-487456.49035309278</v>
      </c>
      <c r="Z114" s="30">
        <f t="shared" si="61"/>
        <v>-657007.40247341397</v>
      </c>
      <c r="AA114" s="30">
        <f>IF(OR($O114="Solar",$O114="Wind"),INDEX(Land_Use[AVG],MATCH($O114,Land_Use[Tech],0)),0)*$R114</f>
        <v>0</v>
      </c>
      <c r="AB114" s="30">
        <f>IF(OR($O114="Solar",$O114="Wind"),INDEX(Land_Use[MIN],MATCH($O114,Land_Use[Tech],0)),0)*$R114</f>
        <v>0</v>
      </c>
      <c r="AC114" s="30">
        <f>IF(OR($O114="Solar",$O114="Wind"),INDEX(Land_Use[MAX],MATCH($O114,Land_Use[Tech],0)),0)*$R114</f>
        <v>0</v>
      </c>
    </row>
    <row r="115" spans="13:29" x14ac:dyDescent="0.35">
      <c r="M115" t="s">
        <v>107</v>
      </c>
      <c r="N115">
        <v>1</v>
      </c>
      <c r="O115" t="s">
        <v>85</v>
      </c>
      <c r="P115">
        <v>2032</v>
      </c>
      <c r="Q115" s="13">
        <v>588.13652173913044</v>
      </c>
      <c r="R115" s="13">
        <f>SUMIFS($Q$3:Q115,$O$3:O115,O115,$M$3:M115,M115)</f>
        <v>4705.0921739130436</v>
      </c>
      <c r="S115" s="13">
        <v>1171.0983188067505</v>
      </c>
      <c r="T115" s="13">
        <f t="shared" si="57"/>
        <v>5510125.5347003639</v>
      </c>
      <c r="U115" s="42">
        <f t="shared" ref="U115:W115" si="108">U94</f>
        <v>-0.11446291259999997</v>
      </c>
      <c r="V115" s="42">
        <f t="shared" si="108"/>
        <v>-9.5945760950000042E-2</v>
      </c>
      <c r="W115" s="42">
        <f t="shared" si="108"/>
        <v>-0.13298006325000006</v>
      </c>
      <c r="X115" s="30">
        <f t="shared" si="59"/>
        <v>-630705.01749343588</v>
      </c>
      <c r="Y115" s="30">
        <f t="shared" si="60"/>
        <v>-528673.18735685223</v>
      </c>
      <c r="Z115" s="30">
        <f t="shared" si="61"/>
        <v>-732736.84211989481</v>
      </c>
      <c r="AA115" s="30">
        <f>IF(OR($O115="Solar",$O115="Wind"),INDEX(Land_Use[AVG],MATCH($O115,Land_Use[Tech],0)),0)*$R115</f>
        <v>0</v>
      </c>
      <c r="AB115" s="30">
        <f>IF(OR($O115="Solar",$O115="Wind"),INDEX(Land_Use[MIN],MATCH($O115,Land_Use[Tech],0)),0)*$R115</f>
        <v>0</v>
      </c>
      <c r="AC115" s="30">
        <f>IF(OR($O115="Solar",$O115="Wind"),INDEX(Land_Use[MAX],MATCH($O115,Land_Use[Tech],0)),0)*$R115</f>
        <v>0</v>
      </c>
    </row>
    <row r="116" spans="13:29" x14ac:dyDescent="0.35">
      <c r="M116" t="s">
        <v>107</v>
      </c>
      <c r="N116">
        <v>1</v>
      </c>
      <c r="O116" t="s">
        <v>85</v>
      </c>
      <c r="P116">
        <v>2033</v>
      </c>
      <c r="Q116" s="13">
        <v>588.13652173913044</v>
      </c>
      <c r="R116" s="13">
        <f>SUMIFS($Q$3:Q116,$O$3:O116,O116,$M$3:M116,M116)</f>
        <v>5293.2286956521739</v>
      </c>
      <c r="S116" s="13">
        <v>1171.0983188067505</v>
      </c>
      <c r="T116" s="13">
        <f t="shared" si="57"/>
        <v>6198891.2265379094</v>
      </c>
      <c r="U116" s="42">
        <f t="shared" ref="U116:W116" si="109">U95</f>
        <v>-0.11023898839999996</v>
      </c>
      <c r="V116" s="42">
        <f t="shared" si="109"/>
        <v>-9.078799380000005E-2</v>
      </c>
      <c r="W116" s="42">
        <f t="shared" si="109"/>
        <v>-0.12968998200000006</v>
      </c>
      <c r="X116" s="30">
        <f t="shared" si="59"/>
        <v>-683359.49801517406</v>
      </c>
      <c r="Y116" s="30">
        <f t="shared" si="60"/>
        <v>-562784.89824179839</v>
      </c>
      <c r="Z116" s="30">
        <f t="shared" si="61"/>
        <v>-803934.0915896598</v>
      </c>
      <c r="AA116" s="30">
        <f>IF(OR($O116="Solar",$O116="Wind"),INDEX(Land_Use[AVG],MATCH($O116,Land_Use[Tech],0)),0)*$R116</f>
        <v>0</v>
      </c>
      <c r="AB116" s="30">
        <f>IF(OR($O116="Solar",$O116="Wind"),INDEX(Land_Use[MIN],MATCH($O116,Land_Use[Tech],0)),0)*$R116</f>
        <v>0</v>
      </c>
      <c r="AC116" s="30">
        <f>IF(OR($O116="Solar",$O116="Wind"),INDEX(Land_Use[MAX],MATCH($O116,Land_Use[Tech],0)),0)*$R116</f>
        <v>0</v>
      </c>
    </row>
    <row r="117" spans="13:29" x14ac:dyDescent="0.35">
      <c r="M117" t="s">
        <v>107</v>
      </c>
      <c r="N117">
        <v>1</v>
      </c>
      <c r="O117" t="s">
        <v>85</v>
      </c>
      <c r="P117">
        <v>2034</v>
      </c>
      <c r="Q117" s="13">
        <v>588.13652173913044</v>
      </c>
      <c r="R117" s="13">
        <f>SUMIFS($Q$3:Q117,$O$3:O117,O117,$M$3:M117,M117)</f>
        <v>5881.3652173913042</v>
      </c>
      <c r="S117" s="13">
        <v>1171.0983188067505</v>
      </c>
      <c r="T117" s="13">
        <f t="shared" si="57"/>
        <v>6887656.9183754548</v>
      </c>
      <c r="U117" s="42">
        <f t="shared" ref="U117:W117" si="110">U96</f>
        <v>-0.10601506419999995</v>
      </c>
      <c r="V117" s="42">
        <f t="shared" si="110"/>
        <v>-8.5630226650000058E-2</v>
      </c>
      <c r="W117" s="42">
        <f t="shared" si="110"/>
        <v>-0.12639990075000007</v>
      </c>
      <c r="X117" s="30">
        <f t="shared" si="59"/>
        <v>-730195.39038914768</v>
      </c>
      <c r="Y117" s="30">
        <f t="shared" si="60"/>
        <v>-589791.62300793116</v>
      </c>
      <c r="Z117" s="30">
        <f t="shared" si="61"/>
        <v>-870599.15088270884</v>
      </c>
      <c r="AA117" s="30">
        <f>IF(OR($O117="Solar",$O117="Wind"),INDEX(Land_Use[AVG],MATCH($O117,Land_Use[Tech],0)),0)*$R117</f>
        <v>0</v>
      </c>
      <c r="AB117" s="30">
        <f>IF(OR($O117="Solar",$O117="Wind"),INDEX(Land_Use[MIN],MATCH($O117,Land_Use[Tech],0)),0)*$R117</f>
        <v>0</v>
      </c>
      <c r="AC117" s="30">
        <f>IF(OR($O117="Solar",$O117="Wind"),INDEX(Land_Use[MAX],MATCH($O117,Land_Use[Tech],0)),0)*$R117</f>
        <v>0</v>
      </c>
    </row>
    <row r="118" spans="13:29" x14ac:dyDescent="0.35">
      <c r="M118" t="s">
        <v>107</v>
      </c>
      <c r="N118">
        <v>1</v>
      </c>
      <c r="O118" t="s">
        <v>85</v>
      </c>
      <c r="P118">
        <v>2035</v>
      </c>
      <c r="Q118" s="13">
        <v>588.13652173913044</v>
      </c>
      <c r="R118" s="13">
        <f>SUMIFS($Q$3:Q118,$O$3:O118,O118,$M$3:M118,M118)</f>
        <v>6469.5017391304345</v>
      </c>
      <c r="S118" s="13">
        <v>1171.0983188067505</v>
      </c>
      <c r="T118" s="13">
        <f t="shared" si="57"/>
        <v>7576422.6102130003</v>
      </c>
      <c r="U118" s="42">
        <f t="shared" ref="U118:W118" si="111">U97</f>
        <v>-0.10179113999999995</v>
      </c>
      <c r="V118" s="42">
        <f t="shared" si="111"/>
        <v>-8.0472459500000065E-2</v>
      </c>
      <c r="W118" s="42">
        <f t="shared" si="111"/>
        <v>-0.12310981950000006</v>
      </c>
      <c r="X118" s="30">
        <f t="shared" si="59"/>
        <v>-771212.69461535651</v>
      </c>
      <c r="Y118" s="30">
        <f t="shared" si="60"/>
        <v>-609693.36165525042</v>
      </c>
      <c r="Z118" s="30">
        <f t="shared" si="61"/>
        <v>-932732.0199990418</v>
      </c>
      <c r="AA118" s="30">
        <f>IF(OR($O118="Solar",$O118="Wind"),INDEX(Land_Use[AVG],MATCH($O118,Land_Use[Tech],0)),0)*$R118</f>
        <v>0</v>
      </c>
      <c r="AB118" s="30">
        <f>IF(OR($O118="Solar",$O118="Wind"),INDEX(Land_Use[MIN],MATCH($O118,Land_Use[Tech],0)),0)*$R118</f>
        <v>0</v>
      </c>
      <c r="AC118" s="30">
        <f>IF(OR($O118="Solar",$O118="Wind"),INDEX(Land_Use[MAX],MATCH($O118,Land_Use[Tech],0)),0)*$R118</f>
        <v>0</v>
      </c>
    </row>
    <row r="119" spans="13:29" x14ac:dyDescent="0.35">
      <c r="M119" t="s">
        <v>107</v>
      </c>
      <c r="N119">
        <v>1</v>
      </c>
      <c r="O119" t="s">
        <v>85</v>
      </c>
      <c r="P119">
        <v>2036</v>
      </c>
      <c r="Q119" s="13">
        <v>588.13652173913044</v>
      </c>
      <c r="R119" s="13">
        <f>SUMIFS($Q$3:Q119,$O$3:O119,O119,$M$3:M119,M119)</f>
        <v>7057.6382608695649</v>
      </c>
      <c r="S119" s="13">
        <v>1171.0983188067505</v>
      </c>
      <c r="T119" s="13">
        <f t="shared" si="57"/>
        <v>8265188.3020505458</v>
      </c>
      <c r="U119" s="42">
        <f t="shared" ref="U119:W119" si="112">U98</f>
        <v>-9.756721579999994E-2</v>
      </c>
      <c r="V119" s="42">
        <f t="shared" si="112"/>
        <v>-7.5314692350000073E-2</v>
      </c>
      <c r="W119" s="42">
        <f t="shared" si="112"/>
        <v>-0.11981973825000006</v>
      </c>
      <c r="X119" s="30">
        <f t="shared" si="59"/>
        <v>-806411.41069380066</v>
      </c>
      <c r="Y119" s="30">
        <f t="shared" si="60"/>
        <v>-622490.11418375629</v>
      </c>
      <c r="Z119" s="30">
        <f t="shared" si="61"/>
        <v>-990332.69893865881</v>
      </c>
      <c r="AA119" s="30">
        <f>IF(OR($O119="Solar",$O119="Wind"),INDEX(Land_Use[AVG],MATCH($O119,Land_Use[Tech],0)),0)*$R119</f>
        <v>0</v>
      </c>
      <c r="AB119" s="30">
        <f>IF(OR($O119="Solar",$O119="Wind"),INDEX(Land_Use[MIN],MATCH($O119,Land_Use[Tech],0)),0)*$R119</f>
        <v>0</v>
      </c>
      <c r="AC119" s="30">
        <f>IF(OR($O119="Solar",$O119="Wind"),INDEX(Land_Use[MAX],MATCH($O119,Land_Use[Tech],0)),0)*$R119</f>
        <v>0</v>
      </c>
    </row>
    <row r="120" spans="13:29" x14ac:dyDescent="0.35">
      <c r="M120" t="s">
        <v>107</v>
      </c>
      <c r="N120">
        <v>1</v>
      </c>
      <c r="O120" t="s">
        <v>85</v>
      </c>
      <c r="P120">
        <v>2037</v>
      </c>
      <c r="Q120" s="13">
        <v>588.13652173913044</v>
      </c>
      <c r="R120" s="13">
        <f>SUMIFS($Q$3:Q120,$O$3:O120,O120,$M$3:M120,M120)</f>
        <v>7645.7747826086952</v>
      </c>
      <c r="S120" s="13">
        <v>1171.0983188067505</v>
      </c>
      <c r="T120" s="13">
        <f t="shared" si="57"/>
        <v>8953953.9938880913</v>
      </c>
      <c r="U120" s="42">
        <f t="shared" ref="U120:W120" si="113">U99</f>
        <v>-9.3343291599999934E-2</v>
      </c>
      <c r="V120" s="42">
        <f t="shared" si="113"/>
        <v>-7.0156925200000081E-2</v>
      </c>
      <c r="W120" s="42">
        <f t="shared" si="113"/>
        <v>-0.11652965700000005</v>
      </c>
      <c r="X120" s="30">
        <f t="shared" si="59"/>
        <v>-835791.53862448013</v>
      </c>
      <c r="Y120" s="30">
        <f t="shared" si="60"/>
        <v>-628181.88059344876</v>
      </c>
      <c r="Z120" s="30">
        <f t="shared" si="61"/>
        <v>-1043401.1877015599</v>
      </c>
      <c r="AA120" s="30">
        <f>IF(OR($O120="Solar",$O120="Wind"),INDEX(Land_Use[AVG],MATCH($O120,Land_Use[Tech],0)),0)*$R120</f>
        <v>0</v>
      </c>
      <c r="AB120" s="30">
        <f>IF(OR($O120="Solar",$O120="Wind"),INDEX(Land_Use[MIN],MATCH($O120,Land_Use[Tech],0)),0)*$R120</f>
        <v>0</v>
      </c>
      <c r="AC120" s="30">
        <f>IF(OR($O120="Solar",$O120="Wind"),INDEX(Land_Use[MAX],MATCH($O120,Land_Use[Tech],0)),0)*$R120</f>
        <v>0</v>
      </c>
    </row>
    <row r="121" spans="13:29" x14ac:dyDescent="0.35">
      <c r="M121" t="s">
        <v>107</v>
      </c>
      <c r="N121">
        <v>1</v>
      </c>
      <c r="O121" t="s">
        <v>85</v>
      </c>
      <c r="P121">
        <v>2038</v>
      </c>
      <c r="Q121" s="13">
        <v>588.13652173913044</v>
      </c>
      <c r="R121" s="13">
        <f>SUMIFS($Q$3:Q121,$O$3:O121,O121,$M$3:M121,M121)</f>
        <v>8233.9113043478264</v>
      </c>
      <c r="S121" s="13">
        <v>1171.0983188067505</v>
      </c>
      <c r="T121" s="13">
        <f t="shared" si="57"/>
        <v>9642719.6857256386</v>
      </c>
      <c r="U121" s="42">
        <f t="shared" ref="U121:W121" si="114">U100</f>
        <v>-8.9119367399999927E-2</v>
      </c>
      <c r="V121" s="42">
        <f t="shared" si="114"/>
        <v>-6.4999158050000089E-2</v>
      </c>
      <c r="W121" s="42">
        <f t="shared" si="114"/>
        <v>-0.11323957575000004</v>
      </c>
      <c r="X121" s="30">
        <f t="shared" si="59"/>
        <v>-859353.07840739505</v>
      </c>
      <c r="Y121" s="30">
        <f t="shared" si="60"/>
        <v>-626768.66088432795</v>
      </c>
      <c r="Z121" s="30">
        <f t="shared" si="61"/>
        <v>-1091937.4862877452</v>
      </c>
      <c r="AA121" s="30">
        <f>IF(OR($O121="Solar",$O121="Wind"),INDEX(Land_Use[AVG],MATCH($O121,Land_Use[Tech],0)),0)*$R121</f>
        <v>0</v>
      </c>
      <c r="AB121" s="30">
        <f>IF(OR($O121="Solar",$O121="Wind"),INDEX(Land_Use[MIN],MATCH($O121,Land_Use[Tech],0)),0)*$R121</f>
        <v>0</v>
      </c>
      <c r="AC121" s="30">
        <f>IF(OR($O121="Solar",$O121="Wind"),INDEX(Land_Use[MAX],MATCH($O121,Land_Use[Tech],0)),0)*$R121</f>
        <v>0</v>
      </c>
    </row>
    <row r="122" spans="13:29" x14ac:dyDescent="0.35">
      <c r="M122" t="s">
        <v>107</v>
      </c>
      <c r="N122">
        <v>1</v>
      </c>
      <c r="O122" t="s">
        <v>85</v>
      </c>
      <c r="P122">
        <v>2039</v>
      </c>
      <c r="Q122" s="13">
        <v>588.13652173913044</v>
      </c>
      <c r="R122" s="13">
        <f>SUMIFS($Q$3:Q122,$O$3:O122,O122,$M$3:M122,M122)</f>
        <v>8822.0478260869568</v>
      </c>
      <c r="S122" s="13">
        <v>1171.0983188067505</v>
      </c>
      <c r="T122" s="13">
        <f t="shared" si="57"/>
        <v>10331485.377563184</v>
      </c>
      <c r="U122" s="42">
        <f t="shared" ref="U122:W122" si="115">U101</f>
        <v>-8.489544319999992E-2</v>
      </c>
      <c r="V122" s="42">
        <f t="shared" si="115"/>
        <v>-5.984139090000009E-2</v>
      </c>
      <c r="W122" s="42">
        <f t="shared" si="115"/>
        <v>-0.10994949450000004</v>
      </c>
      <c r="X122" s="30">
        <f t="shared" si="59"/>
        <v>-877096.03004254506</v>
      </c>
      <c r="Y122" s="30">
        <f t="shared" si="60"/>
        <v>-618250.45505639352</v>
      </c>
      <c r="Z122" s="30">
        <f t="shared" si="61"/>
        <v>-1135941.5946972142</v>
      </c>
      <c r="AA122" s="30">
        <f>IF(OR($O122="Solar",$O122="Wind"),INDEX(Land_Use[AVG],MATCH($O122,Land_Use[Tech],0)),0)*$R122</f>
        <v>0</v>
      </c>
      <c r="AB122" s="30">
        <f>IF(OR($O122="Solar",$O122="Wind"),INDEX(Land_Use[MIN],MATCH($O122,Land_Use[Tech],0)),0)*$R122</f>
        <v>0</v>
      </c>
      <c r="AC122" s="30">
        <f>IF(OR($O122="Solar",$O122="Wind"),INDEX(Land_Use[MAX],MATCH($O122,Land_Use[Tech],0)),0)*$R122</f>
        <v>0</v>
      </c>
    </row>
    <row r="123" spans="13:29" x14ac:dyDescent="0.35">
      <c r="M123" t="s">
        <v>107</v>
      </c>
      <c r="N123">
        <v>1</v>
      </c>
      <c r="O123" t="s">
        <v>85</v>
      </c>
      <c r="P123">
        <v>2040</v>
      </c>
      <c r="Q123" s="13">
        <v>588.13652173913044</v>
      </c>
      <c r="R123" s="13">
        <f>SUMIFS($Q$3:Q123,$O$3:O123,O123,$M$3:M123,M123)</f>
        <v>9410.1843478260871</v>
      </c>
      <c r="S123" s="13">
        <v>1171.0983188067505</v>
      </c>
      <c r="T123" s="13">
        <f t="shared" si="57"/>
        <v>11020251.069400728</v>
      </c>
      <c r="U123" s="42">
        <f t="shared" ref="U123:W123" si="116">U102</f>
        <v>-8.0671518999999914E-2</v>
      </c>
      <c r="V123" s="42">
        <f t="shared" si="116"/>
        <v>-5.468362375000009E-2</v>
      </c>
      <c r="W123" s="42">
        <f t="shared" si="116"/>
        <v>-0.10665941325000003</v>
      </c>
      <c r="X123" s="30">
        <f t="shared" si="59"/>
        <v>-889020.39352993015</v>
      </c>
      <c r="Y123" s="30">
        <f t="shared" si="60"/>
        <v>-602627.26310964557</v>
      </c>
      <c r="Z123" s="30">
        <f t="shared" si="61"/>
        <v>-1175413.5129299669</v>
      </c>
      <c r="AA123" s="30">
        <f>IF(OR($O123="Solar",$O123="Wind"),INDEX(Land_Use[AVG],MATCH($O123,Land_Use[Tech],0)),0)*$R123</f>
        <v>0</v>
      </c>
      <c r="AB123" s="30">
        <f>IF(OR($O123="Solar",$O123="Wind"),INDEX(Land_Use[MIN],MATCH($O123,Land_Use[Tech],0)),0)*$R123</f>
        <v>0</v>
      </c>
      <c r="AC123" s="30">
        <f>IF(OR($O123="Solar",$O123="Wind"),INDEX(Land_Use[MAX],MATCH($O123,Land_Use[Tech],0)),0)*$R123</f>
        <v>0</v>
      </c>
    </row>
    <row r="124" spans="13:29" x14ac:dyDescent="0.35">
      <c r="M124" t="s">
        <v>107</v>
      </c>
      <c r="N124">
        <v>1</v>
      </c>
      <c r="O124" t="s">
        <v>85</v>
      </c>
      <c r="P124">
        <v>2041</v>
      </c>
      <c r="Q124" s="13">
        <v>588.13652173913044</v>
      </c>
      <c r="R124" s="13">
        <f>SUMIFS($Q$3:Q124,$O$3:O124,O124,$M$3:M124,M124)</f>
        <v>9998.3208695652174</v>
      </c>
      <c r="S124" s="13">
        <v>1171.0983188067505</v>
      </c>
      <c r="T124" s="13">
        <f t="shared" si="57"/>
        <v>11709016.761238273</v>
      </c>
      <c r="U124" s="42">
        <f t="shared" ref="U124:W124" si="117">U103</f>
        <v>-7.6447594799999907E-2</v>
      </c>
      <c r="V124" s="42">
        <f t="shared" si="117"/>
        <v>-4.9525856600000091E-2</v>
      </c>
      <c r="W124" s="42">
        <f t="shared" si="117"/>
        <v>-0.10336933200000002</v>
      </c>
      <c r="X124" s="30">
        <f t="shared" si="59"/>
        <v>-895126.16886955081</v>
      </c>
      <c r="Y124" s="30">
        <f t="shared" si="60"/>
        <v>-579899.08504408423</v>
      </c>
      <c r="Z124" s="30">
        <f t="shared" si="61"/>
        <v>-1210353.240986004</v>
      </c>
      <c r="AA124" s="30">
        <f>IF(OR($O124="Solar",$O124="Wind"),INDEX(Land_Use[AVG],MATCH($O124,Land_Use[Tech],0)),0)*$R124</f>
        <v>0</v>
      </c>
      <c r="AB124" s="30">
        <f>IF(OR($O124="Solar",$O124="Wind"),INDEX(Land_Use[MIN],MATCH($O124,Land_Use[Tech],0)),0)*$R124</f>
        <v>0</v>
      </c>
      <c r="AC124" s="30">
        <f>IF(OR($O124="Solar",$O124="Wind"),INDEX(Land_Use[MAX],MATCH($O124,Land_Use[Tech],0)),0)*$R124</f>
        <v>0</v>
      </c>
    </row>
    <row r="125" spans="13:29" x14ac:dyDescent="0.35">
      <c r="M125" t="s">
        <v>107</v>
      </c>
      <c r="N125">
        <v>1</v>
      </c>
      <c r="O125" t="s">
        <v>85</v>
      </c>
      <c r="P125">
        <v>2042</v>
      </c>
      <c r="Q125" s="13">
        <v>588.13652173913044</v>
      </c>
      <c r="R125" s="13">
        <f>SUMIFS($Q$3:Q125,$O$3:O125,O125,$M$3:M125,M125)</f>
        <v>10586.457391304348</v>
      </c>
      <c r="S125" s="13">
        <v>1171.0983188067505</v>
      </c>
      <c r="T125" s="13">
        <f t="shared" si="57"/>
        <v>12397782.453075819</v>
      </c>
      <c r="U125" s="42">
        <f t="shared" ref="U125:W125" si="118">U104</f>
        <v>-7.2223670599999901E-2</v>
      </c>
      <c r="V125" s="42">
        <f t="shared" si="118"/>
        <v>-4.4368089450000092E-2</v>
      </c>
      <c r="W125" s="42">
        <f t="shared" si="118"/>
        <v>-0.10007925075000002</v>
      </c>
      <c r="X125" s="30">
        <f t="shared" si="59"/>
        <v>-895413.35606140667</v>
      </c>
      <c r="Y125" s="30">
        <f t="shared" si="60"/>
        <v>-550065.9208597095</v>
      </c>
      <c r="Z125" s="30">
        <f t="shared" si="61"/>
        <v>-1240760.7788653253</v>
      </c>
      <c r="AA125" s="30">
        <f>IF(OR($O125="Solar",$O125="Wind"),INDEX(Land_Use[AVG],MATCH($O125,Land_Use[Tech],0)),0)*$R125</f>
        <v>0</v>
      </c>
      <c r="AB125" s="30">
        <f>IF(OR($O125="Solar",$O125="Wind"),INDEX(Land_Use[MIN],MATCH($O125,Land_Use[Tech],0)),0)*$R125</f>
        <v>0</v>
      </c>
      <c r="AC125" s="30">
        <f>IF(OR($O125="Solar",$O125="Wind"),INDEX(Land_Use[MAX],MATCH($O125,Land_Use[Tech],0)),0)*$R125</f>
        <v>0</v>
      </c>
    </row>
    <row r="126" spans="13:29" x14ac:dyDescent="0.35">
      <c r="M126" t="s">
        <v>107</v>
      </c>
      <c r="N126">
        <v>1</v>
      </c>
      <c r="O126" t="s">
        <v>85</v>
      </c>
      <c r="P126">
        <v>2043</v>
      </c>
      <c r="Q126" s="13">
        <v>588.13652173913044</v>
      </c>
      <c r="R126" s="13">
        <f>SUMIFS($Q$3:Q126,$O$3:O126,O126,$M$3:M126,M126)</f>
        <v>11174.593913043478</v>
      </c>
      <c r="S126" s="13">
        <v>1171.0983188067505</v>
      </c>
      <c r="T126" s="13">
        <f t="shared" si="57"/>
        <v>13086548.144913364</v>
      </c>
      <c r="U126" s="42">
        <f t="shared" ref="U126:W126" si="119">U105</f>
        <v>-6.7999746399999894E-2</v>
      </c>
      <c r="V126" s="42">
        <f t="shared" si="119"/>
        <v>-3.9210322300000093E-2</v>
      </c>
      <c r="W126" s="42">
        <f t="shared" si="119"/>
        <v>-9.6789169500000008E-2</v>
      </c>
      <c r="X126" s="30">
        <f t="shared" si="59"/>
        <v>-889881.95510549785</v>
      </c>
      <c r="Y126" s="30">
        <f t="shared" si="60"/>
        <v>-513127.77055652131</v>
      </c>
      <c r="Z126" s="30">
        <f t="shared" si="61"/>
        <v>-1266636.1265679302</v>
      </c>
      <c r="AA126" s="30">
        <f>IF(OR($O126="Solar",$O126="Wind"),INDEX(Land_Use[AVG],MATCH($O126,Land_Use[Tech],0)),0)*$R126</f>
        <v>0</v>
      </c>
      <c r="AB126" s="30">
        <f>IF(OR($O126="Solar",$O126="Wind"),INDEX(Land_Use[MIN],MATCH($O126,Land_Use[Tech],0)),0)*$R126</f>
        <v>0</v>
      </c>
      <c r="AC126" s="30">
        <f>IF(OR($O126="Solar",$O126="Wind"),INDEX(Land_Use[MAX],MATCH($O126,Land_Use[Tech],0)),0)*$R126</f>
        <v>0</v>
      </c>
    </row>
    <row r="127" spans="13:29" x14ac:dyDescent="0.35">
      <c r="M127" t="s">
        <v>107</v>
      </c>
      <c r="N127">
        <v>1</v>
      </c>
      <c r="O127" t="s">
        <v>85</v>
      </c>
      <c r="P127">
        <v>2044</v>
      </c>
      <c r="Q127" s="13">
        <v>588.13652173913044</v>
      </c>
      <c r="R127" s="13">
        <f>SUMIFS($Q$3:Q127,$O$3:O127,O127,$M$3:M127,M127)</f>
        <v>11762.730434782608</v>
      </c>
      <c r="S127" s="13">
        <v>1171.0983188067505</v>
      </c>
      <c r="T127" s="13">
        <f t="shared" si="57"/>
        <v>13775313.83675091</v>
      </c>
      <c r="U127" s="42">
        <f t="shared" ref="U127:W127" si="120">U106</f>
        <v>-6.3775822199999888E-2</v>
      </c>
      <c r="V127" s="42">
        <f t="shared" si="120"/>
        <v>-3.4052555150000094E-2</v>
      </c>
      <c r="W127" s="42">
        <f t="shared" si="120"/>
        <v>-9.3499088250000001E-2</v>
      </c>
      <c r="X127" s="30">
        <f t="shared" si="59"/>
        <v>-878531.96600182424</v>
      </c>
      <c r="Y127" s="30">
        <f t="shared" si="60"/>
        <v>-469084.63413451973</v>
      </c>
      <c r="Z127" s="30">
        <f t="shared" si="61"/>
        <v>-1287979.2840938193</v>
      </c>
      <c r="AA127" s="30">
        <f>IF(OR($O127="Solar",$O127="Wind"),INDEX(Land_Use[AVG],MATCH($O127,Land_Use[Tech],0)),0)*$R127</f>
        <v>0</v>
      </c>
      <c r="AB127" s="30">
        <f>IF(OR($O127="Solar",$O127="Wind"),INDEX(Land_Use[MIN],MATCH($O127,Land_Use[Tech],0)),0)*$R127</f>
        <v>0</v>
      </c>
      <c r="AC127" s="30">
        <f>IF(OR($O127="Solar",$O127="Wind"),INDEX(Land_Use[MAX],MATCH($O127,Land_Use[Tech],0)),0)*$R127</f>
        <v>0</v>
      </c>
    </row>
    <row r="128" spans="13:29" x14ac:dyDescent="0.35">
      <c r="M128" t="s">
        <v>107</v>
      </c>
      <c r="N128">
        <v>1</v>
      </c>
      <c r="O128" t="s">
        <v>85</v>
      </c>
      <c r="P128">
        <v>2045</v>
      </c>
      <c r="Q128" s="13">
        <v>588.13652173913044</v>
      </c>
      <c r="R128" s="13">
        <f>SUMIFS($Q$3:Q128,$O$3:O128,O128,$M$3:M128,M128)</f>
        <v>12350.866956521739</v>
      </c>
      <c r="S128" s="13">
        <v>1171.0983188067505</v>
      </c>
      <c r="T128" s="13">
        <f t="shared" si="57"/>
        <v>14464079.528588455</v>
      </c>
      <c r="U128" s="42">
        <f t="shared" ref="U128:W128" si="121">U107</f>
        <v>-5.9551897999999888E-2</v>
      </c>
      <c r="V128" s="42">
        <f t="shared" si="121"/>
        <v>-2.8894788000000095E-2</v>
      </c>
      <c r="W128" s="42">
        <f t="shared" si="121"/>
        <v>-9.0209006999999994E-2</v>
      </c>
      <c r="X128" s="30">
        <f t="shared" si="59"/>
        <v>-861363.38875038619</v>
      </c>
      <c r="Y128" s="30">
        <f t="shared" si="60"/>
        <v>-417936.51159370469</v>
      </c>
      <c r="Z128" s="30">
        <f t="shared" si="61"/>
        <v>-1304790.2514429926</v>
      </c>
      <c r="AA128" s="30">
        <f>IF(OR($O128="Solar",$O128="Wind"),INDEX(Land_Use[AVG],MATCH($O128,Land_Use[Tech],0)),0)*$R128</f>
        <v>0</v>
      </c>
      <c r="AB128" s="30">
        <f>IF(OR($O128="Solar",$O128="Wind"),INDEX(Land_Use[MIN],MATCH($O128,Land_Use[Tech],0)),0)*$R128</f>
        <v>0</v>
      </c>
      <c r="AC128" s="30">
        <f>IF(OR($O128="Solar",$O128="Wind"),INDEX(Land_Use[MAX],MATCH($O128,Land_Use[Tech],0)),0)*$R128</f>
        <v>0</v>
      </c>
    </row>
    <row r="129" spans="13:29" x14ac:dyDescent="0.35">
      <c r="M129" t="s">
        <v>107</v>
      </c>
      <c r="N129">
        <v>1</v>
      </c>
      <c r="O129" t="s">
        <v>80</v>
      </c>
      <c r="P129">
        <v>2025</v>
      </c>
      <c r="Q129" s="13">
        <v>1170.8813598627298</v>
      </c>
      <c r="R129" s="13">
        <f>SUMIFS($Q$3:Q129,$O$3:O129,O129,$M$3:M129,M129)</f>
        <v>1170.8813598627298</v>
      </c>
      <c r="S129" s="13">
        <v>2294.03577178978</v>
      </c>
      <c r="T129" s="13">
        <f t="shared" si="57"/>
        <v>2686043.7240469647</v>
      </c>
      <c r="U129" s="42">
        <f t="shared" ref="U129:W129" si="122">U108</f>
        <v>-0.14403038200000001</v>
      </c>
      <c r="V129" s="42">
        <f t="shared" si="122"/>
        <v>-0.13205013099999999</v>
      </c>
      <c r="W129" s="42">
        <f t="shared" si="122"/>
        <v>-0.15601063200000001</v>
      </c>
      <c r="X129" s="30">
        <f t="shared" si="59"/>
        <v>-386871.90364318696</v>
      </c>
      <c r="Y129" s="30">
        <f t="shared" si="60"/>
        <v>-354692.42563212948</v>
      </c>
      <c r="Z129" s="30">
        <f t="shared" si="61"/>
        <v>-419051.37896820059</v>
      </c>
      <c r="AA129" s="30">
        <f>IF(OR($O129="Solar",$O129="Wind"),INDEX(Land_Use[AVG],MATCH($O129,Land_Use[Tech],0)),0)*$R129</f>
        <v>4098.0847595195546</v>
      </c>
      <c r="AB129" s="30">
        <f>IF(OR($O129="Solar",$O129="Wind"),INDEX(Land_Use[MIN],MATCH($O129,Land_Use[Tech],0)),0)*$R129</f>
        <v>3278.4678076156433</v>
      </c>
      <c r="AC129" s="30">
        <f>IF(OR($O129="Solar",$O129="Wind"),INDEX(Land_Use[MAX],MATCH($O129,Land_Use[Tech],0)),0)*$R129</f>
        <v>4917.7017114234659</v>
      </c>
    </row>
    <row r="130" spans="13:29" x14ac:dyDescent="0.35">
      <c r="M130" t="s">
        <v>107</v>
      </c>
      <c r="N130">
        <v>1</v>
      </c>
      <c r="O130" t="s">
        <v>80</v>
      </c>
      <c r="P130">
        <v>2026</v>
      </c>
      <c r="Q130" s="13">
        <v>1170.8813598627303</v>
      </c>
      <c r="R130" s="13">
        <f>SUMIFS($Q$3:Q130,$O$3:O130,O130,$M$3:M130,M130)</f>
        <v>2341.7627197254601</v>
      </c>
      <c r="S130" s="13">
        <v>2240.1604058664384</v>
      </c>
      <c r="T130" s="13">
        <f t="shared" si="57"/>
        <v>5245924.124663081</v>
      </c>
      <c r="U130" s="42">
        <f t="shared" ref="U130:W130" si="123">U109</f>
        <v>-0.13980645780000001</v>
      </c>
      <c r="V130" s="42">
        <f t="shared" si="123"/>
        <v>-0.12689236385</v>
      </c>
      <c r="W130" s="42">
        <f t="shared" si="123"/>
        <v>-0.15272055075000002</v>
      </c>
      <c r="X130" s="30">
        <f t="shared" si="59"/>
        <v>-733414.06975671102</v>
      </c>
      <c r="Y130" s="30">
        <f t="shared" si="60"/>
        <v>-665667.71275624039</v>
      </c>
      <c r="Z130" s="30">
        <f t="shared" si="61"/>
        <v>-801160.42151125753</v>
      </c>
      <c r="AA130" s="30">
        <f>IF(OR($O130="Solar",$O130="Wind"),INDEX(Land_Use[AVG],MATCH($O130,Land_Use[Tech],0)),0)*$R130</f>
        <v>8196.169519039111</v>
      </c>
      <c r="AB130" s="30">
        <f>IF(OR($O130="Solar",$O130="Wind"),INDEX(Land_Use[MIN],MATCH($O130,Land_Use[Tech],0)),0)*$R130</f>
        <v>6556.9356152312876</v>
      </c>
      <c r="AC130" s="30">
        <f>IF(OR($O130="Solar",$O130="Wind"),INDEX(Land_Use[MAX],MATCH($O130,Land_Use[Tech],0)),0)*$R130</f>
        <v>9835.4034228469336</v>
      </c>
    </row>
    <row r="131" spans="13:29" x14ac:dyDescent="0.35">
      <c r="M131" t="s">
        <v>107</v>
      </c>
      <c r="N131">
        <v>1</v>
      </c>
      <c r="O131" t="s">
        <v>80</v>
      </c>
      <c r="P131">
        <v>2027</v>
      </c>
      <c r="Q131" s="13">
        <v>1170.8813598627303</v>
      </c>
      <c r="R131" s="13">
        <f>SUMIFS($Q$3:Q131,$O$3:O131,O131,$M$3:M131,M131)</f>
        <v>3512.6440795881904</v>
      </c>
      <c r="S131" s="13">
        <v>2186.2850399430968</v>
      </c>
      <c r="T131" s="13">
        <f t="shared" si="57"/>
        <v>7679641.2018483495</v>
      </c>
      <c r="U131" s="42">
        <f t="shared" ref="U131:W131" si="124">U110</f>
        <v>-0.1355825336</v>
      </c>
      <c r="V131" s="42">
        <f t="shared" si="124"/>
        <v>-0.1217345967</v>
      </c>
      <c r="W131" s="42">
        <f t="shared" si="124"/>
        <v>-0.14943046950000002</v>
      </c>
      <c r="X131" s="30">
        <f t="shared" si="59"/>
        <v>-1041225.2112855483</v>
      </c>
      <c r="Y131" s="30">
        <f t="shared" si="60"/>
        <v>-934878.02450771211</v>
      </c>
      <c r="Z131" s="30">
        <f t="shared" si="61"/>
        <v>-1147572.3903837432</v>
      </c>
      <c r="AA131" s="30">
        <f>IF(OR($O131="Solar",$O131="Wind"),INDEX(Land_Use[AVG],MATCH($O131,Land_Use[Tech],0)),0)*$R131</f>
        <v>12294.254278558667</v>
      </c>
      <c r="AB131" s="30">
        <f>IF(OR($O131="Solar",$O131="Wind"),INDEX(Land_Use[MIN],MATCH($O131,Land_Use[Tech],0)),0)*$R131</f>
        <v>9835.4034228469318</v>
      </c>
      <c r="AC131" s="30">
        <f>IF(OR($O131="Solar",$O131="Wind"),INDEX(Land_Use[MAX],MATCH($O131,Land_Use[Tech],0)),0)*$R131</f>
        <v>14753.1051342704</v>
      </c>
    </row>
    <row r="132" spans="13:29" x14ac:dyDescent="0.35">
      <c r="M132" t="s">
        <v>107</v>
      </c>
      <c r="N132">
        <v>1</v>
      </c>
      <c r="O132" t="s">
        <v>80</v>
      </c>
      <c r="P132">
        <v>2028</v>
      </c>
      <c r="Q132" s="13">
        <v>1170.8813598627294</v>
      </c>
      <c r="R132" s="13">
        <f>SUMIFS($Q$3:Q132,$O$3:O132,O132,$M$3:M132,M132)</f>
        <v>4683.5254394509193</v>
      </c>
      <c r="S132" s="13">
        <v>2132.4096740197551</v>
      </c>
      <c r="T132" s="13">
        <f t="shared" ref="T132:T195" si="125">R132*S132</f>
        <v>9987194.9556027651</v>
      </c>
      <c r="U132" s="42">
        <f t="shared" ref="U132:W132" si="126">U111</f>
        <v>-0.13135860939999999</v>
      </c>
      <c r="V132" s="42">
        <f t="shared" si="126"/>
        <v>-0.11657682955000001</v>
      </c>
      <c r="W132" s="42">
        <f t="shared" si="126"/>
        <v>-0.14614038825000003</v>
      </c>
      <c r="X132" s="30">
        <f t="shared" ref="X132:X195" si="127">$T132*U132</f>
        <v>-1311904.0411746739</v>
      </c>
      <c r="Y132" s="30">
        <f t="shared" ref="Y132:Y195" si="128">$T132*V132</f>
        <v>-1164275.5240219235</v>
      </c>
      <c r="Z132" s="30">
        <f t="shared" ref="Z132:Z195" si="129">$T132*W132</f>
        <v>-1459532.54834023</v>
      </c>
      <c r="AA132" s="30">
        <f>IF(OR($O132="Solar",$O132="Wind"),INDEX(Land_Use[AVG],MATCH($O132,Land_Use[Tech],0)),0)*$R132</f>
        <v>16392.339038078218</v>
      </c>
      <c r="AB132" s="30">
        <f>IF(OR($O132="Solar",$O132="Wind"),INDEX(Land_Use[MIN],MATCH($O132,Land_Use[Tech],0)),0)*$R132</f>
        <v>13113.871230462573</v>
      </c>
      <c r="AC132" s="30">
        <f>IF(OR($O132="Solar",$O132="Wind"),INDEX(Land_Use[MAX],MATCH($O132,Land_Use[Tech],0)),0)*$R132</f>
        <v>19670.806845693864</v>
      </c>
    </row>
    <row r="133" spans="13:29" x14ac:dyDescent="0.35">
      <c r="M133" t="s">
        <v>107</v>
      </c>
      <c r="N133">
        <v>1</v>
      </c>
      <c r="O133" t="s">
        <v>80</v>
      </c>
      <c r="P133">
        <v>2029</v>
      </c>
      <c r="Q133" s="13">
        <v>1170.8813598627312</v>
      </c>
      <c r="R133" s="13">
        <f>SUMIFS($Q$3:Q133,$O$3:O133,O133,$M$3:M133,M133)</f>
        <v>5854.4067993136505</v>
      </c>
      <c r="S133" s="13">
        <v>2078.5343080964135</v>
      </c>
      <c r="T133" s="13">
        <f t="shared" si="125"/>
        <v>12168585.385926338</v>
      </c>
      <c r="U133" s="42">
        <f t="shared" ref="U133:W133" si="130">U112</f>
        <v>-0.12713468519999999</v>
      </c>
      <c r="V133" s="42">
        <f t="shared" si="130"/>
        <v>-0.11141906240000002</v>
      </c>
      <c r="W133" s="42">
        <f t="shared" si="130"/>
        <v>-0.14285030700000004</v>
      </c>
      <c r="X133" s="30">
        <f t="shared" si="127"/>
        <v>-1547049.2723690653</v>
      </c>
      <c r="Y133" s="30">
        <f t="shared" si="128"/>
        <v>-1355812.3744342551</v>
      </c>
      <c r="Z133" s="30">
        <f t="shared" si="129"/>
        <v>-1738286.1581352914</v>
      </c>
      <c r="AA133" s="30">
        <f>IF(OR($O133="Solar",$O133="Wind"),INDEX(Land_Use[AVG],MATCH($O133,Land_Use[Tech],0)),0)*$R133</f>
        <v>20490.423797597778</v>
      </c>
      <c r="AB133" s="30">
        <f>IF(OR($O133="Solar",$O133="Wind"),INDEX(Land_Use[MIN],MATCH($O133,Land_Use[Tech],0)),0)*$R133</f>
        <v>16392.339038078222</v>
      </c>
      <c r="AC133" s="30">
        <f>IF(OR($O133="Solar",$O133="Wind"),INDEX(Land_Use[MAX],MATCH($O133,Land_Use[Tech],0)),0)*$R133</f>
        <v>24588.508557117333</v>
      </c>
    </row>
    <row r="134" spans="13:29" x14ac:dyDescent="0.35">
      <c r="M134" t="s">
        <v>107</v>
      </c>
      <c r="N134">
        <v>1</v>
      </c>
      <c r="O134" t="s">
        <v>80</v>
      </c>
      <c r="P134">
        <v>2030</v>
      </c>
      <c r="Q134" s="13">
        <v>1170.8813598627294</v>
      </c>
      <c r="R134" s="13">
        <f>SUMIFS($Q$3:Q134,$O$3:O134,O134,$M$3:M134,M134)</f>
        <v>7025.2881591763798</v>
      </c>
      <c r="S134" s="13">
        <v>2024.6589421730721</v>
      </c>
      <c r="T134" s="13">
        <f t="shared" si="125"/>
        <v>14223812.492819058</v>
      </c>
      <c r="U134" s="42">
        <f t="shared" ref="U134:W134" si="131">U113</f>
        <v>-0.12291076099999998</v>
      </c>
      <c r="V134" s="42">
        <f t="shared" si="131"/>
        <v>-0.10626129525000003</v>
      </c>
      <c r="W134" s="42">
        <f t="shared" si="131"/>
        <v>-0.13956022575000004</v>
      </c>
      <c r="X134" s="30">
        <f t="shared" si="127"/>
        <v>-1748259.6178136971</v>
      </c>
      <c r="Y134" s="30">
        <f t="shared" si="128"/>
        <v>-1511440.7388800848</v>
      </c>
      <c r="Z134" s="30">
        <f t="shared" si="129"/>
        <v>-1985078.4825234986</v>
      </c>
      <c r="AA134" s="30">
        <f>IF(OR($O134="Solar",$O134="Wind"),INDEX(Land_Use[AVG],MATCH($O134,Land_Use[Tech],0)),0)*$R134</f>
        <v>24588.508557117329</v>
      </c>
      <c r="AB134" s="30">
        <f>IF(OR($O134="Solar",$O134="Wind"),INDEX(Land_Use[MIN],MATCH($O134,Land_Use[Tech],0)),0)*$R134</f>
        <v>19670.806845693864</v>
      </c>
      <c r="AC134" s="30">
        <f>IF(OR($O134="Solar",$O134="Wind"),INDEX(Land_Use[MAX],MATCH($O134,Land_Use[Tech],0)),0)*$R134</f>
        <v>29506.210268540795</v>
      </c>
    </row>
    <row r="135" spans="13:29" x14ac:dyDescent="0.35">
      <c r="M135" t="s">
        <v>107</v>
      </c>
      <c r="N135">
        <v>1</v>
      </c>
      <c r="O135" t="s">
        <v>80</v>
      </c>
      <c r="P135">
        <v>2031</v>
      </c>
      <c r="Q135" s="13">
        <v>1170.8813598627294</v>
      </c>
      <c r="R135" s="13">
        <f>SUMIFS($Q$3:Q135,$O$3:O135,O135,$M$3:M135,M135)</f>
        <v>8196.1695190391092</v>
      </c>
      <c r="S135" s="13">
        <v>1970.7835762497307</v>
      </c>
      <c r="T135" s="13">
        <f t="shared" si="125"/>
        <v>16152876.27628093</v>
      </c>
      <c r="U135" s="42">
        <f t="shared" ref="U135:W135" si="132">U114</f>
        <v>-0.11868683679999997</v>
      </c>
      <c r="V135" s="42">
        <f t="shared" si="132"/>
        <v>-0.10110352810000003</v>
      </c>
      <c r="W135" s="42">
        <f t="shared" si="132"/>
        <v>-0.13627014450000005</v>
      </c>
      <c r="X135" s="30">
        <f t="shared" si="127"/>
        <v>-1917133.790453546</v>
      </c>
      <c r="Y135" s="30">
        <f t="shared" si="128"/>
        <v>-1633112.7804947929</v>
      </c>
      <c r="Z135" s="30">
        <f t="shared" si="129"/>
        <v>-2201154.784259425</v>
      </c>
      <c r="AA135" s="30">
        <f>IF(OR($O135="Solar",$O135="Wind"),INDEX(Land_Use[AVG],MATCH($O135,Land_Use[Tech],0)),0)*$R135</f>
        <v>28686.593316636881</v>
      </c>
      <c r="AB135" s="30">
        <f>IF(OR($O135="Solar",$O135="Wind"),INDEX(Land_Use[MIN],MATCH($O135,Land_Use[Tech],0)),0)*$R135</f>
        <v>22949.274653309505</v>
      </c>
      <c r="AC135" s="30">
        <f>IF(OR($O135="Solar",$O135="Wind"),INDEX(Land_Use[MAX],MATCH($O135,Land_Use[Tech],0)),0)*$R135</f>
        <v>34423.911979964258</v>
      </c>
    </row>
    <row r="136" spans="13:29" x14ac:dyDescent="0.35">
      <c r="M136" t="s">
        <v>107</v>
      </c>
      <c r="N136">
        <v>1</v>
      </c>
      <c r="O136" t="s">
        <v>80</v>
      </c>
      <c r="P136">
        <v>2032</v>
      </c>
      <c r="Q136" s="13">
        <v>1170.8813598627312</v>
      </c>
      <c r="R136" s="13">
        <f>SUMIFS($Q$3:Q136,$O$3:O136,O136,$M$3:M136,M136)</f>
        <v>9367.0508789018404</v>
      </c>
      <c r="S136" s="13">
        <v>1916.9082103263893</v>
      </c>
      <c r="T136" s="13">
        <f t="shared" si="125"/>
        <v>17955776.736311957</v>
      </c>
      <c r="U136" s="42">
        <f t="shared" ref="U136:W136" si="133">U115</f>
        <v>-0.11446291259999997</v>
      </c>
      <c r="V136" s="42">
        <f t="shared" si="133"/>
        <v>-9.5945760950000042E-2</v>
      </c>
      <c r="W136" s="42">
        <f t="shared" si="133"/>
        <v>-0.13298006325000006</v>
      </c>
      <c r="X136" s="30">
        <f t="shared" si="127"/>
        <v>-2055270.5032335883</v>
      </c>
      <c r="Y136" s="30">
        <f t="shared" si="128"/>
        <v>-1722780.6624137589</v>
      </c>
      <c r="Z136" s="30">
        <f t="shared" si="129"/>
        <v>-2387760.3260976435</v>
      </c>
      <c r="AA136" s="30">
        <f>IF(OR($O136="Solar",$O136="Wind"),INDEX(Land_Use[AVG],MATCH($O136,Land_Use[Tech],0)),0)*$R136</f>
        <v>32784.678076156444</v>
      </c>
      <c r="AB136" s="30">
        <f>IF(OR($O136="Solar",$O136="Wind"),INDEX(Land_Use[MIN],MATCH($O136,Land_Use[Tech],0)),0)*$R136</f>
        <v>26227.74246092515</v>
      </c>
      <c r="AC136" s="30">
        <f>IF(OR($O136="Solar",$O136="Wind"),INDEX(Land_Use[MAX],MATCH($O136,Land_Use[Tech],0)),0)*$R136</f>
        <v>39341.613691387734</v>
      </c>
    </row>
    <row r="137" spans="13:29" x14ac:dyDescent="0.35">
      <c r="M137" t="s">
        <v>107</v>
      </c>
      <c r="N137">
        <v>1</v>
      </c>
      <c r="O137" t="s">
        <v>80</v>
      </c>
      <c r="P137">
        <v>2033</v>
      </c>
      <c r="Q137" s="13">
        <v>1170.8813598627294</v>
      </c>
      <c r="R137" s="13">
        <f>SUMIFS($Q$3:Q137,$O$3:O137,O137,$M$3:M137,M137)</f>
        <v>10537.93223876457</v>
      </c>
      <c r="S137" s="13">
        <v>1863.0328444030479</v>
      </c>
      <c r="T137" s="13">
        <f t="shared" si="125"/>
        <v>19632513.872912135</v>
      </c>
      <c r="U137" s="42">
        <f t="shared" ref="U137:W137" si="134">U116</f>
        <v>-0.11023898839999996</v>
      </c>
      <c r="V137" s="42">
        <f t="shared" si="134"/>
        <v>-9.078799380000005E-2</v>
      </c>
      <c r="W137" s="42">
        <f t="shared" si="134"/>
        <v>-0.12968998200000006</v>
      </c>
      <c r="X137" s="30">
        <f t="shared" si="127"/>
        <v>-2164268.4690987989</v>
      </c>
      <c r="Y137" s="30">
        <f t="shared" si="128"/>
        <v>-1782396.5477723619</v>
      </c>
      <c r="Z137" s="30">
        <f t="shared" si="129"/>
        <v>-2546140.3707927265</v>
      </c>
      <c r="AA137" s="30">
        <f>IF(OR($O137="Solar",$O137="Wind"),INDEX(Land_Use[AVG],MATCH($O137,Land_Use[Tech],0)),0)*$R137</f>
        <v>36882.762835675996</v>
      </c>
      <c r="AB137" s="30">
        <f>IF(OR($O137="Solar",$O137="Wind"),INDEX(Land_Use[MIN],MATCH($O137,Land_Use[Tech],0)),0)*$R137</f>
        <v>29506.210268540792</v>
      </c>
      <c r="AC137" s="30">
        <f>IF(OR($O137="Solar",$O137="Wind"),INDEX(Land_Use[MAX],MATCH($O137,Land_Use[Tech],0)),0)*$R137</f>
        <v>44259.315402811197</v>
      </c>
    </row>
    <row r="138" spans="13:29" x14ac:dyDescent="0.35">
      <c r="M138" t="s">
        <v>107</v>
      </c>
      <c r="N138">
        <v>1</v>
      </c>
      <c r="O138" t="s">
        <v>80</v>
      </c>
      <c r="P138">
        <v>2034</v>
      </c>
      <c r="Q138" s="13">
        <v>1170.8813598627294</v>
      </c>
      <c r="R138" s="13">
        <f>SUMIFS($Q$3:Q138,$O$3:O138,O138,$M$3:M138,M138)</f>
        <v>11708.813598627299</v>
      </c>
      <c r="S138" s="13">
        <v>1809.1574784797065</v>
      </c>
      <c r="T138" s="13">
        <f t="shared" si="125"/>
        <v>21183087.686081462</v>
      </c>
      <c r="U138" s="42">
        <f t="shared" ref="U138:W138" si="135">U117</f>
        <v>-0.10601506419999995</v>
      </c>
      <c r="V138" s="42">
        <f t="shared" si="135"/>
        <v>-8.5630226650000058E-2</v>
      </c>
      <c r="W138" s="42">
        <f t="shared" si="135"/>
        <v>-0.12639990075000007</v>
      </c>
      <c r="X138" s="30">
        <f t="shared" si="127"/>
        <v>-2245726.4009941546</v>
      </c>
      <c r="Y138" s="30">
        <f t="shared" si="128"/>
        <v>-1813912.5997059809</v>
      </c>
      <c r="Z138" s="30">
        <f t="shared" si="129"/>
        <v>-2677540.1810992453</v>
      </c>
      <c r="AA138" s="30">
        <f>IF(OR($O138="Solar",$O138="Wind"),INDEX(Land_Use[AVG],MATCH($O138,Land_Use[Tech],0)),0)*$R138</f>
        <v>40980.847595195548</v>
      </c>
      <c r="AB138" s="30">
        <f>IF(OR($O138="Solar",$O138="Wind"),INDEX(Land_Use[MIN],MATCH($O138,Land_Use[Tech],0)),0)*$R138</f>
        <v>32784.678076156437</v>
      </c>
      <c r="AC138" s="30">
        <f>IF(OR($O138="Solar",$O138="Wind"),INDEX(Land_Use[MAX],MATCH($O138,Land_Use[Tech],0)),0)*$R138</f>
        <v>49177.017114234659</v>
      </c>
    </row>
    <row r="139" spans="13:29" x14ac:dyDescent="0.35">
      <c r="M139" t="s">
        <v>107</v>
      </c>
      <c r="N139">
        <v>1</v>
      </c>
      <c r="O139" t="s">
        <v>80</v>
      </c>
      <c r="P139">
        <v>2035</v>
      </c>
      <c r="Q139" s="13">
        <v>1170.8813598627312</v>
      </c>
      <c r="R139" s="13">
        <f>SUMIFS($Q$3:Q139,$O$3:O139,O139,$M$3:M139,M139)</f>
        <v>12879.69495849003</v>
      </c>
      <c r="S139" s="13">
        <v>1755.2821125563651</v>
      </c>
      <c r="T139" s="13">
        <f t="shared" si="125"/>
        <v>22607498.175819945</v>
      </c>
      <c r="U139" s="42">
        <f t="shared" ref="U139:W139" si="136">U118</f>
        <v>-0.10179113999999995</v>
      </c>
      <c r="V139" s="42">
        <f t="shared" si="136"/>
        <v>-8.0472459500000065E-2</v>
      </c>
      <c r="W139" s="42">
        <f t="shared" si="136"/>
        <v>-0.12310981950000006</v>
      </c>
      <c r="X139" s="30">
        <f t="shared" si="127"/>
        <v>-2301243.0118646314</v>
      </c>
      <c r="Y139" s="30">
        <f t="shared" si="128"/>
        <v>-1819280.9813499958</v>
      </c>
      <c r="Z139" s="30">
        <f t="shared" si="129"/>
        <v>-2783205.0197717743</v>
      </c>
      <c r="AA139" s="30">
        <f>IF(OR($O139="Solar",$O139="Wind"),INDEX(Land_Use[AVG],MATCH($O139,Land_Use[Tech],0)),0)*$R139</f>
        <v>45078.932354715107</v>
      </c>
      <c r="AB139" s="30">
        <f>IF(OR($O139="Solar",$O139="Wind"),INDEX(Land_Use[MIN],MATCH($O139,Land_Use[Tech],0)),0)*$R139</f>
        <v>36063.145883772086</v>
      </c>
      <c r="AC139" s="30">
        <f>IF(OR($O139="Solar",$O139="Wind"),INDEX(Land_Use[MAX],MATCH($O139,Land_Use[Tech],0)),0)*$R139</f>
        <v>54094.718825658128</v>
      </c>
    </row>
    <row r="140" spans="13:29" x14ac:dyDescent="0.35">
      <c r="M140" t="s">
        <v>107</v>
      </c>
      <c r="N140">
        <v>1</v>
      </c>
      <c r="O140" t="s">
        <v>80</v>
      </c>
      <c r="P140">
        <v>2036</v>
      </c>
      <c r="Q140" s="13">
        <v>1170.8813598627312</v>
      </c>
      <c r="R140" s="13">
        <f>SUMIFS($Q$3:Q140,$O$3:O140,O140,$M$3:M140,M140)</f>
        <v>14050.576318352762</v>
      </c>
      <c r="S140" s="13">
        <v>1701.4067466330237</v>
      </c>
      <c r="T140" s="13">
        <f t="shared" si="125"/>
        <v>23905745.34212758</v>
      </c>
      <c r="U140" s="42">
        <f t="shared" ref="U140:W140" si="137">U119</f>
        <v>-9.756721579999994E-2</v>
      </c>
      <c r="V140" s="42">
        <f t="shared" si="137"/>
        <v>-7.5314692350000073E-2</v>
      </c>
      <c r="W140" s="42">
        <f t="shared" si="137"/>
        <v>-0.11981973825000006</v>
      </c>
      <c r="X140" s="30">
        <f t="shared" si="127"/>
        <v>-2332417.014655205</v>
      </c>
      <c r="Y140" s="30">
        <f t="shared" si="128"/>
        <v>-1800453.8558397859</v>
      </c>
      <c r="Z140" s="30">
        <f t="shared" si="129"/>
        <v>-2864380.1495648846</v>
      </c>
      <c r="AA140" s="30">
        <f>IF(OR($O140="Solar",$O140="Wind"),INDEX(Land_Use[AVG],MATCH($O140,Land_Use[Tech],0)),0)*$R140</f>
        <v>49177.017114234666</v>
      </c>
      <c r="AB140" s="30">
        <f>IF(OR($O140="Solar",$O140="Wind"),INDEX(Land_Use[MIN],MATCH($O140,Land_Use[Tech],0)),0)*$R140</f>
        <v>39341.613691387727</v>
      </c>
      <c r="AC140" s="30">
        <f>IF(OR($O140="Solar",$O140="Wind"),INDEX(Land_Use[MAX],MATCH($O140,Land_Use[Tech],0)),0)*$R140</f>
        <v>59012.420537081598</v>
      </c>
    </row>
    <row r="141" spans="13:29" x14ac:dyDescent="0.35">
      <c r="M141" t="s">
        <v>107</v>
      </c>
      <c r="N141">
        <v>1</v>
      </c>
      <c r="O141" t="s">
        <v>80</v>
      </c>
      <c r="P141">
        <v>2037</v>
      </c>
      <c r="Q141" s="13">
        <v>1170.8813598627275</v>
      </c>
      <c r="R141" s="13">
        <f>SUMIFS($Q$3:Q141,$O$3:O141,O141,$M$3:M141,M141)</f>
        <v>15221.457678215489</v>
      </c>
      <c r="S141" s="13">
        <v>1647.5313807096823</v>
      </c>
      <c r="T141" s="13">
        <f t="shared" si="125"/>
        <v>25077829.185004357</v>
      </c>
      <c r="U141" s="42">
        <f t="shared" ref="U141:W141" si="138">U120</f>
        <v>-9.3343291599999934E-2</v>
      </c>
      <c r="V141" s="42">
        <f t="shared" si="138"/>
        <v>-7.0156925200000081E-2</v>
      </c>
      <c r="W141" s="42">
        <f t="shared" si="138"/>
        <v>-0.11652965700000005</v>
      </c>
      <c r="X141" s="30">
        <f t="shared" si="127"/>
        <v>-2340847.1223108503</v>
      </c>
      <c r="Y141" s="30">
        <f t="shared" si="128"/>
        <v>-1759383.3863107297</v>
      </c>
      <c r="Z141" s="30">
        <f t="shared" si="129"/>
        <v>-2922310.8332331483</v>
      </c>
      <c r="AA141" s="30">
        <f>IF(OR($O141="Solar",$O141="Wind"),INDEX(Land_Use[AVG],MATCH($O141,Land_Use[Tech],0)),0)*$R141</f>
        <v>53275.101873754211</v>
      </c>
      <c r="AB141" s="30">
        <f>IF(OR($O141="Solar",$O141="Wind"),INDEX(Land_Use[MIN],MATCH($O141,Land_Use[Tech],0)),0)*$R141</f>
        <v>42620.081499003369</v>
      </c>
      <c r="AC141" s="30">
        <f>IF(OR($O141="Solar",$O141="Wind"),INDEX(Land_Use[MAX],MATCH($O141,Land_Use[Tech],0)),0)*$R141</f>
        <v>63930.12224850506</v>
      </c>
    </row>
    <row r="142" spans="13:29" x14ac:dyDescent="0.35">
      <c r="M142" t="s">
        <v>107</v>
      </c>
      <c r="N142">
        <v>1</v>
      </c>
      <c r="O142" t="s">
        <v>80</v>
      </c>
      <c r="P142">
        <v>2038</v>
      </c>
      <c r="Q142" s="13">
        <v>1170.8813598627312</v>
      </c>
      <c r="R142" s="13">
        <f>SUMIFS($Q$3:Q142,$O$3:O142,O142,$M$3:M142,M142)</f>
        <v>16392.339038078222</v>
      </c>
      <c r="S142" s="13">
        <v>1593.6560147863408</v>
      </c>
      <c r="T142" s="13">
        <f t="shared" si="125"/>
        <v>26123749.704450298</v>
      </c>
      <c r="U142" s="42">
        <f t="shared" ref="U142:W142" si="139">U121</f>
        <v>-8.9119367399999927E-2</v>
      </c>
      <c r="V142" s="42">
        <f t="shared" si="139"/>
        <v>-6.4999158050000089E-2</v>
      </c>
      <c r="W142" s="42">
        <f t="shared" si="139"/>
        <v>-0.11323957575000004</v>
      </c>
      <c r="X142" s="30">
        <f t="shared" si="127"/>
        <v>-2328132.0477765454</v>
      </c>
      <c r="Y142" s="30">
        <f t="shared" si="128"/>
        <v>-1698021.7358982081</v>
      </c>
      <c r="Z142" s="30">
        <f t="shared" si="129"/>
        <v>-2958242.3335311408</v>
      </c>
      <c r="AA142" s="30">
        <f>IF(OR($O142="Solar",$O142="Wind"),INDEX(Land_Use[AVG],MATCH($O142,Land_Use[Tech],0)),0)*$R142</f>
        <v>57373.186633273777</v>
      </c>
      <c r="AB142" s="30">
        <f>IF(OR($O142="Solar",$O142="Wind"),INDEX(Land_Use[MIN],MATCH($O142,Land_Use[Tech],0)),0)*$R142</f>
        <v>45898.549306619017</v>
      </c>
      <c r="AC142" s="30">
        <f>IF(OR($O142="Solar",$O142="Wind"),INDEX(Land_Use[MAX],MATCH($O142,Land_Use[Tech],0)),0)*$R142</f>
        <v>68847.82395992853</v>
      </c>
    </row>
    <row r="143" spans="13:29" x14ac:dyDescent="0.35">
      <c r="M143" t="s">
        <v>107</v>
      </c>
      <c r="N143">
        <v>1</v>
      </c>
      <c r="O143" t="s">
        <v>80</v>
      </c>
      <c r="P143">
        <v>2039</v>
      </c>
      <c r="Q143" s="13">
        <v>1170.8813598627312</v>
      </c>
      <c r="R143" s="13">
        <f>SUMIFS($Q$3:Q143,$O$3:O143,O143,$M$3:M143,M143)</f>
        <v>17563.220397940953</v>
      </c>
      <c r="S143" s="13">
        <v>1539.7806488629994</v>
      </c>
      <c r="T143" s="13">
        <f t="shared" si="125"/>
        <v>27043506.900465388</v>
      </c>
      <c r="U143" s="42">
        <f t="shared" ref="U143:W143" si="140">U122</f>
        <v>-8.489544319999992E-2</v>
      </c>
      <c r="V143" s="42">
        <f t="shared" si="140"/>
        <v>-5.984139090000009E-2</v>
      </c>
      <c r="W143" s="42">
        <f t="shared" si="140"/>
        <v>-0.10994949450000004</v>
      </c>
      <c r="X143" s="30">
        <f t="shared" si="127"/>
        <v>-2295870.5039972654</v>
      </c>
      <c r="Y143" s="30">
        <f t="shared" si="128"/>
        <v>-1618321.0677375991</v>
      </c>
      <c r="Z143" s="30">
        <f t="shared" si="129"/>
        <v>-2973419.9132134323</v>
      </c>
      <c r="AA143" s="30">
        <f>IF(OR($O143="Solar",$O143="Wind"),INDEX(Land_Use[AVG],MATCH($O143,Land_Use[Tech],0)),0)*$R143</f>
        <v>61471.271392793336</v>
      </c>
      <c r="AB143" s="30">
        <f>IF(OR($O143="Solar",$O143="Wind"),INDEX(Land_Use[MIN],MATCH($O143,Land_Use[Tech],0)),0)*$R143</f>
        <v>49177.017114234666</v>
      </c>
      <c r="AC143" s="30">
        <f>IF(OR($O143="Solar",$O143="Wind"),INDEX(Land_Use[MAX],MATCH($O143,Land_Use[Tech],0)),0)*$R143</f>
        <v>73765.525671352007</v>
      </c>
    </row>
    <row r="144" spans="13:29" x14ac:dyDescent="0.35">
      <c r="M144" t="s">
        <v>107</v>
      </c>
      <c r="N144">
        <v>1</v>
      </c>
      <c r="O144" t="s">
        <v>80</v>
      </c>
      <c r="P144">
        <v>2040</v>
      </c>
      <c r="Q144" s="13">
        <v>1170.8813598627275</v>
      </c>
      <c r="R144" s="13">
        <f>SUMIFS($Q$3:Q144,$O$3:O144,O144,$M$3:M144,M144)</f>
        <v>18734.101757803681</v>
      </c>
      <c r="S144" s="13">
        <v>1485.905282939658</v>
      </c>
      <c r="T144" s="13">
        <f t="shared" si="125"/>
        <v>27837100.773049623</v>
      </c>
      <c r="U144" s="42">
        <f t="shared" ref="U144:W144" si="141">U123</f>
        <v>-8.0671518999999914E-2</v>
      </c>
      <c r="V144" s="42">
        <f t="shared" si="141"/>
        <v>-5.468362375000009E-2</v>
      </c>
      <c r="W144" s="42">
        <f t="shared" si="141"/>
        <v>-0.10665941325000003</v>
      </c>
      <c r="X144" s="30">
        <f t="shared" si="127"/>
        <v>-2245661.2039179849</v>
      </c>
      <c r="Y144" s="30">
        <f t="shared" si="128"/>
        <v>-1522233.5449642823</v>
      </c>
      <c r="Z144" s="30">
        <f t="shared" si="129"/>
        <v>-2969088.8350345949</v>
      </c>
      <c r="AA144" s="30">
        <f>IF(OR($O144="Solar",$O144="Wind"),INDEX(Land_Use[AVG],MATCH($O144,Land_Use[Tech],0)),0)*$R144</f>
        <v>65569.356152312888</v>
      </c>
      <c r="AB144" s="30">
        <f>IF(OR($O144="Solar",$O144="Wind"),INDEX(Land_Use[MIN],MATCH($O144,Land_Use[Tech],0)),0)*$R144</f>
        <v>52455.4849218503</v>
      </c>
      <c r="AC144" s="30">
        <f>IF(OR($O144="Solar",$O144="Wind"),INDEX(Land_Use[MAX],MATCH($O144,Land_Use[Tech],0)),0)*$R144</f>
        <v>78683.227382775469</v>
      </c>
    </row>
    <row r="145" spans="13:29" x14ac:dyDescent="0.35">
      <c r="M145" t="s">
        <v>107</v>
      </c>
      <c r="N145">
        <v>1</v>
      </c>
      <c r="O145" t="s">
        <v>80</v>
      </c>
      <c r="P145">
        <v>2041</v>
      </c>
      <c r="Q145" s="13">
        <v>1170.8813598627312</v>
      </c>
      <c r="R145" s="13">
        <f>SUMIFS($Q$3:Q145,$O$3:O145,O145,$M$3:M145,M145)</f>
        <v>19904.983117666412</v>
      </c>
      <c r="S145" s="13">
        <v>1432.0299170163166</v>
      </c>
      <c r="T145" s="13">
        <f t="shared" si="125"/>
        <v>28504531.322203014</v>
      </c>
      <c r="U145" s="42">
        <f t="shared" ref="U145:W145" si="142">U124</f>
        <v>-7.6447594799999907E-2</v>
      </c>
      <c r="V145" s="42">
        <f t="shared" si="142"/>
        <v>-4.9525856600000091E-2</v>
      </c>
      <c r="W145" s="42">
        <f t="shared" si="142"/>
        <v>-0.10336933200000002</v>
      </c>
      <c r="X145" s="30">
        <f t="shared" si="127"/>
        <v>-2179102.8604836818</v>
      </c>
      <c r="Y145" s="30">
        <f t="shared" si="128"/>
        <v>-1411711.3307136374</v>
      </c>
      <c r="Z145" s="30">
        <f t="shared" si="129"/>
        <v>-2946494.3617492029</v>
      </c>
      <c r="AA145" s="30">
        <f>IF(OR($O145="Solar",$O145="Wind"),INDEX(Land_Use[AVG],MATCH($O145,Land_Use[Tech],0)),0)*$R145</f>
        <v>69667.44091183244</v>
      </c>
      <c r="AB145" s="30">
        <f>IF(OR($O145="Solar",$O145="Wind"),INDEX(Land_Use[MIN],MATCH($O145,Land_Use[Tech],0)),0)*$R145</f>
        <v>55733.952729465949</v>
      </c>
      <c r="AC145" s="30">
        <f>IF(OR($O145="Solar",$O145="Wind"),INDEX(Land_Use[MAX],MATCH($O145,Land_Use[Tech],0)),0)*$R145</f>
        <v>83600.929094198931</v>
      </c>
    </row>
    <row r="146" spans="13:29" x14ac:dyDescent="0.35">
      <c r="M146" t="s">
        <v>107</v>
      </c>
      <c r="N146">
        <v>1</v>
      </c>
      <c r="O146" t="s">
        <v>80</v>
      </c>
      <c r="P146">
        <v>2042</v>
      </c>
      <c r="Q146" s="13">
        <v>1170.8813598627312</v>
      </c>
      <c r="R146" s="13">
        <f>SUMIFS($Q$3:Q146,$O$3:O146,O146,$M$3:M146,M146)</f>
        <v>21075.864477529143</v>
      </c>
      <c r="S146" s="13">
        <v>1378.1545510929752</v>
      </c>
      <c r="T146" s="13">
        <f t="shared" si="125"/>
        <v>29045798.547925558</v>
      </c>
      <c r="U146" s="42">
        <f t="shared" ref="U146:W146" si="143">U125</f>
        <v>-7.2223670599999901E-2</v>
      </c>
      <c r="V146" s="42">
        <f t="shared" si="143"/>
        <v>-4.4368089450000092E-2</v>
      </c>
      <c r="W146" s="42">
        <f t="shared" si="143"/>
        <v>-0.10007925075000002</v>
      </c>
      <c r="X146" s="30">
        <f t="shared" si="127"/>
        <v>-2097794.1866393308</v>
      </c>
      <c r="Y146" s="30">
        <f t="shared" si="128"/>
        <v>-1288706.588121044</v>
      </c>
      <c r="Z146" s="30">
        <f t="shared" si="129"/>
        <v>-2906881.7561118281</v>
      </c>
      <c r="AA146" s="30">
        <f>IF(OR($O146="Solar",$O146="Wind"),INDEX(Land_Use[AVG],MATCH($O146,Land_Use[Tech],0)),0)*$R146</f>
        <v>73765.525671352007</v>
      </c>
      <c r="AB146" s="30">
        <f>IF(OR($O146="Solar",$O146="Wind"),INDEX(Land_Use[MIN],MATCH($O146,Land_Use[Tech],0)),0)*$R146</f>
        <v>59012.420537081598</v>
      </c>
      <c r="AC146" s="30">
        <f>IF(OR($O146="Solar",$O146="Wind"),INDEX(Land_Use[MAX],MATCH($O146,Land_Use[Tech],0)),0)*$R146</f>
        <v>88518.630805622408</v>
      </c>
    </row>
    <row r="147" spans="13:29" x14ac:dyDescent="0.35">
      <c r="M147" t="s">
        <v>107</v>
      </c>
      <c r="N147">
        <v>1</v>
      </c>
      <c r="O147" t="s">
        <v>80</v>
      </c>
      <c r="P147">
        <v>2043</v>
      </c>
      <c r="Q147" s="13">
        <v>1170.8813598627275</v>
      </c>
      <c r="R147" s="13">
        <f>SUMIFS($Q$3:Q147,$O$3:O147,O147,$M$3:M147,M147)</f>
        <v>22246.745837391871</v>
      </c>
      <c r="S147" s="13">
        <v>1324.2791851696338</v>
      </c>
      <c r="T147" s="13">
        <f t="shared" si="125"/>
        <v>29460902.450217251</v>
      </c>
      <c r="U147" s="42">
        <f t="shared" ref="U147:W147" si="144">U126</f>
        <v>-6.7999746399999894E-2</v>
      </c>
      <c r="V147" s="42">
        <f t="shared" si="144"/>
        <v>-3.9210322300000093E-2</v>
      </c>
      <c r="W147" s="42">
        <f t="shared" si="144"/>
        <v>-9.6789169500000008E-2</v>
      </c>
      <c r="X147" s="30">
        <f t="shared" si="127"/>
        <v>-2003333.8953299085</v>
      </c>
      <c r="Y147" s="30">
        <f t="shared" si="128"/>
        <v>-1155171.4803218809</v>
      </c>
      <c r="Z147" s="30">
        <f t="shared" si="129"/>
        <v>-2851496.280877043</v>
      </c>
      <c r="AA147" s="30">
        <f>IF(OR($O147="Solar",$O147="Wind"),INDEX(Land_Use[AVG],MATCH($O147,Land_Use[Tech],0)),0)*$R147</f>
        <v>77863.610430871544</v>
      </c>
      <c r="AB147" s="30">
        <f>IF(OR($O147="Solar",$O147="Wind"),INDEX(Land_Use[MIN],MATCH($O147,Land_Use[Tech],0)),0)*$R147</f>
        <v>62290.888344697232</v>
      </c>
      <c r="AC147" s="30">
        <f>IF(OR($O147="Solar",$O147="Wind"),INDEX(Land_Use[MAX],MATCH($O147,Land_Use[Tech],0)),0)*$R147</f>
        <v>93436.332517045856</v>
      </c>
    </row>
    <row r="148" spans="13:29" x14ac:dyDescent="0.35">
      <c r="M148" t="s">
        <v>107</v>
      </c>
      <c r="N148">
        <v>1</v>
      </c>
      <c r="O148" t="s">
        <v>80</v>
      </c>
      <c r="P148">
        <v>2044</v>
      </c>
      <c r="Q148" s="13">
        <v>1170.8813598627312</v>
      </c>
      <c r="R148" s="13">
        <f>SUMIFS($Q$3:Q148,$O$3:O148,O148,$M$3:M148,M148)</f>
        <v>23417.627197254602</v>
      </c>
      <c r="S148" s="13">
        <v>1270.4038192462924</v>
      </c>
      <c r="T148" s="13">
        <f t="shared" si="125"/>
        <v>29749843.029078096</v>
      </c>
      <c r="U148" s="42">
        <f t="shared" ref="U148:W148" si="145">U127</f>
        <v>-6.3775822199999888E-2</v>
      </c>
      <c r="V148" s="42">
        <f t="shared" si="145"/>
        <v>-3.4052555150000094E-2</v>
      </c>
      <c r="W148" s="42">
        <f t="shared" si="145"/>
        <v>-9.3499088250000001E-2</v>
      </c>
      <c r="X148" s="30">
        <f t="shared" si="127"/>
        <v>-1897320.6995003908</v>
      </c>
      <c r="Y148" s="30">
        <f t="shared" si="128"/>
        <v>-1013058.1704515277</v>
      </c>
      <c r="Z148" s="30">
        <f t="shared" si="129"/>
        <v>-2781583.1987994201</v>
      </c>
      <c r="AA148" s="30">
        <f>IF(OR($O148="Solar",$O148="Wind"),INDEX(Land_Use[AVG],MATCH($O148,Land_Use[Tech],0)),0)*$R148</f>
        <v>81961.69519039111</v>
      </c>
      <c r="AB148" s="30">
        <f>IF(OR($O148="Solar",$O148="Wind"),INDEX(Land_Use[MIN],MATCH($O148,Land_Use[Tech],0)),0)*$R148</f>
        <v>65569.356152312888</v>
      </c>
      <c r="AC148" s="30">
        <f>IF(OR($O148="Solar",$O148="Wind"),INDEX(Land_Use[MAX],MATCH($O148,Land_Use[Tech],0)),0)*$R148</f>
        <v>98354.034228469332</v>
      </c>
    </row>
    <row r="149" spans="13:29" x14ac:dyDescent="0.35">
      <c r="M149" t="s">
        <v>107</v>
      </c>
      <c r="N149">
        <v>1</v>
      </c>
      <c r="O149" t="s">
        <v>80</v>
      </c>
      <c r="P149">
        <v>2045</v>
      </c>
      <c r="Q149" s="13">
        <v>1170.8813598627312</v>
      </c>
      <c r="R149" s="13">
        <f>SUMIFS($Q$3:Q149,$O$3:O149,O149,$M$3:M149,M149)</f>
        <v>24588.508557117333</v>
      </c>
      <c r="S149" s="13">
        <v>1216.528453322951</v>
      </c>
      <c r="T149" s="13">
        <f t="shared" si="125"/>
        <v>29912620.284508094</v>
      </c>
      <c r="U149" s="42">
        <f t="shared" ref="U149:W149" si="146">U128</f>
        <v>-5.9551897999999888E-2</v>
      </c>
      <c r="V149" s="42">
        <f t="shared" si="146"/>
        <v>-2.8894788000000095E-2</v>
      </c>
      <c r="W149" s="42">
        <f t="shared" si="146"/>
        <v>-9.0209006999999994E-2</v>
      </c>
      <c r="X149" s="30">
        <f t="shared" si="127"/>
        <v>-1781353.3120957536</v>
      </c>
      <c r="Y149" s="30">
        <f t="shared" si="128"/>
        <v>-864318.82164536393</v>
      </c>
      <c r="Z149" s="30">
        <f t="shared" si="129"/>
        <v>-2698387.7726335325</v>
      </c>
      <c r="AA149" s="30">
        <f>IF(OR($O149="Solar",$O149="Wind"),INDEX(Land_Use[AVG],MATCH($O149,Land_Use[Tech],0)),0)*$R149</f>
        <v>86059.779949910662</v>
      </c>
      <c r="AB149" s="30">
        <f>IF(OR($O149="Solar",$O149="Wind"),INDEX(Land_Use[MIN],MATCH($O149,Land_Use[Tech],0)),0)*$R149</f>
        <v>68847.82395992853</v>
      </c>
      <c r="AC149" s="30">
        <f>IF(OR($O149="Solar",$O149="Wind"),INDEX(Land_Use[MAX],MATCH($O149,Land_Use[Tech],0)),0)*$R149</f>
        <v>103271.73593989281</v>
      </c>
    </row>
    <row r="150" spans="13:29" x14ac:dyDescent="0.35">
      <c r="M150" t="s">
        <v>107</v>
      </c>
      <c r="N150">
        <v>1</v>
      </c>
      <c r="O150" t="s">
        <v>83</v>
      </c>
      <c r="P150">
        <v>2025</v>
      </c>
      <c r="Q150" s="13">
        <v>99.380000000000024</v>
      </c>
      <c r="R150" s="13">
        <f>SUMIFS($Q$3:Q150,$O$3:O150,O150,$M$3:M150,M150)</f>
        <v>99.380000000000024</v>
      </c>
      <c r="S150" s="13">
        <v>2502.8086901013899</v>
      </c>
      <c r="T150" s="13">
        <f t="shared" si="125"/>
        <v>248729.1276222762</v>
      </c>
      <c r="U150" s="42">
        <f t="shared" ref="U150:W150" si="147">U129</f>
        <v>-0.14403038200000001</v>
      </c>
      <c r="V150" s="42">
        <f t="shared" si="147"/>
        <v>-0.13205013099999999</v>
      </c>
      <c r="W150" s="42">
        <f t="shared" si="147"/>
        <v>-0.15601063200000001</v>
      </c>
      <c r="X150" s="30">
        <f t="shared" si="127"/>
        <v>-35824.551265963193</v>
      </c>
      <c r="Y150" s="30">
        <f t="shared" si="128"/>
        <v>-32844.713886037287</v>
      </c>
      <c r="Z150" s="30">
        <f t="shared" si="129"/>
        <v>-38804.388397159972</v>
      </c>
      <c r="AA150" s="30">
        <f>IF(OR($O150="Solar",$O150="Wind"),INDEX(Land_Use[AVG],MATCH($O150,Land_Use[Tech],0)),0)*$R150</f>
        <v>248.45000000000005</v>
      </c>
      <c r="AB150" s="30">
        <f>IF(OR($O150="Solar",$O150="Wind"),INDEX(Land_Use[MIN],MATCH($O150,Land_Use[Tech],0)),0)*$R150</f>
        <v>79.504000000000019</v>
      </c>
      <c r="AC150" s="30">
        <f>IF(OR($O150="Solar",$O150="Wind"),INDEX(Land_Use[MAX],MATCH($O150,Land_Use[Tech],0)),0)*$R150</f>
        <v>417.39600000000013</v>
      </c>
    </row>
    <row r="151" spans="13:29" x14ac:dyDescent="0.35">
      <c r="M151" t="s">
        <v>107</v>
      </c>
      <c r="N151">
        <v>1</v>
      </c>
      <c r="O151" t="s">
        <v>83</v>
      </c>
      <c r="P151">
        <v>2026</v>
      </c>
      <c r="Q151" s="13">
        <v>112.94999999999999</v>
      </c>
      <c r="R151" s="13">
        <f>SUMIFS($Q$3:Q151,$O$3:O151,O151,$M$3:M151,M151)</f>
        <v>212.33</v>
      </c>
      <c r="S151" s="13">
        <v>2482.7671254296229</v>
      </c>
      <c r="T151" s="13">
        <f t="shared" si="125"/>
        <v>527165.94374247186</v>
      </c>
      <c r="U151" s="42">
        <f t="shared" ref="U151:W151" si="148">U130</f>
        <v>-0.13980645780000001</v>
      </c>
      <c r="V151" s="42">
        <f t="shared" si="148"/>
        <v>-0.12689236385</v>
      </c>
      <c r="W151" s="42">
        <f t="shared" si="148"/>
        <v>-0.15272055075000002</v>
      </c>
      <c r="X151" s="30">
        <f t="shared" si="127"/>
        <v>-73701.203267429068</v>
      </c>
      <c r="Y151" s="30">
        <f t="shared" si="128"/>
        <v>-66893.332742698374</v>
      </c>
      <c r="Z151" s="30">
        <f t="shared" si="129"/>
        <v>-80509.073264993829</v>
      </c>
      <c r="AA151" s="30">
        <f>IF(OR($O151="Solar",$O151="Wind"),INDEX(Land_Use[AVG],MATCH($O151,Land_Use[Tech],0)),0)*$R151</f>
        <v>530.82500000000005</v>
      </c>
      <c r="AB151" s="30">
        <f>IF(OR($O151="Solar",$O151="Wind"),INDEX(Land_Use[MIN],MATCH($O151,Land_Use[Tech],0)),0)*$R151</f>
        <v>169.86400000000003</v>
      </c>
      <c r="AC151" s="30">
        <f>IF(OR($O151="Solar",$O151="Wind"),INDEX(Land_Use[MAX],MATCH($O151,Land_Use[Tech],0)),0)*$R151</f>
        <v>891.78600000000006</v>
      </c>
    </row>
    <row r="152" spans="13:29" x14ac:dyDescent="0.35">
      <c r="M152" t="s">
        <v>107</v>
      </c>
      <c r="N152">
        <v>1</v>
      </c>
      <c r="O152" t="s">
        <v>83</v>
      </c>
      <c r="P152">
        <v>2027</v>
      </c>
      <c r="Q152" s="13">
        <v>112.94999999999996</v>
      </c>
      <c r="R152" s="13">
        <f>SUMIFS($Q$3:Q152,$O$3:O152,O152,$M$3:M152,M152)</f>
        <v>325.27999999999997</v>
      </c>
      <c r="S152" s="13">
        <v>2462.7255607578559</v>
      </c>
      <c r="T152" s="13">
        <f t="shared" si="125"/>
        <v>801075.37040331529</v>
      </c>
      <c r="U152" s="42">
        <f t="shared" ref="U152:W152" si="149">U131</f>
        <v>-0.1355825336</v>
      </c>
      <c r="V152" s="42">
        <f t="shared" si="149"/>
        <v>-0.1217345967</v>
      </c>
      <c r="W152" s="42">
        <f t="shared" si="149"/>
        <v>-0.14943046950000002</v>
      </c>
      <c r="X152" s="30">
        <f t="shared" si="127"/>
        <v>-108611.82832383995</v>
      </c>
      <c r="Y152" s="30">
        <f t="shared" si="128"/>
        <v>-97518.587142350705</v>
      </c>
      <c r="Z152" s="30">
        <f t="shared" si="129"/>
        <v>-119705.06870425383</v>
      </c>
      <c r="AA152" s="30">
        <f>IF(OR($O152="Solar",$O152="Wind"),INDEX(Land_Use[AVG],MATCH($O152,Land_Use[Tech],0)),0)*$R152</f>
        <v>813.19999999999993</v>
      </c>
      <c r="AB152" s="30">
        <f>IF(OR($O152="Solar",$O152="Wind"),INDEX(Land_Use[MIN],MATCH($O152,Land_Use[Tech],0)),0)*$R152</f>
        <v>260.22399999999999</v>
      </c>
      <c r="AC152" s="30">
        <f>IF(OR($O152="Solar",$O152="Wind"),INDEX(Land_Use[MAX],MATCH($O152,Land_Use[Tech],0)),0)*$R152</f>
        <v>1366.1759999999999</v>
      </c>
    </row>
    <row r="153" spans="13:29" x14ac:dyDescent="0.35">
      <c r="M153" t="s">
        <v>107</v>
      </c>
      <c r="N153">
        <v>1</v>
      </c>
      <c r="O153" t="s">
        <v>83</v>
      </c>
      <c r="P153">
        <v>2028</v>
      </c>
      <c r="Q153" s="13">
        <v>112.95000000000005</v>
      </c>
      <c r="R153" s="13">
        <f>SUMIFS($Q$3:Q153,$O$3:O153,O153,$M$3:M153,M153)</f>
        <v>438.23</v>
      </c>
      <c r="S153" s="13">
        <v>2442.6839960860889</v>
      </c>
      <c r="T153" s="13">
        <f t="shared" si="125"/>
        <v>1070457.4076048068</v>
      </c>
      <c r="U153" s="42">
        <f t="shared" ref="U153:W153" si="150">U132</f>
        <v>-0.13135860939999999</v>
      </c>
      <c r="V153" s="42">
        <f t="shared" si="150"/>
        <v>-0.11657682955000001</v>
      </c>
      <c r="W153" s="42">
        <f t="shared" si="150"/>
        <v>-0.14614038825000003</v>
      </c>
      <c r="X153" s="30">
        <f t="shared" si="127"/>
        <v>-140613.79648489639</v>
      </c>
      <c r="Y153" s="30">
        <f t="shared" si="128"/>
        <v>-124790.53074688045</v>
      </c>
      <c r="Z153" s="30">
        <f t="shared" si="129"/>
        <v>-156437.06115245502</v>
      </c>
      <c r="AA153" s="30">
        <f>IF(OR($O153="Solar",$O153="Wind"),INDEX(Land_Use[AVG],MATCH($O153,Land_Use[Tech],0)),0)*$R153</f>
        <v>1095.575</v>
      </c>
      <c r="AB153" s="30">
        <f>IF(OR($O153="Solar",$O153="Wind"),INDEX(Land_Use[MIN],MATCH($O153,Land_Use[Tech],0)),0)*$R153</f>
        <v>350.58400000000006</v>
      </c>
      <c r="AC153" s="30">
        <f>IF(OR($O153="Solar",$O153="Wind"),INDEX(Land_Use[MAX],MATCH($O153,Land_Use[Tech],0)),0)*$R153</f>
        <v>1840.5660000000003</v>
      </c>
    </row>
    <row r="154" spans="13:29" x14ac:dyDescent="0.35">
      <c r="M154" t="s">
        <v>107</v>
      </c>
      <c r="N154">
        <v>1</v>
      </c>
      <c r="O154" t="s">
        <v>83</v>
      </c>
      <c r="P154">
        <v>2029</v>
      </c>
      <c r="Q154" s="13">
        <v>112.94999999999993</v>
      </c>
      <c r="R154" s="13">
        <f>SUMIFS($Q$3:Q154,$O$3:O154,O154,$M$3:M154,M154)</f>
        <v>551.17999999999995</v>
      </c>
      <c r="S154" s="13">
        <v>2422.6424314143219</v>
      </c>
      <c r="T154" s="13">
        <f t="shared" si="125"/>
        <v>1335312.0553469458</v>
      </c>
      <c r="U154" s="42">
        <f t="shared" ref="U154:W154" si="151">U133</f>
        <v>-0.12713468519999999</v>
      </c>
      <c r="V154" s="42">
        <f t="shared" si="151"/>
        <v>-0.11141906240000002</v>
      </c>
      <c r="W154" s="42">
        <f t="shared" si="151"/>
        <v>-0.14285030700000004</v>
      </c>
      <c r="X154" s="30">
        <f t="shared" si="127"/>
        <v>-169764.47780029892</v>
      </c>
      <c r="Y154" s="30">
        <f t="shared" si="128"/>
        <v>-148779.21721817364</v>
      </c>
      <c r="Z154" s="30">
        <f t="shared" si="129"/>
        <v>-190749.73704711226</v>
      </c>
      <c r="AA154" s="30">
        <f>IF(OR($O154="Solar",$O154="Wind"),INDEX(Land_Use[AVG],MATCH($O154,Land_Use[Tech],0)),0)*$R154</f>
        <v>1377.9499999999998</v>
      </c>
      <c r="AB154" s="30">
        <f>IF(OR($O154="Solar",$O154="Wind"),INDEX(Land_Use[MIN],MATCH($O154,Land_Use[Tech],0)),0)*$R154</f>
        <v>440.94399999999996</v>
      </c>
      <c r="AC154" s="30">
        <f>IF(OR($O154="Solar",$O154="Wind"),INDEX(Land_Use[MAX],MATCH($O154,Land_Use[Tech],0)),0)*$R154</f>
        <v>2314.9559999999997</v>
      </c>
    </row>
    <row r="155" spans="13:29" x14ac:dyDescent="0.35">
      <c r="M155" t="s">
        <v>107</v>
      </c>
      <c r="N155">
        <v>1</v>
      </c>
      <c r="O155" t="s">
        <v>83</v>
      </c>
      <c r="P155">
        <v>2030</v>
      </c>
      <c r="Q155" s="13">
        <v>112.95000000000005</v>
      </c>
      <c r="R155" s="13">
        <f>SUMIFS($Q$3:Q155,$O$3:O155,O155,$M$3:M155,M155)</f>
        <v>664.13</v>
      </c>
      <c r="S155" s="13">
        <v>2402.6008667425549</v>
      </c>
      <c r="T155" s="13">
        <f t="shared" si="125"/>
        <v>1595639.3136297329</v>
      </c>
      <c r="U155" s="42">
        <f t="shared" ref="U155:W155" si="152">U134</f>
        <v>-0.12291076099999998</v>
      </c>
      <c r="V155" s="42">
        <f t="shared" si="152"/>
        <v>-0.10626129525000003</v>
      </c>
      <c r="W155" s="42">
        <f t="shared" si="152"/>
        <v>-0.13956022575000004</v>
      </c>
      <c r="X155" s="30">
        <f t="shared" si="127"/>
        <v>-196121.24231974813</v>
      </c>
      <c r="Y155" s="30">
        <f t="shared" si="128"/>
        <v>-169554.70021811643</v>
      </c>
      <c r="Z155" s="30">
        <f t="shared" si="129"/>
        <v>-222687.78282574064</v>
      </c>
      <c r="AA155" s="30">
        <f>IF(OR($O155="Solar",$O155="Wind"),INDEX(Land_Use[AVG],MATCH($O155,Land_Use[Tech],0)),0)*$R155</f>
        <v>1660.325</v>
      </c>
      <c r="AB155" s="30">
        <f>IF(OR($O155="Solar",$O155="Wind"),INDEX(Land_Use[MIN],MATCH($O155,Land_Use[Tech],0)),0)*$R155</f>
        <v>531.30399999999997</v>
      </c>
      <c r="AC155" s="30">
        <f>IF(OR($O155="Solar",$O155="Wind"),INDEX(Land_Use[MAX],MATCH($O155,Land_Use[Tech],0)),0)*$R155</f>
        <v>2789.346</v>
      </c>
    </row>
    <row r="156" spans="13:29" x14ac:dyDescent="0.35">
      <c r="M156" t="s">
        <v>107</v>
      </c>
      <c r="N156">
        <v>1</v>
      </c>
      <c r="O156" t="s">
        <v>83</v>
      </c>
      <c r="P156">
        <v>2031</v>
      </c>
      <c r="Q156" s="13">
        <v>112.95000000000005</v>
      </c>
      <c r="R156" s="13">
        <f>SUMIFS($Q$3:Q156,$O$3:O156,O156,$M$3:M156,M156)</f>
        <v>777.08</v>
      </c>
      <c r="S156" s="13">
        <v>2382.5593020707879</v>
      </c>
      <c r="T156" s="13">
        <f t="shared" si="125"/>
        <v>1851439.1824531679</v>
      </c>
      <c r="U156" s="42">
        <f t="shared" ref="U156:W156" si="153">U135</f>
        <v>-0.11868683679999997</v>
      </c>
      <c r="V156" s="42">
        <f t="shared" si="153"/>
        <v>-0.10110352810000003</v>
      </c>
      <c r="W156" s="42">
        <f t="shared" si="153"/>
        <v>-0.13627014450000005</v>
      </c>
      <c r="X156" s="30">
        <f t="shared" si="127"/>
        <v>-219741.4600929445</v>
      </c>
      <c r="Y156" s="30">
        <f t="shared" si="128"/>
        <v>-187187.03340859496</v>
      </c>
      <c r="Z156" s="30">
        <f t="shared" si="129"/>
        <v>-252295.88492585515</v>
      </c>
      <c r="AA156" s="30">
        <f>IF(OR($O156="Solar",$O156="Wind"),INDEX(Land_Use[AVG],MATCH($O156,Land_Use[Tech],0)),0)*$R156</f>
        <v>1942.7</v>
      </c>
      <c r="AB156" s="30">
        <f>IF(OR($O156="Solar",$O156="Wind"),INDEX(Land_Use[MIN],MATCH($O156,Land_Use[Tech],0)),0)*$R156</f>
        <v>621.6640000000001</v>
      </c>
      <c r="AC156" s="30">
        <f>IF(OR($O156="Solar",$O156="Wind"),INDEX(Land_Use[MAX],MATCH($O156,Land_Use[Tech],0)),0)*$R156</f>
        <v>3263.7360000000003</v>
      </c>
    </row>
    <row r="157" spans="13:29" x14ac:dyDescent="0.35">
      <c r="M157" t="s">
        <v>107</v>
      </c>
      <c r="N157">
        <v>1</v>
      </c>
      <c r="O157" t="s">
        <v>83</v>
      </c>
      <c r="P157">
        <v>2032</v>
      </c>
      <c r="Q157" s="13">
        <v>112.94999999999993</v>
      </c>
      <c r="R157" s="13">
        <f>SUMIFS($Q$3:Q157,$O$3:O157,O157,$M$3:M157,M157)</f>
        <v>890.03</v>
      </c>
      <c r="S157" s="13">
        <v>2362.5177373990209</v>
      </c>
      <c r="T157" s="13">
        <f t="shared" si="125"/>
        <v>2102711.6618172503</v>
      </c>
      <c r="U157" s="42">
        <f t="shared" ref="U157:W157" si="154">U136</f>
        <v>-0.11446291259999997</v>
      </c>
      <c r="V157" s="42">
        <f t="shared" si="154"/>
        <v>-9.5945760950000042E-2</v>
      </c>
      <c r="W157" s="42">
        <f t="shared" si="154"/>
        <v>-0.13298006325000006</v>
      </c>
      <c r="X157" s="30">
        <f t="shared" si="127"/>
        <v>-240682.50116958862</v>
      </c>
      <c r="Y157" s="30">
        <f t="shared" si="128"/>
        <v>-201746.27045149522</v>
      </c>
      <c r="Z157" s="30">
        <f t="shared" si="129"/>
        <v>-279618.7297849707</v>
      </c>
      <c r="AA157" s="30">
        <f>IF(OR($O157="Solar",$O157="Wind"),INDEX(Land_Use[AVG],MATCH($O157,Land_Use[Tech],0)),0)*$R157</f>
        <v>2225.0749999999998</v>
      </c>
      <c r="AB157" s="30">
        <f>IF(OR($O157="Solar",$O157="Wind"),INDEX(Land_Use[MIN],MATCH($O157,Land_Use[Tech],0)),0)*$R157</f>
        <v>712.024</v>
      </c>
      <c r="AC157" s="30">
        <f>IF(OR($O157="Solar",$O157="Wind"),INDEX(Land_Use[MAX],MATCH($O157,Land_Use[Tech],0)),0)*$R157</f>
        <v>3738.1260000000002</v>
      </c>
    </row>
    <row r="158" spans="13:29" x14ac:dyDescent="0.35">
      <c r="M158" t="s">
        <v>107</v>
      </c>
      <c r="N158">
        <v>1</v>
      </c>
      <c r="O158" t="s">
        <v>83</v>
      </c>
      <c r="P158">
        <v>2033</v>
      </c>
      <c r="Q158" s="13">
        <v>112.95000000000005</v>
      </c>
      <c r="R158" s="13">
        <f>SUMIFS($Q$3:Q158,$O$3:O158,O158,$M$3:M158,M158)</f>
        <v>1002.98</v>
      </c>
      <c r="S158" s="13">
        <v>2342.4761727272539</v>
      </c>
      <c r="T158" s="13">
        <f t="shared" si="125"/>
        <v>2349456.751721981</v>
      </c>
      <c r="U158" s="42">
        <f t="shared" ref="U158:W158" si="155">U137</f>
        <v>-0.11023898839999996</v>
      </c>
      <c r="V158" s="42">
        <f t="shared" si="155"/>
        <v>-9.078799380000005E-2</v>
      </c>
      <c r="W158" s="42">
        <f t="shared" si="155"/>
        <v>-0.12968998200000006</v>
      </c>
      <c r="X158" s="30">
        <f t="shared" si="127"/>
        <v>-259001.73559938103</v>
      </c>
      <c r="Y158" s="30">
        <f t="shared" si="128"/>
        <v>-213302.46500870347</v>
      </c>
      <c r="Z158" s="30">
        <f t="shared" si="129"/>
        <v>-304701.00384060235</v>
      </c>
      <c r="AA158" s="30">
        <f>IF(OR($O158="Solar",$O158="Wind"),INDEX(Land_Use[AVG],MATCH($O158,Land_Use[Tech],0)),0)*$R158</f>
        <v>2507.4499999999998</v>
      </c>
      <c r="AB158" s="30">
        <f>IF(OR($O158="Solar",$O158="Wind"),INDEX(Land_Use[MIN],MATCH($O158,Land_Use[Tech],0)),0)*$R158</f>
        <v>802.38400000000001</v>
      </c>
      <c r="AC158" s="30">
        <f>IF(OR($O158="Solar",$O158="Wind"),INDEX(Land_Use[MAX],MATCH($O158,Land_Use[Tech],0)),0)*$R158</f>
        <v>4212.5160000000005</v>
      </c>
    </row>
    <row r="159" spans="13:29" x14ac:dyDescent="0.35">
      <c r="M159" t="s">
        <v>107</v>
      </c>
      <c r="N159">
        <v>1</v>
      </c>
      <c r="O159" t="s">
        <v>83</v>
      </c>
      <c r="P159">
        <v>2034</v>
      </c>
      <c r="Q159" s="13">
        <v>112.95000000000005</v>
      </c>
      <c r="R159" s="13">
        <f>SUMIFS($Q$3:Q159,$O$3:O159,O159,$M$3:M159,M159)</f>
        <v>1115.93</v>
      </c>
      <c r="S159" s="13">
        <v>2322.4346080554869</v>
      </c>
      <c r="T159" s="13">
        <f t="shared" si="125"/>
        <v>2591674.4521673596</v>
      </c>
      <c r="U159" s="42">
        <f t="shared" ref="U159:W159" si="156">U138</f>
        <v>-0.10601506419999995</v>
      </c>
      <c r="V159" s="42">
        <f t="shared" si="156"/>
        <v>-8.5630226650000058E-2</v>
      </c>
      <c r="W159" s="42">
        <f t="shared" si="156"/>
        <v>-0.12639990075000007</v>
      </c>
      <c r="X159" s="30">
        <f t="shared" si="127"/>
        <v>-274756.53343202232</v>
      </c>
      <c r="Y159" s="30">
        <f t="shared" si="128"/>
        <v>-221925.67074210575</v>
      </c>
      <c r="Z159" s="30">
        <f t="shared" si="129"/>
        <v>-327587.39353026508</v>
      </c>
      <c r="AA159" s="30">
        <f>IF(OR($O159="Solar",$O159="Wind"),INDEX(Land_Use[AVG],MATCH($O159,Land_Use[Tech],0)),0)*$R159</f>
        <v>2789.8250000000003</v>
      </c>
      <c r="AB159" s="30">
        <f>IF(OR($O159="Solar",$O159="Wind"),INDEX(Land_Use[MIN],MATCH($O159,Land_Use[Tech],0)),0)*$R159</f>
        <v>892.74400000000014</v>
      </c>
      <c r="AC159" s="30">
        <f>IF(OR($O159="Solar",$O159="Wind"),INDEX(Land_Use[MAX],MATCH($O159,Land_Use[Tech],0)),0)*$R159</f>
        <v>4686.9060000000009</v>
      </c>
    </row>
    <row r="160" spans="13:29" x14ac:dyDescent="0.35">
      <c r="M160" t="s">
        <v>107</v>
      </c>
      <c r="N160">
        <v>1</v>
      </c>
      <c r="O160" t="s">
        <v>83</v>
      </c>
      <c r="P160">
        <v>2035</v>
      </c>
      <c r="Q160" s="13">
        <v>112.95000000000005</v>
      </c>
      <c r="R160" s="13">
        <f>SUMIFS($Q$3:Q160,$O$3:O160,O160,$M$3:M160,M160)</f>
        <v>1228.8800000000001</v>
      </c>
      <c r="S160" s="13">
        <v>2302.3930433837199</v>
      </c>
      <c r="T160" s="13">
        <f t="shared" si="125"/>
        <v>2829364.7631533858</v>
      </c>
      <c r="U160" s="42">
        <f t="shared" ref="U160:W160" si="157">U139</f>
        <v>-0.10179113999999995</v>
      </c>
      <c r="V160" s="42">
        <f t="shared" si="157"/>
        <v>-8.0472459500000065E-2</v>
      </c>
      <c r="W160" s="42">
        <f t="shared" si="157"/>
        <v>-0.12310981950000006</v>
      </c>
      <c r="X160" s="30">
        <f t="shared" si="127"/>
        <v>-288004.26471721299</v>
      </c>
      <c r="Y160" s="30">
        <f t="shared" si="128"/>
        <v>-227685.94131358812</v>
      </c>
      <c r="Z160" s="30">
        <f t="shared" si="129"/>
        <v>-348322.58529147378</v>
      </c>
      <c r="AA160" s="30">
        <f>IF(OR($O160="Solar",$O160="Wind"),INDEX(Land_Use[AVG],MATCH($O160,Land_Use[Tech],0)),0)*$R160</f>
        <v>3072.2000000000003</v>
      </c>
      <c r="AB160" s="30">
        <f>IF(OR($O160="Solar",$O160="Wind"),INDEX(Land_Use[MIN],MATCH($O160,Land_Use[Tech],0)),0)*$R160</f>
        <v>983.10400000000016</v>
      </c>
      <c r="AC160" s="30">
        <f>IF(OR($O160="Solar",$O160="Wind"),INDEX(Land_Use[MAX],MATCH($O160,Land_Use[Tech],0)),0)*$R160</f>
        <v>5161.2960000000003</v>
      </c>
    </row>
    <row r="161" spans="13:29" x14ac:dyDescent="0.35">
      <c r="M161" t="s">
        <v>107</v>
      </c>
      <c r="N161">
        <v>1</v>
      </c>
      <c r="O161" t="s">
        <v>83</v>
      </c>
      <c r="P161">
        <v>2036</v>
      </c>
      <c r="Q161" s="13">
        <v>112.94999999999982</v>
      </c>
      <c r="R161" s="13">
        <f>SUMIFS($Q$3:Q161,$O$3:O161,O161,$M$3:M161,M161)</f>
        <v>1341.83</v>
      </c>
      <c r="S161" s="13">
        <v>2282.351478711953</v>
      </c>
      <c r="T161" s="13">
        <f t="shared" si="125"/>
        <v>3062527.6846800596</v>
      </c>
      <c r="U161" s="42">
        <f t="shared" ref="U161:W161" si="158">U140</f>
        <v>-9.756721579999994E-2</v>
      </c>
      <c r="V161" s="42">
        <f t="shared" si="158"/>
        <v>-7.5314692350000073E-2</v>
      </c>
      <c r="W161" s="42">
        <f t="shared" si="158"/>
        <v>-0.11981973825000006</v>
      </c>
      <c r="X161" s="30">
        <f t="shared" si="127"/>
        <v>-298802.29950465355</v>
      </c>
      <c r="Y161" s="30">
        <f t="shared" si="128"/>
        <v>-230653.33038503671</v>
      </c>
      <c r="Z161" s="30">
        <f t="shared" si="129"/>
        <v>-366951.26556174346</v>
      </c>
      <c r="AA161" s="30">
        <f>IF(OR($O161="Solar",$O161="Wind"),INDEX(Land_Use[AVG],MATCH($O161,Land_Use[Tech],0)),0)*$R161</f>
        <v>3354.5749999999998</v>
      </c>
      <c r="AB161" s="30">
        <f>IF(OR($O161="Solar",$O161="Wind"),INDEX(Land_Use[MIN],MATCH($O161,Land_Use[Tech],0)),0)*$R161</f>
        <v>1073.4639999999999</v>
      </c>
      <c r="AC161" s="30">
        <f>IF(OR($O161="Solar",$O161="Wind"),INDEX(Land_Use[MAX],MATCH($O161,Land_Use[Tech],0)),0)*$R161</f>
        <v>5635.6859999999997</v>
      </c>
    </row>
    <row r="162" spans="13:29" x14ac:dyDescent="0.35">
      <c r="M162" t="s">
        <v>107</v>
      </c>
      <c r="N162">
        <v>1</v>
      </c>
      <c r="O162" t="s">
        <v>83</v>
      </c>
      <c r="P162">
        <v>2037</v>
      </c>
      <c r="Q162" s="13">
        <v>112.95000000000005</v>
      </c>
      <c r="R162" s="13">
        <f>SUMIFS($Q$3:Q162,$O$3:O162,O162,$M$3:M162,M162)</f>
        <v>1454.78</v>
      </c>
      <c r="S162" s="13">
        <v>2262.309914040186</v>
      </c>
      <c r="T162" s="13">
        <f t="shared" si="125"/>
        <v>3291163.2167473817</v>
      </c>
      <c r="U162" s="42">
        <f t="shared" ref="U162:W162" si="159">U141</f>
        <v>-9.3343291599999934E-2</v>
      </c>
      <c r="V162" s="42">
        <f t="shared" si="159"/>
        <v>-7.0156925200000081E-2</v>
      </c>
      <c r="W162" s="42">
        <f t="shared" si="159"/>
        <v>-0.11652965700000005</v>
      </c>
      <c r="X162" s="30">
        <f t="shared" si="127"/>
        <v>-307208.00784404465</v>
      </c>
      <c r="Y162" s="30">
        <f t="shared" si="128"/>
        <v>-230897.89161833772</v>
      </c>
      <c r="Z162" s="30">
        <f t="shared" si="129"/>
        <v>-383518.12077858922</v>
      </c>
      <c r="AA162" s="30">
        <f>IF(OR($O162="Solar",$O162="Wind"),INDEX(Land_Use[AVG],MATCH($O162,Land_Use[Tech],0)),0)*$R162</f>
        <v>3636.95</v>
      </c>
      <c r="AB162" s="30">
        <f>IF(OR($O162="Solar",$O162="Wind"),INDEX(Land_Use[MIN],MATCH($O162,Land_Use[Tech],0)),0)*$R162</f>
        <v>1163.8240000000001</v>
      </c>
      <c r="AC162" s="30">
        <f>IF(OR($O162="Solar",$O162="Wind"),INDEX(Land_Use[MAX],MATCH($O162,Land_Use[Tech],0)),0)*$R162</f>
        <v>6110.076</v>
      </c>
    </row>
    <row r="163" spans="13:29" x14ac:dyDescent="0.35">
      <c r="M163" t="s">
        <v>107</v>
      </c>
      <c r="N163">
        <v>1</v>
      </c>
      <c r="O163" t="s">
        <v>83</v>
      </c>
      <c r="P163">
        <v>2038</v>
      </c>
      <c r="Q163" s="13">
        <v>112.95000000000005</v>
      </c>
      <c r="R163" s="13">
        <f>SUMIFS($Q$3:Q163,$O$3:O163,O163,$M$3:M163,M163)</f>
        <v>1567.73</v>
      </c>
      <c r="S163" s="13">
        <v>2242.268349368419</v>
      </c>
      <c r="T163" s="13">
        <f t="shared" si="125"/>
        <v>3515271.3593553514</v>
      </c>
      <c r="U163" s="42">
        <f t="shared" ref="U163:W163" si="160">U142</f>
        <v>-8.9119367399999927E-2</v>
      </c>
      <c r="V163" s="42">
        <f t="shared" si="160"/>
        <v>-6.4999158050000089E-2</v>
      </c>
      <c r="W163" s="42">
        <f t="shared" si="160"/>
        <v>-0.11323957575000004</v>
      </c>
      <c r="X163" s="30">
        <f t="shared" si="127"/>
        <v>-313278.75978508673</v>
      </c>
      <c r="Y163" s="30">
        <f t="shared" si="128"/>
        <v>-228489.67867537716</v>
      </c>
      <c r="Z163" s="30">
        <f t="shared" si="129"/>
        <v>-398067.83737952594</v>
      </c>
      <c r="AA163" s="30">
        <f>IF(OR($O163="Solar",$O163="Wind"),INDEX(Land_Use[AVG],MATCH($O163,Land_Use[Tech],0)),0)*$R163</f>
        <v>3919.3249999999998</v>
      </c>
      <c r="AB163" s="30">
        <f>IF(OR($O163="Solar",$O163="Wind"),INDEX(Land_Use[MIN],MATCH($O163,Land_Use[Tech],0)),0)*$R163</f>
        <v>1254.1840000000002</v>
      </c>
      <c r="AC163" s="30">
        <f>IF(OR($O163="Solar",$O163="Wind"),INDEX(Land_Use[MAX],MATCH($O163,Land_Use[Tech],0)),0)*$R163</f>
        <v>6584.4660000000003</v>
      </c>
    </row>
    <row r="164" spans="13:29" x14ac:dyDescent="0.35">
      <c r="M164" t="s">
        <v>107</v>
      </c>
      <c r="N164">
        <v>1</v>
      </c>
      <c r="O164" t="s">
        <v>83</v>
      </c>
      <c r="P164">
        <v>2039</v>
      </c>
      <c r="Q164" s="13">
        <v>112.95000000000005</v>
      </c>
      <c r="R164" s="13">
        <f>SUMIFS($Q$3:Q164,$O$3:O164,O164,$M$3:M164,M164)</f>
        <v>1680.68</v>
      </c>
      <c r="S164" s="13">
        <v>2222.226784696652</v>
      </c>
      <c r="T164" s="13">
        <f t="shared" si="125"/>
        <v>3734852.1125039691</v>
      </c>
      <c r="U164" s="42">
        <f t="shared" ref="U164:W164" si="161">U143</f>
        <v>-8.489544319999992E-2</v>
      </c>
      <c r="V164" s="42">
        <f t="shared" si="161"/>
        <v>-5.984139090000009E-2</v>
      </c>
      <c r="W164" s="42">
        <f t="shared" si="161"/>
        <v>-0.10994949450000004</v>
      </c>
      <c r="X164" s="30">
        <f t="shared" si="127"/>
        <v>-317071.92537748039</v>
      </c>
      <c r="Y164" s="30">
        <f t="shared" si="128"/>
        <v>-223498.74521804112</v>
      </c>
      <c r="Z164" s="30">
        <f t="shared" si="129"/>
        <v>-410645.10180206865</v>
      </c>
      <c r="AA164" s="30">
        <f>IF(OR($O164="Solar",$O164="Wind"),INDEX(Land_Use[AVG],MATCH($O164,Land_Use[Tech],0)),0)*$R164</f>
        <v>4201.7</v>
      </c>
      <c r="AB164" s="30">
        <f>IF(OR($O164="Solar",$O164="Wind"),INDEX(Land_Use[MIN],MATCH($O164,Land_Use[Tech],0)),0)*$R164</f>
        <v>1344.5440000000001</v>
      </c>
      <c r="AC164" s="30">
        <f>IF(OR($O164="Solar",$O164="Wind"),INDEX(Land_Use[MAX],MATCH($O164,Land_Use[Tech],0)),0)*$R164</f>
        <v>7058.8560000000007</v>
      </c>
    </row>
    <row r="165" spans="13:29" x14ac:dyDescent="0.35">
      <c r="M165" t="s">
        <v>107</v>
      </c>
      <c r="N165">
        <v>1</v>
      </c>
      <c r="O165" t="s">
        <v>83</v>
      </c>
      <c r="P165">
        <v>2040</v>
      </c>
      <c r="Q165" s="13">
        <v>112.95000000000005</v>
      </c>
      <c r="R165" s="13">
        <f>SUMIFS($Q$3:Q165,$O$3:O165,O165,$M$3:M165,M165)</f>
        <v>1793.63</v>
      </c>
      <c r="S165" s="13">
        <v>2202.185220024885</v>
      </c>
      <c r="T165" s="13">
        <f t="shared" si="125"/>
        <v>3949905.4761932348</v>
      </c>
      <c r="U165" s="42">
        <f t="shared" ref="U165:W165" si="162">U144</f>
        <v>-8.0671518999999914E-2</v>
      </c>
      <c r="V165" s="42">
        <f t="shared" si="162"/>
        <v>-5.468362375000009E-2</v>
      </c>
      <c r="W165" s="42">
        <f t="shared" si="162"/>
        <v>-0.10665941325000003</v>
      </c>
      <c r="X165" s="30">
        <f t="shared" si="127"/>
        <v>-318644.87467092625</v>
      </c>
      <c r="Y165" s="30">
        <f t="shared" si="128"/>
        <v>-215995.14490821579</v>
      </c>
      <c r="Z165" s="30">
        <f t="shared" si="129"/>
        <v>-421294.60048373236</v>
      </c>
      <c r="AA165" s="30">
        <f>IF(OR($O165="Solar",$O165="Wind"),INDEX(Land_Use[AVG],MATCH($O165,Land_Use[Tech],0)),0)*$R165</f>
        <v>4484.0750000000007</v>
      </c>
      <c r="AB165" s="30">
        <f>IF(OR($O165="Solar",$O165="Wind"),INDEX(Land_Use[MIN],MATCH($O165,Land_Use[Tech],0)),0)*$R165</f>
        <v>1434.9040000000002</v>
      </c>
      <c r="AC165" s="30">
        <f>IF(OR($O165="Solar",$O165="Wind"),INDEX(Land_Use[MAX],MATCH($O165,Land_Use[Tech],0)),0)*$R165</f>
        <v>7533.246000000001</v>
      </c>
    </row>
    <row r="166" spans="13:29" x14ac:dyDescent="0.35">
      <c r="M166" t="s">
        <v>107</v>
      </c>
      <c r="N166">
        <v>1</v>
      </c>
      <c r="O166" t="s">
        <v>83</v>
      </c>
      <c r="P166">
        <v>2041</v>
      </c>
      <c r="Q166" s="13">
        <v>112.95000000000005</v>
      </c>
      <c r="R166" s="13">
        <f>SUMIFS($Q$3:Q166,$O$3:O166,O166,$M$3:M166,M166)</f>
        <v>1906.5800000000002</v>
      </c>
      <c r="S166" s="13">
        <v>2182.143655353118</v>
      </c>
      <c r="T166" s="13">
        <f t="shared" si="125"/>
        <v>4160431.450423148</v>
      </c>
      <c r="U166" s="42">
        <f t="shared" ref="U166:W166" si="163">U145</f>
        <v>-7.6447594799999907E-2</v>
      </c>
      <c r="V166" s="42">
        <f t="shared" si="163"/>
        <v>-4.9525856600000091E-2</v>
      </c>
      <c r="W166" s="42">
        <f t="shared" si="163"/>
        <v>-0.10336933200000002</v>
      </c>
      <c r="X166" s="30">
        <f t="shared" si="127"/>
        <v>-318054.97771512473</v>
      </c>
      <c r="Y166" s="30">
        <f t="shared" si="128"/>
        <v>-206048.93140778723</v>
      </c>
      <c r="Z166" s="30">
        <f t="shared" si="129"/>
        <v>-430061.01986203203</v>
      </c>
      <c r="AA166" s="30">
        <f>IF(OR($O166="Solar",$O166="Wind"),INDEX(Land_Use[AVG],MATCH($O166,Land_Use[Tech],0)),0)*$R166</f>
        <v>4766.4500000000007</v>
      </c>
      <c r="AB166" s="30">
        <f>IF(OR($O166="Solar",$O166="Wind"),INDEX(Land_Use[MIN],MATCH($O166,Land_Use[Tech],0)),0)*$R166</f>
        <v>1525.2640000000001</v>
      </c>
      <c r="AC166" s="30">
        <f>IF(OR($O166="Solar",$O166="Wind"),INDEX(Land_Use[MAX],MATCH($O166,Land_Use[Tech],0)),0)*$R166</f>
        <v>8007.6360000000013</v>
      </c>
    </row>
    <row r="167" spans="13:29" x14ac:dyDescent="0.35">
      <c r="M167" t="s">
        <v>107</v>
      </c>
      <c r="N167">
        <v>1</v>
      </c>
      <c r="O167" t="s">
        <v>83</v>
      </c>
      <c r="P167">
        <v>2042</v>
      </c>
      <c r="Q167" s="13">
        <v>112.94999999999982</v>
      </c>
      <c r="R167" s="13">
        <f>SUMIFS($Q$3:Q167,$O$3:O167,O167,$M$3:M167,M167)</f>
        <v>2019.53</v>
      </c>
      <c r="S167" s="13">
        <v>2162.102090681351</v>
      </c>
      <c r="T167" s="13">
        <f t="shared" si="125"/>
        <v>4366430.0351937087</v>
      </c>
      <c r="U167" s="42">
        <f t="shared" ref="U167:W167" si="164">U146</f>
        <v>-7.2223670599999901E-2</v>
      </c>
      <c r="V167" s="42">
        <f t="shared" si="164"/>
        <v>-4.4368089450000092E-2</v>
      </c>
      <c r="W167" s="42">
        <f t="shared" si="164"/>
        <v>-0.10007925075000002</v>
      </c>
      <c r="X167" s="30">
        <f t="shared" si="127"/>
        <v>-315359.60455977637</v>
      </c>
      <c r="Y167" s="30">
        <f t="shared" si="128"/>
        <v>-193730.15837864153</v>
      </c>
      <c r="Z167" s="30">
        <f t="shared" si="129"/>
        <v>-436989.04637448257</v>
      </c>
      <c r="AA167" s="30">
        <f>IF(OR($O167="Solar",$O167="Wind"),INDEX(Land_Use[AVG],MATCH($O167,Land_Use[Tech],0)),0)*$R167</f>
        <v>5048.8249999999998</v>
      </c>
      <c r="AB167" s="30">
        <f>IF(OR($O167="Solar",$O167="Wind"),INDEX(Land_Use[MIN],MATCH($O167,Land_Use[Tech],0)),0)*$R167</f>
        <v>1615.624</v>
      </c>
      <c r="AC167" s="30">
        <f>IF(OR($O167="Solar",$O167="Wind"),INDEX(Land_Use[MAX],MATCH($O167,Land_Use[Tech],0)),0)*$R167</f>
        <v>8482.0259999999998</v>
      </c>
    </row>
    <row r="168" spans="13:29" x14ac:dyDescent="0.35">
      <c r="M168" t="s">
        <v>107</v>
      </c>
      <c r="N168">
        <v>1</v>
      </c>
      <c r="O168" t="s">
        <v>83</v>
      </c>
      <c r="P168">
        <v>2043</v>
      </c>
      <c r="Q168" s="13">
        <v>112.9500000000005</v>
      </c>
      <c r="R168" s="13">
        <f>SUMIFS($Q$3:Q168,$O$3:O168,O168,$M$3:M168,M168)</f>
        <v>2132.4800000000005</v>
      </c>
      <c r="S168" s="13">
        <v>2142.060526009584</v>
      </c>
      <c r="T168" s="13">
        <f t="shared" si="125"/>
        <v>4567901.2305049188</v>
      </c>
      <c r="U168" s="42">
        <f t="shared" ref="U168:W168" si="165">U147</f>
        <v>-6.7999746399999894E-2</v>
      </c>
      <c r="V168" s="42">
        <f t="shared" si="165"/>
        <v>-3.9210322300000093E-2</v>
      </c>
      <c r="W168" s="42">
        <f t="shared" si="165"/>
        <v>-9.6789169500000008E-2</v>
      </c>
      <c r="X168" s="30">
        <f t="shared" si="127"/>
        <v>-310616.12525458192</v>
      </c>
      <c r="Y168" s="30">
        <f t="shared" si="128"/>
        <v>-179108.8794826649</v>
      </c>
      <c r="Z168" s="30">
        <f t="shared" si="129"/>
        <v>-442123.36645859922</v>
      </c>
      <c r="AA168" s="30">
        <f>IF(OR($O168="Solar",$O168="Wind"),INDEX(Land_Use[AVG],MATCH($O168,Land_Use[Tech],0)),0)*$R168</f>
        <v>5331.2000000000007</v>
      </c>
      <c r="AB168" s="30">
        <f>IF(OR($O168="Solar",$O168="Wind"),INDEX(Land_Use[MIN],MATCH($O168,Land_Use[Tech],0)),0)*$R168</f>
        <v>1705.9840000000004</v>
      </c>
      <c r="AC168" s="30">
        <f>IF(OR($O168="Solar",$O168="Wind"),INDEX(Land_Use[MAX],MATCH($O168,Land_Use[Tech],0)),0)*$R168</f>
        <v>8956.4160000000029</v>
      </c>
    </row>
    <row r="169" spans="13:29" x14ac:dyDescent="0.35">
      <c r="M169" t="s">
        <v>107</v>
      </c>
      <c r="N169">
        <v>1</v>
      </c>
      <c r="O169" t="s">
        <v>83</v>
      </c>
      <c r="P169">
        <v>2044</v>
      </c>
      <c r="Q169" s="13">
        <v>112.94999999999982</v>
      </c>
      <c r="R169" s="13">
        <f>SUMIFS($Q$3:Q169,$O$3:O169,O169,$M$3:M169,M169)</f>
        <v>2245.4300000000003</v>
      </c>
      <c r="S169" s="13">
        <v>2122.018961337817</v>
      </c>
      <c r="T169" s="13">
        <f t="shared" si="125"/>
        <v>4764845.0363567751</v>
      </c>
      <c r="U169" s="42">
        <f t="shared" ref="U169:W169" si="166">U148</f>
        <v>-6.3775822199999888E-2</v>
      </c>
      <c r="V169" s="42">
        <f t="shared" si="166"/>
        <v>-3.4052555150000094E-2</v>
      </c>
      <c r="W169" s="42">
        <f t="shared" si="166"/>
        <v>-9.3499088250000001E-2</v>
      </c>
      <c r="X169" s="30">
        <f t="shared" si="127"/>
        <v>-303881.90984924167</v>
      </c>
      <c r="Y169" s="30">
        <f t="shared" si="128"/>
        <v>-162255.14838174329</v>
      </c>
      <c r="Z169" s="30">
        <f t="shared" si="129"/>
        <v>-445508.6665518966</v>
      </c>
      <c r="AA169" s="30">
        <f>IF(OR($O169="Solar",$O169="Wind"),INDEX(Land_Use[AVG],MATCH($O169,Land_Use[Tech],0)),0)*$R169</f>
        <v>5613.5750000000007</v>
      </c>
      <c r="AB169" s="30">
        <f>IF(OR($O169="Solar",$O169="Wind"),INDEX(Land_Use[MIN],MATCH($O169,Land_Use[Tech],0)),0)*$R169</f>
        <v>1796.3440000000003</v>
      </c>
      <c r="AC169" s="30">
        <f>IF(OR($O169="Solar",$O169="Wind"),INDEX(Land_Use[MAX],MATCH($O169,Land_Use[Tech],0)),0)*$R169</f>
        <v>9430.8060000000023</v>
      </c>
    </row>
    <row r="170" spans="13:29" x14ac:dyDescent="0.35">
      <c r="M170" t="s">
        <v>107</v>
      </c>
      <c r="N170">
        <v>1</v>
      </c>
      <c r="O170" t="s">
        <v>83</v>
      </c>
      <c r="P170">
        <v>2045</v>
      </c>
      <c r="Q170" s="13">
        <v>112.94999999999982</v>
      </c>
      <c r="R170" s="13">
        <f>SUMIFS($Q$3:Q170,$O$3:O170,O170,$M$3:M170,M170)</f>
        <v>2358.38</v>
      </c>
      <c r="S170" s="13">
        <v>2101.97739666605</v>
      </c>
      <c r="T170" s="13">
        <f t="shared" si="125"/>
        <v>4957261.4527492793</v>
      </c>
      <c r="U170" s="42">
        <f t="shared" ref="U170:W170" si="167">U149</f>
        <v>-5.9551897999999888E-2</v>
      </c>
      <c r="V170" s="42">
        <f t="shared" si="167"/>
        <v>-2.8894788000000095E-2</v>
      </c>
      <c r="W170" s="42">
        <f t="shared" si="167"/>
        <v>-9.0209006999999994E-2</v>
      </c>
      <c r="X170" s="30">
        <f t="shared" si="127"/>
        <v>-295214.32839345635</v>
      </c>
      <c r="Y170" s="30">
        <f t="shared" si="128"/>
        <v>-143239.0187377629</v>
      </c>
      <c r="Z170" s="30">
        <f t="shared" si="129"/>
        <v>-447189.6330918899</v>
      </c>
      <c r="AA170" s="30">
        <f>IF(OR($O170="Solar",$O170="Wind"),INDEX(Land_Use[AVG],MATCH($O170,Land_Use[Tech],0)),0)*$R170</f>
        <v>5895.9500000000007</v>
      </c>
      <c r="AB170" s="30">
        <f>IF(OR($O170="Solar",$O170="Wind"),INDEX(Land_Use[MIN],MATCH($O170,Land_Use[Tech],0)),0)*$R170</f>
        <v>1886.7040000000002</v>
      </c>
      <c r="AC170" s="30">
        <f>IF(OR($O170="Solar",$O170="Wind"),INDEX(Land_Use[MAX],MATCH($O170,Land_Use[Tech],0)),0)*$R170</f>
        <v>9905.1960000000017</v>
      </c>
    </row>
    <row r="171" spans="13:29" x14ac:dyDescent="0.35">
      <c r="M171" t="s">
        <v>107</v>
      </c>
      <c r="N171">
        <v>1</v>
      </c>
      <c r="O171" t="s">
        <v>84</v>
      </c>
      <c r="P171">
        <v>2025</v>
      </c>
      <c r="Q171" s="13">
        <v>0</v>
      </c>
      <c r="R171" s="13">
        <f>SUMIFS($Q$3:Q171,$O$3:O171,O171,$M$3:M171,M171)</f>
        <v>0</v>
      </c>
      <c r="S171" s="13">
        <v>6035.0858307307299</v>
      </c>
      <c r="T171" s="13">
        <f t="shared" si="125"/>
        <v>0</v>
      </c>
      <c r="U171" s="42">
        <f t="shared" ref="U171:W171" si="168">U150</f>
        <v>-0.14403038200000001</v>
      </c>
      <c r="V171" s="42">
        <f t="shared" si="168"/>
        <v>-0.13205013099999999</v>
      </c>
      <c r="W171" s="42">
        <f t="shared" si="168"/>
        <v>-0.15601063200000001</v>
      </c>
      <c r="X171" s="30">
        <f t="shared" si="127"/>
        <v>0</v>
      </c>
      <c r="Y171" s="30">
        <f t="shared" si="128"/>
        <v>0</v>
      </c>
      <c r="Z171" s="30">
        <f t="shared" si="129"/>
        <v>0</v>
      </c>
      <c r="AA171" s="30">
        <f>IF(OR($O171="Solar",$O171="Wind"),INDEX(Land_Use[AVG],MATCH($O171,Land_Use[Tech],0)),0)*$R171</f>
        <v>0</v>
      </c>
      <c r="AB171" s="30">
        <f>IF(OR($O171="Solar",$O171="Wind"),INDEX(Land_Use[MIN],MATCH($O171,Land_Use[Tech],0)),0)*$R171</f>
        <v>0</v>
      </c>
      <c r="AC171" s="30">
        <f>IF(OR($O171="Solar",$O171="Wind"),INDEX(Land_Use[MAX],MATCH($O171,Land_Use[Tech],0)),0)*$R171</f>
        <v>0</v>
      </c>
    </row>
    <row r="172" spans="13:29" x14ac:dyDescent="0.35">
      <c r="M172" t="s">
        <v>107</v>
      </c>
      <c r="N172">
        <v>1</v>
      </c>
      <c r="O172" t="s">
        <v>84</v>
      </c>
      <c r="P172">
        <v>2026</v>
      </c>
      <c r="Q172" s="13">
        <v>5</v>
      </c>
      <c r="R172" s="13">
        <f>SUMIFS($Q$3:Q172,$O$3:O172,O172,$M$3:M172,M172)</f>
        <v>5</v>
      </c>
      <c r="S172" s="13">
        <v>5991.4369513857655</v>
      </c>
      <c r="T172" s="13">
        <f t="shared" si="125"/>
        <v>29957.184756928829</v>
      </c>
      <c r="U172" s="42">
        <f t="shared" ref="U172:W172" si="169">U151</f>
        <v>-0.13980645780000001</v>
      </c>
      <c r="V172" s="42">
        <f t="shared" si="169"/>
        <v>-0.12689236385</v>
      </c>
      <c r="W172" s="42">
        <f t="shared" si="169"/>
        <v>-0.15272055075000002</v>
      </c>
      <c r="X172" s="30">
        <f t="shared" si="127"/>
        <v>-4188.2078865263738</v>
      </c>
      <c r="Y172" s="30">
        <f t="shared" si="128"/>
        <v>-3801.3379880978869</v>
      </c>
      <c r="Z172" s="30">
        <f t="shared" si="129"/>
        <v>-4575.0777549976765</v>
      </c>
      <c r="AA172" s="30">
        <f>IF(OR($O172="Solar",$O172="Wind"),INDEX(Land_Use[AVG],MATCH($O172,Land_Use[Tech],0)),0)*$R172</f>
        <v>0</v>
      </c>
      <c r="AB172" s="30">
        <f>IF(OR($O172="Solar",$O172="Wind"),INDEX(Land_Use[MIN],MATCH($O172,Land_Use[Tech],0)),0)*$R172</f>
        <v>0</v>
      </c>
      <c r="AC172" s="30">
        <f>IF(OR($O172="Solar",$O172="Wind"),INDEX(Land_Use[MAX],MATCH($O172,Land_Use[Tech],0)),0)*$R172</f>
        <v>0</v>
      </c>
    </row>
    <row r="173" spans="13:29" x14ac:dyDescent="0.35">
      <c r="M173" t="s">
        <v>107</v>
      </c>
      <c r="N173">
        <v>1</v>
      </c>
      <c r="O173" t="s">
        <v>84</v>
      </c>
      <c r="P173">
        <v>2027</v>
      </c>
      <c r="Q173" s="13">
        <v>0</v>
      </c>
      <c r="R173" s="13">
        <f>SUMIFS($Q$3:Q173,$O$3:O173,O173,$M$3:M173,M173)</f>
        <v>5</v>
      </c>
      <c r="S173" s="13">
        <v>5947.7880720408011</v>
      </c>
      <c r="T173" s="13">
        <f t="shared" si="125"/>
        <v>29738.940360204004</v>
      </c>
      <c r="U173" s="42">
        <f t="shared" ref="U173:W173" si="170">U152</f>
        <v>-0.1355825336</v>
      </c>
      <c r="V173" s="42">
        <f t="shared" si="170"/>
        <v>-0.1217345967</v>
      </c>
      <c r="W173" s="42">
        <f t="shared" si="170"/>
        <v>-0.14943046950000002</v>
      </c>
      <c r="X173" s="30">
        <f t="shared" si="127"/>
        <v>-4032.0808806157556</v>
      </c>
      <c r="Y173" s="30">
        <f t="shared" si="128"/>
        <v>-3620.2579110347874</v>
      </c>
      <c r="Z173" s="30">
        <f t="shared" si="129"/>
        <v>-4443.9038204577837</v>
      </c>
      <c r="AA173" s="30">
        <f>IF(OR($O173="Solar",$O173="Wind"),INDEX(Land_Use[AVG],MATCH($O173,Land_Use[Tech],0)),0)*$R173</f>
        <v>0</v>
      </c>
      <c r="AB173" s="30">
        <f>IF(OR($O173="Solar",$O173="Wind"),INDEX(Land_Use[MIN],MATCH($O173,Land_Use[Tech],0)),0)*$R173</f>
        <v>0</v>
      </c>
      <c r="AC173" s="30">
        <f>IF(OR($O173="Solar",$O173="Wind"),INDEX(Land_Use[MAX],MATCH($O173,Land_Use[Tech],0)),0)*$R173</f>
        <v>0</v>
      </c>
    </row>
    <row r="174" spans="13:29" x14ac:dyDescent="0.35">
      <c r="M174" t="s">
        <v>107</v>
      </c>
      <c r="N174">
        <v>1</v>
      </c>
      <c r="O174" t="s">
        <v>84</v>
      </c>
      <c r="P174">
        <v>2028</v>
      </c>
      <c r="Q174" s="13">
        <v>0</v>
      </c>
      <c r="R174" s="13">
        <f>SUMIFS($Q$3:Q174,$O$3:O174,O174,$M$3:M174,M174)</f>
        <v>5</v>
      </c>
      <c r="S174" s="13">
        <v>5904.1391926958368</v>
      </c>
      <c r="T174" s="13">
        <f t="shared" si="125"/>
        <v>29520.695963479186</v>
      </c>
      <c r="U174" s="42">
        <f t="shared" ref="U174:W174" si="171">U153</f>
        <v>-0.13135860939999999</v>
      </c>
      <c r="V174" s="42">
        <f t="shared" si="171"/>
        <v>-0.11657682955000001</v>
      </c>
      <c r="W174" s="42">
        <f t="shared" si="171"/>
        <v>-0.14614038825000003</v>
      </c>
      <c r="X174" s="30">
        <f t="shared" si="127"/>
        <v>-3877.7975702828189</v>
      </c>
      <c r="Y174" s="30">
        <f t="shared" si="128"/>
        <v>-3441.4291415318862</v>
      </c>
      <c r="Z174" s="30">
        <f t="shared" si="129"/>
        <v>-4314.1659695130566</v>
      </c>
      <c r="AA174" s="30">
        <f>IF(OR($O174="Solar",$O174="Wind"),INDEX(Land_Use[AVG],MATCH($O174,Land_Use[Tech],0)),0)*$R174</f>
        <v>0</v>
      </c>
      <c r="AB174" s="30">
        <f>IF(OR($O174="Solar",$O174="Wind"),INDEX(Land_Use[MIN],MATCH($O174,Land_Use[Tech],0)),0)*$R174</f>
        <v>0</v>
      </c>
      <c r="AC174" s="30">
        <f>IF(OR($O174="Solar",$O174="Wind"),INDEX(Land_Use[MAX],MATCH($O174,Land_Use[Tech],0)),0)*$R174</f>
        <v>0</v>
      </c>
    </row>
    <row r="175" spans="13:29" x14ac:dyDescent="0.35">
      <c r="M175" t="s">
        <v>107</v>
      </c>
      <c r="N175">
        <v>1</v>
      </c>
      <c r="O175" t="s">
        <v>84</v>
      </c>
      <c r="P175">
        <v>2029</v>
      </c>
      <c r="Q175" s="13">
        <v>0</v>
      </c>
      <c r="R175" s="13">
        <f>SUMIFS($Q$3:Q175,$O$3:O175,O175,$M$3:M175,M175)</f>
        <v>5</v>
      </c>
      <c r="S175" s="13">
        <v>5860.4903133508724</v>
      </c>
      <c r="T175" s="13">
        <f t="shared" si="125"/>
        <v>29302.45156675436</v>
      </c>
      <c r="U175" s="42">
        <f t="shared" ref="U175:W175" si="172">U154</f>
        <v>-0.12713468519999999</v>
      </c>
      <c r="V175" s="42">
        <f t="shared" si="172"/>
        <v>-0.11141906240000002</v>
      </c>
      <c r="W175" s="42">
        <f t="shared" si="172"/>
        <v>-0.14285030700000004</v>
      </c>
      <c r="X175" s="30">
        <f t="shared" si="127"/>
        <v>-3725.3579555275619</v>
      </c>
      <c r="Y175" s="30">
        <f t="shared" si="128"/>
        <v>-3264.8516795891824</v>
      </c>
      <c r="Z175" s="30">
        <f t="shared" si="129"/>
        <v>-4185.8642021634923</v>
      </c>
      <c r="AA175" s="30">
        <f>IF(OR($O175="Solar",$O175="Wind"),INDEX(Land_Use[AVG],MATCH($O175,Land_Use[Tech],0)),0)*$R175</f>
        <v>0</v>
      </c>
      <c r="AB175" s="30">
        <f>IF(OR($O175="Solar",$O175="Wind"),INDEX(Land_Use[MIN],MATCH($O175,Land_Use[Tech],0)),0)*$R175</f>
        <v>0</v>
      </c>
      <c r="AC175" s="30">
        <f>IF(OR($O175="Solar",$O175="Wind"),INDEX(Land_Use[MAX],MATCH($O175,Land_Use[Tech],0)),0)*$R175</f>
        <v>0</v>
      </c>
    </row>
    <row r="176" spans="13:29" x14ac:dyDescent="0.35">
      <c r="M176" t="s">
        <v>107</v>
      </c>
      <c r="N176">
        <v>1</v>
      </c>
      <c r="O176" t="s">
        <v>84</v>
      </c>
      <c r="P176">
        <v>2030</v>
      </c>
      <c r="Q176" s="13">
        <v>5</v>
      </c>
      <c r="R176" s="13">
        <f>SUMIFS($Q$3:Q176,$O$3:O176,O176,$M$3:M176,M176)</f>
        <v>10</v>
      </c>
      <c r="S176" s="13">
        <v>5816.841434005908</v>
      </c>
      <c r="T176" s="13">
        <f t="shared" si="125"/>
        <v>58168.414340059084</v>
      </c>
      <c r="U176" s="42">
        <f t="shared" ref="U176:W176" si="173">U155</f>
        <v>-0.12291076099999998</v>
      </c>
      <c r="V176" s="42">
        <f t="shared" si="173"/>
        <v>-0.10626129525000003</v>
      </c>
      <c r="W176" s="42">
        <f t="shared" si="173"/>
        <v>-0.13956022575000004</v>
      </c>
      <c r="X176" s="30">
        <f t="shared" si="127"/>
        <v>-7149.5240726999737</v>
      </c>
      <c r="Y176" s="30">
        <f t="shared" si="128"/>
        <v>-6181.0510504133536</v>
      </c>
      <c r="Z176" s="30">
        <f t="shared" si="129"/>
        <v>-8117.9970368181857</v>
      </c>
      <c r="AA176" s="30">
        <f>IF(OR($O176="Solar",$O176="Wind"),INDEX(Land_Use[AVG],MATCH($O176,Land_Use[Tech],0)),0)*$R176</f>
        <v>0</v>
      </c>
      <c r="AB176" s="30">
        <f>IF(OR($O176="Solar",$O176="Wind"),INDEX(Land_Use[MIN],MATCH($O176,Land_Use[Tech],0)),0)*$R176</f>
        <v>0</v>
      </c>
      <c r="AC176" s="30">
        <f>IF(OR($O176="Solar",$O176="Wind"),INDEX(Land_Use[MAX],MATCH($O176,Land_Use[Tech],0)),0)*$R176</f>
        <v>0</v>
      </c>
    </row>
    <row r="177" spans="13:29" x14ac:dyDescent="0.35">
      <c r="M177" t="s">
        <v>107</v>
      </c>
      <c r="N177">
        <v>1</v>
      </c>
      <c r="O177" t="s">
        <v>84</v>
      </c>
      <c r="P177">
        <v>2031</v>
      </c>
      <c r="Q177" s="13">
        <v>0</v>
      </c>
      <c r="R177" s="13">
        <f>SUMIFS($Q$3:Q177,$O$3:O177,O177,$M$3:M177,M177)</f>
        <v>10</v>
      </c>
      <c r="S177" s="13">
        <v>5773.1925546609436</v>
      </c>
      <c r="T177" s="13">
        <f t="shared" si="125"/>
        <v>57731.925546609433</v>
      </c>
      <c r="U177" s="42">
        <f t="shared" ref="U177:W177" si="174">U156</f>
        <v>-0.11868683679999997</v>
      </c>
      <c r="V177" s="42">
        <f t="shared" si="174"/>
        <v>-0.10110352810000003</v>
      </c>
      <c r="W177" s="42">
        <f t="shared" si="174"/>
        <v>-0.13627014450000005</v>
      </c>
      <c r="X177" s="30">
        <f t="shared" si="127"/>
        <v>-6852.0196255001829</v>
      </c>
      <c r="Y177" s="30">
        <f t="shared" si="128"/>
        <v>-5836.9013567687371</v>
      </c>
      <c r="Z177" s="30">
        <f t="shared" si="129"/>
        <v>-7867.1378364997117</v>
      </c>
      <c r="AA177" s="30">
        <f>IF(OR($O177="Solar",$O177="Wind"),INDEX(Land_Use[AVG],MATCH($O177,Land_Use[Tech],0)),0)*$R177</f>
        <v>0</v>
      </c>
      <c r="AB177" s="30">
        <f>IF(OR($O177="Solar",$O177="Wind"),INDEX(Land_Use[MIN],MATCH($O177,Land_Use[Tech],0)),0)*$R177</f>
        <v>0</v>
      </c>
      <c r="AC177" s="30">
        <f>IF(OR($O177="Solar",$O177="Wind"),INDEX(Land_Use[MAX],MATCH($O177,Land_Use[Tech],0)),0)*$R177</f>
        <v>0</v>
      </c>
    </row>
    <row r="178" spans="13:29" x14ac:dyDescent="0.35">
      <c r="M178" t="s">
        <v>107</v>
      </c>
      <c r="N178">
        <v>1</v>
      </c>
      <c r="O178" t="s">
        <v>84</v>
      </c>
      <c r="P178">
        <v>2032</v>
      </c>
      <c r="Q178" s="13">
        <v>5</v>
      </c>
      <c r="R178" s="13">
        <f>SUMIFS($Q$3:Q178,$O$3:O178,O178,$M$3:M178,M178)</f>
        <v>15</v>
      </c>
      <c r="S178" s="13">
        <v>5729.5436753159793</v>
      </c>
      <c r="T178" s="13">
        <f t="shared" si="125"/>
        <v>85943.155129739695</v>
      </c>
      <c r="U178" s="42">
        <f t="shared" ref="U178:W178" si="175">U157</f>
        <v>-0.11446291259999997</v>
      </c>
      <c r="V178" s="42">
        <f t="shared" si="175"/>
        <v>-9.5945760950000042E-2</v>
      </c>
      <c r="W178" s="42">
        <f t="shared" si="175"/>
        <v>-0.13298006325000006</v>
      </c>
      <c r="X178" s="30">
        <f t="shared" si="127"/>
        <v>-9837.303854183634</v>
      </c>
      <c r="Y178" s="30">
        <f t="shared" si="128"/>
        <v>-8245.8814173667743</v>
      </c>
      <c r="Z178" s="30">
        <f t="shared" si="129"/>
        <v>-11428.726205057352</v>
      </c>
      <c r="AA178" s="30">
        <f>IF(OR($O178="Solar",$O178="Wind"),INDEX(Land_Use[AVG],MATCH($O178,Land_Use[Tech],0)),0)*$R178</f>
        <v>0</v>
      </c>
      <c r="AB178" s="30">
        <f>IF(OR($O178="Solar",$O178="Wind"),INDEX(Land_Use[MIN],MATCH($O178,Land_Use[Tech],0)),0)*$R178</f>
        <v>0</v>
      </c>
      <c r="AC178" s="30">
        <f>IF(OR($O178="Solar",$O178="Wind"),INDEX(Land_Use[MAX],MATCH($O178,Land_Use[Tech],0)),0)*$R178</f>
        <v>0</v>
      </c>
    </row>
    <row r="179" spans="13:29" x14ac:dyDescent="0.35">
      <c r="M179" t="s">
        <v>107</v>
      </c>
      <c r="N179">
        <v>1</v>
      </c>
      <c r="O179" t="s">
        <v>84</v>
      </c>
      <c r="P179">
        <v>2033</v>
      </c>
      <c r="Q179" s="13">
        <v>0</v>
      </c>
      <c r="R179" s="13">
        <f>SUMIFS($Q$3:Q179,$O$3:O179,O179,$M$3:M179,M179)</f>
        <v>15</v>
      </c>
      <c r="S179" s="13">
        <v>5685.8947959710149</v>
      </c>
      <c r="T179" s="13">
        <f t="shared" si="125"/>
        <v>85288.421939565218</v>
      </c>
      <c r="U179" s="42">
        <f t="shared" ref="U179:W179" si="176">U158</f>
        <v>-0.11023898839999996</v>
      </c>
      <c r="V179" s="42">
        <f t="shared" si="176"/>
        <v>-9.078799380000005E-2</v>
      </c>
      <c r="W179" s="42">
        <f t="shared" si="176"/>
        <v>-0.12968998200000006</v>
      </c>
      <c r="X179" s="30">
        <f t="shared" si="127"/>
        <v>-9402.1093568500328</v>
      </c>
      <c r="Y179" s="30">
        <f t="shared" si="128"/>
        <v>-7743.1647222610354</v>
      </c>
      <c r="Z179" s="30">
        <f t="shared" si="129"/>
        <v>-11061.053906150624</v>
      </c>
      <c r="AA179" s="30">
        <f>IF(OR($O179="Solar",$O179="Wind"),INDEX(Land_Use[AVG],MATCH($O179,Land_Use[Tech],0)),0)*$R179</f>
        <v>0</v>
      </c>
      <c r="AB179" s="30">
        <f>IF(OR($O179="Solar",$O179="Wind"),INDEX(Land_Use[MIN],MATCH($O179,Land_Use[Tech],0)),0)*$R179</f>
        <v>0</v>
      </c>
      <c r="AC179" s="30">
        <f>IF(OR($O179="Solar",$O179="Wind"),INDEX(Land_Use[MAX],MATCH($O179,Land_Use[Tech],0)),0)*$R179</f>
        <v>0</v>
      </c>
    </row>
    <row r="180" spans="13:29" x14ac:dyDescent="0.35">
      <c r="M180" t="s">
        <v>107</v>
      </c>
      <c r="N180">
        <v>1</v>
      </c>
      <c r="O180" t="s">
        <v>84</v>
      </c>
      <c r="P180">
        <v>2034</v>
      </c>
      <c r="Q180" s="13">
        <v>0</v>
      </c>
      <c r="R180" s="13">
        <f>SUMIFS($Q$3:Q180,$O$3:O180,O180,$M$3:M180,M180)</f>
        <v>15</v>
      </c>
      <c r="S180" s="13">
        <v>5642.2459166260505</v>
      </c>
      <c r="T180" s="13">
        <f t="shared" si="125"/>
        <v>84633.688749390756</v>
      </c>
      <c r="U180" s="42">
        <f t="shared" ref="U180:W180" si="177">U159</f>
        <v>-0.10601506419999995</v>
      </c>
      <c r="V180" s="42">
        <f t="shared" si="177"/>
        <v>-8.5630226650000058E-2</v>
      </c>
      <c r="W180" s="42">
        <f t="shared" si="177"/>
        <v>-0.12639990075000007</v>
      </c>
      <c r="X180" s="30">
        <f t="shared" si="127"/>
        <v>-8972.4459462494742</v>
      </c>
      <c r="Y180" s="30">
        <f t="shared" si="128"/>
        <v>-7247.2019498358904</v>
      </c>
      <c r="Z180" s="30">
        <f t="shared" si="129"/>
        <v>-10697.689858029389</v>
      </c>
      <c r="AA180" s="30">
        <f>IF(OR($O180="Solar",$O180="Wind"),INDEX(Land_Use[AVG],MATCH($O180,Land_Use[Tech],0)),0)*$R180</f>
        <v>0</v>
      </c>
      <c r="AB180" s="30">
        <f>IF(OR($O180="Solar",$O180="Wind"),INDEX(Land_Use[MIN],MATCH($O180,Land_Use[Tech],0)),0)*$R180</f>
        <v>0</v>
      </c>
      <c r="AC180" s="30">
        <f>IF(OR($O180="Solar",$O180="Wind"),INDEX(Land_Use[MAX],MATCH($O180,Land_Use[Tech],0)),0)*$R180</f>
        <v>0</v>
      </c>
    </row>
    <row r="181" spans="13:29" x14ac:dyDescent="0.35">
      <c r="M181" t="s">
        <v>107</v>
      </c>
      <c r="N181">
        <v>1</v>
      </c>
      <c r="O181" t="s">
        <v>84</v>
      </c>
      <c r="P181">
        <v>2035</v>
      </c>
      <c r="Q181" s="13">
        <v>0</v>
      </c>
      <c r="R181" s="13">
        <f>SUMIFS($Q$3:Q181,$O$3:O181,O181,$M$3:M181,M181)</f>
        <v>15</v>
      </c>
      <c r="S181" s="13">
        <v>5598.5970372810862</v>
      </c>
      <c r="T181" s="13">
        <f t="shared" si="125"/>
        <v>83978.955559216294</v>
      </c>
      <c r="U181" s="42">
        <f t="shared" ref="U181:W181" si="178">U160</f>
        <v>-0.10179113999999995</v>
      </c>
      <c r="V181" s="42">
        <f t="shared" si="178"/>
        <v>-8.0472459500000065E-2</v>
      </c>
      <c r="W181" s="42">
        <f t="shared" si="178"/>
        <v>-0.12310981950000006</v>
      </c>
      <c r="X181" s="30">
        <f t="shared" si="127"/>
        <v>-8548.3136223819602</v>
      </c>
      <c r="Y181" s="30">
        <f t="shared" si="128"/>
        <v>-6757.9931000913384</v>
      </c>
      <c r="Z181" s="30">
        <f t="shared" si="129"/>
        <v>-10338.634060693645</v>
      </c>
      <c r="AA181" s="30">
        <f>IF(OR($O181="Solar",$O181="Wind"),INDEX(Land_Use[AVG],MATCH($O181,Land_Use[Tech],0)),0)*$R181</f>
        <v>0</v>
      </c>
      <c r="AB181" s="30">
        <f>IF(OR($O181="Solar",$O181="Wind"),INDEX(Land_Use[MIN],MATCH($O181,Land_Use[Tech],0)),0)*$R181</f>
        <v>0</v>
      </c>
      <c r="AC181" s="30">
        <f>IF(OR($O181="Solar",$O181="Wind"),INDEX(Land_Use[MAX],MATCH($O181,Land_Use[Tech],0)),0)*$R181</f>
        <v>0</v>
      </c>
    </row>
    <row r="182" spans="13:29" x14ac:dyDescent="0.35">
      <c r="M182" t="s">
        <v>107</v>
      </c>
      <c r="N182">
        <v>1</v>
      </c>
      <c r="O182" t="s">
        <v>84</v>
      </c>
      <c r="P182">
        <v>2036</v>
      </c>
      <c r="Q182" s="13">
        <v>0</v>
      </c>
      <c r="R182" s="13">
        <f>SUMIFS($Q$3:Q182,$O$3:O182,O182,$M$3:M182,M182)</f>
        <v>15</v>
      </c>
      <c r="S182" s="13">
        <v>5554.9481579361218</v>
      </c>
      <c r="T182" s="13">
        <f t="shared" si="125"/>
        <v>83324.222369041832</v>
      </c>
      <c r="U182" s="42">
        <f t="shared" ref="U182:W182" si="179">U161</f>
        <v>-9.756721579999994E-2</v>
      </c>
      <c r="V182" s="42">
        <f t="shared" si="179"/>
        <v>-7.5314692350000073E-2</v>
      </c>
      <c r="W182" s="42">
        <f t="shared" si="179"/>
        <v>-0.11981973825000006</v>
      </c>
      <c r="X182" s="30">
        <f t="shared" si="127"/>
        <v>-8129.712385247487</v>
      </c>
      <c r="Y182" s="30">
        <f t="shared" si="128"/>
        <v>-6275.5381730273803</v>
      </c>
      <c r="Z182" s="30">
        <f t="shared" si="129"/>
        <v>-9983.8865141433926</v>
      </c>
      <c r="AA182" s="30">
        <f>IF(OR($O182="Solar",$O182="Wind"),INDEX(Land_Use[AVG],MATCH($O182,Land_Use[Tech],0)),0)*$R182</f>
        <v>0</v>
      </c>
      <c r="AB182" s="30">
        <f>IF(OR($O182="Solar",$O182="Wind"),INDEX(Land_Use[MIN],MATCH($O182,Land_Use[Tech],0)),0)*$R182</f>
        <v>0</v>
      </c>
      <c r="AC182" s="30">
        <f>IF(OR($O182="Solar",$O182="Wind"),INDEX(Land_Use[MAX],MATCH($O182,Land_Use[Tech],0)),0)*$R182</f>
        <v>0</v>
      </c>
    </row>
    <row r="183" spans="13:29" x14ac:dyDescent="0.35">
      <c r="M183" t="s">
        <v>107</v>
      </c>
      <c r="N183">
        <v>1</v>
      </c>
      <c r="O183" t="s">
        <v>84</v>
      </c>
      <c r="P183">
        <v>2037</v>
      </c>
      <c r="Q183" s="13">
        <v>0</v>
      </c>
      <c r="R183" s="13">
        <f>SUMIFS($Q$3:Q183,$O$3:O183,O183,$M$3:M183,M183)</f>
        <v>15</v>
      </c>
      <c r="S183" s="13">
        <v>5511.2992785911574</v>
      </c>
      <c r="T183" s="13">
        <f t="shared" si="125"/>
        <v>82669.489178867356</v>
      </c>
      <c r="U183" s="42">
        <f t="shared" ref="U183:W183" si="180">U162</f>
        <v>-9.3343291599999934E-2</v>
      </c>
      <c r="V183" s="42">
        <f t="shared" si="180"/>
        <v>-7.0156925200000081E-2</v>
      </c>
      <c r="W183" s="42">
        <f t="shared" si="180"/>
        <v>-0.11652965700000005</v>
      </c>
      <c r="X183" s="30">
        <f t="shared" si="127"/>
        <v>-7716.6422348460546</v>
      </c>
      <c r="Y183" s="30">
        <f t="shared" si="128"/>
        <v>-5799.8371686440132</v>
      </c>
      <c r="Z183" s="30">
        <f t="shared" si="129"/>
        <v>-9633.4472183786293</v>
      </c>
      <c r="AA183" s="30">
        <f>IF(OR($O183="Solar",$O183="Wind"),INDEX(Land_Use[AVG],MATCH($O183,Land_Use[Tech],0)),0)*$R183</f>
        <v>0</v>
      </c>
      <c r="AB183" s="30">
        <f>IF(OR($O183="Solar",$O183="Wind"),INDEX(Land_Use[MIN],MATCH($O183,Land_Use[Tech],0)),0)*$R183</f>
        <v>0</v>
      </c>
      <c r="AC183" s="30">
        <f>IF(OR($O183="Solar",$O183="Wind"),INDEX(Land_Use[MAX],MATCH($O183,Land_Use[Tech],0)),0)*$R183</f>
        <v>0</v>
      </c>
    </row>
    <row r="184" spans="13:29" x14ac:dyDescent="0.35">
      <c r="M184" t="s">
        <v>107</v>
      </c>
      <c r="N184">
        <v>1</v>
      </c>
      <c r="O184" t="s">
        <v>84</v>
      </c>
      <c r="P184">
        <v>2038</v>
      </c>
      <c r="Q184" s="13">
        <v>0</v>
      </c>
      <c r="R184" s="13">
        <f>SUMIFS($Q$3:Q184,$O$3:O184,O184,$M$3:M184,M184)</f>
        <v>15</v>
      </c>
      <c r="S184" s="13">
        <v>5467.650399246193</v>
      </c>
      <c r="T184" s="13">
        <f t="shared" si="125"/>
        <v>82014.755988692894</v>
      </c>
      <c r="U184" s="42">
        <f t="shared" ref="U184:W184" si="181">U163</f>
        <v>-8.9119367399999927E-2</v>
      </c>
      <c r="V184" s="42">
        <f t="shared" si="181"/>
        <v>-6.4999158050000089E-2</v>
      </c>
      <c r="W184" s="42">
        <f t="shared" si="181"/>
        <v>-0.11323957575000004</v>
      </c>
      <c r="X184" s="30">
        <f t="shared" si="127"/>
        <v>-7309.1031711776659</v>
      </c>
      <c r="Y184" s="30">
        <f t="shared" si="128"/>
        <v>-5330.890086941241</v>
      </c>
      <c r="Z184" s="30">
        <f t="shared" si="129"/>
        <v>-9287.3161733993584</v>
      </c>
      <c r="AA184" s="30">
        <f>IF(OR($O184="Solar",$O184="Wind"),INDEX(Land_Use[AVG],MATCH($O184,Land_Use[Tech],0)),0)*$R184</f>
        <v>0</v>
      </c>
      <c r="AB184" s="30">
        <f>IF(OR($O184="Solar",$O184="Wind"),INDEX(Land_Use[MIN],MATCH($O184,Land_Use[Tech],0)),0)*$R184</f>
        <v>0</v>
      </c>
      <c r="AC184" s="30">
        <f>IF(OR($O184="Solar",$O184="Wind"),INDEX(Land_Use[MAX],MATCH($O184,Land_Use[Tech],0)),0)*$R184</f>
        <v>0</v>
      </c>
    </row>
    <row r="185" spans="13:29" x14ac:dyDescent="0.35">
      <c r="M185" t="s">
        <v>107</v>
      </c>
      <c r="N185">
        <v>1</v>
      </c>
      <c r="O185" t="s">
        <v>84</v>
      </c>
      <c r="P185">
        <v>2039</v>
      </c>
      <c r="Q185" s="13">
        <v>0</v>
      </c>
      <c r="R185" s="13">
        <f>SUMIFS($Q$3:Q185,$O$3:O185,O185,$M$3:M185,M185)</f>
        <v>15</v>
      </c>
      <c r="S185" s="13">
        <v>5424.0015199012287</v>
      </c>
      <c r="T185" s="13">
        <f t="shared" si="125"/>
        <v>81360.022798518432</v>
      </c>
      <c r="U185" s="42">
        <f t="shared" ref="U185:W185" si="182">U164</f>
        <v>-8.489544319999992E-2</v>
      </c>
      <c r="V185" s="42">
        <f t="shared" si="182"/>
        <v>-5.984139090000009E-2</v>
      </c>
      <c r="W185" s="42">
        <f t="shared" si="182"/>
        <v>-0.10994949450000004</v>
      </c>
      <c r="X185" s="30">
        <f t="shared" si="127"/>
        <v>-6907.0951942423198</v>
      </c>
      <c r="Y185" s="30">
        <f t="shared" si="128"/>
        <v>-4868.6969279190607</v>
      </c>
      <c r="Z185" s="30">
        <f t="shared" si="129"/>
        <v>-8945.4933792055799</v>
      </c>
      <c r="AA185" s="30">
        <f>IF(OR($O185="Solar",$O185="Wind"),INDEX(Land_Use[AVG],MATCH($O185,Land_Use[Tech],0)),0)*$R185</f>
        <v>0</v>
      </c>
      <c r="AB185" s="30">
        <f>IF(OR($O185="Solar",$O185="Wind"),INDEX(Land_Use[MIN],MATCH($O185,Land_Use[Tech],0)),0)*$R185</f>
        <v>0</v>
      </c>
      <c r="AC185" s="30">
        <f>IF(OR($O185="Solar",$O185="Wind"),INDEX(Land_Use[MAX],MATCH($O185,Land_Use[Tech],0)),0)*$R185</f>
        <v>0</v>
      </c>
    </row>
    <row r="186" spans="13:29" x14ac:dyDescent="0.35">
      <c r="M186" t="s">
        <v>107</v>
      </c>
      <c r="N186">
        <v>1</v>
      </c>
      <c r="O186" t="s">
        <v>84</v>
      </c>
      <c r="P186">
        <v>2040</v>
      </c>
      <c r="Q186" s="13">
        <v>0</v>
      </c>
      <c r="R186" s="13">
        <f>SUMIFS($Q$3:Q186,$O$3:O186,O186,$M$3:M186,M186)</f>
        <v>15</v>
      </c>
      <c r="S186" s="13">
        <v>5380.3526405562643</v>
      </c>
      <c r="T186" s="13">
        <f t="shared" si="125"/>
        <v>80705.28960834397</v>
      </c>
      <c r="U186" s="42">
        <f t="shared" ref="U186:W186" si="183">U165</f>
        <v>-8.0671518999999914E-2</v>
      </c>
      <c r="V186" s="42">
        <f t="shared" si="183"/>
        <v>-5.468362375000009E-2</v>
      </c>
      <c r="W186" s="42">
        <f t="shared" si="183"/>
        <v>-0.10665941325000003</v>
      </c>
      <c r="X186" s="30">
        <f t="shared" si="127"/>
        <v>-6510.6183040400165</v>
      </c>
      <c r="Y186" s="30">
        <f t="shared" si="128"/>
        <v>-4413.2576915774735</v>
      </c>
      <c r="Z186" s="30">
        <f t="shared" si="129"/>
        <v>-8607.978835797292</v>
      </c>
      <c r="AA186" s="30">
        <f>IF(OR($O186="Solar",$O186="Wind"),INDEX(Land_Use[AVG],MATCH($O186,Land_Use[Tech],0)),0)*$R186</f>
        <v>0</v>
      </c>
      <c r="AB186" s="30">
        <f>IF(OR($O186="Solar",$O186="Wind"),INDEX(Land_Use[MIN],MATCH($O186,Land_Use[Tech],0)),0)*$R186</f>
        <v>0</v>
      </c>
      <c r="AC186" s="30">
        <f>IF(OR($O186="Solar",$O186="Wind"),INDEX(Land_Use[MAX],MATCH($O186,Land_Use[Tech],0)),0)*$R186</f>
        <v>0</v>
      </c>
    </row>
    <row r="187" spans="13:29" x14ac:dyDescent="0.35">
      <c r="M187" t="s">
        <v>107</v>
      </c>
      <c r="N187">
        <v>1</v>
      </c>
      <c r="O187" t="s">
        <v>84</v>
      </c>
      <c r="P187">
        <v>2041</v>
      </c>
      <c r="Q187" s="13">
        <v>0</v>
      </c>
      <c r="R187" s="13">
        <f>SUMIFS($Q$3:Q187,$O$3:O187,O187,$M$3:M187,M187)</f>
        <v>15</v>
      </c>
      <c r="S187" s="13">
        <v>5336.7037612112999</v>
      </c>
      <c r="T187" s="13">
        <f t="shared" si="125"/>
        <v>80050.556418169494</v>
      </c>
      <c r="U187" s="42">
        <f t="shared" ref="U187:W187" si="184">U166</f>
        <v>-7.6447594799999907E-2</v>
      </c>
      <c r="V187" s="42">
        <f t="shared" si="184"/>
        <v>-4.9525856600000091E-2</v>
      </c>
      <c r="W187" s="42">
        <f t="shared" si="184"/>
        <v>-0.10336933200000002</v>
      </c>
      <c r="X187" s="30">
        <f t="shared" si="127"/>
        <v>-6119.6725005707531</v>
      </c>
      <c r="Y187" s="30">
        <f t="shared" si="128"/>
        <v>-3964.5723779164791</v>
      </c>
      <c r="Z187" s="30">
        <f t="shared" si="129"/>
        <v>-8274.7725431744948</v>
      </c>
      <c r="AA187" s="30">
        <f>IF(OR($O187="Solar",$O187="Wind"),INDEX(Land_Use[AVG],MATCH($O187,Land_Use[Tech],0)),0)*$R187</f>
        <v>0</v>
      </c>
      <c r="AB187" s="30">
        <f>IF(OR($O187="Solar",$O187="Wind"),INDEX(Land_Use[MIN],MATCH($O187,Land_Use[Tech],0)),0)*$R187</f>
        <v>0</v>
      </c>
      <c r="AC187" s="30">
        <f>IF(OR($O187="Solar",$O187="Wind"),INDEX(Land_Use[MAX],MATCH($O187,Land_Use[Tech],0)),0)*$R187</f>
        <v>0</v>
      </c>
    </row>
    <row r="188" spans="13:29" x14ac:dyDescent="0.35">
      <c r="M188" t="s">
        <v>107</v>
      </c>
      <c r="N188">
        <v>1</v>
      </c>
      <c r="O188" t="s">
        <v>84</v>
      </c>
      <c r="P188">
        <v>2042</v>
      </c>
      <c r="Q188" s="13">
        <v>0</v>
      </c>
      <c r="R188" s="13">
        <f>SUMIFS($Q$3:Q188,$O$3:O188,O188,$M$3:M188,M188)</f>
        <v>15</v>
      </c>
      <c r="S188" s="13">
        <v>5293.0548818663356</v>
      </c>
      <c r="T188" s="13">
        <f t="shared" si="125"/>
        <v>79395.823227995032</v>
      </c>
      <c r="U188" s="42">
        <f t="shared" ref="U188:W188" si="185">U167</f>
        <v>-7.2223670599999901E-2</v>
      </c>
      <c r="V188" s="42">
        <f t="shared" si="185"/>
        <v>-4.4368089450000092E-2</v>
      </c>
      <c r="W188" s="42">
        <f t="shared" si="185"/>
        <v>-0.10007925075000002</v>
      </c>
      <c r="X188" s="30">
        <f t="shared" si="127"/>
        <v>-5734.2577838345342</v>
      </c>
      <c r="Y188" s="30">
        <f t="shared" si="128"/>
        <v>-3522.6409869360787</v>
      </c>
      <c r="Z188" s="30">
        <f t="shared" si="129"/>
        <v>-7945.8745013371899</v>
      </c>
      <c r="AA188" s="30">
        <f>IF(OR($O188="Solar",$O188="Wind"),INDEX(Land_Use[AVG],MATCH($O188,Land_Use[Tech],0)),0)*$R188</f>
        <v>0</v>
      </c>
      <c r="AB188" s="30">
        <f>IF(OR($O188="Solar",$O188="Wind"),INDEX(Land_Use[MIN],MATCH($O188,Land_Use[Tech],0)),0)*$R188</f>
        <v>0</v>
      </c>
      <c r="AC188" s="30">
        <f>IF(OR($O188="Solar",$O188="Wind"),INDEX(Land_Use[MAX],MATCH($O188,Land_Use[Tech],0)),0)*$R188</f>
        <v>0</v>
      </c>
    </row>
    <row r="189" spans="13:29" x14ac:dyDescent="0.35">
      <c r="M189" t="s">
        <v>107</v>
      </c>
      <c r="N189">
        <v>1</v>
      </c>
      <c r="O189" t="s">
        <v>84</v>
      </c>
      <c r="P189">
        <v>2043</v>
      </c>
      <c r="Q189" s="13">
        <v>0</v>
      </c>
      <c r="R189" s="13">
        <f>SUMIFS($Q$3:Q189,$O$3:O189,O189,$M$3:M189,M189)</f>
        <v>15</v>
      </c>
      <c r="S189" s="13">
        <v>5249.4060025213712</v>
      </c>
      <c r="T189" s="13">
        <f t="shared" si="125"/>
        <v>78741.09003782057</v>
      </c>
      <c r="U189" s="42">
        <f t="shared" ref="U189:W189" si="186">U168</f>
        <v>-6.7999746399999894E-2</v>
      </c>
      <c r="V189" s="42">
        <f t="shared" si="186"/>
        <v>-3.9210322300000093E-2</v>
      </c>
      <c r="W189" s="42">
        <f t="shared" si="186"/>
        <v>-9.6789169500000008E-2</v>
      </c>
      <c r="X189" s="30">
        <f t="shared" si="127"/>
        <v>-5354.374153831357</v>
      </c>
      <c r="Y189" s="30">
        <f t="shared" si="128"/>
        <v>-3087.4635186362711</v>
      </c>
      <c r="Z189" s="30">
        <f t="shared" si="129"/>
        <v>-7621.2847102853775</v>
      </c>
      <c r="AA189" s="30">
        <f>IF(OR($O189="Solar",$O189="Wind"),INDEX(Land_Use[AVG],MATCH($O189,Land_Use[Tech],0)),0)*$R189</f>
        <v>0</v>
      </c>
      <c r="AB189" s="30">
        <f>IF(OR($O189="Solar",$O189="Wind"),INDEX(Land_Use[MIN],MATCH($O189,Land_Use[Tech],0)),0)*$R189</f>
        <v>0</v>
      </c>
      <c r="AC189" s="30">
        <f>IF(OR($O189="Solar",$O189="Wind"),INDEX(Land_Use[MAX],MATCH($O189,Land_Use[Tech],0)),0)*$R189</f>
        <v>0</v>
      </c>
    </row>
    <row r="190" spans="13:29" x14ac:dyDescent="0.35">
      <c r="M190" t="s">
        <v>107</v>
      </c>
      <c r="N190">
        <v>1</v>
      </c>
      <c r="O190" t="s">
        <v>84</v>
      </c>
      <c r="P190">
        <v>2044</v>
      </c>
      <c r="Q190" s="13">
        <v>0</v>
      </c>
      <c r="R190" s="13">
        <f>SUMIFS($Q$3:Q190,$O$3:O190,O190,$M$3:M190,M190)</f>
        <v>15</v>
      </c>
      <c r="S190" s="13">
        <v>5205.7571231764068</v>
      </c>
      <c r="T190" s="13">
        <f t="shared" si="125"/>
        <v>78086.356847646108</v>
      </c>
      <c r="U190" s="42">
        <f t="shared" ref="U190:W190" si="187">U169</f>
        <v>-6.3775822199999888E-2</v>
      </c>
      <c r="V190" s="42">
        <f t="shared" si="187"/>
        <v>-3.4052555150000094E-2</v>
      </c>
      <c r="W190" s="42">
        <f t="shared" si="187"/>
        <v>-9.3499088250000001E-2</v>
      </c>
      <c r="X190" s="30">
        <f t="shared" si="127"/>
        <v>-4980.0216105612217</v>
      </c>
      <c r="Y190" s="30">
        <f t="shared" si="128"/>
        <v>-2659.0399730170566</v>
      </c>
      <c r="Z190" s="30">
        <f t="shared" si="129"/>
        <v>-7301.0031700190557</v>
      </c>
      <c r="AA190" s="30">
        <f>IF(OR($O190="Solar",$O190="Wind"),INDEX(Land_Use[AVG],MATCH($O190,Land_Use[Tech],0)),0)*$R190</f>
        <v>0</v>
      </c>
      <c r="AB190" s="30">
        <f>IF(OR($O190="Solar",$O190="Wind"),INDEX(Land_Use[MIN],MATCH($O190,Land_Use[Tech],0)),0)*$R190</f>
        <v>0</v>
      </c>
      <c r="AC190" s="30">
        <f>IF(OR($O190="Solar",$O190="Wind"),INDEX(Land_Use[MAX],MATCH($O190,Land_Use[Tech],0)),0)*$R190</f>
        <v>0</v>
      </c>
    </row>
    <row r="191" spans="13:29" x14ac:dyDescent="0.35">
      <c r="M191" t="s">
        <v>107</v>
      </c>
      <c r="N191">
        <v>1</v>
      </c>
      <c r="O191" t="s">
        <v>84</v>
      </c>
      <c r="P191">
        <v>2045</v>
      </c>
      <c r="Q191" s="13">
        <v>0</v>
      </c>
      <c r="R191" s="13">
        <f>SUMIFS($Q$3:Q191,$O$3:O191,O191,$M$3:M191,M191)</f>
        <v>15</v>
      </c>
      <c r="S191" s="13">
        <v>5162.1082438314425</v>
      </c>
      <c r="T191" s="13">
        <f t="shared" si="125"/>
        <v>77431.623657471631</v>
      </c>
      <c r="U191" s="42">
        <f t="shared" ref="U191:W191" si="188">U170</f>
        <v>-5.9551897999999888E-2</v>
      </c>
      <c r="V191" s="42">
        <f t="shared" si="188"/>
        <v>-2.8894788000000095E-2</v>
      </c>
      <c r="W191" s="42">
        <f t="shared" si="188"/>
        <v>-9.0209006999999994E-2</v>
      </c>
      <c r="X191" s="30">
        <f t="shared" si="127"/>
        <v>-4611.200154024129</v>
      </c>
      <c r="Y191" s="30">
        <f t="shared" si="128"/>
        <v>-2237.370350078435</v>
      </c>
      <c r="Z191" s="30">
        <f t="shared" si="129"/>
        <v>-6985.0298805382236</v>
      </c>
      <c r="AA191" s="30">
        <f>IF(OR($O191="Solar",$O191="Wind"),INDEX(Land_Use[AVG],MATCH($O191,Land_Use[Tech],0)),0)*$R191</f>
        <v>0</v>
      </c>
      <c r="AB191" s="30">
        <f>IF(OR($O191="Solar",$O191="Wind"),INDEX(Land_Use[MIN],MATCH($O191,Land_Use[Tech],0)),0)*$R191</f>
        <v>0</v>
      </c>
      <c r="AC191" s="30">
        <f>IF(OR($O191="Solar",$O191="Wind"),INDEX(Land_Use[MAX],MATCH($O191,Land_Use[Tech],0)),0)*$R191</f>
        <v>0</v>
      </c>
    </row>
    <row r="192" spans="13:29" x14ac:dyDescent="0.35">
      <c r="M192" t="s">
        <v>107</v>
      </c>
      <c r="N192">
        <v>1</v>
      </c>
      <c r="O192" t="s">
        <v>86</v>
      </c>
      <c r="P192">
        <v>2025</v>
      </c>
      <c r="Q192" s="13">
        <v>0</v>
      </c>
      <c r="R192" s="13">
        <f>SUMIFS($Q$3:Q192,$O$3:O192,O192,$M$3:M192,M192)</f>
        <v>0</v>
      </c>
      <c r="S192" s="13">
        <v>1670.82114582243</v>
      </c>
      <c r="T192" s="13">
        <f t="shared" si="125"/>
        <v>0</v>
      </c>
      <c r="U192" s="42">
        <f t="shared" ref="U192:W192" si="189">U171</f>
        <v>-0.14403038200000001</v>
      </c>
      <c r="V192" s="42">
        <f t="shared" si="189"/>
        <v>-0.13205013099999999</v>
      </c>
      <c r="W192" s="42">
        <f t="shared" si="189"/>
        <v>-0.15601063200000001</v>
      </c>
      <c r="X192" s="30">
        <f t="shared" si="127"/>
        <v>0</v>
      </c>
      <c r="Y192" s="30">
        <f t="shared" si="128"/>
        <v>0</v>
      </c>
      <c r="Z192" s="30">
        <f t="shared" si="129"/>
        <v>0</v>
      </c>
      <c r="AA192" s="30">
        <f>IF(OR($O192="Solar",$O192="Wind"),INDEX(Land_Use[AVG],MATCH($O192,Land_Use[Tech],0)),0)*$R192</f>
        <v>0</v>
      </c>
      <c r="AB192" s="30">
        <f>IF(OR($O192="Solar",$O192="Wind"),INDEX(Land_Use[MIN],MATCH($O192,Land_Use[Tech],0)),0)*$R192</f>
        <v>0</v>
      </c>
      <c r="AC192" s="30">
        <f>IF(OR($O192="Solar",$O192="Wind"),INDEX(Land_Use[MAX],MATCH($O192,Land_Use[Tech],0)),0)*$R192</f>
        <v>0</v>
      </c>
    </row>
    <row r="193" spans="13:29" x14ac:dyDescent="0.35">
      <c r="M193" t="s">
        <v>107</v>
      </c>
      <c r="N193">
        <v>1</v>
      </c>
      <c r="O193" t="s">
        <v>86</v>
      </c>
      <c r="P193">
        <v>2026</v>
      </c>
      <c r="Q193" s="13">
        <v>0</v>
      </c>
      <c r="R193" s="13">
        <f>SUMIFS($Q$3:Q193,$O$3:O193,O193,$M$3:M193,M193)</f>
        <v>0</v>
      </c>
      <c r="S193" s="13">
        <v>1698.006304040191</v>
      </c>
      <c r="T193" s="13">
        <f t="shared" si="125"/>
        <v>0</v>
      </c>
      <c r="U193" s="42">
        <f t="shared" ref="U193:W193" si="190">U172</f>
        <v>-0.13980645780000001</v>
      </c>
      <c r="V193" s="42">
        <f t="shared" si="190"/>
        <v>-0.12689236385</v>
      </c>
      <c r="W193" s="42">
        <f t="shared" si="190"/>
        <v>-0.15272055075000002</v>
      </c>
      <c r="X193" s="30">
        <f t="shared" si="127"/>
        <v>0</v>
      </c>
      <c r="Y193" s="30">
        <f t="shared" si="128"/>
        <v>0</v>
      </c>
      <c r="Z193" s="30">
        <f t="shared" si="129"/>
        <v>0</v>
      </c>
      <c r="AA193" s="30">
        <f>IF(OR($O193="Solar",$O193="Wind"),INDEX(Land_Use[AVG],MATCH($O193,Land_Use[Tech],0)),0)*$R193</f>
        <v>0</v>
      </c>
      <c r="AB193" s="30">
        <f>IF(OR($O193="Solar",$O193="Wind"),INDEX(Land_Use[MIN],MATCH($O193,Land_Use[Tech],0)),0)*$R193</f>
        <v>0</v>
      </c>
      <c r="AC193" s="30">
        <f>IF(OR($O193="Solar",$O193="Wind"),INDEX(Land_Use[MAX],MATCH($O193,Land_Use[Tech],0)),0)*$R193</f>
        <v>0</v>
      </c>
    </row>
    <row r="194" spans="13:29" x14ac:dyDescent="0.35">
      <c r="M194" t="s">
        <v>107</v>
      </c>
      <c r="N194">
        <v>1</v>
      </c>
      <c r="O194" t="s">
        <v>86</v>
      </c>
      <c r="P194">
        <v>2027</v>
      </c>
      <c r="Q194" s="13">
        <v>0</v>
      </c>
      <c r="R194" s="13">
        <f>SUMIFS($Q$3:Q194,$O$3:O194,O194,$M$3:M194,M194)</f>
        <v>0</v>
      </c>
      <c r="S194" s="13">
        <v>1725.191462257952</v>
      </c>
      <c r="T194" s="13">
        <f t="shared" si="125"/>
        <v>0</v>
      </c>
      <c r="U194" s="42">
        <f t="shared" ref="U194:W194" si="191">U173</f>
        <v>-0.1355825336</v>
      </c>
      <c r="V194" s="42">
        <f t="shared" si="191"/>
        <v>-0.1217345967</v>
      </c>
      <c r="W194" s="42">
        <f t="shared" si="191"/>
        <v>-0.14943046950000002</v>
      </c>
      <c r="X194" s="30">
        <f t="shared" si="127"/>
        <v>0</v>
      </c>
      <c r="Y194" s="30">
        <f t="shared" si="128"/>
        <v>0</v>
      </c>
      <c r="Z194" s="30">
        <f t="shared" si="129"/>
        <v>0</v>
      </c>
      <c r="AA194" s="30">
        <f>IF(OR($O194="Solar",$O194="Wind"),INDEX(Land_Use[AVG],MATCH($O194,Land_Use[Tech],0)),0)*$R194</f>
        <v>0</v>
      </c>
      <c r="AB194" s="30">
        <f>IF(OR($O194="Solar",$O194="Wind"),INDEX(Land_Use[MIN],MATCH($O194,Land_Use[Tech],0)),0)*$R194</f>
        <v>0</v>
      </c>
      <c r="AC194" s="30">
        <f>IF(OR($O194="Solar",$O194="Wind"),INDEX(Land_Use[MAX],MATCH($O194,Land_Use[Tech],0)),0)*$R194</f>
        <v>0</v>
      </c>
    </row>
    <row r="195" spans="13:29" x14ac:dyDescent="0.35">
      <c r="M195" t="s">
        <v>107</v>
      </c>
      <c r="N195">
        <v>1</v>
      </c>
      <c r="O195" t="s">
        <v>86</v>
      </c>
      <c r="P195">
        <v>2028</v>
      </c>
      <c r="Q195" s="13">
        <v>0</v>
      </c>
      <c r="R195" s="13">
        <f>SUMIFS($Q$3:Q195,$O$3:O195,O195,$M$3:M195,M195)</f>
        <v>0</v>
      </c>
      <c r="S195" s="13">
        <v>1752.376620475713</v>
      </c>
      <c r="T195" s="13">
        <f t="shared" si="125"/>
        <v>0</v>
      </c>
      <c r="U195" s="42">
        <f t="shared" ref="U195:W195" si="192">U174</f>
        <v>-0.13135860939999999</v>
      </c>
      <c r="V195" s="42">
        <f t="shared" si="192"/>
        <v>-0.11657682955000001</v>
      </c>
      <c r="W195" s="42">
        <f t="shared" si="192"/>
        <v>-0.14614038825000003</v>
      </c>
      <c r="X195" s="30">
        <f t="shared" si="127"/>
        <v>0</v>
      </c>
      <c r="Y195" s="30">
        <f t="shared" si="128"/>
        <v>0</v>
      </c>
      <c r="Z195" s="30">
        <f t="shared" si="129"/>
        <v>0</v>
      </c>
      <c r="AA195" s="30">
        <f>IF(OR($O195="Solar",$O195="Wind"),INDEX(Land_Use[AVG],MATCH($O195,Land_Use[Tech],0)),0)*$R195</f>
        <v>0</v>
      </c>
      <c r="AB195" s="30">
        <f>IF(OR($O195="Solar",$O195="Wind"),INDEX(Land_Use[MIN],MATCH($O195,Land_Use[Tech],0)),0)*$R195</f>
        <v>0</v>
      </c>
      <c r="AC195" s="30">
        <f>IF(OR($O195="Solar",$O195="Wind"),INDEX(Land_Use[MAX],MATCH($O195,Land_Use[Tech],0)),0)*$R195</f>
        <v>0</v>
      </c>
    </row>
    <row r="196" spans="13:29" x14ac:dyDescent="0.35">
      <c r="M196" t="s">
        <v>107</v>
      </c>
      <c r="N196">
        <v>1</v>
      </c>
      <c r="O196" t="s">
        <v>86</v>
      </c>
      <c r="P196">
        <v>2029</v>
      </c>
      <c r="Q196" s="13">
        <v>0</v>
      </c>
      <c r="R196" s="13">
        <f>SUMIFS($Q$3:Q196,$O$3:O196,O196,$M$3:M196,M196)</f>
        <v>0</v>
      </c>
      <c r="S196" s="13">
        <v>1779.561778693474</v>
      </c>
      <c r="T196" s="13">
        <f t="shared" ref="T196:T212" si="193">R196*S196</f>
        <v>0</v>
      </c>
      <c r="U196" s="42">
        <f t="shared" ref="U196:W196" si="194">U175</f>
        <v>-0.12713468519999999</v>
      </c>
      <c r="V196" s="42">
        <f t="shared" si="194"/>
        <v>-0.11141906240000002</v>
      </c>
      <c r="W196" s="42">
        <f t="shared" si="194"/>
        <v>-0.14285030700000004</v>
      </c>
      <c r="X196" s="30">
        <f t="shared" ref="X196:X212" si="195">$T196*U196</f>
        <v>0</v>
      </c>
      <c r="Y196" s="30">
        <f t="shared" ref="Y196:Y212" si="196">$T196*V196</f>
        <v>0</v>
      </c>
      <c r="Z196" s="30">
        <f t="shared" ref="Z196:Z212" si="197">$T196*W196</f>
        <v>0</v>
      </c>
      <c r="AA196" s="30">
        <f>IF(OR($O196="Solar",$O196="Wind"),INDEX(Land_Use[AVG],MATCH($O196,Land_Use[Tech],0)),0)*$R196</f>
        <v>0</v>
      </c>
      <c r="AB196" s="30">
        <f>IF(OR($O196="Solar",$O196="Wind"),INDEX(Land_Use[MIN],MATCH($O196,Land_Use[Tech],0)),0)*$R196</f>
        <v>0</v>
      </c>
      <c r="AC196" s="30">
        <f>IF(OR($O196="Solar",$O196="Wind"),INDEX(Land_Use[MAX],MATCH($O196,Land_Use[Tech],0)),0)*$R196</f>
        <v>0</v>
      </c>
    </row>
    <row r="197" spans="13:29" x14ac:dyDescent="0.35">
      <c r="M197" t="s">
        <v>107</v>
      </c>
      <c r="N197">
        <v>1</v>
      </c>
      <c r="O197" t="s">
        <v>86</v>
      </c>
      <c r="P197">
        <v>2030</v>
      </c>
      <c r="Q197" s="13">
        <v>0</v>
      </c>
      <c r="R197" s="13">
        <f>SUMIFS($Q$3:Q197,$O$3:O197,O197,$M$3:M197,M197)</f>
        <v>0</v>
      </c>
      <c r="S197" s="13">
        <v>1806.746936911235</v>
      </c>
      <c r="T197" s="13">
        <f t="shared" si="193"/>
        <v>0</v>
      </c>
      <c r="U197" s="42">
        <f t="shared" ref="U197:W197" si="198">U176</f>
        <v>-0.12291076099999998</v>
      </c>
      <c r="V197" s="42">
        <f t="shared" si="198"/>
        <v>-0.10626129525000003</v>
      </c>
      <c r="W197" s="42">
        <f t="shared" si="198"/>
        <v>-0.13956022575000004</v>
      </c>
      <c r="X197" s="30">
        <f t="shared" si="195"/>
        <v>0</v>
      </c>
      <c r="Y197" s="30">
        <f t="shared" si="196"/>
        <v>0</v>
      </c>
      <c r="Z197" s="30">
        <f t="shared" si="197"/>
        <v>0</v>
      </c>
      <c r="AA197" s="30">
        <f>IF(OR($O197="Solar",$O197="Wind"),INDEX(Land_Use[AVG],MATCH($O197,Land_Use[Tech],0)),0)*$R197</f>
        <v>0</v>
      </c>
      <c r="AB197" s="30">
        <f>IF(OR($O197="Solar",$O197="Wind"),INDEX(Land_Use[MIN],MATCH($O197,Land_Use[Tech],0)),0)*$R197</f>
        <v>0</v>
      </c>
      <c r="AC197" s="30">
        <f>IF(OR($O197="Solar",$O197="Wind"),INDEX(Land_Use[MAX],MATCH($O197,Land_Use[Tech],0)),0)*$R197</f>
        <v>0</v>
      </c>
    </row>
    <row r="198" spans="13:29" x14ac:dyDescent="0.35">
      <c r="M198" t="s">
        <v>107</v>
      </c>
      <c r="N198">
        <v>1</v>
      </c>
      <c r="O198" t="s">
        <v>86</v>
      </c>
      <c r="P198">
        <v>2031</v>
      </c>
      <c r="Q198" s="13">
        <v>0</v>
      </c>
      <c r="R198" s="13">
        <f>SUMIFS($Q$3:Q198,$O$3:O198,O198,$M$3:M198,M198)</f>
        <v>0</v>
      </c>
      <c r="S198" s="13">
        <v>1833.932095128996</v>
      </c>
      <c r="T198" s="13">
        <f t="shared" si="193"/>
        <v>0</v>
      </c>
      <c r="U198" s="42">
        <f t="shared" ref="U198:W198" si="199">U177</f>
        <v>-0.11868683679999997</v>
      </c>
      <c r="V198" s="42">
        <f t="shared" si="199"/>
        <v>-0.10110352810000003</v>
      </c>
      <c r="W198" s="42">
        <f t="shared" si="199"/>
        <v>-0.13627014450000005</v>
      </c>
      <c r="X198" s="30">
        <f t="shared" si="195"/>
        <v>0</v>
      </c>
      <c r="Y198" s="30">
        <f t="shared" si="196"/>
        <v>0</v>
      </c>
      <c r="Z198" s="30">
        <f t="shared" si="197"/>
        <v>0</v>
      </c>
      <c r="AA198" s="30">
        <f>IF(OR($O198="Solar",$O198="Wind"),INDEX(Land_Use[AVG],MATCH($O198,Land_Use[Tech],0)),0)*$R198</f>
        <v>0</v>
      </c>
      <c r="AB198" s="30">
        <f>IF(OR($O198="Solar",$O198="Wind"),INDEX(Land_Use[MIN],MATCH($O198,Land_Use[Tech],0)),0)*$R198</f>
        <v>0</v>
      </c>
      <c r="AC198" s="30">
        <f>IF(OR($O198="Solar",$O198="Wind"),INDEX(Land_Use[MAX],MATCH($O198,Land_Use[Tech],0)),0)*$R198</f>
        <v>0</v>
      </c>
    </row>
    <row r="199" spans="13:29" x14ac:dyDescent="0.35">
      <c r="M199" t="s">
        <v>107</v>
      </c>
      <c r="N199">
        <v>1</v>
      </c>
      <c r="O199" t="s">
        <v>86</v>
      </c>
      <c r="P199">
        <v>2032</v>
      </c>
      <c r="Q199" s="13">
        <v>0</v>
      </c>
      <c r="R199" s="13">
        <f>SUMIFS($Q$3:Q199,$O$3:O199,O199,$M$3:M199,M199)</f>
        <v>0</v>
      </c>
      <c r="S199" s="13">
        <v>1861.117253346757</v>
      </c>
      <c r="T199" s="13">
        <f t="shared" si="193"/>
        <v>0</v>
      </c>
      <c r="U199" s="42">
        <f t="shared" ref="U199:W199" si="200">U178</f>
        <v>-0.11446291259999997</v>
      </c>
      <c r="V199" s="42">
        <f t="shared" si="200"/>
        <v>-9.5945760950000042E-2</v>
      </c>
      <c r="W199" s="42">
        <f t="shared" si="200"/>
        <v>-0.13298006325000006</v>
      </c>
      <c r="X199" s="30">
        <f t="shared" si="195"/>
        <v>0</v>
      </c>
      <c r="Y199" s="30">
        <f t="shared" si="196"/>
        <v>0</v>
      </c>
      <c r="Z199" s="30">
        <f t="shared" si="197"/>
        <v>0</v>
      </c>
      <c r="AA199" s="30">
        <f>IF(OR($O199="Solar",$O199="Wind"),INDEX(Land_Use[AVG],MATCH($O199,Land_Use[Tech],0)),0)*$R199</f>
        <v>0</v>
      </c>
      <c r="AB199" s="30">
        <f>IF(OR($O199="Solar",$O199="Wind"),INDEX(Land_Use[MIN],MATCH($O199,Land_Use[Tech],0)),0)*$R199</f>
        <v>0</v>
      </c>
      <c r="AC199" s="30">
        <f>IF(OR($O199="Solar",$O199="Wind"),INDEX(Land_Use[MAX],MATCH($O199,Land_Use[Tech],0)),0)*$R199</f>
        <v>0</v>
      </c>
    </row>
    <row r="200" spans="13:29" x14ac:dyDescent="0.35">
      <c r="M200" t="s">
        <v>107</v>
      </c>
      <c r="N200">
        <v>1</v>
      </c>
      <c r="O200" t="s">
        <v>86</v>
      </c>
      <c r="P200">
        <v>2033</v>
      </c>
      <c r="Q200" s="13">
        <v>0</v>
      </c>
      <c r="R200" s="13">
        <f>SUMIFS($Q$3:Q200,$O$3:O200,O200,$M$3:M200,M200)</f>
        <v>0</v>
      </c>
      <c r="S200" s="13">
        <v>1888.302411564518</v>
      </c>
      <c r="T200" s="13">
        <f t="shared" si="193"/>
        <v>0</v>
      </c>
      <c r="U200" s="42">
        <f t="shared" ref="U200:W200" si="201">U179</f>
        <v>-0.11023898839999996</v>
      </c>
      <c r="V200" s="42">
        <f t="shared" si="201"/>
        <v>-9.078799380000005E-2</v>
      </c>
      <c r="W200" s="42">
        <f t="shared" si="201"/>
        <v>-0.12968998200000006</v>
      </c>
      <c r="X200" s="30">
        <f t="shared" si="195"/>
        <v>0</v>
      </c>
      <c r="Y200" s="30">
        <f t="shared" si="196"/>
        <v>0</v>
      </c>
      <c r="Z200" s="30">
        <f t="shared" si="197"/>
        <v>0</v>
      </c>
      <c r="AA200" s="30">
        <f>IF(OR($O200="Solar",$O200="Wind"),INDEX(Land_Use[AVG],MATCH($O200,Land_Use[Tech],0)),0)*$R200</f>
        <v>0</v>
      </c>
      <c r="AB200" s="30">
        <f>IF(OR($O200="Solar",$O200="Wind"),INDEX(Land_Use[MIN],MATCH($O200,Land_Use[Tech],0)),0)*$R200</f>
        <v>0</v>
      </c>
      <c r="AC200" s="30">
        <f>IF(OR($O200="Solar",$O200="Wind"),INDEX(Land_Use[MAX],MATCH($O200,Land_Use[Tech],0)),0)*$R200</f>
        <v>0</v>
      </c>
    </row>
    <row r="201" spans="13:29" x14ac:dyDescent="0.35">
      <c r="M201" t="s">
        <v>107</v>
      </c>
      <c r="N201">
        <v>1</v>
      </c>
      <c r="O201" t="s">
        <v>86</v>
      </c>
      <c r="P201">
        <v>2034</v>
      </c>
      <c r="Q201" s="13">
        <v>1000</v>
      </c>
      <c r="R201" s="13">
        <f>SUMIFS($Q$3:Q201,$O$3:O201,O201,$M$3:M201,M201)</f>
        <v>1000</v>
      </c>
      <c r="S201" s="13">
        <v>1915.487569782279</v>
      </c>
      <c r="T201" s="13">
        <f t="shared" si="193"/>
        <v>1915487.569782279</v>
      </c>
      <c r="U201" s="42">
        <f t="shared" ref="U201:W201" si="202">U180</f>
        <v>-0.10601506419999995</v>
      </c>
      <c r="V201" s="42">
        <f t="shared" si="202"/>
        <v>-8.5630226650000058E-2</v>
      </c>
      <c r="W201" s="42">
        <f t="shared" si="202"/>
        <v>-0.12639990075000007</v>
      </c>
      <c r="X201" s="30">
        <f t="shared" si="195"/>
        <v>-203070.53768477018</v>
      </c>
      <c r="Y201" s="30">
        <f t="shared" si="196"/>
        <v>-164023.63474571434</v>
      </c>
      <c r="Z201" s="30">
        <f t="shared" si="197"/>
        <v>-242117.43870833889</v>
      </c>
      <c r="AA201" s="30">
        <f>IF(OR($O201="Solar",$O201="Wind"),INDEX(Land_Use[AVG],MATCH($O201,Land_Use[Tech],0)),0)*$R201</f>
        <v>0</v>
      </c>
      <c r="AB201" s="30">
        <f>IF(OR($O201="Solar",$O201="Wind"),INDEX(Land_Use[MIN],MATCH($O201,Land_Use[Tech],0)),0)*$R201</f>
        <v>0</v>
      </c>
      <c r="AC201" s="30">
        <f>IF(OR($O201="Solar",$O201="Wind"),INDEX(Land_Use[MAX],MATCH($O201,Land_Use[Tech],0)),0)*$R201</f>
        <v>0</v>
      </c>
    </row>
    <row r="202" spans="13:29" x14ac:dyDescent="0.35">
      <c r="M202" t="s">
        <v>107</v>
      </c>
      <c r="N202">
        <v>1</v>
      </c>
      <c r="O202" t="s">
        <v>86</v>
      </c>
      <c r="P202">
        <v>2035</v>
      </c>
      <c r="Q202" s="13">
        <v>0</v>
      </c>
      <c r="R202" s="13">
        <f>SUMIFS($Q$3:Q202,$O$3:O202,O202,$M$3:M202,M202)</f>
        <v>1000</v>
      </c>
      <c r="S202" s="13">
        <v>1942.67272800004</v>
      </c>
      <c r="T202" s="13">
        <f t="shared" si="193"/>
        <v>1942672.7280000399</v>
      </c>
      <c r="U202" s="42">
        <f t="shared" ref="U202:W202" si="203">U181</f>
        <v>-0.10179113999999995</v>
      </c>
      <c r="V202" s="42">
        <f t="shared" si="203"/>
        <v>-8.0472459500000065E-2</v>
      </c>
      <c r="W202" s="42">
        <f t="shared" si="203"/>
        <v>-0.12310981950000006</v>
      </c>
      <c r="X202" s="30">
        <f t="shared" si="195"/>
        <v>-197746.87163003389</v>
      </c>
      <c r="Y202" s="30">
        <f t="shared" si="196"/>
        <v>-156331.65242573785</v>
      </c>
      <c r="Z202" s="30">
        <f t="shared" si="197"/>
        <v>-239162.08889165765</v>
      </c>
      <c r="AA202" s="30">
        <f>IF(OR($O202="Solar",$O202="Wind"),INDEX(Land_Use[AVG],MATCH($O202,Land_Use[Tech],0)),0)*$R202</f>
        <v>0</v>
      </c>
      <c r="AB202" s="30">
        <f>IF(OR($O202="Solar",$O202="Wind"),INDEX(Land_Use[MIN],MATCH($O202,Land_Use[Tech],0)),0)*$R202</f>
        <v>0</v>
      </c>
      <c r="AC202" s="30">
        <f>IF(OR($O202="Solar",$O202="Wind"),INDEX(Land_Use[MAX],MATCH($O202,Land_Use[Tech],0)),0)*$R202</f>
        <v>0</v>
      </c>
    </row>
    <row r="203" spans="13:29" x14ac:dyDescent="0.35">
      <c r="M203" t="s">
        <v>107</v>
      </c>
      <c r="N203">
        <v>1</v>
      </c>
      <c r="O203" t="s">
        <v>86</v>
      </c>
      <c r="P203">
        <v>2036</v>
      </c>
      <c r="Q203" s="13">
        <v>0</v>
      </c>
      <c r="R203" s="13">
        <f>SUMIFS($Q$3:Q203,$O$3:O203,O203,$M$3:M203,M203)</f>
        <v>1000</v>
      </c>
      <c r="S203" s="13">
        <v>1969.857886217801</v>
      </c>
      <c r="T203" s="13">
        <f t="shared" si="193"/>
        <v>1969857.8862178011</v>
      </c>
      <c r="U203" s="42">
        <f t="shared" ref="U203:W203" si="204">U182</f>
        <v>-9.756721579999994E-2</v>
      </c>
      <c r="V203" s="42">
        <f t="shared" si="204"/>
        <v>-7.5314692350000073E-2</v>
      </c>
      <c r="W203" s="42">
        <f t="shared" si="204"/>
        <v>-0.11981973825000006</v>
      </c>
      <c r="X203" s="30">
        <f t="shared" si="195"/>
        <v>-192193.54947994393</v>
      </c>
      <c r="Y203" s="30">
        <f t="shared" si="196"/>
        <v>-148359.24067371513</v>
      </c>
      <c r="Z203" s="30">
        <f t="shared" si="197"/>
        <v>-236027.85631631533</v>
      </c>
      <c r="AA203" s="30">
        <f>IF(OR($O203="Solar",$O203="Wind"),INDEX(Land_Use[AVG],MATCH($O203,Land_Use[Tech],0)),0)*$R203</f>
        <v>0</v>
      </c>
      <c r="AB203" s="30">
        <f>IF(OR($O203="Solar",$O203="Wind"),INDEX(Land_Use[MIN],MATCH($O203,Land_Use[Tech],0)),0)*$R203</f>
        <v>0</v>
      </c>
      <c r="AC203" s="30">
        <f>IF(OR($O203="Solar",$O203="Wind"),INDEX(Land_Use[MAX],MATCH($O203,Land_Use[Tech],0)),0)*$R203</f>
        <v>0</v>
      </c>
    </row>
    <row r="204" spans="13:29" x14ac:dyDescent="0.35">
      <c r="M204" t="s">
        <v>107</v>
      </c>
      <c r="N204">
        <v>1</v>
      </c>
      <c r="O204" t="s">
        <v>86</v>
      </c>
      <c r="P204">
        <v>2037</v>
      </c>
      <c r="Q204" s="13">
        <v>0</v>
      </c>
      <c r="R204" s="13">
        <f>SUMIFS($Q$3:Q204,$O$3:O204,O204,$M$3:M204,M204)</f>
        <v>1000</v>
      </c>
      <c r="S204" s="13">
        <v>1997.043044435562</v>
      </c>
      <c r="T204" s="13">
        <f t="shared" si="193"/>
        <v>1997043.0444355621</v>
      </c>
      <c r="U204" s="42">
        <f t="shared" ref="U204:W204" si="205">U183</f>
        <v>-9.3343291599999934E-2</v>
      </c>
      <c r="V204" s="42">
        <f t="shared" si="205"/>
        <v>-7.0156925200000081E-2</v>
      </c>
      <c r="W204" s="42">
        <f t="shared" si="205"/>
        <v>-0.11652965700000005</v>
      </c>
      <c r="X204" s="30">
        <f t="shared" si="195"/>
        <v>-186410.5712345003</v>
      </c>
      <c r="Y204" s="30">
        <f t="shared" si="196"/>
        <v>-140106.39948964617</v>
      </c>
      <c r="Z204" s="30">
        <f t="shared" si="197"/>
        <v>-232714.74098231192</v>
      </c>
      <c r="AA204" s="30">
        <f>IF(OR($O204="Solar",$O204="Wind"),INDEX(Land_Use[AVG],MATCH($O204,Land_Use[Tech],0)),0)*$R204</f>
        <v>0</v>
      </c>
      <c r="AB204" s="30">
        <f>IF(OR($O204="Solar",$O204="Wind"),INDEX(Land_Use[MIN],MATCH($O204,Land_Use[Tech],0)),0)*$R204</f>
        <v>0</v>
      </c>
      <c r="AC204" s="30">
        <f>IF(OR($O204="Solar",$O204="Wind"),INDEX(Land_Use[MAX],MATCH($O204,Land_Use[Tech],0)),0)*$R204</f>
        <v>0</v>
      </c>
    </row>
    <row r="205" spans="13:29" x14ac:dyDescent="0.35">
      <c r="M205" t="s">
        <v>107</v>
      </c>
      <c r="N205">
        <v>1</v>
      </c>
      <c r="O205" t="s">
        <v>86</v>
      </c>
      <c r="P205">
        <v>2038</v>
      </c>
      <c r="Q205" s="13">
        <v>0</v>
      </c>
      <c r="R205" s="13">
        <f>SUMIFS($Q$3:Q205,$O$3:O205,O205,$M$3:M205,M205)</f>
        <v>1000</v>
      </c>
      <c r="S205" s="13">
        <v>2024.228202653323</v>
      </c>
      <c r="T205" s="13">
        <f t="shared" si="193"/>
        <v>2024228.2026533231</v>
      </c>
      <c r="U205" s="42">
        <f t="shared" ref="U205:W205" si="206">U184</f>
        <v>-8.9119367399999927E-2</v>
      </c>
      <c r="V205" s="42">
        <f t="shared" si="206"/>
        <v>-6.4999158050000089E-2</v>
      </c>
      <c r="W205" s="42">
        <f t="shared" si="206"/>
        <v>-0.11323957575000004</v>
      </c>
      <c r="X205" s="30">
        <f t="shared" si="195"/>
        <v>-180397.93689370301</v>
      </c>
      <c r="Y205" s="30">
        <f t="shared" si="196"/>
        <v>-131573.12887353095</v>
      </c>
      <c r="Z205" s="30">
        <f t="shared" si="197"/>
        <v>-229222.74288964743</v>
      </c>
      <c r="AA205" s="30">
        <f>IF(OR($O205="Solar",$O205="Wind"),INDEX(Land_Use[AVG],MATCH($O205,Land_Use[Tech],0)),0)*$R205</f>
        <v>0</v>
      </c>
      <c r="AB205" s="30">
        <f>IF(OR($O205="Solar",$O205="Wind"),INDEX(Land_Use[MIN],MATCH($O205,Land_Use[Tech],0)),0)*$R205</f>
        <v>0</v>
      </c>
      <c r="AC205" s="30">
        <f>IF(OR($O205="Solar",$O205="Wind"),INDEX(Land_Use[MAX],MATCH($O205,Land_Use[Tech],0)),0)*$R205</f>
        <v>0</v>
      </c>
    </row>
    <row r="206" spans="13:29" x14ac:dyDescent="0.35">
      <c r="M206" t="s">
        <v>107</v>
      </c>
      <c r="N206">
        <v>1</v>
      </c>
      <c r="O206" t="s">
        <v>86</v>
      </c>
      <c r="P206">
        <v>2039</v>
      </c>
      <c r="Q206" s="13">
        <v>0</v>
      </c>
      <c r="R206" s="13">
        <f>SUMIFS($Q$3:Q206,$O$3:O206,O206,$M$3:M206,M206)</f>
        <v>1000</v>
      </c>
      <c r="S206" s="13">
        <v>2051.413360871084</v>
      </c>
      <c r="T206" s="13">
        <f t="shared" si="193"/>
        <v>2051413.360871084</v>
      </c>
      <c r="U206" s="42">
        <f t="shared" ref="U206:W206" si="207">U185</f>
        <v>-8.489544319999992E-2</v>
      </c>
      <c r="V206" s="42">
        <f t="shared" si="207"/>
        <v>-5.984139090000009E-2</v>
      </c>
      <c r="W206" s="42">
        <f t="shared" si="207"/>
        <v>-0.10994949450000004</v>
      </c>
      <c r="X206" s="30">
        <f t="shared" si="195"/>
        <v>-174155.64645755207</v>
      </c>
      <c r="Y206" s="30">
        <f t="shared" si="196"/>
        <v>-122759.42882536948</v>
      </c>
      <c r="Z206" s="30">
        <f t="shared" si="197"/>
        <v>-225551.86203832185</v>
      </c>
      <c r="AA206" s="30">
        <f>IF(OR($O206="Solar",$O206="Wind"),INDEX(Land_Use[AVG],MATCH($O206,Land_Use[Tech],0)),0)*$R206</f>
        <v>0</v>
      </c>
      <c r="AB206" s="30">
        <f>IF(OR($O206="Solar",$O206="Wind"),INDEX(Land_Use[MIN],MATCH($O206,Land_Use[Tech],0)),0)*$R206</f>
        <v>0</v>
      </c>
      <c r="AC206" s="30">
        <f>IF(OR($O206="Solar",$O206="Wind"),INDEX(Land_Use[MAX],MATCH($O206,Land_Use[Tech],0)),0)*$R206</f>
        <v>0</v>
      </c>
    </row>
    <row r="207" spans="13:29" x14ac:dyDescent="0.35">
      <c r="M207" t="s">
        <v>107</v>
      </c>
      <c r="N207">
        <v>1</v>
      </c>
      <c r="O207" t="s">
        <v>86</v>
      </c>
      <c r="P207">
        <v>2040</v>
      </c>
      <c r="Q207" s="13">
        <v>0</v>
      </c>
      <c r="R207" s="13">
        <f>SUMIFS($Q$3:Q207,$O$3:O207,O207,$M$3:M207,M207)</f>
        <v>1000</v>
      </c>
      <c r="S207" s="13">
        <v>2078.598519088845</v>
      </c>
      <c r="T207" s="13">
        <f t="shared" si="193"/>
        <v>2078598.519088845</v>
      </c>
      <c r="U207" s="42">
        <f t="shared" ref="U207:W207" si="208">U186</f>
        <v>-8.0671518999999914E-2</v>
      </c>
      <c r="V207" s="42">
        <f t="shared" si="208"/>
        <v>-5.468362375000009E-2</v>
      </c>
      <c r="W207" s="42">
        <f t="shared" si="208"/>
        <v>-0.10665941325000003</v>
      </c>
      <c r="X207" s="30">
        <f t="shared" si="195"/>
        <v>-167683.69992604744</v>
      </c>
      <c r="Y207" s="30">
        <f t="shared" si="196"/>
        <v>-113665.29934516178</v>
      </c>
      <c r="Z207" s="30">
        <f t="shared" si="197"/>
        <v>-221702.09842833519</v>
      </c>
      <c r="AA207" s="30">
        <f>IF(OR($O207="Solar",$O207="Wind"),INDEX(Land_Use[AVG],MATCH($O207,Land_Use[Tech],0)),0)*$R207</f>
        <v>0</v>
      </c>
      <c r="AB207" s="30">
        <f>IF(OR($O207="Solar",$O207="Wind"),INDEX(Land_Use[MIN],MATCH($O207,Land_Use[Tech],0)),0)*$R207</f>
        <v>0</v>
      </c>
      <c r="AC207" s="30">
        <f>IF(OR($O207="Solar",$O207="Wind"),INDEX(Land_Use[MAX],MATCH($O207,Land_Use[Tech],0)),0)*$R207</f>
        <v>0</v>
      </c>
    </row>
    <row r="208" spans="13:29" x14ac:dyDescent="0.35">
      <c r="M208" t="s">
        <v>107</v>
      </c>
      <c r="N208">
        <v>1</v>
      </c>
      <c r="O208" t="s">
        <v>86</v>
      </c>
      <c r="P208">
        <v>2041</v>
      </c>
      <c r="Q208" s="13">
        <v>0</v>
      </c>
      <c r="R208" s="13">
        <f>SUMIFS($Q$3:Q208,$O$3:O208,O208,$M$3:M208,M208)</f>
        <v>1000</v>
      </c>
      <c r="S208" s="13">
        <v>2105.783677306606</v>
      </c>
      <c r="T208" s="13">
        <f t="shared" si="193"/>
        <v>2105783.677306606</v>
      </c>
      <c r="U208" s="42">
        <f t="shared" ref="U208:W208" si="209">U187</f>
        <v>-7.6447594799999907E-2</v>
      </c>
      <c r="V208" s="42">
        <f t="shared" si="209"/>
        <v>-4.9525856600000091E-2</v>
      </c>
      <c r="W208" s="42">
        <f t="shared" si="209"/>
        <v>-0.10336933200000002</v>
      </c>
      <c r="X208" s="30">
        <f t="shared" si="195"/>
        <v>-160982.09729918916</v>
      </c>
      <c r="Y208" s="30">
        <f t="shared" si="196"/>
        <v>-104290.74043290783</v>
      </c>
      <c r="Z208" s="30">
        <f t="shared" si="197"/>
        <v>-217673.45205968746</v>
      </c>
      <c r="AA208" s="30">
        <f>IF(OR($O208="Solar",$O208="Wind"),INDEX(Land_Use[AVG],MATCH($O208,Land_Use[Tech],0)),0)*$R208</f>
        <v>0</v>
      </c>
      <c r="AB208" s="30">
        <f>IF(OR($O208="Solar",$O208="Wind"),INDEX(Land_Use[MIN],MATCH($O208,Land_Use[Tech],0)),0)*$R208</f>
        <v>0</v>
      </c>
      <c r="AC208" s="30">
        <f>IF(OR($O208="Solar",$O208="Wind"),INDEX(Land_Use[MAX],MATCH($O208,Land_Use[Tech],0)),0)*$R208</f>
        <v>0</v>
      </c>
    </row>
    <row r="209" spans="13:29" x14ac:dyDescent="0.35">
      <c r="M209" t="s">
        <v>107</v>
      </c>
      <c r="N209">
        <v>1</v>
      </c>
      <c r="O209" t="s">
        <v>86</v>
      </c>
      <c r="P209">
        <v>2042</v>
      </c>
      <c r="Q209" s="13">
        <v>0</v>
      </c>
      <c r="R209" s="13">
        <f>SUMIFS($Q$3:Q209,$O$3:O209,O209,$M$3:M209,M209)</f>
        <v>1000</v>
      </c>
      <c r="S209" s="13">
        <v>2132.968835524367</v>
      </c>
      <c r="T209" s="13">
        <f t="shared" si="193"/>
        <v>2132968.8355243672</v>
      </c>
      <c r="U209" s="42">
        <f t="shared" ref="U209:W209" si="210">U188</f>
        <v>-7.2223670599999901E-2</v>
      </c>
      <c r="V209" s="42">
        <f t="shared" si="210"/>
        <v>-4.4368089450000092E-2</v>
      </c>
      <c r="W209" s="42">
        <f t="shared" si="210"/>
        <v>-0.10007925075000002</v>
      </c>
      <c r="X209" s="30">
        <f t="shared" si="195"/>
        <v>-154050.83857697726</v>
      </c>
      <c r="Y209" s="30">
        <f t="shared" si="196"/>
        <v>-94635.752088607653</v>
      </c>
      <c r="Z209" s="30">
        <f t="shared" si="197"/>
        <v>-213465.92293237869</v>
      </c>
      <c r="AA209" s="30">
        <f>IF(OR($O209="Solar",$O209="Wind"),INDEX(Land_Use[AVG],MATCH($O209,Land_Use[Tech],0)),0)*$R209</f>
        <v>0</v>
      </c>
      <c r="AB209" s="30">
        <f>IF(OR($O209="Solar",$O209="Wind"),INDEX(Land_Use[MIN],MATCH($O209,Land_Use[Tech],0)),0)*$R209</f>
        <v>0</v>
      </c>
      <c r="AC209" s="30">
        <f>IF(OR($O209="Solar",$O209="Wind"),INDEX(Land_Use[MAX],MATCH($O209,Land_Use[Tech],0)),0)*$R209</f>
        <v>0</v>
      </c>
    </row>
    <row r="210" spans="13:29" x14ac:dyDescent="0.35">
      <c r="M210" t="s">
        <v>107</v>
      </c>
      <c r="N210">
        <v>1</v>
      </c>
      <c r="O210" t="s">
        <v>86</v>
      </c>
      <c r="P210">
        <v>2043</v>
      </c>
      <c r="Q210" s="13">
        <v>0</v>
      </c>
      <c r="R210" s="13">
        <f>SUMIFS($Q$3:Q210,$O$3:O210,O210,$M$3:M210,M210)</f>
        <v>1000</v>
      </c>
      <c r="S210" s="13">
        <v>2160.153993742128</v>
      </c>
      <c r="T210" s="13">
        <f t="shared" si="193"/>
        <v>2160153.9937421279</v>
      </c>
      <c r="U210" s="42">
        <f t="shared" ref="U210:W210" si="211">U189</f>
        <v>-6.7999746399999894E-2</v>
      </c>
      <c r="V210" s="42">
        <f t="shared" si="211"/>
        <v>-3.9210322300000093E-2</v>
      </c>
      <c r="W210" s="42">
        <f t="shared" si="211"/>
        <v>-9.6789169500000008E-2</v>
      </c>
      <c r="X210" s="30">
        <f t="shared" si="195"/>
        <v>-146889.92375941164</v>
      </c>
      <c r="Y210" s="30">
        <f t="shared" si="196"/>
        <v>-84700.334312261213</v>
      </c>
      <c r="Z210" s="30">
        <f t="shared" si="197"/>
        <v>-209079.51104640876</v>
      </c>
      <c r="AA210" s="30">
        <f>IF(OR($O210="Solar",$O210="Wind"),INDEX(Land_Use[AVG],MATCH($O210,Land_Use[Tech],0)),0)*$R210</f>
        <v>0</v>
      </c>
      <c r="AB210" s="30">
        <f>IF(OR($O210="Solar",$O210="Wind"),INDEX(Land_Use[MIN],MATCH($O210,Land_Use[Tech],0)),0)*$R210</f>
        <v>0</v>
      </c>
      <c r="AC210" s="30">
        <f>IF(OR($O210="Solar",$O210="Wind"),INDEX(Land_Use[MAX],MATCH($O210,Land_Use[Tech],0)),0)*$R210</f>
        <v>0</v>
      </c>
    </row>
    <row r="211" spans="13:29" x14ac:dyDescent="0.35">
      <c r="M211" t="s">
        <v>107</v>
      </c>
      <c r="N211">
        <v>1</v>
      </c>
      <c r="O211" t="s">
        <v>86</v>
      </c>
      <c r="P211">
        <v>2044</v>
      </c>
      <c r="Q211" s="13">
        <v>1000</v>
      </c>
      <c r="R211" s="13">
        <f>SUMIFS($Q$3:Q211,$O$3:O211,O211,$M$3:M211,M211)</f>
        <v>2000</v>
      </c>
      <c r="S211" s="13">
        <v>2187.339151959889</v>
      </c>
      <c r="T211" s="13">
        <f t="shared" si="193"/>
        <v>4374678.3039197782</v>
      </c>
      <c r="U211" s="42">
        <f t="shared" ref="U211:W211" si="212">U190</f>
        <v>-6.3775822199999888E-2</v>
      </c>
      <c r="V211" s="42">
        <f t="shared" si="212"/>
        <v>-3.4052555150000094E-2</v>
      </c>
      <c r="W211" s="42">
        <f t="shared" si="212"/>
        <v>-9.3499088250000001E-2</v>
      </c>
      <c r="X211" s="30">
        <f t="shared" si="195"/>
        <v>-278998.70569298486</v>
      </c>
      <c r="Y211" s="30">
        <f t="shared" si="196"/>
        <v>-148968.97420773713</v>
      </c>
      <c r="Z211" s="30">
        <f t="shared" si="197"/>
        <v>-409028.43280355568</v>
      </c>
      <c r="AA211" s="30">
        <f>IF(OR($O211="Solar",$O211="Wind"),INDEX(Land_Use[AVG],MATCH($O211,Land_Use[Tech],0)),0)*$R211</f>
        <v>0</v>
      </c>
      <c r="AB211" s="30">
        <f>IF(OR($O211="Solar",$O211="Wind"),INDEX(Land_Use[MIN],MATCH($O211,Land_Use[Tech],0)),0)*$R211</f>
        <v>0</v>
      </c>
      <c r="AC211" s="30">
        <f>IF(OR($O211="Solar",$O211="Wind"),INDEX(Land_Use[MAX],MATCH($O211,Land_Use[Tech],0)),0)*$R211</f>
        <v>0</v>
      </c>
    </row>
    <row r="212" spans="13:29" x14ac:dyDescent="0.35">
      <c r="M212" t="s">
        <v>107</v>
      </c>
      <c r="N212">
        <v>1</v>
      </c>
      <c r="O212" t="s">
        <v>86</v>
      </c>
      <c r="P212">
        <v>2045</v>
      </c>
      <c r="Q212" s="13">
        <v>0</v>
      </c>
      <c r="R212" s="13">
        <f>SUMIFS($Q$3:Q212,$O$3:O212,O212,$M$3:M212,M212)</f>
        <v>2000</v>
      </c>
      <c r="S212" s="13">
        <v>2214.52431017765</v>
      </c>
      <c r="T212" s="13">
        <f t="shared" si="193"/>
        <v>4429048.6203552997</v>
      </c>
      <c r="U212" s="42">
        <f t="shared" ref="U212:W212" si="213">U191</f>
        <v>-5.9551897999999888E-2</v>
      </c>
      <c r="V212" s="42">
        <f t="shared" si="213"/>
        <v>-2.8894788000000095E-2</v>
      </c>
      <c r="W212" s="42">
        <f t="shared" si="213"/>
        <v>-9.0209006999999994E-2</v>
      </c>
      <c r="X212" s="30">
        <f t="shared" si="195"/>
        <v>-263758.25167643902</v>
      </c>
      <c r="Y212" s="30">
        <f t="shared" si="196"/>
        <v>-127976.42092685928</v>
      </c>
      <c r="Z212" s="30">
        <f t="shared" si="197"/>
        <v>-399540.07799697155</v>
      </c>
      <c r="AA212" s="30">
        <f>IF(OR($O212="Solar",$O212="Wind"),INDEX(Land_Use[AVG],MATCH($O212,Land_Use[Tech],0)),0)*$R212</f>
        <v>0</v>
      </c>
      <c r="AB212" s="30">
        <f>IF(OR($O212="Solar",$O212="Wind"),INDEX(Land_Use[MIN],MATCH($O212,Land_Use[Tech],0)),0)*$R212</f>
        <v>0</v>
      </c>
      <c r="AC212" s="30">
        <f>IF(OR($O212="Solar",$O212="Wind"),INDEX(Land_Use[MAX],MATCH($O212,Land_Use[Tech],0)),0)*$R212</f>
        <v>0</v>
      </c>
    </row>
  </sheetData>
  <phoneticPr fontId="5" type="noConversion"/>
  <pageMargins left="0.7" right="0.7" top="0.75" bottom="0.75" header="0.3" footer="0.3"/>
  <ignoredErrors>
    <ignoredError sqref="R4:R212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8DB3F-26CC-40C3-8D74-44AE2132063F}">
  <dimension ref="A1:BS212"/>
  <sheetViews>
    <sheetView topLeftCell="BI1" zoomScale="67" workbookViewId="0">
      <selection activeCell="BK71" sqref="BK71"/>
    </sheetView>
  </sheetViews>
  <sheetFormatPr defaultColWidth="8.83203125" defaultRowHeight="15.5" x14ac:dyDescent="0.35"/>
  <cols>
    <col min="3" max="3" width="11.83203125" bestFit="1" customWidth="1"/>
    <col min="4" max="4" width="13.58203125" bestFit="1" customWidth="1"/>
    <col min="5" max="5" width="13.58203125" customWidth="1"/>
    <col min="6" max="7" width="12.58203125" customWidth="1"/>
    <col min="8" max="10" width="14" customWidth="1"/>
    <col min="11" max="13" width="13.58203125" customWidth="1"/>
    <col min="14" max="16" width="15.33203125" customWidth="1"/>
    <col min="17" max="17" width="12.58203125" customWidth="1"/>
    <col min="18" max="18" width="11.08203125" bestFit="1" customWidth="1"/>
    <col min="19" max="19" width="11.08203125" customWidth="1"/>
    <col min="20" max="22" width="12.58203125" bestFit="1" customWidth="1"/>
    <col min="23" max="23" width="14.08203125" customWidth="1"/>
    <col min="24" max="24" width="1.58203125" style="34" customWidth="1"/>
    <col min="25" max="25" width="21.58203125" customWidth="1"/>
    <col min="26" max="26" width="14.08203125" bestFit="1" customWidth="1"/>
    <col min="29" max="29" width="16.83203125" customWidth="1"/>
    <col min="30" max="30" width="13.08203125" customWidth="1"/>
    <col min="31" max="39" width="16.5" customWidth="1"/>
    <col min="40" max="40" width="12.58203125" bestFit="1" customWidth="1"/>
    <col min="41" max="41" width="15.58203125" bestFit="1" customWidth="1"/>
    <col min="42" max="43" width="12.08203125" customWidth="1"/>
    <col min="44" max="47" width="14.5" customWidth="1"/>
    <col min="48" max="48" width="10.08203125" bestFit="1" customWidth="1"/>
    <col min="53" max="53" width="9.33203125" customWidth="1"/>
    <col min="54" max="54" width="1.83203125" style="26" customWidth="1"/>
    <col min="55" max="55" width="20.08203125" customWidth="1"/>
    <col min="59" max="59" width="11.58203125" customWidth="1"/>
    <col min="60" max="60" width="12.83203125" customWidth="1"/>
    <col min="61" max="61" width="12" customWidth="1"/>
    <col min="62" max="62" width="13.08203125" customWidth="1"/>
    <col min="63" max="63" width="14.58203125" customWidth="1"/>
    <col min="64" max="64" width="11.83203125" customWidth="1"/>
    <col min="67" max="67" width="2.58203125" style="37" customWidth="1"/>
    <col min="68" max="68" width="10.08203125" bestFit="1" customWidth="1"/>
    <col min="69" max="69" width="76.08203125" customWidth="1"/>
  </cols>
  <sheetData>
    <row r="1" spans="1:71" s="5" customFormat="1" x14ac:dyDescent="0.35">
      <c r="A1" s="5" t="s">
        <v>110</v>
      </c>
      <c r="K1" s="56" t="s">
        <v>137</v>
      </c>
      <c r="L1" s="56"/>
      <c r="X1" s="32"/>
      <c r="Y1" s="17" t="s">
        <v>111</v>
      </c>
      <c r="Z1" s="17"/>
      <c r="AD1" s="5" t="s">
        <v>138</v>
      </c>
      <c r="AE1"/>
      <c r="AF1" s="5">
        <f>AC8/120/1000*1000000000000</f>
        <v>96000</v>
      </c>
      <c r="BB1" s="24"/>
      <c r="BC1" s="17" t="s">
        <v>139</v>
      </c>
      <c r="BJ1"/>
      <c r="BK1"/>
      <c r="BL1"/>
      <c r="BO1" s="35"/>
      <c r="BP1" s="5" t="s">
        <v>62</v>
      </c>
    </row>
    <row r="2" spans="1:71" s="16" customFormat="1" ht="93" x14ac:dyDescent="0.35">
      <c r="A2" s="16" t="s">
        <v>140</v>
      </c>
      <c r="B2" s="16" t="s">
        <v>0</v>
      </c>
      <c r="C2" s="16" t="s">
        <v>141</v>
      </c>
      <c r="D2" s="16" t="s">
        <v>142</v>
      </c>
      <c r="E2" s="16" t="s">
        <v>143</v>
      </c>
      <c r="F2" s="16" t="s">
        <v>144</v>
      </c>
      <c r="G2" s="16" t="s">
        <v>145</v>
      </c>
      <c r="H2" s="16" t="s">
        <v>146</v>
      </c>
      <c r="I2" s="16" t="s">
        <v>147</v>
      </c>
      <c r="J2" s="16" t="s">
        <v>148</v>
      </c>
      <c r="K2" s="28" t="s">
        <v>149</v>
      </c>
      <c r="L2" s="28" t="s">
        <v>150</v>
      </c>
      <c r="M2" s="28" t="s">
        <v>151</v>
      </c>
      <c r="N2" s="16" t="s">
        <v>152</v>
      </c>
      <c r="O2" s="16" t="s">
        <v>153</v>
      </c>
      <c r="P2" s="16" t="s">
        <v>154</v>
      </c>
      <c r="Q2" s="16" t="s">
        <v>68</v>
      </c>
      <c r="R2" s="16" t="s">
        <v>155</v>
      </c>
      <c r="S2" s="16" t="s">
        <v>156</v>
      </c>
      <c r="T2" s="16" t="s">
        <v>118</v>
      </c>
      <c r="U2" s="16" t="s">
        <v>119</v>
      </c>
      <c r="V2" s="16" t="s">
        <v>120</v>
      </c>
      <c r="X2" s="33"/>
      <c r="Y2" s="16" t="s">
        <v>157</v>
      </c>
      <c r="Z2" s="16" t="s">
        <v>158</v>
      </c>
      <c r="AA2" s="16" t="s">
        <v>140</v>
      </c>
      <c r="AB2" s="16" t="s">
        <v>0</v>
      </c>
      <c r="AC2" s="16" t="s">
        <v>159</v>
      </c>
      <c r="AD2" s="16" t="s">
        <v>160</v>
      </c>
      <c r="AE2" s="16" t="s">
        <v>143</v>
      </c>
      <c r="AF2" s="16" t="s">
        <v>144</v>
      </c>
      <c r="AG2" s="16" t="s">
        <v>145</v>
      </c>
      <c r="AH2" s="16" t="s">
        <v>146</v>
      </c>
      <c r="AI2" s="16" t="s">
        <v>147</v>
      </c>
      <c r="AJ2" s="16" t="s">
        <v>148</v>
      </c>
      <c r="AK2" s="28" t="s">
        <v>149</v>
      </c>
      <c r="AL2" s="28" t="s">
        <v>150</v>
      </c>
      <c r="AM2" s="28" t="s">
        <v>151</v>
      </c>
      <c r="AN2" s="16" t="s">
        <v>68</v>
      </c>
      <c r="AO2" s="16" t="s">
        <v>161</v>
      </c>
      <c r="AP2" s="16" t="s">
        <v>162</v>
      </c>
      <c r="AQ2" s="16" t="s">
        <v>163</v>
      </c>
      <c r="AR2" s="16" t="s">
        <v>164</v>
      </c>
      <c r="AS2" s="16" t="s">
        <v>165</v>
      </c>
      <c r="AT2" s="16" t="s">
        <v>166</v>
      </c>
      <c r="BB2" s="25"/>
      <c r="BC2" s="16" t="s">
        <v>158</v>
      </c>
      <c r="BD2" s="16" t="s">
        <v>140</v>
      </c>
      <c r="BE2" s="16" t="s">
        <v>0</v>
      </c>
      <c r="BF2" s="16" t="s">
        <v>141</v>
      </c>
      <c r="BG2" s="16" t="s">
        <v>142</v>
      </c>
      <c r="BH2" s="16" t="s">
        <v>146</v>
      </c>
      <c r="BI2" s="16" t="s">
        <v>147</v>
      </c>
      <c r="BJ2" s="16" t="s">
        <v>148</v>
      </c>
      <c r="BK2" s="16" t="s">
        <v>167</v>
      </c>
      <c r="BL2" s="16" t="s">
        <v>168</v>
      </c>
      <c r="BO2" s="36"/>
      <c r="BP2" s="16" t="s">
        <v>133</v>
      </c>
      <c r="BQ2" s="16" t="s">
        <v>134</v>
      </c>
      <c r="BR2" s="16" t="s">
        <v>111</v>
      </c>
      <c r="BS2" s="16" t="s">
        <v>169</v>
      </c>
    </row>
    <row r="3" spans="1:71" x14ac:dyDescent="0.35">
      <c r="A3" t="s">
        <v>76</v>
      </c>
      <c r="B3">
        <v>2025</v>
      </c>
      <c r="C3" s="52">
        <f t="shared" ref="C3:C44" si="0">SUMIFS($AC$3:$AC$212,$AA$3:$AA$212,A3,$AB$3:$AB$212,B3)</f>
        <v>0</v>
      </c>
      <c r="D3" s="51">
        <f>C3*1000000000000/Assumptions!$B$17/1000</f>
        <v>0</v>
      </c>
      <c r="E3" s="51" cm="1">
        <f t="array" ref="E3">IF(C3=0,0,SUMPRODUCT(IF($AB$3:$AB$212=A3,1,0),IF($AA$3:$AA$212=#REF!,1,0),$AC$3:$AC$212,$AE$3:$AE$212)/B3)</f>
        <v>0</v>
      </c>
      <c r="F3" s="51" cm="1">
        <f t="array" ref="F3">IF($C3=0,0,SUMPRODUCT(IF($AB$3:$AB$212=$B3,1,0),IF($AA$3:$AA$212=$A3,1,0),$AC$3:$AC$212,AF$3:AF$212)/$C3)</f>
        <v>0</v>
      </c>
      <c r="G3" s="51" cm="1">
        <f t="array" ref="G3">IF($C3=0,0,SUMPRODUCT(IF($AB$3:$AB$212=$B3,1,0),IF($AA$3:$AA$212=$A3,1,0),$AC$3:$AC$212,AG$3:AG$212)/$C3)</f>
        <v>0</v>
      </c>
      <c r="H3" s="51">
        <f t="shared" ref="H3:H44" si="1">SUMIFS(BH:BH,$BE:$BE,$B3,$BD:$BD,$A3,$BC:$BC,"Total")</f>
        <v>99.359553682832001</v>
      </c>
      <c r="I3" s="51">
        <f t="shared" ref="I3:I44" si="2">SUMIFS(BI:BI,$BE:$BE,$B3,$BD:$BD,$A3,$BC:$BC,"Total")</f>
        <v>98.269107365663999</v>
      </c>
      <c r="J3" s="51">
        <f t="shared" ref="J3:J44" si="3">SUMIFS(BJ:BJ,$BE:$BE,$B3,$BD:$BD,$A3,$BC:$BC,"Total")</f>
        <v>100.45</v>
      </c>
      <c r="K3" s="51">
        <f>IF(C3=0,0,E3-H3)</f>
        <v>0</v>
      </c>
      <c r="L3" s="51">
        <f>IF(D3=0,0,F3-I3)</f>
        <v>0</v>
      </c>
      <c r="M3" s="51">
        <f>IF(E3=0,0,G3-J3)</f>
        <v>0</v>
      </c>
      <c r="N3" s="51">
        <f>IF(K3&gt;0,0,$C3*K3*-1)</f>
        <v>0</v>
      </c>
      <c r="O3" s="51">
        <f t="shared" ref="O3:P3" si="4">IF(L3&gt;0,0,$C3*L3*-1)</f>
        <v>0</v>
      </c>
      <c r="P3" s="51">
        <f t="shared" si="4"/>
        <v>0</v>
      </c>
      <c r="Q3" s="51" cm="1">
        <f t="array" ref="Q3">IF(D3=0,0,SUMPRODUCT(IF($AB$3:$AB$212=B3,1,0),IF($AA$3:$AA$212=A3,1,0),$AD$3:$AD$212,$AN$3:$AN$212)/D3)</f>
        <v>0</v>
      </c>
      <c r="R3" s="51">
        <f t="shared" ref="R3:R44" si="5">SUMIFS(AO:AO,AB:AB,B3,AA:AA,A3)</f>
        <v>0</v>
      </c>
      <c r="S3" s="51">
        <f t="shared" ref="S3:S44" si="6">SUMIFS(AQ:AQ,AB:AB,B3,AA:AA,A3)</f>
        <v>0</v>
      </c>
      <c r="T3" s="51">
        <f t="shared" ref="T3:T44" si="7">SUMIFS(AR:AR,$AB:$AB,$B3,$AA:$AA,$A3)</f>
        <v>0</v>
      </c>
      <c r="U3" s="51">
        <f t="shared" ref="U3:U44" si="8">SUMIFS(AS:AS,$AB:$AB,$B3,$AA:$AA,$A3)</f>
        <v>0</v>
      </c>
      <c r="V3" s="51">
        <f t="shared" ref="V3:V44" si="9">SUMIFS(AT:AT,$AB:$AB,$B3,$AA:$AA,$A3)</f>
        <v>0</v>
      </c>
      <c r="Y3" t="s">
        <v>79</v>
      </c>
      <c r="Z3" t="s">
        <v>78</v>
      </c>
      <c r="AA3" t="s">
        <v>76</v>
      </c>
      <c r="AB3">
        <v>2025</v>
      </c>
      <c r="AC3">
        <v>0</v>
      </c>
      <c r="AD3" s="23">
        <f>AC3*1000000000000/Assumptions!$B$17/1000</f>
        <v>0</v>
      </c>
      <c r="AE3" s="9">
        <f>AVERAGE(AF3:AG3)</f>
        <v>5.2549999999999999</v>
      </c>
      <c r="AF3">
        <f>IF(LEFT(Z3,4)="Blue",Assumptions!$G$57,0)</f>
        <v>0</v>
      </c>
      <c r="AG3">
        <f>IF(LEFT(Z3,4)="Blue",Assumptions!$G$59,IF(LEFT(Z3,4)="Gree",Assumptions!$G$60,0))</f>
        <v>10.51</v>
      </c>
      <c r="AH3" s="41">
        <f>BH3</f>
        <v>99.359553682832001</v>
      </c>
      <c r="AI3" s="41">
        <f t="shared" ref="AI3:AJ3" si="10">BI3</f>
        <v>98.269107365663999</v>
      </c>
      <c r="AJ3" s="41">
        <f t="shared" si="10"/>
        <v>100.45</v>
      </c>
      <c r="AK3" s="51">
        <f>AVERAGE(AL3:AM3)</f>
        <v>-88.849553682831996</v>
      </c>
      <c r="AL3" s="51">
        <f>IF(AG3-AI3&gt;0,0,AG3-AI3)</f>
        <v>-87.759107365663994</v>
      </c>
      <c r="AM3" s="51">
        <f>AG3-AJ3</f>
        <v>-89.94</v>
      </c>
      <c r="AN3">
        <f>IFERROR(INDEX(WaterUseH2[Average Direct Water Consumption (Gal/ kg h2)],MATCH(LEFT(Hydrogen!Y3,3),WaterUseH2[Key],0)),0)</f>
        <v>4.0999999999999996</v>
      </c>
      <c r="AO3" s="13">
        <f t="shared" ref="AO3:AO66" si="11">AD3*AN3*1000/1000000</f>
        <v>0</v>
      </c>
      <c r="AP3" s="13">
        <f>IF(Y3=$Y$3,AD3*Assumptions!$C$8*1000/1000,0)</f>
        <v>0</v>
      </c>
      <c r="AQ3" s="30">
        <f>AP3/8760/30%</f>
        <v>0</v>
      </c>
      <c r="AR3" s="30">
        <f>$AQ3*Assumptions!B$76</f>
        <v>0</v>
      </c>
      <c r="AS3" s="30">
        <f>$AQ3*Assumptions!C$76</f>
        <v>0</v>
      </c>
      <c r="AT3" s="30">
        <f>$AQ3*Assumptions!D$76</f>
        <v>0</v>
      </c>
      <c r="BC3" t="s">
        <v>170</v>
      </c>
      <c r="BD3" t="s">
        <v>76</v>
      </c>
      <c r="BE3">
        <v>2025</v>
      </c>
      <c r="BF3" s="23">
        <f>SUMIFS(AC:AC,AA:AA,BD3,AB:AB,BE3)</f>
        <v>0</v>
      </c>
      <c r="BG3" s="40">
        <f>BF3*10000000000000/Assumptions!$B$17/1000</f>
        <v>0</v>
      </c>
      <c r="BH3" s="41" cm="1">
        <f t="array" ref="BH3">SUMPRODUCT(IF($BE$24:$BE$66=$BE3,1,0),$BF$24:$BF$66,BH$24:BH$66)</f>
        <v>99.359553682832001</v>
      </c>
      <c r="BI3" s="41" cm="1">
        <f t="array" ref="BI3">SUMPRODUCT(IF($BE$24:$BE$66=$BE3,1,0),$BF$24:$BF$66,BI$24:BI$66)</f>
        <v>98.269107365663999</v>
      </c>
      <c r="BJ3" s="41" cm="1">
        <f t="array" ref="BJ3">SUMPRODUCT(IF($BE$24:$BE$66=$BE3,1,0),$BF$24:$BF$66,BJ$24:BJ$66)</f>
        <v>100.45</v>
      </c>
      <c r="BP3" t="s">
        <v>76</v>
      </c>
      <c r="BQ3" t="s">
        <v>171</v>
      </c>
      <c r="BR3" s="22" t="s">
        <v>172</v>
      </c>
    </row>
    <row r="4" spans="1:71" x14ac:dyDescent="0.35">
      <c r="A4" t="s">
        <v>76</v>
      </c>
      <c r="B4">
        <v>2026</v>
      </c>
      <c r="C4" s="52">
        <f t="shared" si="0"/>
        <v>1.3140000000000001E-3</v>
      </c>
      <c r="D4" s="51">
        <f>C4*1000000000000/Assumptions!$B$17/1000</f>
        <v>10950</v>
      </c>
      <c r="E4" s="51" cm="1">
        <f t="array" ref="E4">IF(C4=0,0,SUMPRODUCT(IF($AB$3:$AB$212=B4,1,0),IF($AA$3:$AA$212=$A4,1,0),$AC$3:$AC$212,$AE$3:$AE$212)/C4)</f>
        <v>58.623645092460883</v>
      </c>
      <c r="F4" s="51" cm="1">
        <f t="array" ref="F4">IF(C4=0,0,SUMPRODUCT(IF($AB$3:$AB$212=B4,1,0),IF($AA$3:$AA$212=A4,1,0),$AC$3:$AC$212,$AF$3:$AF$212)/C4)</f>
        <v>43.849999999999994</v>
      </c>
      <c r="G4" s="51" cm="1">
        <f t="array" ref="G4">IF($C4=0,0,SUMPRODUCT(IF($AB$3:$AB$212=$B4,1,0),IF($AA$3:$AA$212=$A4,1,0),$AC$3:$AC$212,AG$3:AG$212)/$C4)</f>
        <v>73.397290184921758</v>
      </c>
      <c r="H4" s="51">
        <f t="shared" si="1"/>
        <v>99.000787443158117</v>
      </c>
      <c r="I4" s="51">
        <f t="shared" si="2"/>
        <v>97.551574886316232</v>
      </c>
      <c r="J4" s="51">
        <f t="shared" si="3"/>
        <v>100.45</v>
      </c>
      <c r="K4" s="51">
        <f t="shared" ref="K4:K44" si="12">IF(C4=0,0,E4-H4)</f>
        <v>-40.377142350697234</v>
      </c>
      <c r="L4" s="51">
        <f t="shared" ref="L4:L44" si="13">IF(D4=0,0,F4-I4)</f>
        <v>-53.701574886316237</v>
      </c>
      <c r="M4" s="51">
        <f t="shared" ref="M4:M44" si="14">IF(E4=0,0,G4-J4)</f>
        <v>-27.052709815078245</v>
      </c>
      <c r="N4" s="51">
        <f t="shared" ref="N4:N44" si="15">IF(K4&gt;0,0,$C4*K4*-1)</f>
        <v>5.3055565048816165E-2</v>
      </c>
      <c r="O4" s="51">
        <f t="shared" ref="O4:O44" si="16">IF(L4&gt;0,0,$C4*L4*-1)</f>
        <v>7.0563869400619539E-2</v>
      </c>
      <c r="P4" s="51">
        <f t="shared" ref="P4:P44" si="17">IF(M4&gt;0,0,$C4*M4*-1)</f>
        <v>3.5547260697012813E-2</v>
      </c>
      <c r="Q4" s="51" cm="1">
        <f t="array" ref="Q4">IF(D4=0,0,SUMPRODUCT(IF($AB$3:$AB$212=B4,1,0),IF($AA$3:$AA$212=A4,1,0),$AD$3:$AD$212,$AN$3:$AN$212)/D4)</f>
        <v>2.8</v>
      </c>
      <c r="R4" s="51">
        <f t="shared" si="5"/>
        <v>30.659999999999997</v>
      </c>
      <c r="S4" s="51">
        <f t="shared" si="6"/>
        <v>0</v>
      </c>
      <c r="T4" s="51">
        <f t="shared" si="7"/>
        <v>0</v>
      </c>
      <c r="U4" s="51">
        <f t="shared" si="8"/>
        <v>0</v>
      </c>
      <c r="V4" s="51">
        <f t="shared" si="9"/>
        <v>0</v>
      </c>
      <c r="Y4" t="s">
        <v>79</v>
      </c>
      <c r="Z4" t="s">
        <v>78</v>
      </c>
      <c r="AA4" t="s">
        <v>76</v>
      </c>
      <c r="AB4">
        <v>2026</v>
      </c>
      <c r="AC4">
        <v>0</v>
      </c>
      <c r="AD4" s="23">
        <f>AC4*1000000000000/Assumptions!$B$17/1000</f>
        <v>0</v>
      </c>
      <c r="AE4" s="9">
        <f t="shared" ref="AE4:AE67" si="18">AVERAGE(AF4:AG4)</f>
        <v>5.2549999999999999</v>
      </c>
      <c r="AF4">
        <f>IF(LEFT(Z4,4)="Blue",Assumptions!$G$57,0)</f>
        <v>0</v>
      </c>
      <c r="AG4">
        <f>IF(LEFT(Z4,4)="Blue",Assumptions!$G$59,IF(LEFT(Z4,4)="Gree",Assumptions!$G$60,0))</f>
        <v>10.51</v>
      </c>
      <c r="AH4" s="41">
        <f t="shared" ref="AH4:AH23" si="19">BH4</f>
        <v>99.000787443158117</v>
      </c>
      <c r="AI4" s="41">
        <f t="shared" ref="AI4:AI23" si="20">BI4</f>
        <v>97.551574886316232</v>
      </c>
      <c r="AJ4" s="41">
        <f t="shared" ref="AJ4:AJ23" si="21">BJ4</f>
        <v>100.45</v>
      </c>
      <c r="AK4" s="51">
        <f t="shared" ref="AK4:AK67" si="22">AVERAGE(AL4:AM4)</f>
        <v>-88.490787443158112</v>
      </c>
      <c r="AL4" s="51">
        <f t="shared" ref="AL4:AL67" si="23">IF(AG4-AI4&gt;0,0,AG4-AI4)</f>
        <v>-87.041574886316226</v>
      </c>
      <c r="AM4" s="51">
        <f t="shared" ref="AM4:AM67" si="24">AG4-AJ4</f>
        <v>-89.94</v>
      </c>
      <c r="AN4">
        <f>IFERROR(INDEX(WaterUseH2[Average Direct Water Consumption (Gal/ kg h2)],MATCH(LEFT(Hydrogen!Y4,3),WaterUseH2[Key],0)),0)</f>
        <v>4.0999999999999996</v>
      </c>
      <c r="AO4" s="13">
        <f t="shared" si="11"/>
        <v>0</v>
      </c>
      <c r="AP4" s="13">
        <f>IF(Y4=$Y$3,AD4*Assumptions!$C$8*1000/1000,0)</f>
        <v>0</v>
      </c>
      <c r="AQ4" s="30">
        <f t="shared" ref="AQ4:AQ67" si="25">AP4/8760/30%</f>
        <v>0</v>
      </c>
      <c r="AR4" s="30">
        <f>$AQ4*Assumptions!B$76</f>
        <v>0</v>
      </c>
      <c r="AS4" s="30">
        <f>$AQ4*Assumptions!C$76</f>
        <v>0</v>
      </c>
      <c r="AT4" s="30">
        <f>$AQ4*Assumptions!D$76</f>
        <v>0</v>
      </c>
      <c r="BC4" t="s">
        <v>170</v>
      </c>
      <c r="BD4" t="s">
        <v>76</v>
      </c>
      <c r="BE4">
        <v>2026</v>
      </c>
      <c r="BF4" s="23">
        <f t="shared" ref="BF4:BF23" si="26">SUMIFS(AC:AC,AA:AA,BD4,AB:AB,BE4)</f>
        <v>1.3140000000000001E-3</v>
      </c>
      <c r="BG4" s="40">
        <f>BF4*10000000000000/Assumptions!$B$17/1000</f>
        <v>109500</v>
      </c>
      <c r="BH4" s="41" cm="1">
        <f t="array" ref="BH4">SUMPRODUCT(IF($BE$24:$BE$66=$BE4,1,0),$BF$24:$BF$66,BH$24:BH$66)</f>
        <v>99.000787443158117</v>
      </c>
      <c r="BI4" s="41" cm="1">
        <f t="array" ref="BI4">SUMPRODUCT(IF($BE$24:$BE$66=$BE4,1,0),$BF$24:$BF$66,BI$24:BI$66)</f>
        <v>97.551574886316232</v>
      </c>
      <c r="BJ4" s="41" cm="1">
        <f t="array" ref="BJ4">SUMPRODUCT(IF($BE$24:$BE$66=$BE4,1,0),$BF$24:$BF$66,BJ$24:BJ$66)</f>
        <v>100.45</v>
      </c>
      <c r="BP4" t="s">
        <v>107</v>
      </c>
      <c r="BQ4" t="s">
        <v>173</v>
      </c>
    </row>
    <row r="5" spans="1:71" x14ac:dyDescent="0.35">
      <c r="A5" t="s">
        <v>76</v>
      </c>
      <c r="B5">
        <v>2027</v>
      </c>
      <c r="C5" s="52">
        <f t="shared" si="0"/>
        <v>1.3140000000000001E-3</v>
      </c>
      <c r="D5" s="51">
        <f>C5*1000000000000/Assumptions!$B$17/1000</f>
        <v>10950</v>
      </c>
      <c r="E5" s="51" cm="1">
        <f t="array" ref="E5">IF(C5=0,0,SUMPRODUCT(IF($AB$3:$AB$212=B5,1,0),IF($AA$3:$AA$212=$A5,1,0),$AC$3:$AC$212,$AE$3:$AE$212)/C5)</f>
        <v>58.623645092460883</v>
      </c>
      <c r="F5" s="51" cm="1">
        <f t="array" ref="F5">IF(C5=0,0,SUMPRODUCT(IF($AB$3:$AB$212=B5,1,0),IF($AA$3:$AA$212=A5,1,0),$AC$3:$AC$212,$AF$3:$AF$212)/C5)</f>
        <v>43.849999999999994</v>
      </c>
      <c r="G5" s="51" cm="1">
        <f t="array" ref="G5">IF($C5=0,0,SUMPRODUCT(IF($AB$3:$AB$212=$B5,1,0),IF($AA$3:$AA$212=$A5,1,0),$AC$3:$AC$212,AG$3:AG$212)/$C5)</f>
        <v>73.397290184921758</v>
      </c>
      <c r="H5" s="51">
        <f t="shared" si="1"/>
        <v>98.562436921360089</v>
      </c>
      <c r="I5" s="51">
        <f t="shared" si="2"/>
        <v>96.674873842720174</v>
      </c>
      <c r="J5" s="51">
        <f t="shared" si="3"/>
        <v>100.45</v>
      </c>
      <c r="K5" s="51">
        <f t="shared" si="12"/>
        <v>-39.938791828899205</v>
      </c>
      <c r="L5" s="51">
        <f t="shared" si="13"/>
        <v>-52.82487384272018</v>
      </c>
      <c r="M5" s="51">
        <f t="shared" si="14"/>
        <v>-27.052709815078245</v>
      </c>
      <c r="N5" s="51">
        <f t="shared" si="15"/>
        <v>5.2479572463173557E-2</v>
      </c>
      <c r="O5" s="51">
        <f t="shared" si="16"/>
        <v>6.9411884229334322E-2</v>
      </c>
      <c r="P5" s="51">
        <f t="shared" si="17"/>
        <v>3.5547260697012813E-2</v>
      </c>
      <c r="Q5" s="51" cm="1">
        <f t="array" ref="Q5">IF(D5=0,0,SUMPRODUCT(IF($AB$3:$AB$212=B5,1,0),IF($AA$3:$AA$212=A5,1,0),$AD$3:$AD$212,$AN$3:$AN$212)/D5)</f>
        <v>2.8</v>
      </c>
      <c r="R5" s="51">
        <f t="shared" si="5"/>
        <v>30.659999999999997</v>
      </c>
      <c r="S5" s="51">
        <f t="shared" si="6"/>
        <v>0</v>
      </c>
      <c r="T5" s="51">
        <f t="shared" si="7"/>
        <v>0</v>
      </c>
      <c r="U5" s="51">
        <f t="shared" si="8"/>
        <v>0</v>
      </c>
      <c r="V5" s="51">
        <f t="shared" si="9"/>
        <v>0</v>
      </c>
      <c r="Y5" t="s">
        <v>79</v>
      </c>
      <c r="Z5" t="s">
        <v>78</v>
      </c>
      <c r="AA5" t="s">
        <v>76</v>
      </c>
      <c r="AB5">
        <v>2027</v>
      </c>
      <c r="AC5">
        <v>0</v>
      </c>
      <c r="AD5" s="23">
        <f>AC5*1000000000000/Assumptions!$B$17/1000</f>
        <v>0</v>
      </c>
      <c r="AE5" s="9">
        <f t="shared" si="18"/>
        <v>5.2549999999999999</v>
      </c>
      <c r="AF5">
        <f>IF(LEFT(Z5,4)="Blue",Assumptions!$G$57,0)</f>
        <v>0</v>
      </c>
      <c r="AG5">
        <f>IF(LEFT(Z5,4)="Blue",Assumptions!$G$59,IF(LEFT(Z5,4)="Gree",Assumptions!$G$60,0))</f>
        <v>10.51</v>
      </c>
      <c r="AH5" s="41">
        <f t="shared" si="19"/>
        <v>98.562436921360089</v>
      </c>
      <c r="AI5" s="41">
        <f t="shared" si="20"/>
        <v>96.674873842720174</v>
      </c>
      <c r="AJ5" s="41">
        <f t="shared" si="21"/>
        <v>100.45</v>
      </c>
      <c r="AK5" s="51">
        <f t="shared" si="22"/>
        <v>-88.052436921360083</v>
      </c>
      <c r="AL5" s="51">
        <f t="shared" si="23"/>
        <v>-86.164873842720169</v>
      </c>
      <c r="AM5" s="51">
        <f t="shared" si="24"/>
        <v>-89.94</v>
      </c>
      <c r="AN5">
        <f>IFERROR(INDEX(WaterUseH2[Average Direct Water Consumption (Gal/ kg h2)],MATCH(LEFT(Hydrogen!Y5,3),WaterUseH2[Key],0)),0)</f>
        <v>4.0999999999999996</v>
      </c>
      <c r="AO5" s="13">
        <f t="shared" si="11"/>
        <v>0</v>
      </c>
      <c r="AP5" s="13">
        <f>IF(Y5=$Y$3,AD5*Assumptions!$C$8*1000/1000,0)</f>
        <v>0</v>
      </c>
      <c r="AQ5" s="30">
        <f t="shared" si="25"/>
        <v>0</v>
      </c>
      <c r="AR5" s="30">
        <f>$AQ5*Assumptions!B$76</f>
        <v>0</v>
      </c>
      <c r="AS5" s="30">
        <f>$AQ5*Assumptions!C$76</f>
        <v>0</v>
      </c>
      <c r="AT5" s="30">
        <f>$AQ5*Assumptions!D$76</f>
        <v>0</v>
      </c>
      <c r="BC5" t="s">
        <v>170</v>
      </c>
      <c r="BD5" t="s">
        <v>76</v>
      </c>
      <c r="BE5">
        <v>2027</v>
      </c>
      <c r="BF5" s="23">
        <f t="shared" si="26"/>
        <v>1.3140000000000001E-3</v>
      </c>
      <c r="BG5" s="40">
        <f>BF5*10000000000000/Assumptions!$B$17/1000</f>
        <v>109500</v>
      </c>
      <c r="BH5" s="41" cm="1">
        <f t="array" ref="BH5">SUMPRODUCT(IF($BE$24:$BE$66=$BE5,1,0),$BF$24:$BF$66,BH$24:BH$66)</f>
        <v>98.562436921360089</v>
      </c>
      <c r="BI5" s="41" cm="1">
        <f t="array" ref="BI5">SUMPRODUCT(IF($BE$24:$BE$66=$BE5,1,0),$BF$24:$BF$66,BI$24:BI$66)</f>
        <v>96.674873842720174</v>
      </c>
      <c r="BJ5" s="41" cm="1">
        <f t="array" ref="BJ5">SUMPRODUCT(IF($BE$24:$BE$66=$BE5,1,0),$BF$24:$BF$66,BJ$24:BJ$66)</f>
        <v>100.45</v>
      </c>
      <c r="BP5" s="61" t="s">
        <v>174</v>
      </c>
      <c r="BQ5" s="61" t="s">
        <v>175</v>
      </c>
      <c r="BS5">
        <v>2036</v>
      </c>
    </row>
    <row r="6" spans="1:71" x14ac:dyDescent="0.35">
      <c r="A6" t="s">
        <v>76</v>
      </c>
      <c r="B6">
        <v>2028</v>
      </c>
      <c r="C6" s="52">
        <f t="shared" si="0"/>
        <v>1.3140000000000001E-3</v>
      </c>
      <c r="D6" s="51">
        <f>C6*1000000000000/Assumptions!$B$17/1000</f>
        <v>10950</v>
      </c>
      <c r="E6" s="51" cm="1">
        <f t="array" ref="E6">IF(C6=0,0,SUMPRODUCT(IF($AB$3:$AB$212=B6,1,0),IF($AA$3:$AA$212=$A6,1,0),$AC$3:$AC$212,$AE$3:$AE$212)/C6)</f>
        <v>58.623645092460883</v>
      </c>
      <c r="F6" s="51" cm="1">
        <f t="array" ref="F6">IF(C6=0,0,SUMPRODUCT(IF($AB$3:$AB$212=B6,1,0),IF($AA$3:$AA$212=A6,1,0),$AC$3:$AC$212,$AF$3:$AF$212)/C6)</f>
        <v>43.849999999999994</v>
      </c>
      <c r="G6" s="51" cm="1">
        <f t="array" ref="G6">IF($C6=0,0,SUMPRODUCT(IF($AB$3:$AB$212=$B6,1,0),IF($AA$3:$AA$212=$A6,1,0),$AC$3:$AC$212,AG$3:AG$212)/$C6)</f>
        <v>73.397290184921758</v>
      </c>
      <c r="H6" s="51">
        <f t="shared" si="1"/>
        <v>98.088874094271858</v>
      </c>
      <c r="I6" s="51">
        <f t="shared" si="2"/>
        <v>95.7277481885437</v>
      </c>
      <c r="J6" s="51">
        <f t="shared" si="3"/>
        <v>100.45</v>
      </c>
      <c r="K6" s="51">
        <f t="shared" si="12"/>
        <v>-39.465229001810975</v>
      </c>
      <c r="L6" s="51">
        <f t="shared" si="13"/>
        <v>-51.877748188543706</v>
      </c>
      <c r="M6" s="51">
        <f t="shared" si="14"/>
        <v>-27.052709815078245</v>
      </c>
      <c r="N6" s="51">
        <f t="shared" si="15"/>
        <v>5.1857310908379625E-2</v>
      </c>
      <c r="O6" s="51">
        <f t="shared" si="16"/>
        <v>6.8167361119746431E-2</v>
      </c>
      <c r="P6" s="51">
        <f t="shared" si="17"/>
        <v>3.5547260697012813E-2</v>
      </c>
      <c r="Q6" s="51" cm="1">
        <f t="array" ref="Q6">IF(D6=0,0,SUMPRODUCT(IF($AB$3:$AB$212=B6,1,0),IF($AA$3:$AA$212=A6,1,0),$AD$3:$AD$212,$AN$3:$AN$212)/D6)</f>
        <v>2.8</v>
      </c>
      <c r="R6" s="51">
        <f t="shared" si="5"/>
        <v>30.659999999999997</v>
      </c>
      <c r="S6" s="51">
        <f t="shared" si="6"/>
        <v>0</v>
      </c>
      <c r="T6" s="51">
        <f t="shared" si="7"/>
        <v>0</v>
      </c>
      <c r="U6" s="51">
        <f t="shared" si="8"/>
        <v>0</v>
      </c>
      <c r="V6" s="51">
        <f t="shared" si="9"/>
        <v>0</v>
      </c>
      <c r="Y6" t="s">
        <v>79</v>
      </c>
      <c r="Z6" t="s">
        <v>78</v>
      </c>
      <c r="AA6" t="s">
        <v>76</v>
      </c>
      <c r="AB6">
        <v>2028</v>
      </c>
      <c r="AC6">
        <v>0</v>
      </c>
      <c r="AD6" s="23">
        <f>AC6*1000000000000/Assumptions!$B$17/1000</f>
        <v>0</v>
      </c>
      <c r="AE6" s="9">
        <f t="shared" si="18"/>
        <v>5.2549999999999999</v>
      </c>
      <c r="AF6">
        <f>IF(LEFT(Z6,4)="Blue",Assumptions!$G$57,0)</f>
        <v>0</v>
      </c>
      <c r="AG6">
        <f>IF(LEFT(Z6,4)="Blue",Assumptions!$G$59,IF(LEFT(Z6,4)="Gree",Assumptions!$G$60,0))</f>
        <v>10.51</v>
      </c>
      <c r="AH6" s="41">
        <f t="shared" si="19"/>
        <v>98.088874094271858</v>
      </c>
      <c r="AI6" s="41">
        <f t="shared" si="20"/>
        <v>95.7277481885437</v>
      </c>
      <c r="AJ6" s="41">
        <f t="shared" si="21"/>
        <v>100.45</v>
      </c>
      <c r="AK6" s="51">
        <f t="shared" si="22"/>
        <v>-87.578874094271839</v>
      </c>
      <c r="AL6" s="51">
        <f t="shared" si="23"/>
        <v>-85.217748188543695</v>
      </c>
      <c r="AM6" s="51">
        <f t="shared" si="24"/>
        <v>-89.94</v>
      </c>
      <c r="AN6">
        <f>IFERROR(INDEX(WaterUseH2[Average Direct Water Consumption (Gal/ kg h2)],MATCH(LEFT(Hydrogen!Y6,3),WaterUseH2[Key],0)),0)</f>
        <v>4.0999999999999996</v>
      </c>
      <c r="AO6" s="13">
        <f t="shared" si="11"/>
        <v>0</v>
      </c>
      <c r="AP6" s="13">
        <f>IF(Y6=$Y$3,AD6*Assumptions!$C$8*1000/1000,0)</f>
        <v>0</v>
      </c>
      <c r="AQ6" s="30">
        <f t="shared" si="25"/>
        <v>0</v>
      </c>
      <c r="AR6" s="30">
        <f>$AQ6*Assumptions!B$76</f>
        <v>0</v>
      </c>
      <c r="AS6" s="30">
        <f>$AQ6*Assumptions!C$76</f>
        <v>0</v>
      </c>
      <c r="AT6" s="30">
        <f>$AQ6*Assumptions!D$76</f>
        <v>0</v>
      </c>
      <c r="BC6" t="s">
        <v>170</v>
      </c>
      <c r="BD6" t="s">
        <v>76</v>
      </c>
      <c r="BE6">
        <v>2028</v>
      </c>
      <c r="BF6" s="23">
        <f t="shared" si="26"/>
        <v>1.3140000000000001E-3</v>
      </c>
      <c r="BG6" s="40">
        <f>BF6*10000000000000/Assumptions!$B$17/1000</f>
        <v>109500</v>
      </c>
      <c r="BH6" s="41" cm="1">
        <f t="array" ref="BH6">SUMPRODUCT(IF($BE$24:$BE$66=$BE6,1,0),$BF$24:$BF$66,BH$24:BH$66)</f>
        <v>98.088874094271858</v>
      </c>
      <c r="BI6" s="41" cm="1">
        <f t="array" ref="BI6">SUMPRODUCT(IF($BE$24:$BE$66=$BE6,1,0),$BF$24:$BF$66,BI$24:BI$66)</f>
        <v>95.7277481885437</v>
      </c>
      <c r="BJ6" s="41" cm="1">
        <f t="array" ref="BJ6">SUMPRODUCT(IF($BE$24:$BE$66=$BE6,1,0),$BF$24:$BF$66,BJ$24:BJ$66)</f>
        <v>100.45</v>
      </c>
    </row>
    <row r="7" spans="1:71" x14ac:dyDescent="0.35">
      <c r="A7" t="s">
        <v>76</v>
      </c>
      <c r="B7">
        <v>2029</v>
      </c>
      <c r="C7" s="52">
        <f t="shared" si="0"/>
        <v>1.3140000000000001E-3</v>
      </c>
      <c r="D7" s="51">
        <f>C7*1000000000000/Assumptions!$B$17/1000</f>
        <v>10950</v>
      </c>
      <c r="E7" s="51" cm="1">
        <f t="array" ref="E7">IF(C7=0,0,SUMPRODUCT(IF($AB$3:$AB$212=B7,1,0),IF($AA$3:$AA$212=$A7,1,0),$AC$3:$AC$212,$AE$3:$AE$212)/C7)</f>
        <v>58.623645092460883</v>
      </c>
      <c r="F7" s="51" cm="1">
        <f t="array" ref="F7">IF(C7=0,0,SUMPRODUCT(IF($AB$3:$AB$212=B7,1,0),IF($AA$3:$AA$212=A7,1,0),$AC$3:$AC$212,$AF$3:$AF$212)/C7)</f>
        <v>43.849999999999994</v>
      </c>
      <c r="G7" s="51" cm="1">
        <f t="array" ref="G7">IF($C7=0,0,SUMPRODUCT(IF($AB$3:$AB$212=$B7,1,0),IF($AA$3:$AA$212=$A7,1,0),$AC$3:$AC$212,AG$3:AG$212)/$C7)</f>
        <v>73.397290184921758</v>
      </c>
      <c r="H7" s="51">
        <f t="shared" si="1"/>
        <v>97.544867879479852</v>
      </c>
      <c r="I7" s="51">
        <f t="shared" si="2"/>
        <v>94.639735758959688</v>
      </c>
      <c r="J7" s="51">
        <f t="shared" si="3"/>
        <v>100.45</v>
      </c>
      <c r="K7" s="51">
        <f t="shared" si="12"/>
        <v>-38.921222787018969</v>
      </c>
      <c r="L7" s="51">
        <f t="shared" si="13"/>
        <v>-50.789735758959694</v>
      </c>
      <c r="M7" s="51">
        <f t="shared" si="14"/>
        <v>-27.052709815078245</v>
      </c>
      <c r="N7" s="51">
        <f t="shared" si="15"/>
        <v>5.1142486742142931E-2</v>
      </c>
      <c r="O7" s="51">
        <f t="shared" si="16"/>
        <v>6.6737712787273043E-2</v>
      </c>
      <c r="P7" s="51">
        <f t="shared" si="17"/>
        <v>3.5547260697012813E-2</v>
      </c>
      <c r="Q7" s="51" cm="1">
        <f t="array" ref="Q7">IF(D7=0,0,SUMPRODUCT(IF($AB$3:$AB$212=B7,1,0),IF($AA$3:$AA$212=A7,1,0),$AD$3:$AD$212,$AN$3:$AN$212)/D7)</f>
        <v>2.8</v>
      </c>
      <c r="R7" s="51">
        <f t="shared" si="5"/>
        <v>30.659999999999997</v>
      </c>
      <c r="S7" s="51">
        <f t="shared" si="6"/>
        <v>0</v>
      </c>
      <c r="T7" s="51">
        <f t="shared" si="7"/>
        <v>0</v>
      </c>
      <c r="U7" s="51">
        <f t="shared" si="8"/>
        <v>0</v>
      </c>
      <c r="V7" s="51">
        <f t="shared" si="9"/>
        <v>0</v>
      </c>
      <c r="Y7" t="s">
        <v>79</v>
      </c>
      <c r="Z7" t="s">
        <v>78</v>
      </c>
      <c r="AA7" t="s">
        <v>76</v>
      </c>
      <c r="AB7">
        <v>2029</v>
      </c>
      <c r="AC7">
        <v>0</v>
      </c>
      <c r="AD7" s="23">
        <f>AC7*1000000000000/Assumptions!$B$17/1000</f>
        <v>0</v>
      </c>
      <c r="AE7" s="9">
        <f t="shared" si="18"/>
        <v>5.2549999999999999</v>
      </c>
      <c r="AF7">
        <f>IF(LEFT(Z7,4)="Blue",Assumptions!$G$57,0)</f>
        <v>0</v>
      </c>
      <c r="AG7">
        <f>IF(LEFT(Z7,4)="Blue",Assumptions!$G$59,IF(LEFT(Z7,4)="Gree",Assumptions!$G$60,0))</f>
        <v>10.51</v>
      </c>
      <c r="AH7" s="41">
        <f t="shared" si="19"/>
        <v>97.544867879479852</v>
      </c>
      <c r="AI7" s="41">
        <f t="shared" si="20"/>
        <v>94.639735758959688</v>
      </c>
      <c r="AJ7" s="41">
        <f t="shared" si="21"/>
        <v>100.45</v>
      </c>
      <c r="AK7" s="51">
        <f t="shared" si="22"/>
        <v>-87.034867879479833</v>
      </c>
      <c r="AL7" s="51">
        <f t="shared" si="23"/>
        <v>-84.129735758959683</v>
      </c>
      <c r="AM7" s="51">
        <f t="shared" si="24"/>
        <v>-89.94</v>
      </c>
      <c r="AN7">
        <f>IFERROR(INDEX(WaterUseH2[Average Direct Water Consumption (Gal/ kg h2)],MATCH(LEFT(Hydrogen!Y7,3),WaterUseH2[Key],0)),0)</f>
        <v>4.0999999999999996</v>
      </c>
      <c r="AO7" s="13">
        <f t="shared" si="11"/>
        <v>0</v>
      </c>
      <c r="AP7" s="13">
        <f>IF(Y7=$Y$3,AD7*Assumptions!$C$8*1000/1000,0)</f>
        <v>0</v>
      </c>
      <c r="AQ7" s="30">
        <f t="shared" si="25"/>
        <v>0</v>
      </c>
      <c r="AR7" s="30">
        <f>$AQ7*Assumptions!B$76</f>
        <v>0</v>
      </c>
      <c r="AS7" s="30">
        <f>$AQ7*Assumptions!C$76</f>
        <v>0</v>
      </c>
      <c r="AT7" s="30">
        <f>$AQ7*Assumptions!D$76</f>
        <v>0</v>
      </c>
      <c r="BC7" t="s">
        <v>170</v>
      </c>
      <c r="BD7" t="s">
        <v>76</v>
      </c>
      <c r="BE7">
        <v>2029</v>
      </c>
      <c r="BF7" s="23">
        <f t="shared" si="26"/>
        <v>1.3140000000000001E-3</v>
      </c>
      <c r="BG7" s="40">
        <f>BF7*10000000000000/Assumptions!$B$17/1000</f>
        <v>109500</v>
      </c>
      <c r="BH7" s="41" cm="1">
        <f t="array" ref="BH7">SUMPRODUCT(IF($BE$24:$BE$66=$BE7,1,0),$BF$24:$BF$66,BH$24:BH$66)</f>
        <v>97.544867879479852</v>
      </c>
      <c r="BI7" s="41" cm="1">
        <f t="array" ref="BI7">SUMPRODUCT(IF($BE$24:$BE$66=$BE7,1,0),$BF$24:$BF$66,BI$24:BI$66)</f>
        <v>94.639735758959688</v>
      </c>
      <c r="BJ7" s="41" cm="1">
        <f t="array" ref="BJ7">SUMPRODUCT(IF($BE$24:$BE$66=$BE7,1,0),$BF$24:$BF$66,BJ$24:BJ$66)</f>
        <v>100.45</v>
      </c>
    </row>
    <row r="8" spans="1:71" x14ac:dyDescent="0.35">
      <c r="A8" t="s">
        <v>76</v>
      </c>
      <c r="B8">
        <v>2030</v>
      </c>
      <c r="C8" s="52">
        <f t="shared" si="0"/>
        <v>1.2834000000000002E-2</v>
      </c>
      <c r="D8" s="51">
        <f>C8*1000000000000/Assumptions!$B$17/1000</f>
        <v>106950.00000000001</v>
      </c>
      <c r="E8" s="51" cm="1">
        <f t="array" ref="E8">IF(C8=0,0,SUMPRODUCT(IF($AB$3:$AB$212=B8,1,0),IF($AA$3:$AA$212=$A8,1,0),$AC$3:$AC$212,$AE$3:$AE$212)/C8)</f>
        <v>10.719110928120116</v>
      </c>
      <c r="F8" s="51" cm="1">
        <f t="array" ref="F8">IF(C8=0,0,SUMPRODUCT(IF($AB$3:$AB$212=B8,1,0),IF($AA$3:$AA$212=A8,1,0),$AC$3:$AC$212,$AF$3:$AF$212)/C8)</f>
        <v>4.4895511921458615</v>
      </c>
      <c r="G8" s="51" cm="1">
        <f t="array" ref="G8">IF($C8=0,0,SUMPRODUCT(IF($AB$3:$AB$212=$B8,1,0),IF($AA$3:$AA$212=$A8,1,0),$AC$3:$AC$212,AG$3:AG$212)/$C8)</f>
        <v>16.948670664094372</v>
      </c>
      <c r="H8" s="51">
        <f t="shared" si="1"/>
        <v>96.924614347496885</v>
      </c>
      <c r="I8" s="51">
        <f t="shared" si="2"/>
        <v>93.399228694993766</v>
      </c>
      <c r="J8" s="51">
        <f t="shared" si="3"/>
        <v>100.45</v>
      </c>
      <c r="K8" s="51">
        <f t="shared" si="12"/>
        <v>-86.205503419376768</v>
      </c>
      <c r="L8" s="51">
        <f t="shared" si="13"/>
        <v>-88.909677502847899</v>
      </c>
      <c r="M8" s="51">
        <f t="shared" si="14"/>
        <v>-83.501329335905638</v>
      </c>
      <c r="N8" s="51">
        <f t="shared" si="15"/>
        <v>1.1063614308842815</v>
      </c>
      <c r="O8" s="51">
        <f t="shared" si="16"/>
        <v>1.1410668010715501</v>
      </c>
      <c r="P8" s="51">
        <f t="shared" si="17"/>
        <v>1.0716560606970131</v>
      </c>
      <c r="Q8" s="51" cm="1">
        <f t="array" ref="Q8">IF(D8=0,0,SUMPRODUCT(IF($AB$3:$AB$212=B8,1,0),IF($AA$3:$AA$212=A8,1,0),$AD$3:$AD$212,$AN$3:$AN$212)/D8)</f>
        <v>3.9669004207573622</v>
      </c>
      <c r="R8" s="51">
        <f t="shared" si="5"/>
        <v>424.26</v>
      </c>
      <c r="S8" s="51">
        <f t="shared" si="6"/>
        <v>1873.9726027397262</v>
      </c>
      <c r="T8" s="51">
        <f t="shared" si="7"/>
        <v>6558.9041095890416</v>
      </c>
      <c r="U8" s="51">
        <f t="shared" si="8"/>
        <v>5247.1232876712329</v>
      </c>
      <c r="V8" s="51">
        <f t="shared" si="9"/>
        <v>7870.6849315068503</v>
      </c>
      <c r="Y8" t="s">
        <v>79</v>
      </c>
      <c r="Z8" t="s">
        <v>78</v>
      </c>
      <c r="AA8" t="s">
        <v>76</v>
      </c>
      <c r="AB8">
        <v>2030</v>
      </c>
      <c r="AC8" s="7">
        <v>1.1520000000000001E-2</v>
      </c>
      <c r="AD8" s="23">
        <f>AC8*1000000000000/Assumptions!$B$17/1000</f>
        <v>96000</v>
      </c>
      <c r="AE8" s="9">
        <f t="shared" si="18"/>
        <v>5.2549999999999999</v>
      </c>
      <c r="AF8">
        <f>IF(LEFT(Z8,4)="Blue",Assumptions!$G$57,0)</f>
        <v>0</v>
      </c>
      <c r="AG8">
        <f>IF(LEFT(Z8,4)="Blue",Assumptions!$G$59,IF(LEFT(Z8,4)="Gree",Assumptions!$G$60,0))</f>
        <v>10.51</v>
      </c>
      <c r="AH8" s="41">
        <f t="shared" si="19"/>
        <v>96.924614347496885</v>
      </c>
      <c r="AI8" s="41">
        <f t="shared" si="20"/>
        <v>93.399228694993766</v>
      </c>
      <c r="AJ8" s="41">
        <f t="shared" si="21"/>
        <v>100.45</v>
      </c>
      <c r="AK8" s="51">
        <f t="shared" si="22"/>
        <v>-86.41461434749688</v>
      </c>
      <c r="AL8" s="51">
        <f t="shared" si="23"/>
        <v>-82.889228694993761</v>
      </c>
      <c r="AM8" s="51">
        <f t="shared" si="24"/>
        <v>-89.94</v>
      </c>
      <c r="AN8">
        <f>IFERROR(INDEX(WaterUseH2[Average Direct Water Consumption (Gal/ kg h2)],MATCH(LEFT(Hydrogen!Y8,3),WaterUseH2[Key],0)),0)</f>
        <v>4.0999999999999996</v>
      </c>
      <c r="AO8" s="13">
        <f t="shared" si="11"/>
        <v>393.59999999999997</v>
      </c>
      <c r="AP8" s="13">
        <f>IF(Y8=$Y$3,AD8*Assumptions!$C$8*1000/1000,0)</f>
        <v>4924800</v>
      </c>
      <c r="AQ8" s="30">
        <f t="shared" si="25"/>
        <v>1873.9726027397262</v>
      </c>
      <c r="AR8" s="30">
        <f>$AQ8*Assumptions!B$76</f>
        <v>6558.9041095890416</v>
      </c>
      <c r="AS8" s="30">
        <f>$AQ8*Assumptions!C$76</f>
        <v>5247.1232876712329</v>
      </c>
      <c r="AT8" s="30">
        <f>$AQ8*Assumptions!D$76</f>
        <v>7870.6849315068503</v>
      </c>
      <c r="AV8" s="31"/>
      <c r="BC8" t="s">
        <v>170</v>
      </c>
      <c r="BD8" t="s">
        <v>76</v>
      </c>
      <c r="BE8">
        <v>2030</v>
      </c>
      <c r="BF8" s="23">
        <f t="shared" si="26"/>
        <v>1.2834000000000002E-2</v>
      </c>
      <c r="BG8" s="40">
        <f>BF8*10000000000000/Assumptions!$B$17/1000</f>
        <v>1069500.0000000002</v>
      </c>
      <c r="BH8" s="41" cm="1">
        <f t="array" ref="BH8">SUMPRODUCT(IF($BE$24:$BE$66=$BE8,1,0),$BF$24:$BF$66,BH$24:BH$66)</f>
        <v>96.924614347496885</v>
      </c>
      <c r="BI8" s="41" cm="1">
        <f t="array" ref="BI8">SUMPRODUCT(IF($BE$24:$BE$66=$BE8,1,0),$BF$24:$BF$66,BI$24:BI$66)</f>
        <v>93.399228694993766</v>
      </c>
      <c r="BJ8" s="41" cm="1">
        <f t="array" ref="BJ8">SUMPRODUCT(IF($BE$24:$BE$66=$BE8,1,0),$BF$24:$BF$66,BJ$24:BJ$66)</f>
        <v>100.45</v>
      </c>
      <c r="BQ8">
        <v>110000</v>
      </c>
    </row>
    <row r="9" spans="1:71" x14ac:dyDescent="0.35">
      <c r="A9" t="s">
        <v>76</v>
      </c>
      <c r="B9">
        <v>2031</v>
      </c>
      <c r="C9" s="52">
        <f t="shared" si="0"/>
        <v>1.2834000000000002E-2</v>
      </c>
      <c r="D9" s="51">
        <f>C9*1000000000000/Assumptions!$B$17/1000</f>
        <v>106950.00000000001</v>
      </c>
      <c r="E9" s="51" cm="1">
        <f t="array" ref="E9">IF(C9=0,0,SUMPRODUCT(IF($AB$3:$AB$212=B9,1,0),IF($AA$3:$AA$212=$A9,1,0),$AC$3:$AC$212,$AE$3:$AE$212)/C9)</f>
        <v>10.719110928120116</v>
      </c>
      <c r="F9" s="51" cm="1">
        <f t="array" ref="F9">IF(C9=0,0,SUMPRODUCT(IF($AB$3:$AB$212=B9,1,0),IF($AA$3:$AA$212=A9,1,0),$AC$3:$AC$212,$AF$3:$AF$212)/C9)</f>
        <v>4.4895511921458615</v>
      </c>
      <c r="G9" s="51" cm="1">
        <f t="array" ref="G9">IF($C9=0,0,SUMPRODUCT(IF($AB$3:$AB$212=$B9,1,0),IF($AA$3:$AA$212=$A9,1,0),$AC$3:$AC$212,AG$3:AG$212)/$C9)</f>
        <v>16.948670664094372</v>
      </c>
      <c r="H9" s="51">
        <f t="shared" si="1"/>
        <v>96.219877469537067</v>
      </c>
      <c r="I9" s="51">
        <f t="shared" si="2"/>
        <v>91.989754939074118</v>
      </c>
      <c r="J9" s="51">
        <f t="shared" si="3"/>
        <v>100.45</v>
      </c>
      <c r="K9" s="51">
        <f t="shared" si="12"/>
        <v>-85.500766541416951</v>
      </c>
      <c r="L9" s="51">
        <f t="shared" si="13"/>
        <v>-87.50020374692825</v>
      </c>
      <c r="M9" s="51">
        <f t="shared" si="14"/>
        <v>-83.501329335905638</v>
      </c>
      <c r="N9" s="51">
        <f t="shared" si="15"/>
        <v>1.0973168377925453</v>
      </c>
      <c r="O9" s="51">
        <f t="shared" si="16"/>
        <v>1.1229776148880772</v>
      </c>
      <c r="P9" s="51">
        <f t="shared" si="17"/>
        <v>1.0716560606970131</v>
      </c>
      <c r="Q9" s="51" cm="1">
        <f t="array" ref="Q9">IF(D9=0,0,SUMPRODUCT(IF($AB$3:$AB$212=B9,1,0),IF($AA$3:$AA$212=A9,1,0),$AD$3:$AD$212,$AN$3:$AN$212)/D9)</f>
        <v>3.9669004207573622</v>
      </c>
      <c r="R9" s="51">
        <f t="shared" si="5"/>
        <v>424.26</v>
      </c>
      <c r="S9" s="51">
        <f t="shared" si="6"/>
        <v>1873.9726027397262</v>
      </c>
      <c r="T9" s="51">
        <f t="shared" si="7"/>
        <v>6558.9041095890416</v>
      </c>
      <c r="U9" s="51">
        <f t="shared" si="8"/>
        <v>5247.1232876712329</v>
      </c>
      <c r="V9" s="51">
        <f t="shared" si="9"/>
        <v>7870.6849315068503</v>
      </c>
      <c r="Y9" t="s">
        <v>79</v>
      </c>
      <c r="Z9" t="s">
        <v>78</v>
      </c>
      <c r="AA9" t="s">
        <v>76</v>
      </c>
      <c r="AB9">
        <v>2031</v>
      </c>
      <c r="AC9" s="7">
        <v>1.1520000000000001E-2</v>
      </c>
      <c r="AD9" s="23">
        <f>AC9*1000000000000/Assumptions!$B$17/1000</f>
        <v>96000</v>
      </c>
      <c r="AE9" s="9">
        <f t="shared" si="18"/>
        <v>5.2549999999999999</v>
      </c>
      <c r="AF9">
        <f>IF(LEFT(Z9,4)="Blue",Assumptions!$G$57,0)</f>
        <v>0</v>
      </c>
      <c r="AG9">
        <f>IF(LEFT(Z9,4)="Blue",Assumptions!$G$59,IF(LEFT(Z9,4)="Gree",Assumptions!$G$60,0))</f>
        <v>10.51</v>
      </c>
      <c r="AH9" s="41">
        <f t="shared" si="19"/>
        <v>96.219877469537067</v>
      </c>
      <c r="AI9" s="41">
        <f t="shared" si="20"/>
        <v>91.989754939074118</v>
      </c>
      <c r="AJ9" s="41">
        <f t="shared" si="21"/>
        <v>100.45</v>
      </c>
      <c r="AK9" s="51">
        <f t="shared" si="22"/>
        <v>-85.709877469537048</v>
      </c>
      <c r="AL9" s="51">
        <f t="shared" si="23"/>
        <v>-81.479754939074112</v>
      </c>
      <c r="AM9" s="51">
        <f t="shared" si="24"/>
        <v>-89.94</v>
      </c>
      <c r="AN9">
        <f>IFERROR(INDEX(WaterUseH2[Average Direct Water Consumption (Gal/ kg h2)],MATCH(LEFT(Hydrogen!Y9,3),WaterUseH2[Key],0)),0)</f>
        <v>4.0999999999999996</v>
      </c>
      <c r="AO9" s="13">
        <f t="shared" si="11"/>
        <v>393.59999999999997</v>
      </c>
      <c r="AP9" s="13">
        <f>IF(Y9=$Y$3,AD9*Assumptions!$C$8*1000/1000,0)</f>
        <v>4924800</v>
      </c>
      <c r="AQ9" s="30">
        <f t="shared" si="25"/>
        <v>1873.9726027397262</v>
      </c>
      <c r="AR9" s="30">
        <f>$AQ9*Assumptions!B$76</f>
        <v>6558.9041095890416</v>
      </c>
      <c r="AS9" s="30">
        <f>$AQ9*Assumptions!C$76</f>
        <v>5247.1232876712329</v>
      </c>
      <c r="AT9" s="30">
        <f>$AQ9*Assumptions!D$76</f>
        <v>7870.6849315068503</v>
      </c>
      <c r="BC9" t="s">
        <v>170</v>
      </c>
      <c r="BD9" t="s">
        <v>76</v>
      </c>
      <c r="BE9">
        <v>2031</v>
      </c>
      <c r="BF9" s="23">
        <f t="shared" si="26"/>
        <v>1.2834000000000002E-2</v>
      </c>
      <c r="BG9" s="40">
        <f>BF9*10000000000000/Assumptions!$B$17/1000</f>
        <v>1069500.0000000002</v>
      </c>
      <c r="BH9" s="41" cm="1">
        <f t="array" ref="BH9">SUMPRODUCT(IF($BE$24:$BE$66=$BE9,1,0),$BF$24:$BF$66,BH$24:BH$66)</f>
        <v>96.219877469537067</v>
      </c>
      <c r="BI9" s="41" cm="1">
        <f t="array" ref="BI9">SUMPRODUCT(IF($BE$24:$BE$66=$BE9,1,0),$BF$24:$BF$66,BI$24:BI$66)</f>
        <v>91.989754939074118</v>
      </c>
      <c r="BJ9" s="41" cm="1">
        <f t="array" ref="BJ9">SUMPRODUCT(IF($BE$24:$BE$66=$BE9,1,0),$BF$24:$BF$66,BJ$24:BJ$66)</f>
        <v>100.45</v>
      </c>
      <c r="BQ9">
        <f>BQ8*0.24</f>
        <v>26400</v>
      </c>
      <c r="BR9" t="s">
        <v>176</v>
      </c>
    </row>
    <row r="10" spans="1:71" x14ac:dyDescent="0.35">
      <c r="A10" t="s">
        <v>76</v>
      </c>
      <c r="B10">
        <v>2032</v>
      </c>
      <c r="C10" s="52">
        <f t="shared" si="0"/>
        <v>1.2834000000000002E-2</v>
      </c>
      <c r="D10" s="51">
        <f>C10*1000000000000/Assumptions!$B$17/1000</f>
        <v>106950.00000000001</v>
      </c>
      <c r="E10" s="51" cm="1">
        <f t="array" ref="E10">IF(C10=0,0,SUMPRODUCT(IF($AB$3:$AB$212=B10,1,0),IF($AA$3:$AA$212=$A10,1,0),$AC$3:$AC$212,$AE$3:$AE$212)/C10)</f>
        <v>10.719110928120116</v>
      </c>
      <c r="F10" s="51" cm="1">
        <f t="array" ref="F10">IF(C10=0,0,SUMPRODUCT(IF($AB$3:$AB$212=B10,1,0),IF($AA$3:$AA$212=A10,1,0),$AC$3:$AC$212,$AF$3:$AF$212)/C10)</f>
        <v>4.4895511921458615</v>
      </c>
      <c r="G10" s="51" cm="1">
        <f t="array" ref="G10">IF($C10=0,0,SUMPRODUCT(IF($AB$3:$AB$212=$B10,1,0),IF($AA$3:$AA$212=$A10,1,0),$AC$3:$AC$212,AG$3:AG$212)/$C10)</f>
        <v>16.948670664094372</v>
      </c>
      <c r="H10" s="51">
        <f t="shared" si="1"/>
        <v>95.431212950513526</v>
      </c>
      <c r="I10" s="51">
        <f t="shared" si="2"/>
        <v>90.412425901027063</v>
      </c>
      <c r="J10" s="51">
        <f t="shared" si="3"/>
        <v>100.45</v>
      </c>
      <c r="K10" s="51">
        <f t="shared" si="12"/>
        <v>-84.71210202239341</v>
      </c>
      <c r="L10" s="51">
        <f t="shared" si="13"/>
        <v>-85.922874708881196</v>
      </c>
      <c r="M10" s="51">
        <f t="shared" si="14"/>
        <v>-83.501329335905638</v>
      </c>
      <c r="N10" s="51">
        <f t="shared" si="15"/>
        <v>1.0871951173553971</v>
      </c>
      <c r="O10" s="51">
        <f t="shared" si="16"/>
        <v>1.1027341740137815</v>
      </c>
      <c r="P10" s="51">
        <f t="shared" si="17"/>
        <v>1.0716560606970131</v>
      </c>
      <c r="Q10" s="51" cm="1">
        <f t="array" ref="Q10">IF(D10=0,0,SUMPRODUCT(IF($AB$3:$AB$212=B10,1,0),IF($AA$3:$AA$212=A10,1,0),$AD$3:$AD$212,$AN$3:$AN$212)/D10)</f>
        <v>3.9669004207573622</v>
      </c>
      <c r="R10" s="51">
        <f t="shared" si="5"/>
        <v>424.26</v>
      </c>
      <c r="S10" s="51">
        <f t="shared" si="6"/>
        <v>1873.9726027397262</v>
      </c>
      <c r="T10" s="51">
        <f t="shared" si="7"/>
        <v>6558.9041095890416</v>
      </c>
      <c r="U10" s="51">
        <f t="shared" si="8"/>
        <v>5247.1232876712329</v>
      </c>
      <c r="V10" s="51">
        <f t="shared" si="9"/>
        <v>7870.6849315068503</v>
      </c>
      <c r="Y10" t="s">
        <v>79</v>
      </c>
      <c r="Z10" t="s">
        <v>78</v>
      </c>
      <c r="AA10" t="s">
        <v>76</v>
      </c>
      <c r="AB10">
        <v>2032</v>
      </c>
      <c r="AC10" s="7">
        <v>1.1520000000000001E-2</v>
      </c>
      <c r="AD10" s="23">
        <f>AC10*1000000000000/Assumptions!$B$17/1000</f>
        <v>96000</v>
      </c>
      <c r="AE10" s="9">
        <f t="shared" si="18"/>
        <v>5.2549999999999999</v>
      </c>
      <c r="AF10">
        <f>IF(LEFT(Z10,4)="Blue",Assumptions!$G$57,0)</f>
        <v>0</v>
      </c>
      <c r="AG10">
        <f>IF(LEFT(Z10,4)="Blue",Assumptions!$G$59,IF(LEFT(Z10,4)="Gree",Assumptions!$G$60,0))</f>
        <v>10.51</v>
      </c>
      <c r="AH10" s="41">
        <f t="shared" si="19"/>
        <v>95.431212950513526</v>
      </c>
      <c r="AI10" s="41">
        <f t="shared" si="20"/>
        <v>90.412425901027063</v>
      </c>
      <c r="AJ10" s="41">
        <f t="shared" si="21"/>
        <v>100.45</v>
      </c>
      <c r="AK10" s="51">
        <f t="shared" si="22"/>
        <v>-84.921212950513535</v>
      </c>
      <c r="AL10" s="51">
        <f t="shared" si="23"/>
        <v>-79.902425901027058</v>
      </c>
      <c r="AM10" s="51">
        <f t="shared" si="24"/>
        <v>-89.94</v>
      </c>
      <c r="AN10">
        <f>IFERROR(INDEX(WaterUseH2[Average Direct Water Consumption (Gal/ kg h2)],MATCH(LEFT(Hydrogen!Y10,3),WaterUseH2[Key],0)),0)</f>
        <v>4.0999999999999996</v>
      </c>
      <c r="AO10" s="13">
        <f t="shared" si="11"/>
        <v>393.59999999999997</v>
      </c>
      <c r="AP10" s="13">
        <f>IF(Y10=$Y$3,AD10*Assumptions!$C$8*1000/1000,0)</f>
        <v>4924800</v>
      </c>
      <c r="AQ10" s="30">
        <f t="shared" si="25"/>
        <v>1873.9726027397262</v>
      </c>
      <c r="AR10" s="30">
        <f>$AQ10*Assumptions!B$76</f>
        <v>6558.9041095890416</v>
      </c>
      <c r="AS10" s="30">
        <f>$AQ10*Assumptions!C$76</f>
        <v>5247.1232876712329</v>
      </c>
      <c r="AT10" s="30">
        <f>$AQ10*Assumptions!D$76</f>
        <v>7870.6849315068503</v>
      </c>
      <c r="BC10" t="s">
        <v>170</v>
      </c>
      <c r="BD10" t="s">
        <v>76</v>
      </c>
      <c r="BE10">
        <v>2032</v>
      </c>
      <c r="BF10" s="23">
        <f t="shared" si="26"/>
        <v>1.2834000000000002E-2</v>
      </c>
      <c r="BG10" s="40">
        <f>BF10*10000000000000/Assumptions!$B$17/1000</f>
        <v>1069500.0000000002</v>
      </c>
      <c r="BH10" s="41" cm="1">
        <f t="array" ref="BH10">SUMPRODUCT(IF($BE$24:$BE$66=$BE10,1,0),$BF$24:$BF$66,BH$24:BH$66)</f>
        <v>95.431212950513526</v>
      </c>
      <c r="BI10" s="41" cm="1">
        <f t="array" ref="BI10">SUMPRODUCT(IF($BE$24:$BE$66=$BE10,1,0),$BF$24:$BF$66,BI$24:BI$66)</f>
        <v>90.412425901027063</v>
      </c>
      <c r="BJ10" s="41" cm="1">
        <f t="array" ref="BJ10">SUMPRODUCT(IF($BE$24:$BE$66=$BE10,1,0),$BF$24:$BF$66,BJ$24:BJ$66)</f>
        <v>100.45</v>
      </c>
      <c r="BQ10">
        <f>BQ9*1000*BQ13/1000000000000</f>
        <v>3.1679999999999998E-3</v>
      </c>
      <c r="BR10" t="s">
        <v>138</v>
      </c>
    </row>
    <row r="11" spans="1:71" x14ac:dyDescent="0.35">
      <c r="A11" t="s">
        <v>76</v>
      </c>
      <c r="B11">
        <v>2033</v>
      </c>
      <c r="C11" s="52">
        <f t="shared" si="0"/>
        <v>1.2834000000000002E-2</v>
      </c>
      <c r="D11" s="51">
        <f>C11*1000000000000/Assumptions!$B$17/1000</f>
        <v>106950.00000000001</v>
      </c>
      <c r="E11" s="51" cm="1">
        <f t="array" ref="E11">IF(C11=0,0,SUMPRODUCT(IF($AB$3:$AB$212=B11,1,0),IF($AA$3:$AA$212=$A11,1,0),$AC$3:$AC$212,$AE$3:$AE$212)/C11)</f>
        <v>10.719110928120116</v>
      </c>
      <c r="F11" s="51" cm="1">
        <f t="array" ref="F11">IF(C11=0,0,SUMPRODUCT(IF($AB$3:$AB$212=B11,1,0),IF($AA$3:$AA$212=A11,1,0),$AC$3:$AC$212,$AF$3:$AF$212)/C11)</f>
        <v>4.4895511921458615</v>
      </c>
      <c r="G11" s="51" cm="1">
        <f t="array" ref="G11">IF($C11=0,0,SUMPRODUCT(IF($AB$3:$AB$212=$B11,1,0),IF($AA$3:$AA$212=$A11,1,0),$AC$3:$AC$212,AG$3:AG$212)/$C11)</f>
        <v>16.948670664094372</v>
      </c>
      <c r="H11" s="51">
        <f t="shared" si="1"/>
        <v>94.525495952097856</v>
      </c>
      <c r="I11" s="51">
        <f t="shared" si="2"/>
        <v>88.600991904195695</v>
      </c>
      <c r="J11" s="51">
        <f t="shared" si="3"/>
        <v>100.45</v>
      </c>
      <c r="K11" s="51">
        <f t="shared" si="12"/>
        <v>-83.806385023977739</v>
      </c>
      <c r="L11" s="51">
        <f t="shared" si="13"/>
        <v>-84.111440712049827</v>
      </c>
      <c r="M11" s="51">
        <f t="shared" si="14"/>
        <v>-83.501329335905638</v>
      </c>
      <c r="N11" s="51">
        <f t="shared" si="15"/>
        <v>1.0755711453977304</v>
      </c>
      <c r="O11" s="51">
        <f t="shared" si="16"/>
        <v>1.0794862300984476</v>
      </c>
      <c r="P11" s="51">
        <f t="shared" si="17"/>
        <v>1.0716560606970131</v>
      </c>
      <c r="Q11" s="51" cm="1">
        <f t="array" ref="Q11">IF(D11=0,0,SUMPRODUCT(IF($AB$3:$AB$212=B11,1,0),IF($AA$3:$AA$212=A11,1,0),$AD$3:$AD$212,$AN$3:$AN$212)/D11)</f>
        <v>3.9669004207573622</v>
      </c>
      <c r="R11" s="51">
        <f t="shared" si="5"/>
        <v>424.26</v>
      </c>
      <c r="S11" s="51">
        <f t="shared" si="6"/>
        <v>1873.9726027397262</v>
      </c>
      <c r="T11" s="51">
        <f t="shared" si="7"/>
        <v>6558.9041095890416</v>
      </c>
      <c r="U11" s="51">
        <f t="shared" si="8"/>
        <v>5247.1232876712329</v>
      </c>
      <c r="V11" s="51">
        <f t="shared" si="9"/>
        <v>7870.6849315068503</v>
      </c>
      <c r="Y11" t="s">
        <v>79</v>
      </c>
      <c r="Z11" t="s">
        <v>78</v>
      </c>
      <c r="AA11" t="s">
        <v>76</v>
      </c>
      <c r="AB11">
        <v>2033</v>
      </c>
      <c r="AC11" s="7">
        <v>1.1520000000000001E-2</v>
      </c>
      <c r="AD11" s="23">
        <f>AC11*1000000000000/Assumptions!$B$17/1000</f>
        <v>96000</v>
      </c>
      <c r="AE11" s="9">
        <f t="shared" si="18"/>
        <v>5.2549999999999999</v>
      </c>
      <c r="AF11">
        <f>IF(LEFT(Z11,4)="Blue",Assumptions!$G$57,0)</f>
        <v>0</v>
      </c>
      <c r="AG11">
        <f>IF(LEFT(Z11,4)="Blue",Assumptions!$G$59,IF(LEFT(Z11,4)="Gree",Assumptions!$G$60,0))</f>
        <v>10.51</v>
      </c>
      <c r="AH11" s="41">
        <f t="shared" si="19"/>
        <v>94.525495952097856</v>
      </c>
      <c r="AI11" s="41">
        <f t="shared" si="20"/>
        <v>88.600991904195695</v>
      </c>
      <c r="AJ11" s="41">
        <f t="shared" si="21"/>
        <v>100.45</v>
      </c>
      <c r="AK11" s="51">
        <f t="shared" si="22"/>
        <v>-84.015495952097837</v>
      </c>
      <c r="AL11" s="51">
        <f t="shared" si="23"/>
        <v>-78.09099190419569</v>
      </c>
      <c r="AM11" s="51">
        <f t="shared" si="24"/>
        <v>-89.94</v>
      </c>
      <c r="AN11">
        <f>IFERROR(INDEX(WaterUseH2[Average Direct Water Consumption (Gal/ kg h2)],MATCH(LEFT(Hydrogen!Y11,3),WaterUseH2[Key],0)),0)</f>
        <v>4.0999999999999996</v>
      </c>
      <c r="AO11" s="13">
        <f t="shared" si="11"/>
        <v>393.59999999999997</v>
      </c>
      <c r="AP11" s="13">
        <f>IF(Y11=$Y$3,AD11*Assumptions!$C$8*1000/1000,0)</f>
        <v>4924800</v>
      </c>
      <c r="AQ11" s="30">
        <f t="shared" si="25"/>
        <v>1873.9726027397262</v>
      </c>
      <c r="AR11" s="30">
        <f>$AQ11*Assumptions!B$76</f>
        <v>6558.9041095890416</v>
      </c>
      <c r="AS11" s="30">
        <f>$AQ11*Assumptions!C$76</f>
        <v>5247.1232876712329</v>
      </c>
      <c r="AT11" s="30">
        <f>$AQ11*Assumptions!D$76</f>
        <v>7870.6849315068503</v>
      </c>
      <c r="BC11" t="s">
        <v>170</v>
      </c>
      <c r="BD11" t="s">
        <v>76</v>
      </c>
      <c r="BE11">
        <v>2033</v>
      </c>
      <c r="BF11" s="23">
        <f t="shared" si="26"/>
        <v>1.2834000000000002E-2</v>
      </c>
      <c r="BG11" s="40">
        <f>BF11*10000000000000/Assumptions!$B$17/1000</f>
        <v>1069500.0000000002</v>
      </c>
      <c r="BH11" s="41" cm="1">
        <f t="array" ref="BH11">SUMPRODUCT(IF($BE$24:$BE$66=$BE11,1,0),$BF$24:$BF$66,BH$24:BH$66)</f>
        <v>94.525495952097856</v>
      </c>
      <c r="BI11" s="41" cm="1">
        <f t="array" ref="BI11">SUMPRODUCT(IF($BE$24:$BE$66=$BE11,1,0),$BF$24:$BF$66,BI$24:BI$66)</f>
        <v>88.600991904195695</v>
      </c>
      <c r="BJ11" s="41" cm="1">
        <f t="array" ref="BJ11">SUMPRODUCT(IF($BE$24:$BE$66=$BE11,1,0),$BF$24:$BF$66,BJ$24:BJ$66)</f>
        <v>100.45</v>
      </c>
    </row>
    <row r="12" spans="1:71" x14ac:dyDescent="0.35">
      <c r="A12" t="s">
        <v>76</v>
      </c>
      <c r="B12">
        <v>2034</v>
      </c>
      <c r="C12" s="52">
        <f t="shared" si="0"/>
        <v>1.2834000000000002E-2</v>
      </c>
      <c r="D12" s="51">
        <f>C12*1000000000000/Assumptions!$B$17/1000</f>
        <v>106950.00000000001</v>
      </c>
      <c r="E12" s="51" cm="1">
        <f t="array" ref="E12">IF(C12=0,0,SUMPRODUCT(IF($AB$3:$AB$212=B12,1,0),IF($AA$3:$AA$212=$A12,1,0),$AC$3:$AC$212,$AE$3:$AE$212)/C12)</f>
        <v>10.719110928120116</v>
      </c>
      <c r="F12" s="51" cm="1">
        <f t="array" ref="F12">IF(C12=0,0,SUMPRODUCT(IF($AB$3:$AB$212=B12,1,0),IF($AA$3:$AA$212=A12,1,0),$AC$3:$AC$212,$AF$3:$AF$212)/C12)</f>
        <v>4.4895511921458615</v>
      </c>
      <c r="G12" s="51" cm="1">
        <f t="array" ref="G12">IF($C12=0,0,SUMPRODUCT(IF($AB$3:$AB$212=$B12,1,0),IF($AA$3:$AA$212=$A12,1,0),$AC$3:$AC$212,AG$3:AG$212)/$C12)</f>
        <v>16.948670664094372</v>
      </c>
      <c r="H12" s="51">
        <f t="shared" si="1"/>
        <v>93.515198320512312</v>
      </c>
      <c r="I12" s="51">
        <f t="shared" si="2"/>
        <v>86.58039664102462</v>
      </c>
      <c r="J12" s="51">
        <f t="shared" si="3"/>
        <v>100.45</v>
      </c>
      <c r="K12" s="51">
        <f t="shared" si="12"/>
        <v>-82.796087392392195</v>
      </c>
      <c r="L12" s="51">
        <f t="shared" si="13"/>
        <v>-82.090845448878753</v>
      </c>
      <c r="M12" s="51">
        <f t="shared" si="14"/>
        <v>-83.501329335905638</v>
      </c>
      <c r="N12" s="51">
        <f t="shared" si="15"/>
        <v>1.0626049855939617</v>
      </c>
      <c r="O12" s="51">
        <f t="shared" si="16"/>
        <v>1.05355391049091</v>
      </c>
      <c r="P12" s="51">
        <f t="shared" si="17"/>
        <v>1.0716560606970131</v>
      </c>
      <c r="Q12" s="51" cm="1">
        <f t="array" ref="Q12">IF(D12=0,0,SUMPRODUCT(IF($AB$3:$AB$212=B12,1,0),IF($AA$3:$AA$212=A12,1,0),$AD$3:$AD$212,$AN$3:$AN$212)/D12)</f>
        <v>3.9669004207573622</v>
      </c>
      <c r="R12" s="51">
        <f t="shared" si="5"/>
        <v>424.26</v>
      </c>
      <c r="S12" s="51">
        <f t="shared" si="6"/>
        <v>1873.9726027397262</v>
      </c>
      <c r="T12" s="51">
        <f t="shared" si="7"/>
        <v>6558.9041095890416</v>
      </c>
      <c r="U12" s="51">
        <f t="shared" si="8"/>
        <v>5247.1232876712329</v>
      </c>
      <c r="V12" s="51">
        <f t="shared" si="9"/>
        <v>7870.6849315068503</v>
      </c>
      <c r="Y12" t="s">
        <v>79</v>
      </c>
      <c r="Z12" t="s">
        <v>78</v>
      </c>
      <c r="AA12" t="s">
        <v>76</v>
      </c>
      <c r="AB12">
        <v>2034</v>
      </c>
      <c r="AC12" s="7">
        <v>1.1520000000000001E-2</v>
      </c>
      <c r="AD12" s="23">
        <f>AC12*1000000000000/Assumptions!$B$17/1000</f>
        <v>96000</v>
      </c>
      <c r="AE12" s="9">
        <f t="shared" si="18"/>
        <v>5.2549999999999999</v>
      </c>
      <c r="AF12">
        <f>IF(LEFT(Z12,4)="Blue",Assumptions!$G$57,0)</f>
        <v>0</v>
      </c>
      <c r="AG12">
        <f>IF(LEFT(Z12,4)="Blue",Assumptions!$G$59,IF(LEFT(Z12,4)="Gree",Assumptions!$G$60,0))</f>
        <v>10.51</v>
      </c>
      <c r="AH12" s="41">
        <f t="shared" si="19"/>
        <v>93.515198320512312</v>
      </c>
      <c r="AI12" s="41">
        <f t="shared" si="20"/>
        <v>86.58039664102462</v>
      </c>
      <c r="AJ12" s="41">
        <f t="shared" si="21"/>
        <v>100.45</v>
      </c>
      <c r="AK12" s="51">
        <f t="shared" si="22"/>
        <v>-83.005198320512307</v>
      </c>
      <c r="AL12" s="51">
        <f t="shared" si="23"/>
        <v>-76.070396641024615</v>
      </c>
      <c r="AM12" s="51">
        <f t="shared" si="24"/>
        <v>-89.94</v>
      </c>
      <c r="AN12">
        <f>IFERROR(INDEX(WaterUseH2[Average Direct Water Consumption (Gal/ kg h2)],MATCH(LEFT(Hydrogen!Y12,3),WaterUseH2[Key],0)),0)</f>
        <v>4.0999999999999996</v>
      </c>
      <c r="AO12" s="13">
        <f t="shared" si="11"/>
        <v>393.59999999999997</v>
      </c>
      <c r="AP12" s="13">
        <f>IF(Y12=$Y$3,AD12*Assumptions!$C$8*1000/1000,0)</f>
        <v>4924800</v>
      </c>
      <c r="AQ12" s="30">
        <f t="shared" si="25"/>
        <v>1873.9726027397262</v>
      </c>
      <c r="AR12" s="30">
        <f>$AQ12*Assumptions!B$76</f>
        <v>6558.9041095890416</v>
      </c>
      <c r="AS12" s="30">
        <f>$AQ12*Assumptions!C$76</f>
        <v>5247.1232876712329</v>
      </c>
      <c r="AT12" s="30">
        <f>$AQ12*Assumptions!D$76</f>
        <v>7870.6849315068503</v>
      </c>
      <c r="BC12" t="s">
        <v>170</v>
      </c>
      <c r="BD12" t="s">
        <v>76</v>
      </c>
      <c r="BE12">
        <v>2034</v>
      </c>
      <c r="BF12" s="23">
        <f t="shared" si="26"/>
        <v>1.2834000000000002E-2</v>
      </c>
      <c r="BG12" s="40">
        <f>BF12*10000000000000/Assumptions!$B$17/1000</f>
        <v>1069500.0000000002</v>
      </c>
      <c r="BH12" s="41" cm="1">
        <f t="array" ref="BH12">SUMPRODUCT(IF($BE$24:$BE$66=$BE12,1,0),$BF$24:$BF$66,BH$24:BH$66)</f>
        <v>93.515198320512312</v>
      </c>
      <c r="BI12" s="41" cm="1">
        <f t="array" ref="BI12">SUMPRODUCT(IF($BE$24:$BE$66=$BE12,1,0),$BF$24:$BF$66,BI$24:BI$66)</f>
        <v>86.58039664102462</v>
      </c>
      <c r="BJ12" s="41" cm="1">
        <f t="array" ref="BJ12">SUMPRODUCT(IF($BE$24:$BE$66=$BE12,1,0),$BF$24:$BF$66,BJ$24:BJ$66)</f>
        <v>100.45</v>
      </c>
      <c r="BQ12">
        <f>30*365</f>
        <v>10950</v>
      </c>
      <c r="BR12" t="s">
        <v>176</v>
      </c>
    </row>
    <row r="13" spans="1:71" x14ac:dyDescent="0.35">
      <c r="A13" t="s">
        <v>76</v>
      </c>
      <c r="B13">
        <v>2035</v>
      </c>
      <c r="C13" s="52">
        <f t="shared" si="0"/>
        <v>1.2834000000000002E-2</v>
      </c>
      <c r="D13" s="51">
        <f>C13*1000000000000/Assumptions!$B$17/1000</f>
        <v>106950.00000000001</v>
      </c>
      <c r="E13" s="51" cm="1">
        <f t="array" ref="E13">IF(C13=0,0,SUMPRODUCT(IF($AB$3:$AB$212=B13,1,0),IF($AA$3:$AA$212=$A13,1,0),$AC$3:$AC$212,$AE$3:$AE$212)/C13)</f>
        <v>10.719110928120116</v>
      </c>
      <c r="F13" s="51" cm="1">
        <f t="array" ref="F13">IF(C13=0,0,SUMPRODUCT(IF($AB$3:$AB$212=B13,1,0),IF($AA$3:$AA$212=A13,1,0),$AC$3:$AC$212,$AF$3:$AF$212)/C13)</f>
        <v>4.4895511921458615</v>
      </c>
      <c r="G13" s="51" cm="1">
        <f t="array" ref="G13">IF($C13=0,0,SUMPRODUCT(IF($AB$3:$AB$212=$B13,1,0),IF($AA$3:$AA$212=$A13,1,0),$AC$3:$AC$212,AG$3:AG$212)/$C13)</f>
        <v>16.948670664094372</v>
      </c>
      <c r="H13" s="51">
        <f t="shared" si="1"/>
        <v>92.361658919879176</v>
      </c>
      <c r="I13" s="51">
        <f t="shared" si="2"/>
        <v>84.273317839758363</v>
      </c>
      <c r="J13" s="51">
        <f t="shared" si="3"/>
        <v>100.45</v>
      </c>
      <c r="K13" s="51">
        <f t="shared" si="12"/>
        <v>-81.642547991759059</v>
      </c>
      <c r="L13" s="51">
        <f t="shared" si="13"/>
        <v>-79.783766647612495</v>
      </c>
      <c r="M13" s="51">
        <f t="shared" si="14"/>
        <v>-83.501329335905638</v>
      </c>
      <c r="N13" s="51">
        <f t="shared" si="15"/>
        <v>1.0478004609262359</v>
      </c>
      <c r="O13" s="51">
        <f t="shared" si="16"/>
        <v>1.0239448611554589</v>
      </c>
      <c r="P13" s="51">
        <f t="shared" si="17"/>
        <v>1.0716560606970131</v>
      </c>
      <c r="Q13" s="51" cm="1">
        <f t="array" ref="Q13">IF(D13=0,0,SUMPRODUCT(IF($AB$3:$AB$212=B13,1,0),IF($AA$3:$AA$212=A13,1,0),$AD$3:$AD$212,$AN$3:$AN$212)/D13)</f>
        <v>3.9669004207573622</v>
      </c>
      <c r="R13" s="51">
        <f t="shared" si="5"/>
        <v>424.26</v>
      </c>
      <c r="S13" s="51">
        <f t="shared" si="6"/>
        <v>1873.9726027397262</v>
      </c>
      <c r="T13" s="51">
        <f t="shared" si="7"/>
        <v>6558.9041095890416</v>
      </c>
      <c r="U13" s="51">
        <f t="shared" si="8"/>
        <v>5247.1232876712329</v>
      </c>
      <c r="V13" s="51">
        <f t="shared" si="9"/>
        <v>7870.6849315068503</v>
      </c>
      <c r="Y13" t="s">
        <v>79</v>
      </c>
      <c r="Z13" t="s">
        <v>78</v>
      </c>
      <c r="AA13" t="s">
        <v>76</v>
      </c>
      <c r="AB13">
        <v>2035</v>
      </c>
      <c r="AC13" s="7">
        <v>1.1520000000000001E-2</v>
      </c>
      <c r="AD13" s="23">
        <f>AC13*1000000000000/Assumptions!$B$17/1000</f>
        <v>96000</v>
      </c>
      <c r="AE13" s="9">
        <f t="shared" si="18"/>
        <v>5.2549999999999999</v>
      </c>
      <c r="AF13">
        <f>IF(LEFT(Z13,4)="Blue",Assumptions!$G$57,0)</f>
        <v>0</v>
      </c>
      <c r="AG13">
        <f>IF(LEFT(Z13,4)="Blue",Assumptions!$G$59,IF(LEFT(Z13,4)="Gree",Assumptions!$G$60,0))</f>
        <v>10.51</v>
      </c>
      <c r="AH13" s="41">
        <f t="shared" si="19"/>
        <v>92.361658919879176</v>
      </c>
      <c r="AI13" s="41">
        <f t="shared" si="20"/>
        <v>84.273317839758363</v>
      </c>
      <c r="AJ13" s="41">
        <f t="shared" si="21"/>
        <v>100.45</v>
      </c>
      <c r="AK13" s="51">
        <f t="shared" si="22"/>
        <v>-81.851658919879185</v>
      </c>
      <c r="AL13" s="51">
        <f t="shared" si="23"/>
        <v>-73.763317839758358</v>
      </c>
      <c r="AM13" s="51">
        <f t="shared" si="24"/>
        <v>-89.94</v>
      </c>
      <c r="AN13">
        <f>IFERROR(INDEX(WaterUseH2[Average Direct Water Consumption (Gal/ kg h2)],MATCH(LEFT(Hydrogen!Y13,3),WaterUseH2[Key],0)),0)</f>
        <v>4.0999999999999996</v>
      </c>
      <c r="AO13" s="13">
        <f t="shared" si="11"/>
        <v>393.59999999999997</v>
      </c>
      <c r="AP13" s="13">
        <f>IF(Y13=$Y$3,AD13*Assumptions!$C$8*1000/1000,0)</f>
        <v>4924800</v>
      </c>
      <c r="AQ13" s="30">
        <f t="shared" si="25"/>
        <v>1873.9726027397262</v>
      </c>
      <c r="AR13" s="30">
        <f>$AQ13*Assumptions!B$76</f>
        <v>6558.9041095890416</v>
      </c>
      <c r="AS13" s="30">
        <f>$AQ13*Assumptions!C$76</f>
        <v>5247.1232876712329</v>
      </c>
      <c r="AT13" s="30">
        <f>$AQ13*Assumptions!D$76</f>
        <v>7870.6849315068503</v>
      </c>
      <c r="BC13" t="s">
        <v>170</v>
      </c>
      <c r="BD13" t="s">
        <v>76</v>
      </c>
      <c r="BE13">
        <v>2035</v>
      </c>
      <c r="BF13" s="23">
        <f t="shared" si="26"/>
        <v>1.2834000000000002E-2</v>
      </c>
      <c r="BG13" s="40">
        <f>BF13*10000000000000/Assumptions!$B$17/1000</f>
        <v>1069500.0000000002</v>
      </c>
      <c r="BH13" s="41" cm="1">
        <f t="array" ref="BH13">SUMPRODUCT(IF($BE$24:$BE$66=$BE13,1,0),$BF$24:$BF$66,BH$24:BH$66)</f>
        <v>92.361658919879176</v>
      </c>
      <c r="BI13" s="41" cm="1">
        <f t="array" ref="BI13">SUMPRODUCT(IF($BE$24:$BE$66=$BE13,1,0),$BF$24:$BF$66,BI$24:BI$66)</f>
        <v>84.273317839758363</v>
      </c>
      <c r="BJ13" s="41" cm="1">
        <f t="array" ref="BJ13">SUMPRODUCT(IF($BE$24:$BE$66=$BE13,1,0),$BF$24:$BF$66,BJ$24:BJ$66)</f>
        <v>100.45</v>
      </c>
      <c r="BQ13">
        <v>120</v>
      </c>
      <c r="BR13" t="s">
        <v>177</v>
      </c>
    </row>
    <row r="14" spans="1:71" x14ac:dyDescent="0.35">
      <c r="A14" t="s">
        <v>76</v>
      </c>
      <c r="B14">
        <v>2036</v>
      </c>
      <c r="C14" s="52">
        <f t="shared" si="0"/>
        <v>1.2834000000000002E-2</v>
      </c>
      <c r="D14" s="51">
        <f>C14*1000000000000/Assumptions!$B$17/1000</f>
        <v>106950.00000000001</v>
      </c>
      <c r="E14" s="51" cm="1">
        <f t="array" ref="E14">IF(C14=0,0,SUMPRODUCT(IF($AB$3:$AB$212=B14,1,0),IF($AA$3:$AA$212=$A14,1,0),$AC$3:$AC$212,$AE$3:$AE$212)/C14)</f>
        <v>10.719110928120116</v>
      </c>
      <c r="F14" s="51" cm="1">
        <f t="array" ref="F14">IF(C14=0,0,SUMPRODUCT(IF($AB$3:$AB$212=B14,1,0),IF($AA$3:$AA$212=A14,1,0),$AC$3:$AC$212,$AF$3:$AF$212)/C14)</f>
        <v>4.4895511921458615</v>
      </c>
      <c r="G14" s="51" cm="1">
        <f t="array" ref="G14">IF($C14=0,0,SUMPRODUCT(IF($AB$3:$AB$212=$B14,1,0),IF($AA$3:$AA$212=$A14,1,0),$AC$3:$AC$212,AG$3:AG$212)/$C14)</f>
        <v>16.948670664094372</v>
      </c>
      <c r="H14" s="51">
        <f t="shared" si="1"/>
        <v>91.12437315283151</v>
      </c>
      <c r="I14" s="51">
        <f t="shared" si="2"/>
        <v>81.798746305663002</v>
      </c>
      <c r="J14" s="51">
        <f t="shared" si="3"/>
        <v>100.45</v>
      </c>
      <c r="K14" s="51">
        <f t="shared" si="12"/>
        <v>-80.405262224711393</v>
      </c>
      <c r="L14" s="51">
        <f t="shared" si="13"/>
        <v>-77.309195113517134</v>
      </c>
      <c r="M14" s="51">
        <f t="shared" si="14"/>
        <v>-83.501329335905638</v>
      </c>
      <c r="N14" s="51">
        <f t="shared" si="15"/>
        <v>1.0319211353919462</v>
      </c>
      <c r="O14" s="51">
        <f t="shared" si="16"/>
        <v>0.99218621008687902</v>
      </c>
      <c r="P14" s="51">
        <f t="shared" si="17"/>
        <v>1.0716560606970131</v>
      </c>
      <c r="Q14" s="51" cm="1">
        <f t="array" ref="Q14">IF(D14=0,0,SUMPRODUCT(IF($AB$3:$AB$212=B14,1,0),IF($AA$3:$AA$212=A14,1,0),$AD$3:$AD$212,$AN$3:$AN$212)/D14)</f>
        <v>3.9669004207573622</v>
      </c>
      <c r="R14" s="51">
        <f t="shared" si="5"/>
        <v>424.26</v>
      </c>
      <c r="S14" s="51">
        <f t="shared" si="6"/>
        <v>1873.9726027397262</v>
      </c>
      <c r="T14" s="51">
        <f t="shared" si="7"/>
        <v>6558.9041095890416</v>
      </c>
      <c r="U14" s="51">
        <f t="shared" si="8"/>
        <v>5247.1232876712329</v>
      </c>
      <c r="V14" s="51">
        <f t="shared" si="9"/>
        <v>7870.6849315068503</v>
      </c>
      <c r="Y14" t="s">
        <v>79</v>
      </c>
      <c r="Z14" t="s">
        <v>78</v>
      </c>
      <c r="AA14" t="s">
        <v>76</v>
      </c>
      <c r="AB14">
        <v>2036</v>
      </c>
      <c r="AC14" s="7">
        <v>1.1520000000000001E-2</v>
      </c>
      <c r="AD14" s="23">
        <f>AC14*1000000000000/Assumptions!$B$17/1000</f>
        <v>96000</v>
      </c>
      <c r="AE14" s="9">
        <f t="shared" si="18"/>
        <v>5.2549999999999999</v>
      </c>
      <c r="AF14">
        <f>IF(LEFT(Z14,4)="Blue",Assumptions!$G$57,0)</f>
        <v>0</v>
      </c>
      <c r="AG14">
        <f>IF(LEFT(Z14,4)="Blue",Assumptions!$G$59,IF(LEFT(Z14,4)="Gree",Assumptions!$G$60,0))</f>
        <v>10.51</v>
      </c>
      <c r="AH14" s="41">
        <f t="shared" si="19"/>
        <v>91.12437315283151</v>
      </c>
      <c r="AI14" s="41">
        <f t="shared" si="20"/>
        <v>81.798746305663002</v>
      </c>
      <c r="AJ14" s="41">
        <f t="shared" si="21"/>
        <v>100.45</v>
      </c>
      <c r="AK14" s="51">
        <f t="shared" si="22"/>
        <v>-80.61437315283149</v>
      </c>
      <c r="AL14" s="51">
        <f t="shared" si="23"/>
        <v>-71.288746305662997</v>
      </c>
      <c r="AM14" s="51">
        <f t="shared" si="24"/>
        <v>-89.94</v>
      </c>
      <c r="AN14">
        <f>IFERROR(INDEX(WaterUseH2[Average Direct Water Consumption (Gal/ kg h2)],MATCH(LEFT(Hydrogen!Y14,3),WaterUseH2[Key],0)),0)</f>
        <v>4.0999999999999996</v>
      </c>
      <c r="AO14" s="13">
        <f t="shared" si="11"/>
        <v>393.59999999999997</v>
      </c>
      <c r="AP14" s="13">
        <f>IF(Y14=$Y$3,AD14*Assumptions!$C$8*1000/1000,0)</f>
        <v>4924800</v>
      </c>
      <c r="AQ14" s="30">
        <f t="shared" si="25"/>
        <v>1873.9726027397262</v>
      </c>
      <c r="AR14" s="30">
        <f>$AQ14*Assumptions!B$76</f>
        <v>6558.9041095890416</v>
      </c>
      <c r="AS14" s="30">
        <f>$AQ14*Assumptions!C$76</f>
        <v>5247.1232876712329</v>
      </c>
      <c r="AT14" s="30">
        <f>$AQ14*Assumptions!D$76</f>
        <v>7870.6849315068503</v>
      </c>
      <c r="BC14" t="s">
        <v>170</v>
      </c>
      <c r="BD14" t="s">
        <v>76</v>
      </c>
      <c r="BE14">
        <v>2036</v>
      </c>
      <c r="BF14" s="23">
        <f t="shared" si="26"/>
        <v>1.2834000000000002E-2</v>
      </c>
      <c r="BG14" s="40">
        <f>BF14*10000000000000/Assumptions!$B$17/1000</f>
        <v>1069500.0000000002</v>
      </c>
      <c r="BH14" s="41" cm="1">
        <f t="array" ref="BH14">SUMPRODUCT(IF($BE$24:$BE$66=$BE14,1,0),$BF$24:$BF$66,BH$24:BH$66)</f>
        <v>91.12437315283151</v>
      </c>
      <c r="BI14" s="41" cm="1">
        <f t="array" ref="BI14">SUMPRODUCT(IF($BE$24:$BE$66=$BE14,1,0),$BF$24:$BF$66,BI$24:BI$66)</f>
        <v>81.798746305663002</v>
      </c>
      <c r="BJ14" s="41" cm="1">
        <f t="array" ref="BJ14">SUMPRODUCT(IF($BE$24:$BE$66=$BE14,1,0),$BF$24:$BF$66,BJ$24:BJ$66)</f>
        <v>100.45</v>
      </c>
      <c r="BQ14">
        <f>BQ12*1000*BQ13/1000000000000</f>
        <v>1.3140000000000001E-3</v>
      </c>
    </row>
    <row r="15" spans="1:71" x14ac:dyDescent="0.35">
      <c r="A15" t="s">
        <v>76</v>
      </c>
      <c r="B15">
        <v>2037</v>
      </c>
      <c r="C15" s="52">
        <f t="shared" si="0"/>
        <v>1.2834000000000002E-2</v>
      </c>
      <c r="D15" s="51">
        <f>C15*1000000000000/Assumptions!$B$17/1000</f>
        <v>106950.00000000001</v>
      </c>
      <c r="E15" s="51" cm="1">
        <f t="array" ref="E15">IF(C15=0,0,SUMPRODUCT(IF($AB$3:$AB$212=B15,1,0),IF($AA$3:$AA$212=$A15,1,0),$AC$3:$AC$212,$AE$3:$AE$212)/C15)</f>
        <v>10.719110928120116</v>
      </c>
      <c r="F15" s="51" cm="1">
        <f t="array" ref="F15">IF(C15=0,0,SUMPRODUCT(IF($AB$3:$AB$212=B15,1,0),IF($AA$3:$AA$212=A15,1,0),$AC$3:$AC$212,$AF$3:$AF$212)/C15)</f>
        <v>4.4895511921458615</v>
      </c>
      <c r="G15" s="51" cm="1">
        <f t="array" ref="G15">IF($C15=0,0,SUMPRODUCT(IF($AB$3:$AB$212=$B15,1,0),IF($AA$3:$AA$212=$A15,1,0),$AC$3:$AC$212,AG$3:AG$212)/$C15)</f>
        <v>16.948670664094372</v>
      </c>
      <c r="H15" s="51">
        <f t="shared" si="1"/>
        <v>89.845883938555232</v>
      </c>
      <c r="I15" s="51">
        <f t="shared" si="2"/>
        <v>79.241767877110448</v>
      </c>
      <c r="J15" s="51">
        <f t="shared" si="3"/>
        <v>100.45</v>
      </c>
      <c r="K15" s="51">
        <f t="shared" si="12"/>
        <v>-79.126773010435116</v>
      </c>
      <c r="L15" s="51">
        <f t="shared" si="13"/>
        <v>-74.75221668496458</v>
      </c>
      <c r="M15" s="51">
        <f t="shared" si="14"/>
        <v>-83.501329335905638</v>
      </c>
      <c r="N15" s="51">
        <f t="shared" si="15"/>
        <v>1.0155130048159244</v>
      </c>
      <c r="O15" s="51">
        <f t="shared" si="16"/>
        <v>0.95936994893483551</v>
      </c>
      <c r="P15" s="51">
        <f t="shared" si="17"/>
        <v>1.0716560606970131</v>
      </c>
      <c r="Q15" s="51" cm="1">
        <f t="array" ref="Q15">IF(D15=0,0,SUMPRODUCT(IF($AB$3:$AB$212=B15,1,0),IF($AA$3:$AA$212=A15,1,0),$AD$3:$AD$212,$AN$3:$AN$212)/D15)</f>
        <v>3.9669004207573622</v>
      </c>
      <c r="R15" s="51">
        <f t="shared" si="5"/>
        <v>424.26</v>
      </c>
      <c r="S15" s="51">
        <f t="shared" si="6"/>
        <v>1873.9726027397262</v>
      </c>
      <c r="T15" s="51">
        <f t="shared" si="7"/>
        <v>6558.9041095890416</v>
      </c>
      <c r="U15" s="51">
        <f t="shared" si="8"/>
        <v>5247.1232876712329</v>
      </c>
      <c r="V15" s="51">
        <f t="shared" si="9"/>
        <v>7870.6849315068503</v>
      </c>
      <c r="Y15" t="s">
        <v>79</v>
      </c>
      <c r="Z15" t="s">
        <v>78</v>
      </c>
      <c r="AA15" t="s">
        <v>76</v>
      </c>
      <c r="AB15">
        <v>2037</v>
      </c>
      <c r="AC15" s="7">
        <v>1.1520000000000001E-2</v>
      </c>
      <c r="AD15" s="23">
        <f>AC15*1000000000000/Assumptions!$B$17/1000</f>
        <v>96000</v>
      </c>
      <c r="AE15" s="9">
        <f t="shared" si="18"/>
        <v>5.2549999999999999</v>
      </c>
      <c r="AF15">
        <f>IF(LEFT(Z15,4)="Blue",Assumptions!$G$57,0)</f>
        <v>0</v>
      </c>
      <c r="AG15">
        <f>IF(LEFT(Z15,4)="Blue",Assumptions!$G$59,IF(LEFT(Z15,4)="Gree",Assumptions!$G$60,0))</f>
        <v>10.51</v>
      </c>
      <c r="AH15" s="41">
        <f t="shared" si="19"/>
        <v>89.845883938555232</v>
      </c>
      <c r="AI15" s="41">
        <f t="shared" si="20"/>
        <v>79.241767877110448</v>
      </c>
      <c r="AJ15" s="41">
        <f t="shared" si="21"/>
        <v>100.45</v>
      </c>
      <c r="AK15" s="51">
        <f t="shared" si="22"/>
        <v>-79.335883938555213</v>
      </c>
      <c r="AL15" s="51">
        <f t="shared" si="23"/>
        <v>-68.731767877110443</v>
      </c>
      <c r="AM15" s="51">
        <f t="shared" si="24"/>
        <v>-89.94</v>
      </c>
      <c r="AN15">
        <f>IFERROR(INDEX(WaterUseH2[Average Direct Water Consumption (Gal/ kg h2)],MATCH(LEFT(Hydrogen!Y15,3),WaterUseH2[Key],0)),0)</f>
        <v>4.0999999999999996</v>
      </c>
      <c r="AO15" s="13">
        <f t="shared" si="11"/>
        <v>393.59999999999997</v>
      </c>
      <c r="AP15" s="13">
        <f>IF(Y15=$Y$3,AD15*Assumptions!$C$8*1000/1000,0)</f>
        <v>4924800</v>
      </c>
      <c r="AQ15" s="30">
        <f t="shared" si="25"/>
        <v>1873.9726027397262</v>
      </c>
      <c r="AR15" s="30">
        <f>$AQ15*Assumptions!B$76</f>
        <v>6558.9041095890416</v>
      </c>
      <c r="AS15" s="30">
        <f>$AQ15*Assumptions!C$76</f>
        <v>5247.1232876712329</v>
      </c>
      <c r="AT15" s="30">
        <f>$AQ15*Assumptions!D$76</f>
        <v>7870.6849315068503</v>
      </c>
      <c r="BC15" t="s">
        <v>170</v>
      </c>
      <c r="BD15" t="s">
        <v>76</v>
      </c>
      <c r="BE15">
        <v>2037</v>
      </c>
      <c r="BF15" s="23">
        <f t="shared" si="26"/>
        <v>1.2834000000000002E-2</v>
      </c>
      <c r="BG15" s="40">
        <f>BF15*10000000000000/Assumptions!$B$17/1000</f>
        <v>1069500.0000000002</v>
      </c>
      <c r="BH15" s="41" cm="1">
        <f t="array" ref="BH15">SUMPRODUCT(IF($BE$24:$BE$66=$BE15,1,0),$BF$24:$BF$66,BH$24:BH$66)</f>
        <v>89.845883938555232</v>
      </c>
      <c r="BI15" s="41" cm="1">
        <f t="array" ref="BI15">SUMPRODUCT(IF($BE$24:$BE$66=$BE15,1,0),$BF$24:$BF$66,BI$24:BI$66)</f>
        <v>79.241767877110448</v>
      </c>
      <c r="BJ15" s="41" cm="1">
        <f t="array" ref="BJ15">SUMPRODUCT(IF($BE$24:$BE$66=$BE15,1,0),$BF$24:$BF$66,BJ$24:BJ$66)</f>
        <v>100.45</v>
      </c>
    </row>
    <row r="16" spans="1:71" x14ac:dyDescent="0.35">
      <c r="A16" t="s">
        <v>76</v>
      </c>
      <c r="B16">
        <v>2038</v>
      </c>
      <c r="C16" s="52">
        <f t="shared" si="0"/>
        <v>1.2834000000000002E-2</v>
      </c>
      <c r="D16" s="51">
        <f>C16*1000000000000/Assumptions!$B$17/1000</f>
        <v>106950.00000000001</v>
      </c>
      <c r="E16" s="51" cm="1">
        <f t="array" ref="E16">IF(C16=0,0,SUMPRODUCT(IF($AB$3:$AB$212=B16,1,0),IF($AA$3:$AA$212=$A16,1,0),$AC$3:$AC$212,$AE$3:$AE$212)/C16)</f>
        <v>10.719110928120116</v>
      </c>
      <c r="F16" s="51" cm="1">
        <f t="array" ref="F16">IF(C16=0,0,SUMPRODUCT(IF($AB$3:$AB$212=B16,1,0),IF($AA$3:$AA$212=A16,1,0),$AC$3:$AC$212,$AF$3:$AF$212)/C16)</f>
        <v>4.4895511921458615</v>
      </c>
      <c r="G16" s="51" cm="1">
        <f t="array" ref="G16">IF($C16=0,0,SUMPRODUCT(IF($AB$3:$AB$212=$B16,1,0),IF($AA$3:$AA$212=$A16,1,0),$AC$3:$AC$212,AG$3:AG$212)/$C16)</f>
        <v>16.948670664094372</v>
      </c>
      <c r="H16" s="51">
        <f t="shared" si="1"/>
        <v>88.574547187599435</v>
      </c>
      <c r="I16" s="51">
        <f t="shared" si="2"/>
        <v>76.699094375198868</v>
      </c>
      <c r="J16" s="51">
        <f t="shared" si="3"/>
        <v>100.45</v>
      </c>
      <c r="K16" s="51">
        <f t="shared" si="12"/>
        <v>-77.855436259479319</v>
      </c>
      <c r="L16" s="51">
        <f t="shared" si="13"/>
        <v>-72.209543183053</v>
      </c>
      <c r="M16" s="51">
        <f t="shared" si="14"/>
        <v>-83.501329335905638</v>
      </c>
      <c r="N16" s="51">
        <f t="shared" si="15"/>
        <v>0.99919666895415771</v>
      </c>
      <c r="O16" s="51">
        <f t="shared" si="16"/>
        <v>0.92673727721130228</v>
      </c>
      <c r="P16" s="51">
        <f t="shared" si="17"/>
        <v>1.0716560606970131</v>
      </c>
      <c r="Q16" s="51" cm="1">
        <f t="array" ref="Q16">IF(D16=0,0,SUMPRODUCT(IF($AB$3:$AB$212=B16,1,0),IF($AA$3:$AA$212=A16,1,0),$AD$3:$AD$212,$AN$3:$AN$212)/D16)</f>
        <v>3.9669004207573622</v>
      </c>
      <c r="R16" s="51">
        <f t="shared" si="5"/>
        <v>424.26</v>
      </c>
      <c r="S16" s="51">
        <f t="shared" si="6"/>
        <v>1873.9726027397262</v>
      </c>
      <c r="T16" s="51">
        <f t="shared" si="7"/>
        <v>6558.9041095890416</v>
      </c>
      <c r="U16" s="51">
        <f t="shared" si="8"/>
        <v>5247.1232876712329</v>
      </c>
      <c r="V16" s="51">
        <f t="shared" si="9"/>
        <v>7870.6849315068503</v>
      </c>
      <c r="Y16" t="s">
        <v>79</v>
      </c>
      <c r="Z16" t="s">
        <v>78</v>
      </c>
      <c r="AA16" t="s">
        <v>76</v>
      </c>
      <c r="AB16">
        <v>2038</v>
      </c>
      <c r="AC16" s="7">
        <v>1.1520000000000001E-2</v>
      </c>
      <c r="AD16" s="23">
        <f>AC16*1000000000000/Assumptions!$B$17/1000</f>
        <v>96000</v>
      </c>
      <c r="AE16" s="9">
        <f t="shared" si="18"/>
        <v>5.2549999999999999</v>
      </c>
      <c r="AF16">
        <f>IF(LEFT(Z16,4)="Blue",Assumptions!$G$57,0)</f>
        <v>0</v>
      </c>
      <c r="AG16">
        <f>IF(LEFT(Z16,4)="Blue",Assumptions!$G$59,IF(LEFT(Z16,4)="Gree",Assumptions!$G$60,0))</f>
        <v>10.51</v>
      </c>
      <c r="AH16" s="41">
        <f t="shared" si="19"/>
        <v>88.574547187599435</v>
      </c>
      <c r="AI16" s="41">
        <f t="shared" si="20"/>
        <v>76.699094375198868</v>
      </c>
      <c r="AJ16" s="41">
        <f t="shared" si="21"/>
        <v>100.45</v>
      </c>
      <c r="AK16" s="51">
        <f t="shared" si="22"/>
        <v>-78.06454718759943</v>
      </c>
      <c r="AL16" s="51">
        <f t="shared" si="23"/>
        <v>-66.189094375198863</v>
      </c>
      <c r="AM16" s="51">
        <f t="shared" si="24"/>
        <v>-89.94</v>
      </c>
      <c r="AN16">
        <f>IFERROR(INDEX(WaterUseH2[Average Direct Water Consumption (Gal/ kg h2)],MATCH(LEFT(Hydrogen!Y16,3),WaterUseH2[Key],0)),0)</f>
        <v>4.0999999999999996</v>
      </c>
      <c r="AO16" s="13">
        <f t="shared" si="11"/>
        <v>393.59999999999997</v>
      </c>
      <c r="AP16" s="13">
        <f>IF(Y16=$Y$3,AD16*Assumptions!$C$8*1000/1000,0)</f>
        <v>4924800</v>
      </c>
      <c r="AQ16" s="30">
        <f t="shared" si="25"/>
        <v>1873.9726027397262</v>
      </c>
      <c r="AR16" s="30">
        <f>$AQ16*Assumptions!B$76</f>
        <v>6558.9041095890416</v>
      </c>
      <c r="AS16" s="30">
        <f>$AQ16*Assumptions!C$76</f>
        <v>5247.1232876712329</v>
      </c>
      <c r="AT16" s="30">
        <f>$AQ16*Assumptions!D$76</f>
        <v>7870.6849315068503</v>
      </c>
      <c r="BC16" t="s">
        <v>170</v>
      </c>
      <c r="BD16" t="s">
        <v>76</v>
      </c>
      <c r="BE16">
        <v>2038</v>
      </c>
      <c r="BF16" s="23">
        <f t="shared" si="26"/>
        <v>1.2834000000000002E-2</v>
      </c>
      <c r="BG16" s="40">
        <f>BF16*10000000000000/Assumptions!$B$17/1000</f>
        <v>1069500.0000000002</v>
      </c>
      <c r="BH16" s="41" cm="1">
        <f t="array" ref="BH16">SUMPRODUCT(IF($BE$24:$BE$66=$BE16,1,0),$BF$24:$BF$66,BH$24:BH$66)</f>
        <v>88.574547187599435</v>
      </c>
      <c r="BI16" s="41" cm="1">
        <f t="array" ref="BI16">SUMPRODUCT(IF($BE$24:$BE$66=$BE16,1,0),$BF$24:$BF$66,BI$24:BI$66)</f>
        <v>76.699094375198868</v>
      </c>
      <c r="BJ16" s="41" cm="1">
        <f t="array" ref="BJ16">SUMPRODUCT(IF($BE$24:$BE$66=$BE16,1,0),$BF$24:$BF$66,BJ$24:BJ$66)</f>
        <v>100.45</v>
      </c>
    </row>
    <row r="17" spans="1:65" x14ac:dyDescent="0.35">
      <c r="A17" t="s">
        <v>76</v>
      </c>
      <c r="B17">
        <v>2039</v>
      </c>
      <c r="C17" s="52">
        <f t="shared" si="0"/>
        <v>1.2834000000000002E-2</v>
      </c>
      <c r="D17" s="51">
        <f>C17*1000000000000/Assumptions!$B$17/1000</f>
        <v>106950.00000000001</v>
      </c>
      <c r="E17" s="51" cm="1">
        <f t="array" ref="E17">IF(C17=0,0,SUMPRODUCT(IF($AB$3:$AB$212=B17,1,0),IF($AA$3:$AA$212=$A17,1,0),$AC$3:$AC$212,$AE$3:$AE$212)/C17)</f>
        <v>10.719110928120116</v>
      </c>
      <c r="F17" s="51" cm="1">
        <f t="array" ref="F17">IF(C17=0,0,SUMPRODUCT(IF($AB$3:$AB$212=B17,1,0),IF($AA$3:$AA$212=A17,1,0),$AC$3:$AC$212,$AF$3:$AF$212)/C17)</f>
        <v>4.4895511921458615</v>
      </c>
      <c r="G17" s="51" cm="1">
        <f t="array" ref="G17">IF($C17=0,0,SUMPRODUCT(IF($AB$3:$AB$212=$B17,1,0),IF($AA$3:$AA$212=$A17,1,0),$AC$3:$AC$212,AG$3:AG$212)/$C17)</f>
        <v>16.948670664094372</v>
      </c>
      <c r="H17" s="51">
        <f t="shared" si="1"/>
        <v>87.273478799936612</v>
      </c>
      <c r="I17" s="51">
        <f t="shared" si="2"/>
        <v>74.096957599873221</v>
      </c>
      <c r="J17" s="51">
        <f t="shared" si="3"/>
        <v>100.45</v>
      </c>
      <c r="K17" s="51">
        <f t="shared" si="12"/>
        <v>-76.554367871816495</v>
      </c>
      <c r="L17" s="51">
        <f t="shared" si="13"/>
        <v>-69.607406407727353</v>
      </c>
      <c r="M17" s="51">
        <f t="shared" si="14"/>
        <v>-83.501329335905638</v>
      </c>
      <c r="N17" s="51">
        <f t="shared" si="15"/>
        <v>0.98249875726689306</v>
      </c>
      <c r="O17" s="51">
        <f t="shared" si="16"/>
        <v>0.89334145383677299</v>
      </c>
      <c r="P17" s="51">
        <f t="shared" si="17"/>
        <v>1.0716560606970131</v>
      </c>
      <c r="Q17" s="51" cm="1">
        <f t="array" ref="Q17">IF(D17=0,0,SUMPRODUCT(IF($AB$3:$AB$212=B17,1,0),IF($AA$3:$AA$212=A17,1,0),$AD$3:$AD$212,$AN$3:$AN$212)/D17)</f>
        <v>3.9669004207573622</v>
      </c>
      <c r="R17" s="51">
        <f t="shared" si="5"/>
        <v>424.26</v>
      </c>
      <c r="S17" s="51">
        <f t="shared" si="6"/>
        <v>1873.9726027397262</v>
      </c>
      <c r="T17" s="51">
        <f t="shared" si="7"/>
        <v>6558.9041095890416</v>
      </c>
      <c r="U17" s="51">
        <f t="shared" si="8"/>
        <v>5247.1232876712329</v>
      </c>
      <c r="V17" s="51">
        <f t="shared" si="9"/>
        <v>7870.6849315068503</v>
      </c>
      <c r="Y17" t="s">
        <v>79</v>
      </c>
      <c r="Z17" t="s">
        <v>78</v>
      </c>
      <c r="AA17" t="s">
        <v>76</v>
      </c>
      <c r="AB17">
        <v>2039</v>
      </c>
      <c r="AC17" s="7">
        <v>1.1520000000000001E-2</v>
      </c>
      <c r="AD17" s="23">
        <f>AC17*1000000000000/Assumptions!$B$17/1000</f>
        <v>96000</v>
      </c>
      <c r="AE17" s="9">
        <f t="shared" si="18"/>
        <v>5.2549999999999999</v>
      </c>
      <c r="AF17">
        <f>IF(LEFT(Z17,4)="Blue",Assumptions!$G$57,0)</f>
        <v>0</v>
      </c>
      <c r="AG17">
        <f>IF(LEFT(Z17,4)="Blue",Assumptions!$G$59,IF(LEFT(Z17,4)="Gree",Assumptions!$G$60,0))</f>
        <v>10.51</v>
      </c>
      <c r="AH17" s="41">
        <f t="shared" si="19"/>
        <v>87.273478799936612</v>
      </c>
      <c r="AI17" s="41">
        <f t="shared" si="20"/>
        <v>74.096957599873221</v>
      </c>
      <c r="AJ17" s="41">
        <f t="shared" si="21"/>
        <v>100.45</v>
      </c>
      <c r="AK17" s="51">
        <f t="shared" si="22"/>
        <v>-76.763478799936607</v>
      </c>
      <c r="AL17" s="51">
        <f t="shared" si="23"/>
        <v>-63.586957599873223</v>
      </c>
      <c r="AM17" s="51">
        <f t="shared" si="24"/>
        <v>-89.94</v>
      </c>
      <c r="AN17">
        <f>IFERROR(INDEX(WaterUseH2[Average Direct Water Consumption (Gal/ kg h2)],MATCH(LEFT(Hydrogen!Y17,3),WaterUseH2[Key],0)),0)</f>
        <v>4.0999999999999996</v>
      </c>
      <c r="AO17" s="13">
        <f t="shared" si="11"/>
        <v>393.59999999999997</v>
      </c>
      <c r="AP17" s="13">
        <f>IF(Y17=$Y$3,AD17*Assumptions!$C$8*1000/1000,0)</f>
        <v>4924800</v>
      </c>
      <c r="AQ17" s="30">
        <f t="shared" si="25"/>
        <v>1873.9726027397262</v>
      </c>
      <c r="AR17" s="30">
        <f>$AQ17*Assumptions!B$76</f>
        <v>6558.9041095890416</v>
      </c>
      <c r="AS17" s="30">
        <f>$AQ17*Assumptions!C$76</f>
        <v>5247.1232876712329</v>
      </c>
      <c r="AT17" s="30">
        <f>$AQ17*Assumptions!D$76</f>
        <v>7870.6849315068503</v>
      </c>
      <c r="BC17" t="s">
        <v>170</v>
      </c>
      <c r="BD17" t="s">
        <v>76</v>
      </c>
      <c r="BE17">
        <v>2039</v>
      </c>
      <c r="BF17" s="23">
        <f t="shared" si="26"/>
        <v>1.2834000000000002E-2</v>
      </c>
      <c r="BG17" s="40">
        <f>BF17*10000000000000/Assumptions!$B$17/1000</f>
        <v>1069500.0000000002</v>
      </c>
      <c r="BH17" s="41" cm="1">
        <f t="array" ref="BH17">SUMPRODUCT(IF($BE$24:$BE$66=$BE17,1,0),$BF$24:$BF$66,BH$24:BH$66)</f>
        <v>87.273478799936612</v>
      </c>
      <c r="BI17" s="41" cm="1">
        <f t="array" ref="BI17">SUMPRODUCT(IF($BE$24:$BE$66=$BE17,1,0),$BF$24:$BF$66,BI$24:BI$66)</f>
        <v>74.096957599873221</v>
      </c>
      <c r="BJ17" s="41" cm="1">
        <f t="array" ref="BJ17">SUMPRODUCT(IF($BE$24:$BE$66=$BE17,1,0),$BF$24:$BF$66,BJ$24:BJ$66)</f>
        <v>100.45</v>
      </c>
    </row>
    <row r="18" spans="1:65" x14ac:dyDescent="0.35">
      <c r="A18" t="s">
        <v>76</v>
      </c>
      <c r="B18">
        <v>2040</v>
      </c>
      <c r="C18" s="52">
        <f t="shared" si="0"/>
        <v>1.2834000000000002E-2</v>
      </c>
      <c r="D18" s="51">
        <f>C18*1000000000000/Assumptions!$B$17/1000</f>
        <v>106950.00000000001</v>
      </c>
      <c r="E18" s="51" cm="1">
        <f t="array" ref="E18">IF(C18=0,0,SUMPRODUCT(IF($AB$3:$AB$212=B18,1,0),IF($AA$3:$AA$212=$A18,1,0),$AC$3:$AC$212,$AE$3:$AE$212)/C18)</f>
        <v>10.719110928120116</v>
      </c>
      <c r="F18" s="51" cm="1">
        <f t="array" ref="F18">IF(C18=0,0,SUMPRODUCT(IF($AB$3:$AB$212=B18,1,0),IF($AA$3:$AA$212=A18,1,0),$AC$3:$AC$212,$AF$3:$AF$212)/C18)</f>
        <v>4.4895511921458615</v>
      </c>
      <c r="G18" s="51" cm="1">
        <f t="array" ref="G18">IF($C18=0,0,SUMPRODUCT(IF($AB$3:$AB$212=$B18,1,0),IF($AA$3:$AA$212=$A18,1,0),$AC$3:$AC$212,AG$3:AG$212)/$C18)</f>
        <v>16.948670664094372</v>
      </c>
      <c r="H18" s="51">
        <f t="shared" si="1"/>
        <v>85.951275707781519</v>
      </c>
      <c r="I18" s="51">
        <f t="shared" si="2"/>
        <v>71.452551415563036</v>
      </c>
      <c r="J18" s="51">
        <f t="shared" si="3"/>
        <v>100.45</v>
      </c>
      <c r="K18" s="51">
        <f t="shared" si="12"/>
        <v>-75.232164779661403</v>
      </c>
      <c r="L18" s="51">
        <f t="shared" si="13"/>
        <v>-66.963000223417168</v>
      </c>
      <c r="M18" s="51">
        <f t="shared" si="14"/>
        <v>-83.501329335905638</v>
      </c>
      <c r="N18" s="51">
        <f t="shared" si="15"/>
        <v>0.96552960278217459</v>
      </c>
      <c r="O18" s="51">
        <f t="shared" si="16"/>
        <v>0.85940314486733604</v>
      </c>
      <c r="P18" s="51">
        <f t="shared" si="17"/>
        <v>1.0716560606970131</v>
      </c>
      <c r="Q18" s="51" cm="1">
        <f t="array" ref="Q18">IF(D18=0,0,SUMPRODUCT(IF($AB$3:$AB$212=B18,1,0),IF($AA$3:$AA$212=A18,1,0),$AD$3:$AD$212,$AN$3:$AN$212)/D18)</f>
        <v>3.9669004207573622</v>
      </c>
      <c r="R18" s="51">
        <f t="shared" si="5"/>
        <v>424.26</v>
      </c>
      <c r="S18" s="51">
        <f t="shared" si="6"/>
        <v>1873.9726027397262</v>
      </c>
      <c r="T18" s="51">
        <f t="shared" si="7"/>
        <v>6558.9041095890416</v>
      </c>
      <c r="U18" s="51">
        <f t="shared" si="8"/>
        <v>5247.1232876712329</v>
      </c>
      <c r="V18" s="51">
        <f t="shared" si="9"/>
        <v>7870.6849315068503</v>
      </c>
      <c r="Y18" t="s">
        <v>79</v>
      </c>
      <c r="Z18" t="s">
        <v>78</v>
      </c>
      <c r="AA18" t="s">
        <v>76</v>
      </c>
      <c r="AB18">
        <v>2040</v>
      </c>
      <c r="AC18" s="7">
        <v>1.1520000000000001E-2</v>
      </c>
      <c r="AD18" s="23">
        <f>AC18*1000000000000/Assumptions!$B$17/1000</f>
        <v>96000</v>
      </c>
      <c r="AE18" s="9">
        <f t="shared" si="18"/>
        <v>5.2549999999999999</v>
      </c>
      <c r="AF18">
        <f>IF(LEFT(Z18,4)="Blue",Assumptions!$G$57,0)</f>
        <v>0</v>
      </c>
      <c r="AG18">
        <f>IF(LEFT(Z18,4)="Blue",Assumptions!$G$59,IF(LEFT(Z18,4)="Gree",Assumptions!$G$60,0))</f>
        <v>10.51</v>
      </c>
      <c r="AH18" s="41">
        <f t="shared" si="19"/>
        <v>85.951275707781519</v>
      </c>
      <c r="AI18" s="41">
        <f t="shared" si="20"/>
        <v>71.452551415563036</v>
      </c>
      <c r="AJ18" s="41">
        <f t="shared" si="21"/>
        <v>100.45</v>
      </c>
      <c r="AK18" s="51">
        <f t="shared" si="22"/>
        <v>-75.441275707781514</v>
      </c>
      <c r="AL18" s="51">
        <f t="shared" si="23"/>
        <v>-60.942551415563038</v>
      </c>
      <c r="AM18" s="51">
        <f t="shared" si="24"/>
        <v>-89.94</v>
      </c>
      <c r="AN18">
        <f>IFERROR(INDEX(WaterUseH2[Average Direct Water Consumption (Gal/ kg h2)],MATCH(LEFT(Hydrogen!Y18,3),WaterUseH2[Key],0)),0)</f>
        <v>4.0999999999999996</v>
      </c>
      <c r="AO18" s="13">
        <f t="shared" si="11"/>
        <v>393.59999999999997</v>
      </c>
      <c r="AP18" s="13">
        <f>IF(Y18=$Y$3,AD18*Assumptions!$C$8*1000/1000,0)</f>
        <v>4924800</v>
      </c>
      <c r="AQ18" s="30">
        <f t="shared" si="25"/>
        <v>1873.9726027397262</v>
      </c>
      <c r="AR18" s="30">
        <f>$AQ18*Assumptions!B$76</f>
        <v>6558.9041095890416</v>
      </c>
      <c r="AS18" s="30">
        <f>$AQ18*Assumptions!C$76</f>
        <v>5247.1232876712329</v>
      </c>
      <c r="AT18" s="30">
        <f>$AQ18*Assumptions!D$76</f>
        <v>7870.6849315068503</v>
      </c>
      <c r="BC18" t="s">
        <v>170</v>
      </c>
      <c r="BD18" t="s">
        <v>76</v>
      </c>
      <c r="BE18">
        <v>2040</v>
      </c>
      <c r="BF18" s="23">
        <f t="shared" si="26"/>
        <v>1.2834000000000002E-2</v>
      </c>
      <c r="BG18" s="40">
        <f>BF18*10000000000000/Assumptions!$B$17/1000</f>
        <v>1069500.0000000002</v>
      </c>
      <c r="BH18" s="41" cm="1">
        <f t="array" ref="BH18">SUMPRODUCT(IF($BE$24:$BE$66=$BE18,1,0),$BF$24:$BF$66,BH$24:BH$66)</f>
        <v>85.951275707781519</v>
      </c>
      <c r="BI18" s="41" cm="1">
        <f t="array" ref="BI18">SUMPRODUCT(IF($BE$24:$BE$66=$BE18,1,0),$BF$24:$BF$66,BI$24:BI$66)</f>
        <v>71.452551415563036</v>
      </c>
      <c r="BJ18" s="41" cm="1">
        <f t="array" ref="BJ18">SUMPRODUCT(IF($BE$24:$BE$66=$BE18,1,0),$BF$24:$BF$66,BJ$24:BJ$66)</f>
        <v>100.45</v>
      </c>
    </row>
    <row r="19" spans="1:65" x14ac:dyDescent="0.35">
      <c r="A19" t="s">
        <v>76</v>
      </c>
      <c r="B19">
        <v>2041</v>
      </c>
      <c r="C19" s="52">
        <f t="shared" si="0"/>
        <v>1.2834000000000002E-2</v>
      </c>
      <c r="D19" s="51">
        <f>C19*1000000000000/Assumptions!$B$17/1000</f>
        <v>106950.00000000001</v>
      </c>
      <c r="E19" s="51" cm="1">
        <f t="array" ref="E19">IF(C19=0,0,SUMPRODUCT(IF($AB$3:$AB$212=B19,1,0),IF($AA$3:$AA$212=$A19,1,0),$AC$3:$AC$212,$AE$3:$AE$212)/C19)</f>
        <v>10.719110928120116</v>
      </c>
      <c r="F19" s="51" cm="1">
        <f t="array" ref="F19">IF(C19=0,0,SUMPRODUCT(IF($AB$3:$AB$212=B19,1,0),IF($AA$3:$AA$212=A19,1,0),$AC$3:$AC$212,$AF$3:$AF$212)/C19)</f>
        <v>4.4895511921458615</v>
      </c>
      <c r="G19" s="51" cm="1">
        <f t="array" ref="G19">IF($C19=0,0,SUMPRODUCT(IF($AB$3:$AB$212=$B19,1,0),IF($AA$3:$AA$212=$A19,1,0),$AC$3:$AC$212,AG$3:AG$212)/$C19)</f>
        <v>16.948670664094372</v>
      </c>
      <c r="H19" s="51">
        <f t="shared" si="1"/>
        <v>84.637245588482756</v>
      </c>
      <c r="I19" s="51">
        <f t="shared" si="2"/>
        <v>68.824491176965509</v>
      </c>
      <c r="J19" s="51">
        <f t="shared" si="3"/>
        <v>100.45</v>
      </c>
      <c r="K19" s="51">
        <f t="shared" si="12"/>
        <v>-73.918134660362639</v>
      </c>
      <c r="L19" s="51">
        <f t="shared" si="13"/>
        <v>-64.334939984819641</v>
      </c>
      <c r="M19" s="51">
        <f t="shared" si="14"/>
        <v>-83.501329335905638</v>
      </c>
      <c r="N19" s="51">
        <f t="shared" si="15"/>
        <v>0.94866534023109428</v>
      </c>
      <c r="O19" s="51">
        <f t="shared" si="16"/>
        <v>0.82567461976517542</v>
      </c>
      <c r="P19" s="51">
        <f t="shared" si="17"/>
        <v>1.0716560606970131</v>
      </c>
      <c r="Q19" s="51" cm="1">
        <f t="array" ref="Q19">IF(D19=0,0,SUMPRODUCT(IF($AB$3:$AB$212=B19,1,0),IF($AA$3:$AA$212=A19,1,0),$AD$3:$AD$212,$AN$3:$AN$212)/D19)</f>
        <v>3.9669004207573622</v>
      </c>
      <c r="R19" s="51">
        <f t="shared" si="5"/>
        <v>424.26</v>
      </c>
      <c r="S19" s="51">
        <f t="shared" si="6"/>
        <v>1873.9726027397262</v>
      </c>
      <c r="T19" s="51">
        <f t="shared" si="7"/>
        <v>6558.9041095890416</v>
      </c>
      <c r="U19" s="51">
        <f t="shared" si="8"/>
        <v>5247.1232876712329</v>
      </c>
      <c r="V19" s="51">
        <f t="shared" si="9"/>
        <v>7870.6849315068503</v>
      </c>
      <c r="Y19" t="s">
        <v>79</v>
      </c>
      <c r="Z19" t="s">
        <v>78</v>
      </c>
      <c r="AA19" t="s">
        <v>76</v>
      </c>
      <c r="AB19">
        <v>2041</v>
      </c>
      <c r="AC19" s="7">
        <v>1.1520000000000001E-2</v>
      </c>
      <c r="AD19" s="23">
        <f>AC19*1000000000000/Assumptions!$B$17/1000</f>
        <v>96000</v>
      </c>
      <c r="AE19" s="9">
        <f t="shared" si="18"/>
        <v>5.2549999999999999</v>
      </c>
      <c r="AF19">
        <f>IF(LEFT(Z19,4)="Blue",Assumptions!$G$57,0)</f>
        <v>0</v>
      </c>
      <c r="AG19">
        <f>IF(LEFT(Z19,4)="Blue",Assumptions!$G$59,IF(LEFT(Z19,4)="Gree",Assumptions!$G$60,0))</f>
        <v>10.51</v>
      </c>
      <c r="AH19" s="41">
        <f t="shared" si="19"/>
        <v>84.637245588482756</v>
      </c>
      <c r="AI19" s="41">
        <f t="shared" si="20"/>
        <v>68.824491176965509</v>
      </c>
      <c r="AJ19" s="41">
        <f t="shared" si="21"/>
        <v>100.45</v>
      </c>
      <c r="AK19" s="51">
        <f t="shared" si="22"/>
        <v>-74.127245588482751</v>
      </c>
      <c r="AL19" s="51">
        <f t="shared" si="23"/>
        <v>-58.314491176965511</v>
      </c>
      <c r="AM19" s="51">
        <f t="shared" si="24"/>
        <v>-89.94</v>
      </c>
      <c r="AN19">
        <f>IFERROR(INDEX(WaterUseH2[Average Direct Water Consumption (Gal/ kg h2)],MATCH(LEFT(Hydrogen!Y19,3),WaterUseH2[Key],0)),0)</f>
        <v>4.0999999999999996</v>
      </c>
      <c r="AO19" s="13">
        <f t="shared" si="11"/>
        <v>393.59999999999997</v>
      </c>
      <c r="AP19" s="13">
        <f>IF(Y19=$Y$3,AD19*Assumptions!$C$8*1000/1000,0)</f>
        <v>4924800</v>
      </c>
      <c r="AQ19" s="30">
        <f t="shared" si="25"/>
        <v>1873.9726027397262</v>
      </c>
      <c r="AR19" s="30">
        <f>$AQ19*Assumptions!B$76</f>
        <v>6558.9041095890416</v>
      </c>
      <c r="AS19" s="30">
        <f>$AQ19*Assumptions!C$76</f>
        <v>5247.1232876712329</v>
      </c>
      <c r="AT19" s="30">
        <f>$AQ19*Assumptions!D$76</f>
        <v>7870.6849315068503</v>
      </c>
      <c r="BC19" t="s">
        <v>170</v>
      </c>
      <c r="BD19" t="s">
        <v>76</v>
      </c>
      <c r="BE19">
        <v>2041</v>
      </c>
      <c r="BF19" s="23">
        <f t="shared" si="26"/>
        <v>1.2834000000000002E-2</v>
      </c>
      <c r="BG19" s="40">
        <f>BF19*10000000000000/Assumptions!$B$17/1000</f>
        <v>1069500.0000000002</v>
      </c>
      <c r="BH19" s="41" cm="1">
        <f t="array" ref="BH19">SUMPRODUCT(IF($BE$24:$BE$66=$BE19,1,0),$BF$24:$BF$66,BH$24:BH$66)</f>
        <v>84.637245588482756</v>
      </c>
      <c r="BI19" s="41" cm="1">
        <f t="array" ref="BI19">SUMPRODUCT(IF($BE$24:$BE$66=$BE19,1,0),$BF$24:$BF$66,BI$24:BI$66)</f>
        <v>68.824491176965509</v>
      </c>
      <c r="BJ19" s="41" cm="1">
        <f t="array" ref="BJ19">SUMPRODUCT(IF($BE$24:$BE$66=$BE19,1,0),$BF$24:$BF$66,BJ$24:BJ$66)</f>
        <v>100.45</v>
      </c>
    </row>
    <row r="20" spans="1:65" x14ac:dyDescent="0.35">
      <c r="A20" t="s">
        <v>76</v>
      </c>
      <c r="B20">
        <v>2042</v>
      </c>
      <c r="C20" s="52">
        <f t="shared" si="0"/>
        <v>1.2834000000000002E-2</v>
      </c>
      <c r="D20" s="51">
        <f>C20*1000000000000/Assumptions!$B$17/1000</f>
        <v>106950.00000000001</v>
      </c>
      <c r="E20" s="51" cm="1">
        <f t="array" ref="E20">IF(C20=0,0,SUMPRODUCT(IF($AB$3:$AB$212=B20,1,0),IF($AA$3:$AA$212=$A20,1,0),$AC$3:$AC$212,$AE$3:$AE$212)/C20)</f>
        <v>10.719110928120116</v>
      </c>
      <c r="F20" s="51" cm="1">
        <f t="array" ref="F20">IF(C20=0,0,SUMPRODUCT(IF($AB$3:$AB$212=B20,1,0),IF($AA$3:$AA$212=A20,1,0),$AC$3:$AC$212,$AF$3:$AF$212)/C20)</f>
        <v>4.4895511921458615</v>
      </c>
      <c r="G20" s="51" cm="1">
        <f t="array" ref="G20">IF($C20=0,0,SUMPRODUCT(IF($AB$3:$AB$212=$B20,1,0),IF($AA$3:$AA$212=$A20,1,0),$AC$3:$AC$212,AG$3:AG$212)/$C20)</f>
        <v>16.948670664094372</v>
      </c>
      <c r="H20" s="51">
        <f t="shared" si="1"/>
        <v>83.36430635778953</v>
      </c>
      <c r="I20" s="51">
        <f t="shared" si="2"/>
        <v>66.278612715579072</v>
      </c>
      <c r="J20" s="51">
        <f t="shared" si="3"/>
        <v>100.45</v>
      </c>
      <c r="K20" s="51">
        <f t="shared" si="12"/>
        <v>-72.645195429669414</v>
      </c>
      <c r="L20" s="51">
        <f t="shared" si="13"/>
        <v>-61.789061523433212</v>
      </c>
      <c r="M20" s="51">
        <f t="shared" si="14"/>
        <v>-83.501329335905638</v>
      </c>
      <c r="N20" s="51">
        <f t="shared" si="15"/>
        <v>0.93232843814437738</v>
      </c>
      <c r="O20" s="51">
        <f t="shared" si="16"/>
        <v>0.79300081559174196</v>
      </c>
      <c r="P20" s="51">
        <f t="shared" si="17"/>
        <v>1.0716560606970131</v>
      </c>
      <c r="Q20" s="51" cm="1">
        <f t="array" ref="Q20">IF(D20=0,0,SUMPRODUCT(IF($AB$3:$AB$212=B20,1,0),IF($AA$3:$AA$212=A20,1,0),$AD$3:$AD$212,$AN$3:$AN$212)/D20)</f>
        <v>3.9669004207573622</v>
      </c>
      <c r="R20" s="51">
        <f t="shared" si="5"/>
        <v>424.26</v>
      </c>
      <c r="S20" s="51">
        <f t="shared" si="6"/>
        <v>1873.9726027397262</v>
      </c>
      <c r="T20" s="51">
        <f t="shared" si="7"/>
        <v>6558.9041095890416</v>
      </c>
      <c r="U20" s="51">
        <f t="shared" si="8"/>
        <v>5247.1232876712329</v>
      </c>
      <c r="V20" s="51">
        <f t="shared" si="9"/>
        <v>7870.6849315068503</v>
      </c>
      <c r="Y20" t="s">
        <v>79</v>
      </c>
      <c r="Z20" t="s">
        <v>78</v>
      </c>
      <c r="AA20" t="s">
        <v>76</v>
      </c>
      <c r="AB20">
        <v>2042</v>
      </c>
      <c r="AC20" s="7">
        <v>1.1520000000000001E-2</v>
      </c>
      <c r="AD20" s="23">
        <f>AC20*1000000000000/Assumptions!$B$17/1000</f>
        <v>96000</v>
      </c>
      <c r="AE20" s="9">
        <f t="shared" si="18"/>
        <v>5.2549999999999999</v>
      </c>
      <c r="AF20">
        <f>IF(LEFT(Z20,4)="Blue",Assumptions!$G$57,0)</f>
        <v>0</v>
      </c>
      <c r="AG20">
        <f>IF(LEFT(Z20,4)="Blue",Assumptions!$G$59,IF(LEFT(Z20,4)="Gree",Assumptions!$G$60,0))</f>
        <v>10.51</v>
      </c>
      <c r="AH20" s="41">
        <f t="shared" si="19"/>
        <v>83.36430635778953</v>
      </c>
      <c r="AI20" s="41">
        <f t="shared" si="20"/>
        <v>66.278612715579072</v>
      </c>
      <c r="AJ20" s="41">
        <f t="shared" si="21"/>
        <v>100.45</v>
      </c>
      <c r="AK20" s="51">
        <f t="shared" si="22"/>
        <v>-72.85430635778954</v>
      </c>
      <c r="AL20" s="51">
        <f t="shared" si="23"/>
        <v>-55.768612715579074</v>
      </c>
      <c r="AM20" s="51">
        <f t="shared" si="24"/>
        <v>-89.94</v>
      </c>
      <c r="AN20">
        <f>IFERROR(INDEX(WaterUseH2[Average Direct Water Consumption (Gal/ kg h2)],MATCH(LEFT(Hydrogen!Y20,3),WaterUseH2[Key],0)),0)</f>
        <v>4.0999999999999996</v>
      </c>
      <c r="AO20" s="13">
        <f t="shared" si="11"/>
        <v>393.59999999999997</v>
      </c>
      <c r="AP20" s="13">
        <f>IF(Y20=$Y$3,AD20*Assumptions!$C$8*1000/1000,0)</f>
        <v>4924800</v>
      </c>
      <c r="AQ20" s="30">
        <f t="shared" si="25"/>
        <v>1873.9726027397262</v>
      </c>
      <c r="AR20" s="30">
        <f>$AQ20*Assumptions!B$76</f>
        <v>6558.9041095890416</v>
      </c>
      <c r="AS20" s="30">
        <f>$AQ20*Assumptions!C$76</f>
        <v>5247.1232876712329</v>
      </c>
      <c r="AT20" s="30">
        <f>$AQ20*Assumptions!D$76</f>
        <v>7870.6849315068503</v>
      </c>
      <c r="BC20" t="s">
        <v>170</v>
      </c>
      <c r="BD20" t="s">
        <v>76</v>
      </c>
      <c r="BE20">
        <v>2042</v>
      </c>
      <c r="BF20" s="23">
        <f t="shared" si="26"/>
        <v>1.2834000000000002E-2</v>
      </c>
      <c r="BG20" s="40">
        <f>BF20*10000000000000/Assumptions!$B$17/1000</f>
        <v>1069500.0000000002</v>
      </c>
      <c r="BH20" s="41" cm="1">
        <f t="array" ref="BH20">SUMPRODUCT(IF($BE$24:$BE$66=$BE20,1,0),$BF$24:$BF$66,BH$24:BH$66)</f>
        <v>83.36430635778953</v>
      </c>
      <c r="BI20" s="41" cm="1">
        <f t="array" ref="BI20">SUMPRODUCT(IF($BE$24:$BE$66=$BE20,1,0),$BF$24:$BF$66,BI$24:BI$66)</f>
        <v>66.278612715579072</v>
      </c>
      <c r="BJ20" s="41" cm="1">
        <f t="array" ref="BJ20">SUMPRODUCT(IF($BE$24:$BE$66=$BE20,1,0),$BF$24:$BF$66,BJ$24:BJ$66)</f>
        <v>100.45</v>
      </c>
    </row>
    <row r="21" spans="1:65" x14ac:dyDescent="0.35">
      <c r="A21" t="s">
        <v>76</v>
      </c>
      <c r="B21">
        <v>2043</v>
      </c>
      <c r="C21" s="52">
        <f t="shared" si="0"/>
        <v>1.2834000000000002E-2</v>
      </c>
      <c r="D21" s="51">
        <f>C21*1000000000000/Assumptions!$B$17/1000</f>
        <v>106950.00000000001</v>
      </c>
      <c r="E21" s="51" cm="1">
        <f t="array" ref="E21">IF(C21=0,0,SUMPRODUCT(IF($AB$3:$AB$212=B21,1,0),IF($AA$3:$AA$212=$A21,1,0),$AC$3:$AC$212,$AE$3:$AE$212)/C21)</f>
        <v>10.719110928120116</v>
      </c>
      <c r="F21" s="51" cm="1">
        <f t="array" ref="F21">IF(C21=0,0,SUMPRODUCT(IF($AB$3:$AB$212=B21,1,0),IF($AA$3:$AA$212=A21,1,0),$AC$3:$AC$212,$AF$3:$AF$212)/C21)</f>
        <v>4.4895511921458615</v>
      </c>
      <c r="G21" s="51" cm="1">
        <f t="array" ref="G21">IF($C21=0,0,SUMPRODUCT(IF($AB$3:$AB$212=$B21,1,0),IF($AA$3:$AA$212=$A21,1,0),$AC$3:$AC$212,AG$3:AG$212)/$C21)</f>
        <v>16.948670664094372</v>
      </c>
      <c r="H21" s="51">
        <f t="shared" si="1"/>
        <v>82.142704261559757</v>
      </c>
      <c r="I21" s="51">
        <f t="shared" si="2"/>
        <v>63.835408523119504</v>
      </c>
      <c r="J21" s="51">
        <f t="shared" si="3"/>
        <v>100.45</v>
      </c>
      <c r="K21" s="51">
        <f t="shared" si="12"/>
        <v>-71.423593333439641</v>
      </c>
      <c r="L21" s="51">
        <f t="shared" si="13"/>
        <v>-59.345857330973644</v>
      </c>
      <c r="M21" s="51">
        <f t="shared" si="14"/>
        <v>-83.501329335905638</v>
      </c>
      <c r="N21" s="51">
        <f t="shared" si="15"/>
        <v>0.91665039684136451</v>
      </c>
      <c r="O21" s="51">
        <f t="shared" si="16"/>
        <v>0.76164473298571589</v>
      </c>
      <c r="P21" s="51">
        <f t="shared" si="17"/>
        <v>1.0716560606970131</v>
      </c>
      <c r="Q21" s="51" cm="1">
        <f t="array" ref="Q21">IF(D21=0,0,SUMPRODUCT(IF($AB$3:$AB$212=B21,1,0),IF($AA$3:$AA$212=A21,1,0),$AD$3:$AD$212,$AN$3:$AN$212)/D21)</f>
        <v>3.9669004207573622</v>
      </c>
      <c r="R21" s="51">
        <f t="shared" si="5"/>
        <v>424.26</v>
      </c>
      <c r="S21" s="51">
        <f t="shared" si="6"/>
        <v>1873.9726027397262</v>
      </c>
      <c r="T21" s="51">
        <f t="shared" si="7"/>
        <v>6558.9041095890416</v>
      </c>
      <c r="U21" s="51">
        <f t="shared" si="8"/>
        <v>5247.1232876712329</v>
      </c>
      <c r="V21" s="51">
        <f t="shared" si="9"/>
        <v>7870.6849315068503</v>
      </c>
      <c r="Y21" t="s">
        <v>79</v>
      </c>
      <c r="Z21" t="s">
        <v>78</v>
      </c>
      <c r="AA21" t="s">
        <v>76</v>
      </c>
      <c r="AB21">
        <v>2043</v>
      </c>
      <c r="AC21" s="7">
        <v>1.1520000000000001E-2</v>
      </c>
      <c r="AD21" s="23">
        <f>AC21*1000000000000/Assumptions!$B$17/1000</f>
        <v>96000</v>
      </c>
      <c r="AE21" s="9">
        <f t="shared" si="18"/>
        <v>5.2549999999999999</v>
      </c>
      <c r="AF21">
        <f>IF(LEFT(Z21,4)="Blue",Assumptions!$G$57,0)</f>
        <v>0</v>
      </c>
      <c r="AG21">
        <f>IF(LEFT(Z21,4)="Blue",Assumptions!$G$59,IF(LEFT(Z21,4)="Gree",Assumptions!$G$60,0))</f>
        <v>10.51</v>
      </c>
      <c r="AH21" s="41">
        <f t="shared" si="19"/>
        <v>82.142704261559757</v>
      </c>
      <c r="AI21" s="41">
        <f t="shared" si="20"/>
        <v>63.835408523119504</v>
      </c>
      <c r="AJ21" s="41">
        <f t="shared" si="21"/>
        <v>100.45</v>
      </c>
      <c r="AK21" s="51">
        <f t="shared" si="22"/>
        <v>-71.632704261559752</v>
      </c>
      <c r="AL21" s="51">
        <f t="shared" si="23"/>
        <v>-53.325408523119506</v>
      </c>
      <c r="AM21" s="51">
        <f t="shared" si="24"/>
        <v>-89.94</v>
      </c>
      <c r="AN21">
        <f>IFERROR(INDEX(WaterUseH2[Average Direct Water Consumption (Gal/ kg h2)],MATCH(LEFT(Hydrogen!Y21,3),WaterUseH2[Key],0)),0)</f>
        <v>4.0999999999999996</v>
      </c>
      <c r="AO21" s="13">
        <f t="shared" si="11"/>
        <v>393.59999999999997</v>
      </c>
      <c r="AP21" s="13">
        <f>IF(Y21=$Y$3,AD21*Assumptions!$C$8*1000/1000,0)</f>
        <v>4924800</v>
      </c>
      <c r="AQ21" s="30">
        <f t="shared" si="25"/>
        <v>1873.9726027397262</v>
      </c>
      <c r="AR21" s="30">
        <f>$AQ21*Assumptions!B$76</f>
        <v>6558.9041095890416</v>
      </c>
      <c r="AS21" s="30">
        <f>$AQ21*Assumptions!C$76</f>
        <v>5247.1232876712329</v>
      </c>
      <c r="AT21" s="30">
        <f>$AQ21*Assumptions!D$76</f>
        <v>7870.6849315068503</v>
      </c>
      <c r="BC21" t="s">
        <v>170</v>
      </c>
      <c r="BD21" t="s">
        <v>76</v>
      </c>
      <c r="BE21">
        <v>2043</v>
      </c>
      <c r="BF21" s="23">
        <f t="shared" si="26"/>
        <v>1.2834000000000002E-2</v>
      </c>
      <c r="BG21" s="40">
        <f>BF21*10000000000000/Assumptions!$B$17/1000</f>
        <v>1069500.0000000002</v>
      </c>
      <c r="BH21" s="41" cm="1">
        <f t="array" ref="BH21">SUMPRODUCT(IF($BE$24:$BE$66=$BE21,1,0),$BF$24:$BF$66,BH$24:BH$66)</f>
        <v>82.142704261559757</v>
      </c>
      <c r="BI21" s="41" cm="1">
        <f t="array" ref="BI21">SUMPRODUCT(IF($BE$24:$BE$66=$BE21,1,0),$BF$24:$BF$66,BI$24:BI$66)</f>
        <v>63.835408523119504</v>
      </c>
      <c r="BJ21" s="41" cm="1">
        <f t="array" ref="BJ21">SUMPRODUCT(IF($BE$24:$BE$66=$BE21,1,0),$BF$24:$BF$66,BJ$24:BJ$66)</f>
        <v>100.45</v>
      </c>
    </row>
    <row r="22" spans="1:65" x14ac:dyDescent="0.35">
      <c r="A22" t="s">
        <v>76</v>
      </c>
      <c r="B22">
        <v>2044</v>
      </c>
      <c r="C22" s="52">
        <f t="shared" si="0"/>
        <v>1.2834000000000002E-2</v>
      </c>
      <c r="D22" s="51">
        <f>C22*1000000000000/Assumptions!$B$17/1000</f>
        <v>106950.00000000001</v>
      </c>
      <c r="E22" s="51" cm="1">
        <f t="array" ref="E22">IF(C22=0,0,SUMPRODUCT(IF($AB$3:$AB$212=B22,1,0),IF($AA$3:$AA$212=$A22,1,0),$AC$3:$AC$212,$AE$3:$AE$212)/C22)</f>
        <v>10.719110928120116</v>
      </c>
      <c r="F22" s="51" cm="1">
        <f t="array" ref="F22">IF(C22=0,0,SUMPRODUCT(IF($AB$3:$AB$212=B22,1,0),IF($AA$3:$AA$212=A22,1,0),$AC$3:$AC$212,$AF$3:$AF$212)/C22)</f>
        <v>4.4895511921458615</v>
      </c>
      <c r="G22" s="51" cm="1">
        <f t="array" ref="G22">IF($C22=0,0,SUMPRODUCT(IF($AB$3:$AB$212=$B22,1,0),IF($AA$3:$AA$212=$A22,1,0),$AC$3:$AC$212,AG$3:AG$212)/$C22)</f>
        <v>16.948670664094372</v>
      </c>
      <c r="H22" s="51">
        <f t="shared" si="1"/>
        <v>80.990181196488862</v>
      </c>
      <c r="I22" s="51">
        <f t="shared" si="2"/>
        <v>61.530362392977736</v>
      </c>
      <c r="J22" s="51">
        <f t="shared" si="3"/>
        <v>100.45</v>
      </c>
      <c r="K22" s="51">
        <f t="shared" si="12"/>
        <v>-70.271070268368746</v>
      </c>
      <c r="L22" s="51">
        <f t="shared" si="13"/>
        <v>-57.040811200831875</v>
      </c>
      <c r="M22" s="51">
        <f t="shared" si="14"/>
        <v>-83.501329335905638</v>
      </c>
      <c r="N22" s="51">
        <f t="shared" si="15"/>
        <v>0.9018589158242446</v>
      </c>
      <c r="O22" s="51">
        <f t="shared" si="16"/>
        <v>0.7320617709514764</v>
      </c>
      <c r="P22" s="51">
        <f t="shared" si="17"/>
        <v>1.0716560606970131</v>
      </c>
      <c r="Q22" s="51" cm="1">
        <f t="array" ref="Q22">IF(D22=0,0,SUMPRODUCT(IF($AB$3:$AB$212=B22,1,0),IF($AA$3:$AA$212=A22,1,0),$AD$3:$AD$212,$AN$3:$AN$212)/D22)</f>
        <v>3.9669004207573622</v>
      </c>
      <c r="R22" s="51">
        <f t="shared" si="5"/>
        <v>424.26</v>
      </c>
      <c r="S22" s="51">
        <f t="shared" si="6"/>
        <v>1873.9726027397262</v>
      </c>
      <c r="T22" s="51">
        <f t="shared" si="7"/>
        <v>6558.9041095890416</v>
      </c>
      <c r="U22" s="51">
        <f t="shared" si="8"/>
        <v>5247.1232876712329</v>
      </c>
      <c r="V22" s="51">
        <f t="shared" si="9"/>
        <v>7870.6849315068503</v>
      </c>
      <c r="Y22" t="s">
        <v>79</v>
      </c>
      <c r="Z22" t="s">
        <v>78</v>
      </c>
      <c r="AA22" t="s">
        <v>76</v>
      </c>
      <c r="AB22">
        <v>2044</v>
      </c>
      <c r="AC22" s="7">
        <v>1.1520000000000001E-2</v>
      </c>
      <c r="AD22" s="23">
        <f>AC22*1000000000000/Assumptions!$B$17/1000</f>
        <v>96000</v>
      </c>
      <c r="AE22" s="9">
        <f t="shared" si="18"/>
        <v>5.2549999999999999</v>
      </c>
      <c r="AF22">
        <f>IF(LEFT(Z22,4)="Blue",Assumptions!$G$57,0)</f>
        <v>0</v>
      </c>
      <c r="AG22">
        <f>IF(LEFT(Z22,4)="Blue",Assumptions!$G$59,IF(LEFT(Z22,4)="Gree",Assumptions!$G$60,0))</f>
        <v>10.51</v>
      </c>
      <c r="AH22" s="41">
        <f t="shared" si="19"/>
        <v>80.990181196488862</v>
      </c>
      <c r="AI22" s="41">
        <f t="shared" si="20"/>
        <v>61.530362392977736</v>
      </c>
      <c r="AJ22" s="41">
        <f t="shared" si="21"/>
        <v>100.45</v>
      </c>
      <c r="AK22" s="51">
        <f t="shared" si="22"/>
        <v>-70.480181196488871</v>
      </c>
      <c r="AL22" s="51">
        <f t="shared" si="23"/>
        <v>-51.020362392977738</v>
      </c>
      <c r="AM22" s="51">
        <f t="shared" si="24"/>
        <v>-89.94</v>
      </c>
      <c r="AN22">
        <f>IFERROR(INDEX(WaterUseH2[Average Direct Water Consumption (Gal/ kg h2)],MATCH(LEFT(Hydrogen!Y22,3),WaterUseH2[Key],0)),0)</f>
        <v>4.0999999999999996</v>
      </c>
      <c r="AO22" s="13">
        <f t="shared" si="11"/>
        <v>393.59999999999997</v>
      </c>
      <c r="AP22" s="13">
        <f>IF(Y22=$Y$3,AD22*Assumptions!$C$8*1000/1000,0)</f>
        <v>4924800</v>
      </c>
      <c r="AQ22" s="30">
        <f t="shared" si="25"/>
        <v>1873.9726027397262</v>
      </c>
      <c r="AR22" s="30">
        <f>$AQ22*Assumptions!B$76</f>
        <v>6558.9041095890416</v>
      </c>
      <c r="AS22" s="30">
        <f>$AQ22*Assumptions!C$76</f>
        <v>5247.1232876712329</v>
      </c>
      <c r="AT22" s="30">
        <f>$AQ22*Assumptions!D$76</f>
        <v>7870.6849315068503</v>
      </c>
      <c r="BC22" t="s">
        <v>170</v>
      </c>
      <c r="BD22" t="s">
        <v>76</v>
      </c>
      <c r="BE22">
        <v>2044</v>
      </c>
      <c r="BF22" s="23">
        <f t="shared" si="26"/>
        <v>1.2834000000000002E-2</v>
      </c>
      <c r="BG22" s="40">
        <f>BF22*10000000000000/Assumptions!$B$17/1000</f>
        <v>1069500.0000000002</v>
      </c>
      <c r="BH22" s="41" cm="1">
        <f t="array" ref="BH22">SUMPRODUCT(IF($BE$24:$BE$66=$BE22,1,0),$BF$24:$BF$66,BH$24:BH$66)</f>
        <v>80.990181196488862</v>
      </c>
      <c r="BI22" s="41" cm="1">
        <f t="array" ref="BI22">SUMPRODUCT(IF($BE$24:$BE$66=$BE22,1,0),$BF$24:$BF$66,BI$24:BI$66)</f>
        <v>61.530362392977736</v>
      </c>
      <c r="BJ22" s="41" cm="1">
        <f t="array" ref="BJ22">SUMPRODUCT(IF($BE$24:$BE$66=$BE22,1,0),$BF$24:$BF$66,BJ$24:BJ$66)</f>
        <v>100.45</v>
      </c>
    </row>
    <row r="23" spans="1:65" x14ac:dyDescent="0.35">
      <c r="A23" t="s">
        <v>76</v>
      </c>
      <c r="B23">
        <v>2045</v>
      </c>
      <c r="C23" s="52">
        <f t="shared" si="0"/>
        <v>1.2834000000000002E-2</v>
      </c>
      <c r="D23" s="51">
        <f>C23*1000000000000/Assumptions!$B$17/1000</f>
        <v>106950.00000000001</v>
      </c>
      <c r="E23" s="51" cm="1">
        <f t="array" ref="E23">IF(C23=0,0,SUMPRODUCT(IF($AB$3:$AB$212=B23,1,0),IF($AA$3:$AA$212=$A23,1,0),$AC$3:$AC$212,$AE$3:$AE$212)/C23)</f>
        <v>10.719110928120116</v>
      </c>
      <c r="F23" s="51" cm="1">
        <f t="array" ref="F23">IF(C23=0,0,SUMPRODUCT(IF($AB$3:$AB$212=B23,1,0),IF($AA$3:$AA$212=A23,1,0),$AC$3:$AC$212,$AF$3:$AF$212)/C23)</f>
        <v>4.4895511921458615</v>
      </c>
      <c r="G23" s="51" cm="1">
        <f t="array" ref="G23">IF($C23=0,0,SUMPRODUCT(IF($AB$3:$AB$212=$B23,1,0),IF($AA$3:$AA$212=$A23,1,0),$AC$3:$AC$212,AG$3:AG$212)/$C23)</f>
        <v>16.948670664094372</v>
      </c>
      <c r="H23" s="51">
        <f t="shared" si="1"/>
        <v>79.920544054153567</v>
      </c>
      <c r="I23" s="51">
        <f t="shared" si="2"/>
        <v>59.391088108307123</v>
      </c>
      <c r="J23" s="51">
        <f t="shared" si="3"/>
        <v>100.45</v>
      </c>
      <c r="K23" s="51">
        <f t="shared" si="12"/>
        <v>-69.20143312603345</v>
      </c>
      <c r="L23" s="51">
        <f t="shared" si="13"/>
        <v>-54.901536916161263</v>
      </c>
      <c r="M23" s="51">
        <f t="shared" si="14"/>
        <v>-83.501329335905638</v>
      </c>
      <c r="N23" s="51">
        <f t="shared" si="15"/>
        <v>0.88813119273951346</v>
      </c>
      <c r="O23" s="51">
        <f t="shared" si="16"/>
        <v>0.70460632478201368</v>
      </c>
      <c r="P23" s="51">
        <f t="shared" si="17"/>
        <v>1.0716560606970131</v>
      </c>
      <c r="Q23" s="51" cm="1">
        <f t="array" ref="Q23">IF(D23=0,0,SUMPRODUCT(IF($AB$3:$AB$212=B23,1,0),IF($AA$3:$AA$212=A23,1,0),$AD$3:$AD$212,$AN$3:$AN$212)/D23)</f>
        <v>3.9669004207573622</v>
      </c>
      <c r="R23" s="51">
        <f t="shared" si="5"/>
        <v>424.26</v>
      </c>
      <c r="S23" s="51">
        <f t="shared" si="6"/>
        <v>1873.9726027397262</v>
      </c>
      <c r="T23" s="51">
        <f t="shared" si="7"/>
        <v>6558.9041095890416</v>
      </c>
      <c r="U23" s="51">
        <f t="shared" si="8"/>
        <v>5247.1232876712329</v>
      </c>
      <c r="V23" s="51">
        <f t="shared" si="9"/>
        <v>7870.6849315068503</v>
      </c>
      <c r="Y23" t="s">
        <v>79</v>
      </c>
      <c r="Z23" t="s">
        <v>78</v>
      </c>
      <c r="AA23" t="s">
        <v>76</v>
      </c>
      <c r="AB23">
        <v>2045</v>
      </c>
      <c r="AC23" s="7">
        <v>1.1520000000000001E-2</v>
      </c>
      <c r="AD23" s="23">
        <f>AC23*1000000000000/Assumptions!$B$17/1000</f>
        <v>96000</v>
      </c>
      <c r="AE23" s="9">
        <f t="shared" si="18"/>
        <v>5.2549999999999999</v>
      </c>
      <c r="AF23">
        <f>IF(LEFT(Z23,4)="Blue",Assumptions!$G$57,0)</f>
        <v>0</v>
      </c>
      <c r="AG23">
        <f>IF(LEFT(Z23,4)="Blue",Assumptions!$G$59,IF(LEFT(Z23,4)="Gree",Assumptions!$G$60,0))</f>
        <v>10.51</v>
      </c>
      <c r="AH23" s="41">
        <f t="shared" si="19"/>
        <v>79.920544054153567</v>
      </c>
      <c r="AI23" s="41">
        <f t="shared" si="20"/>
        <v>59.391088108307123</v>
      </c>
      <c r="AJ23" s="41">
        <f t="shared" si="21"/>
        <v>100.45</v>
      </c>
      <c r="AK23" s="51">
        <f t="shared" si="22"/>
        <v>-69.410544054153561</v>
      </c>
      <c r="AL23" s="51">
        <f t="shared" si="23"/>
        <v>-48.881088108307125</v>
      </c>
      <c r="AM23" s="51">
        <f t="shared" si="24"/>
        <v>-89.94</v>
      </c>
      <c r="AN23">
        <f>IFERROR(INDEX(WaterUseH2[Average Direct Water Consumption (Gal/ kg h2)],MATCH(LEFT(Hydrogen!Y23,3),WaterUseH2[Key],0)),0)</f>
        <v>4.0999999999999996</v>
      </c>
      <c r="AO23" s="13">
        <f t="shared" si="11"/>
        <v>393.59999999999997</v>
      </c>
      <c r="AP23" s="13">
        <f>IF(Y23=$Y$3,AD23*Assumptions!$C$8*1000/1000,0)</f>
        <v>4924800</v>
      </c>
      <c r="AQ23" s="30">
        <f t="shared" si="25"/>
        <v>1873.9726027397262</v>
      </c>
      <c r="AR23" s="30">
        <f>$AQ23*Assumptions!B$76</f>
        <v>6558.9041095890416</v>
      </c>
      <c r="AS23" s="30">
        <f>$AQ23*Assumptions!C$76</f>
        <v>5247.1232876712329</v>
      </c>
      <c r="AT23" s="30">
        <f>$AQ23*Assumptions!D$76</f>
        <v>7870.6849315068503</v>
      </c>
      <c r="BC23" t="s">
        <v>170</v>
      </c>
      <c r="BD23" t="s">
        <v>76</v>
      </c>
      <c r="BE23">
        <v>2045</v>
      </c>
      <c r="BF23" s="23">
        <f t="shared" si="26"/>
        <v>1.2834000000000002E-2</v>
      </c>
      <c r="BG23" s="40">
        <f>BF23*10000000000000/Assumptions!$B$17/1000</f>
        <v>1069500.0000000002</v>
      </c>
      <c r="BH23" s="41" cm="1">
        <f t="array" ref="BH23">SUMPRODUCT(IF($BE$24:$BE$66=$BE23,1,0),$BF$24:$BF$66,BH$24:BH$66)</f>
        <v>79.920544054153567</v>
      </c>
      <c r="BI23" s="41" cm="1">
        <f t="array" ref="BI23">SUMPRODUCT(IF($BE$24:$BE$66=$BE23,1,0),$BF$24:$BF$66,BI$24:BI$66)</f>
        <v>59.391088108307123</v>
      </c>
      <c r="BJ23" s="41" cm="1">
        <f t="array" ref="BJ23">SUMPRODUCT(IF($BE$24:$BE$66=$BE23,1,0),$BF$24:$BF$66,BJ$24:BJ$66)</f>
        <v>100.45</v>
      </c>
    </row>
    <row r="24" spans="1:65" x14ac:dyDescent="0.35">
      <c r="A24" t="s">
        <v>107</v>
      </c>
      <c r="B24">
        <v>2025</v>
      </c>
      <c r="C24" s="51">
        <f t="shared" si="0"/>
        <v>0</v>
      </c>
      <c r="D24" s="51">
        <f>C24*1000000000000/Assumptions!$B$17/1000</f>
        <v>0</v>
      </c>
      <c r="E24" s="51" cm="1">
        <f t="array" ref="E24">IF(C24=0,0,SUMPRODUCT(IF($AB$3:$AB$212=B24,1,0),IF($AA$3:$AA$212=$A24,1,0),$AC$3:$AC$212,$AE$3:$AE$212)/C24)</f>
        <v>0</v>
      </c>
      <c r="F24" s="51" cm="1">
        <f t="array" ref="F24">IF(C24=0,0,SUMPRODUCT(IF($AB$3:$AB$212=B24,1,0),IF($AA$3:$AA$212=A24,1,0),$AC$3:$AC$212,$AF$3:$AF$212)/C24)</f>
        <v>0</v>
      </c>
      <c r="G24" s="51" cm="1">
        <f t="array" ref="G24">IF($C24=0,0,SUMPRODUCT(IF($AB$3:$AB$212=$B24,1,0),IF($AA$3:$AA$212=$A24,1,0),$AC$3:$AC$212,AG$3:AG$212)/$C24)</f>
        <v>0</v>
      </c>
      <c r="H24" s="51">
        <f t="shared" si="1"/>
        <v>67.657476215293514</v>
      </c>
      <c r="I24" s="51">
        <f t="shared" si="2"/>
        <v>66.914952430587007</v>
      </c>
      <c r="J24" s="51">
        <f t="shared" si="3"/>
        <v>68.400000000000006</v>
      </c>
      <c r="K24" s="51">
        <f t="shared" si="12"/>
        <v>0</v>
      </c>
      <c r="L24" s="51">
        <f t="shared" si="13"/>
        <v>0</v>
      </c>
      <c r="M24" s="51">
        <f t="shared" si="14"/>
        <v>0</v>
      </c>
      <c r="N24" s="51">
        <f t="shared" si="15"/>
        <v>0</v>
      </c>
      <c r="O24" s="51">
        <f t="shared" si="16"/>
        <v>0</v>
      </c>
      <c r="P24" s="51">
        <f t="shared" si="17"/>
        <v>0</v>
      </c>
      <c r="Q24" s="51" cm="1">
        <f t="array" ref="Q24">IF(D24=0,0,SUMPRODUCT(IF($AB$3:$AB$212=B24,1,0),IF($AA$3:$AA$212=A24,1,0),$AD$3:$AD$212,$AN$3:$AN$212)/D24)</f>
        <v>0</v>
      </c>
      <c r="R24" s="51">
        <f t="shared" si="5"/>
        <v>0</v>
      </c>
      <c r="S24" s="51">
        <f t="shared" si="6"/>
        <v>0</v>
      </c>
      <c r="T24" s="51">
        <f t="shared" si="7"/>
        <v>0</v>
      </c>
      <c r="U24" s="51">
        <f t="shared" si="8"/>
        <v>0</v>
      </c>
      <c r="V24" s="51">
        <f t="shared" si="9"/>
        <v>0</v>
      </c>
      <c r="Y24" t="s">
        <v>178</v>
      </c>
      <c r="Z24" s="60" t="s">
        <v>179</v>
      </c>
      <c r="AA24" t="s">
        <v>76</v>
      </c>
      <c r="AB24">
        <v>2025</v>
      </c>
      <c r="AC24">
        <v>0</v>
      </c>
      <c r="AD24" s="23">
        <f>AC24*1000000000000/Assumptions!$B$17/1000</f>
        <v>0</v>
      </c>
      <c r="AE24" s="9">
        <f t="shared" si="18"/>
        <v>5.2549999999999999</v>
      </c>
      <c r="AF24">
        <f>IF(LEFT(Z24,4)="Blue",Assumptions!$G$57,0)</f>
        <v>0</v>
      </c>
      <c r="AG24">
        <f>IF(LEFT(Z24,4)="Blue",Assumptions!$G$59,IF(LEFT(Z24,4)="Gree",Assumptions!$G$60,0))</f>
        <v>10.51</v>
      </c>
      <c r="AH24" s="6">
        <f>AH3</f>
        <v>99.359553682832001</v>
      </c>
      <c r="AI24" s="6">
        <f t="shared" ref="AI24:AJ24" si="27">AI3</f>
        <v>98.269107365663999</v>
      </c>
      <c r="AJ24" s="6">
        <f t="shared" si="27"/>
        <v>100.45</v>
      </c>
      <c r="AK24" s="51">
        <f t="shared" si="22"/>
        <v>-88.849553682831996</v>
      </c>
      <c r="AL24" s="51">
        <f t="shared" si="23"/>
        <v>-87.759107365663994</v>
      </c>
      <c r="AM24" s="51">
        <f t="shared" si="24"/>
        <v>-89.94</v>
      </c>
      <c r="AN24">
        <f>IFERROR(INDEX(WaterUseH2[Average Direct Water Consumption (Gal/ kg h2)],MATCH(LEFT(Hydrogen!Y24,3),WaterUseH2[Key],0)),0)</f>
        <v>2.8</v>
      </c>
      <c r="AO24" s="13">
        <f t="shared" si="11"/>
        <v>0</v>
      </c>
      <c r="AP24" s="13">
        <f>IF(Y24=$Y$3,AD24*Assumptions!$C$8*1000/1000,0)</f>
        <v>0</v>
      </c>
      <c r="AQ24" s="30">
        <f t="shared" si="25"/>
        <v>0</v>
      </c>
      <c r="AR24" s="30">
        <f>$AQ24*Assumptions!B$76</f>
        <v>0</v>
      </c>
      <c r="AS24" s="30">
        <f>$AQ24*Assumptions!C$76</f>
        <v>0</v>
      </c>
      <c r="AT24" s="30">
        <f>$AQ24*Assumptions!D$76</f>
        <v>0</v>
      </c>
      <c r="BC24" t="s">
        <v>180</v>
      </c>
      <c r="BD24" t="s">
        <v>76</v>
      </c>
      <c r="BE24">
        <v>2025</v>
      </c>
      <c r="BF24" s="21">
        <v>1</v>
      </c>
      <c r="BG24" t="s">
        <v>181</v>
      </c>
      <c r="BH24" s="7">
        <f>AVERAGE(BI24:BJ24)</f>
        <v>99.359553682832001</v>
      </c>
      <c r="BI24" s="7">
        <f t="shared" ref="BI24:BI44" si="28">BL24*BH46+BJ24*(1-BL24)</f>
        <v>98.269107365663999</v>
      </c>
      <c r="BJ24" s="20">
        <v>100.45</v>
      </c>
      <c r="BK24" t="s">
        <v>182</v>
      </c>
      <c r="BL24" s="21">
        <v>2.1711234474976884E-2</v>
      </c>
      <c r="BM24" t="s">
        <v>183</v>
      </c>
    </row>
    <row r="25" spans="1:65" x14ac:dyDescent="0.35">
      <c r="A25" t="s">
        <v>107</v>
      </c>
      <c r="B25">
        <v>2026</v>
      </c>
      <c r="C25" s="51">
        <f t="shared" si="0"/>
        <v>1.3140000000000001E-3</v>
      </c>
      <c r="D25" s="51">
        <f>C25*1000000000000/Assumptions!$B$17/1000</f>
        <v>10950</v>
      </c>
      <c r="E25" s="51" cm="1">
        <f t="array" ref="E25">IF(C25=0,0,SUMPRODUCT(IF($AB$3:$AB$212=B25,1,0),IF($AA$3:$AA$212=$A25,1,0),$AC$3:$AC$212,$AE$3:$AE$212)/C25)</f>
        <v>58.623645092460883</v>
      </c>
      <c r="F25" s="51" cm="1">
        <f t="array" ref="F25">IF(C25=0,0,SUMPRODUCT(IF($AB$3:$AB$212=B25,1,0),IF($AA$3:$AA$212=A25,1,0),$AC$3:$AC$212,$AF$3:$AF$212)/C25)</f>
        <v>43.849999999999994</v>
      </c>
      <c r="G25" s="51" cm="1">
        <f t="array" ref="G25">IF($C25=0,0,SUMPRODUCT(IF($AB$3:$AB$212=$B25,1,0),IF($AA$3:$AA$212=$A25,1,0),$AC$3:$AC$212,AG$3:AG$212)/$C25)</f>
        <v>73.397290184921758</v>
      </c>
      <c r="H25" s="51">
        <f t="shared" si="1"/>
        <v>67.413179483025914</v>
      </c>
      <c r="I25" s="51">
        <f t="shared" si="2"/>
        <v>66.426358966051836</v>
      </c>
      <c r="J25" s="51">
        <f t="shared" si="3"/>
        <v>68.400000000000006</v>
      </c>
      <c r="K25" s="51">
        <f t="shared" si="12"/>
        <v>-8.7895343905650307</v>
      </c>
      <c r="L25" s="51">
        <f t="shared" si="13"/>
        <v>-22.576358966051842</v>
      </c>
      <c r="M25" s="51">
        <f t="shared" si="14"/>
        <v>4.9972901849217521</v>
      </c>
      <c r="N25" s="51">
        <f t="shared" si="15"/>
        <v>1.1549448189202451E-2</v>
      </c>
      <c r="O25" s="51">
        <f t="shared" si="16"/>
        <v>2.9665335681392121E-2</v>
      </c>
      <c r="P25" s="51">
        <f t="shared" si="17"/>
        <v>0</v>
      </c>
      <c r="Q25" s="51" cm="1">
        <f t="array" ref="Q25">IF(D25=0,0,SUMPRODUCT(IF($AB$3:$AB$212=B25,1,0),IF($AA$3:$AA$212=A25,1,0),$AD$3:$AD$212,$AN$3:$AN$212)/D25)</f>
        <v>2.8</v>
      </c>
      <c r="R25" s="51">
        <f t="shared" si="5"/>
        <v>30.659999999999997</v>
      </c>
      <c r="S25" s="51">
        <f t="shared" si="6"/>
        <v>0</v>
      </c>
      <c r="T25" s="51">
        <f t="shared" si="7"/>
        <v>0</v>
      </c>
      <c r="U25" s="51">
        <f t="shared" si="8"/>
        <v>0</v>
      </c>
      <c r="V25" s="51">
        <f t="shared" si="9"/>
        <v>0</v>
      </c>
      <c r="Y25" t="s">
        <v>178</v>
      </c>
      <c r="Z25" s="60" t="s">
        <v>179</v>
      </c>
      <c r="AA25" t="s">
        <v>76</v>
      </c>
      <c r="AB25">
        <v>2026</v>
      </c>
      <c r="AC25">
        <v>0</v>
      </c>
      <c r="AD25" s="23">
        <f>AC25*1000000000000/Assumptions!$B$17/1000</f>
        <v>0</v>
      </c>
      <c r="AE25" s="9">
        <f t="shared" si="18"/>
        <v>5.2549999999999999</v>
      </c>
      <c r="AF25">
        <f>IF(LEFT(Z25,4)="Blue",Assumptions!$G$57,0)</f>
        <v>0</v>
      </c>
      <c r="AG25">
        <f>IF(LEFT(Z25,4)="Blue",Assumptions!$G$59,IF(LEFT(Z25,4)="Gree",Assumptions!$G$60,0))</f>
        <v>10.51</v>
      </c>
      <c r="AH25" s="6">
        <f t="shared" ref="AH25:AJ25" si="29">AH4</f>
        <v>99.000787443158117</v>
      </c>
      <c r="AI25" s="6">
        <f t="shared" si="29"/>
        <v>97.551574886316232</v>
      </c>
      <c r="AJ25" s="6">
        <f t="shared" si="29"/>
        <v>100.45</v>
      </c>
      <c r="AK25" s="51">
        <f t="shared" si="22"/>
        <v>-88.490787443158112</v>
      </c>
      <c r="AL25" s="51">
        <f t="shared" si="23"/>
        <v>-87.041574886316226</v>
      </c>
      <c r="AM25" s="51">
        <f t="shared" si="24"/>
        <v>-89.94</v>
      </c>
      <c r="AN25">
        <f>IFERROR(INDEX(WaterUseH2[Average Direct Water Consumption (Gal/ kg h2)],MATCH(LEFT(Hydrogen!Y25,3),WaterUseH2[Key],0)),0)</f>
        <v>2.8</v>
      </c>
      <c r="AO25" s="13">
        <f t="shared" si="11"/>
        <v>0</v>
      </c>
      <c r="AP25" s="13">
        <f>IF(Y25=$Y$3,AD25*Assumptions!$C$8*1000/1000,0)</f>
        <v>0</v>
      </c>
      <c r="AQ25" s="30">
        <f t="shared" si="25"/>
        <v>0</v>
      </c>
      <c r="AR25" s="30">
        <f>$AQ25*Assumptions!B$76</f>
        <v>0</v>
      </c>
      <c r="AS25" s="30">
        <f>$AQ25*Assumptions!C$76</f>
        <v>0</v>
      </c>
      <c r="AT25" s="30">
        <f>$AQ25*Assumptions!D$76</f>
        <v>0</v>
      </c>
      <c r="BC25" t="s">
        <v>180</v>
      </c>
      <c r="BD25" t="s">
        <v>76</v>
      </c>
      <c r="BE25">
        <v>2026</v>
      </c>
      <c r="BF25" s="21">
        <v>1</v>
      </c>
      <c r="BG25" t="s">
        <v>181</v>
      </c>
      <c r="BH25" s="7">
        <f t="shared" ref="BH25:BH44" si="30">AVERAGE(BI25:BJ25)</f>
        <v>99.000787443158117</v>
      </c>
      <c r="BI25" s="7">
        <f t="shared" si="28"/>
        <v>97.551574886316232</v>
      </c>
      <c r="BJ25" s="20">
        <v>100.45</v>
      </c>
      <c r="BK25" t="s">
        <v>184</v>
      </c>
      <c r="BL25" s="21">
        <v>2.8854417464449684E-2</v>
      </c>
      <c r="BM25" t="s">
        <v>183</v>
      </c>
    </row>
    <row r="26" spans="1:65" x14ac:dyDescent="0.35">
      <c r="A26" t="s">
        <v>107</v>
      </c>
      <c r="B26">
        <v>2027</v>
      </c>
      <c r="C26" s="51">
        <f t="shared" si="0"/>
        <v>1.3140000000000001E-3</v>
      </c>
      <c r="D26" s="51">
        <f>C26*1000000000000/Assumptions!$B$17/1000</f>
        <v>10950</v>
      </c>
      <c r="E26" s="51" cm="1">
        <f t="array" ref="E26">IF(C26=0,0,SUMPRODUCT(IF($AB$3:$AB$212=B26,1,0),IF($AA$3:$AA$212=$A26,1,0),$AC$3:$AC$212,$AE$3:$AE$212)/C26)</f>
        <v>58.623645092460883</v>
      </c>
      <c r="F26" s="51" cm="1">
        <f t="array" ref="F26">IF(C26=0,0,SUMPRODUCT(IF($AB$3:$AB$212=B26,1,0),IF($AA$3:$AA$212=A26,1,0),$AC$3:$AC$212,$AF$3:$AF$212)/C26)</f>
        <v>43.849999999999994</v>
      </c>
      <c r="G26" s="51" cm="1">
        <f t="array" ref="G26">IF($C26=0,0,SUMPRODUCT(IF($AB$3:$AB$212=$B26,1,0),IF($AA$3:$AA$212=$A26,1,0),$AC$3:$AC$212,AG$3:AG$212)/$C26)</f>
        <v>73.397290184921758</v>
      </c>
      <c r="H26" s="51">
        <f t="shared" si="1"/>
        <v>67.114690971668779</v>
      </c>
      <c r="I26" s="51">
        <f t="shared" si="2"/>
        <v>65.829381943337552</v>
      </c>
      <c r="J26" s="51">
        <f t="shared" si="3"/>
        <v>68.400000000000006</v>
      </c>
      <c r="K26" s="51">
        <f t="shared" si="12"/>
        <v>-8.4910458792078956</v>
      </c>
      <c r="L26" s="51">
        <f t="shared" si="13"/>
        <v>-21.979381943337557</v>
      </c>
      <c r="M26" s="51">
        <f t="shared" si="14"/>
        <v>4.9972901849217521</v>
      </c>
      <c r="N26" s="51">
        <f t="shared" si="15"/>
        <v>1.1157234285279176E-2</v>
      </c>
      <c r="O26" s="51">
        <f t="shared" si="16"/>
        <v>2.8880907873545553E-2</v>
      </c>
      <c r="P26" s="51">
        <f t="shared" si="17"/>
        <v>0</v>
      </c>
      <c r="Q26" s="51" cm="1">
        <f t="array" ref="Q26">IF(D26=0,0,SUMPRODUCT(IF($AB$3:$AB$212=B26,1,0),IF($AA$3:$AA$212=A26,1,0),$AD$3:$AD$212,$AN$3:$AN$212)/D26)</f>
        <v>2.8</v>
      </c>
      <c r="R26" s="51">
        <f t="shared" si="5"/>
        <v>30.659999999999997</v>
      </c>
      <c r="S26" s="51">
        <f t="shared" si="6"/>
        <v>0</v>
      </c>
      <c r="T26" s="51">
        <f t="shared" si="7"/>
        <v>0</v>
      </c>
      <c r="U26" s="51">
        <f t="shared" si="8"/>
        <v>0</v>
      </c>
      <c r="V26" s="51">
        <f t="shared" si="9"/>
        <v>0</v>
      </c>
      <c r="Y26" t="s">
        <v>178</v>
      </c>
      <c r="Z26" s="60" t="s">
        <v>179</v>
      </c>
      <c r="AA26" t="s">
        <v>76</v>
      </c>
      <c r="AB26">
        <v>2027</v>
      </c>
      <c r="AC26">
        <v>0</v>
      </c>
      <c r="AD26" s="23">
        <f>AC26*1000000000000/Assumptions!$B$17/1000</f>
        <v>0</v>
      </c>
      <c r="AE26" s="9">
        <f t="shared" si="18"/>
        <v>5.2549999999999999</v>
      </c>
      <c r="AF26">
        <f>IF(LEFT(Z26,4)="Blue",Assumptions!$G$57,0)</f>
        <v>0</v>
      </c>
      <c r="AG26">
        <f>IF(LEFT(Z26,4)="Blue",Assumptions!$G$59,IF(LEFT(Z26,4)="Gree",Assumptions!$G$60,0))</f>
        <v>10.51</v>
      </c>
      <c r="AH26" s="6">
        <f t="shared" ref="AH26:AJ26" si="31">AH5</f>
        <v>98.562436921360089</v>
      </c>
      <c r="AI26" s="6">
        <f t="shared" si="31"/>
        <v>96.674873842720174</v>
      </c>
      <c r="AJ26" s="6">
        <f t="shared" si="31"/>
        <v>100.45</v>
      </c>
      <c r="AK26" s="51">
        <f t="shared" si="22"/>
        <v>-88.052436921360083</v>
      </c>
      <c r="AL26" s="51">
        <f t="shared" si="23"/>
        <v>-86.164873842720169</v>
      </c>
      <c r="AM26" s="51">
        <f t="shared" si="24"/>
        <v>-89.94</v>
      </c>
      <c r="AN26">
        <f>IFERROR(INDEX(WaterUseH2[Average Direct Water Consumption (Gal/ kg h2)],MATCH(LEFT(Hydrogen!Y26,3),WaterUseH2[Key],0)),0)</f>
        <v>2.8</v>
      </c>
      <c r="AO26" s="13">
        <f t="shared" si="11"/>
        <v>0</v>
      </c>
      <c r="AP26" s="13">
        <f>IF(Y26=$Y$3,AD26*Assumptions!$C$8*1000/1000,0)</f>
        <v>0</v>
      </c>
      <c r="AQ26" s="30">
        <f t="shared" si="25"/>
        <v>0</v>
      </c>
      <c r="AR26" s="30">
        <f>$AQ26*Assumptions!B$76</f>
        <v>0</v>
      </c>
      <c r="AS26" s="30">
        <f>$AQ26*Assumptions!C$76</f>
        <v>0</v>
      </c>
      <c r="AT26" s="30">
        <f>$AQ26*Assumptions!D$76</f>
        <v>0</v>
      </c>
      <c r="BC26" t="s">
        <v>180</v>
      </c>
      <c r="BD26" t="s">
        <v>76</v>
      </c>
      <c r="BE26">
        <v>2027</v>
      </c>
      <c r="BF26" s="21">
        <v>1</v>
      </c>
      <c r="BG26" t="s">
        <v>181</v>
      </c>
      <c r="BH26" s="7">
        <f t="shared" si="30"/>
        <v>98.562436921360089</v>
      </c>
      <c r="BI26" s="7">
        <f t="shared" si="28"/>
        <v>96.674873842720174</v>
      </c>
      <c r="BJ26" s="20">
        <v>100.45</v>
      </c>
      <c r="BK26" t="s">
        <v>184</v>
      </c>
      <c r="BL26" s="21">
        <v>3.7582156025503077E-2</v>
      </c>
      <c r="BM26" t="s">
        <v>183</v>
      </c>
    </row>
    <row r="27" spans="1:65" x14ac:dyDescent="0.35">
      <c r="A27" t="s">
        <v>107</v>
      </c>
      <c r="B27">
        <v>2028</v>
      </c>
      <c r="C27" s="51">
        <f t="shared" si="0"/>
        <v>1.3140000000000001E-3</v>
      </c>
      <c r="D27" s="51">
        <f>C27*1000000000000/Assumptions!$B$17/1000</f>
        <v>10950</v>
      </c>
      <c r="E27" s="51" cm="1">
        <f t="array" ref="E27">IF(C27=0,0,SUMPRODUCT(IF($AB$3:$AB$212=B27,1,0),IF($AA$3:$AA$212=$A27,1,0),$AC$3:$AC$212,$AE$3:$AE$212)/C27)</f>
        <v>58.623645092460883</v>
      </c>
      <c r="F27" s="51" cm="1">
        <f t="array" ref="F27">IF(C27=0,0,SUMPRODUCT(IF($AB$3:$AB$212=B27,1,0),IF($AA$3:$AA$212=A27,1,0),$AC$3:$AC$212,$AF$3:$AF$212)/C27)</f>
        <v>43.849999999999994</v>
      </c>
      <c r="G27" s="51" cm="1">
        <f t="array" ref="G27">IF($C27=0,0,SUMPRODUCT(IF($AB$3:$AB$212=$B27,1,0),IF($AA$3:$AA$212=$A27,1,0),$AC$3:$AC$212,AG$3:AG$212)/$C27)</f>
        <v>73.397290184921758</v>
      </c>
      <c r="H27" s="51">
        <f t="shared" si="1"/>
        <v>66.792225142241932</v>
      </c>
      <c r="I27" s="51">
        <f t="shared" si="2"/>
        <v>65.184450284483844</v>
      </c>
      <c r="J27" s="51">
        <f t="shared" si="3"/>
        <v>68.400000000000006</v>
      </c>
      <c r="K27" s="51">
        <f t="shared" si="12"/>
        <v>-8.168580049781049</v>
      </c>
      <c r="L27" s="51">
        <f t="shared" si="13"/>
        <v>-21.33445028448385</v>
      </c>
      <c r="M27" s="51">
        <f t="shared" si="14"/>
        <v>4.9972901849217521</v>
      </c>
      <c r="N27" s="51">
        <f t="shared" si="15"/>
        <v>1.07335141854123E-2</v>
      </c>
      <c r="O27" s="51">
        <f t="shared" si="16"/>
        <v>2.803346767381178E-2</v>
      </c>
      <c r="P27" s="51">
        <f t="shared" si="17"/>
        <v>0</v>
      </c>
      <c r="Q27" s="51" cm="1">
        <f t="array" ref="Q27">IF(D27=0,0,SUMPRODUCT(IF($AB$3:$AB$212=B27,1,0),IF($AA$3:$AA$212=A27,1,0),$AD$3:$AD$212,$AN$3:$AN$212)/D27)</f>
        <v>2.8</v>
      </c>
      <c r="R27" s="51">
        <f t="shared" si="5"/>
        <v>30.659999999999997</v>
      </c>
      <c r="S27" s="51">
        <f t="shared" si="6"/>
        <v>0</v>
      </c>
      <c r="T27" s="51">
        <f t="shared" si="7"/>
        <v>0</v>
      </c>
      <c r="U27" s="51">
        <f t="shared" si="8"/>
        <v>0</v>
      </c>
      <c r="V27" s="51">
        <f t="shared" si="9"/>
        <v>0</v>
      </c>
      <c r="Y27" t="s">
        <v>178</v>
      </c>
      <c r="Z27" s="60" t="s">
        <v>179</v>
      </c>
      <c r="AA27" t="s">
        <v>76</v>
      </c>
      <c r="AB27">
        <v>2028</v>
      </c>
      <c r="AC27">
        <v>0</v>
      </c>
      <c r="AD27" s="23">
        <f>AC27*1000000000000/Assumptions!$B$17/1000</f>
        <v>0</v>
      </c>
      <c r="AE27" s="9">
        <f t="shared" si="18"/>
        <v>5.2549999999999999</v>
      </c>
      <c r="AF27">
        <f>IF(LEFT(Z27,4)="Blue",Assumptions!$G$57,0)</f>
        <v>0</v>
      </c>
      <c r="AG27">
        <f>IF(LEFT(Z27,4)="Blue",Assumptions!$G$59,IF(LEFT(Z27,4)="Gree",Assumptions!$G$60,0))</f>
        <v>10.51</v>
      </c>
      <c r="AH27" s="6">
        <f t="shared" ref="AH27:AJ27" si="32">AH6</f>
        <v>98.088874094271858</v>
      </c>
      <c r="AI27" s="6">
        <f t="shared" si="32"/>
        <v>95.7277481885437</v>
      </c>
      <c r="AJ27" s="6">
        <f t="shared" si="32"/>
        <v>100.45</v>
      </c>
      <c r="AK27" s="51">
        <f t="shared" si="22"/>
        <v>-87.578874094271839</v>
      </c>
      <c r="AL27" s="51">
        <f t="shared" si="23"/>
        <v>-85.217748188543695</v>
      </c>
      <c r="AM27" s="51">
        <f t="shared" si="24"/>
        <v>-89.94</v>
      </c>
      <c r="AN27">
        <f>IFERROR(INDEX(WaterUseH2[Average Direct Water Consumption (Gal/ kg h2)],MATCH(LEFT(Hydrogen!Y27,3),WaterUseH2[Key],0)),0)</f>
        <v>2.8</v>
      </c>
      <c r="AO27" s="13">
        <f t="shared" si="11"/>
        <v>0</v>
      </c>
      <c r="AP27" s="13">
        <f>IF(Y27=$Y$3,AD27*Assumptions!$C$8*1000/1000,0)</f>
        <v>0</v>
      </c>
      <c r="AQ27" s="30">
        <f t="shared" si="25"/>
        <v>0</v>
      </c>
      <c r="AR27" s="30">
        <f>$AQ27*Assumptions!B$76</f>
        <v>0</v>
      </c>
      <c r="AS27" s="30">
        <f>$AQ27*Assumptions!C$76</f>
        <v>0</v>
      </c>
      <c r="AT27" s="30">
        <f>$AQ27*Assumptions!D$76</f>
        <v>0</v>
      </c>
      <c r="BC27" t="s">
        <v>180</v>
      </c>
      <c r="BD27" t="s">
        <v>76</v>
      </c>
      <c r="BE27">
        <v>2028</v>
      </c>
      <c r="BF27" s="21">
        <v>1</v>
      </c>
      <c r="BG27" t="s">
        <v>181</v>
      </c>
      <c r="BH27" s="7">
        <f t="shared" si="30"/>
        <v>98.088874094271858</v>
      </c>
      <c r="BI27" s="7">
        <f t="shared" si="28"/>
        <v>95.7277481885437</v>
      </c>
      <c r="BJ27" s="20">
        <v>100.45</v>
      </c>
      <c r="BK27" t="s">
        <v>184</v>
      </c>
      <c r="BL27" s="21">
        <v>4.7010985832765827E-2</v>
      </c>
      <c r="BM27" t="s">
        <v>183</v>
      </c>
    </row>
    <row r="28" spans="1:65" x14ac:dyDescent="0.35">
      <c r="A28" t="s">
        <v>107</v>
      </c>
      <c r="B28">
        <v>2029</v>
      </c>
      <c r="C28" s="51">
        <f t="shared" si="0"/>
        <v>1.3140000000000001E-3</v>
      </c>
      <c r="D28" s="51">
        <f>C28*1000000000000/Assumptions!$B$17/1000</f>
        <v>10950</v>
      </c>
      <c r="E28" s="51" cm="1">
        <f t="array" ref="E28">IF(C28=0,0,SUMPRODUCT(IF($AB$3:$AB$212=B28,1,0),IF($AA$3:$AA$212=$A28,1,0),$AC$3:$AC$212,$AE$3:$AE$212)/C28)</f>
        <v>58.623645092460883</v>
      </c>
      <c r="F28" s="51" cm="1">
        <f t="array" ref="F28">IF(C28=0,0,SUMPRODUCT(IF($AB$3:$AB$212=B28,1,0),IF($AA$3:$AA$212=A28,1,0),$AC$3:$AC$212,$AF$3:$AF$212)/C28)</f>
        <v>43.849999999999994</v>
      </c>
      <c r="G28" s="51" cm="1">
        <f t="array" ref="G28">IF($C28=0,0,SUMPRODUCT(IF($AB$3:$AB$212=$B28,1,0),IF($AA$3:$AA$212=$A28,1,0),$AC$3:$AC$212,AG$3:AG$212)/$C28)</f>
        <v>73.397290184921758</v>
      </c>
      <c r="H28" s="51">
        <f t="shared" si="1"/>
        <v>66.421791893405015</v>
      </c>
      <c r="I28" s="51">
        <f t="shared" si="2"/>
        <v>64.443583786810024</v>
      </c>
      <c r="J28" s="51">
        <f t="shared" si="3"/>
        <v>68.400000000000006</v>
      </c>
      <c r="K28" s="51">
        <f t="shared" si="12"/>
        <v>-7.7981468009441315</v>
      </c>
      <c r="L28" s="51">
        <f t="shared" si="13"/>
        <v>-20.593583786810029</v>
      </c>
      <c r="M28" s="51">
        <f t="shared" si="14"/>
        <v>4.9972901849217521</v>
      </c>
      <c r="N28" s="51">
        <f t="shared" si="15"/>
        <v>1.0246764896440589E-2</v>
      </c>
      <c r="O28" s="51">
        <f t="shared" si="16"/>
        <v>2.7059969095868379E-2</v>
      </c>
      <c r="P28" s="51">
        <f t="shared" si="17"/>
        <v>0</v>
      </c>
      <c r="Q28" s="51" cm="1">
        <f t="array" ref="Q28">IF(D28=0,0,SUMPRODUCT(IF($AB$3:$AB$212=B28,1,0),IF($AA$3:$AA$212=A28,1,0),$AD$3:$AD$212,$AN$3:$AN$212)/D28)</f>
        <v>2.8</v>
      </c>
      <c r="R28" s="51">
        <f t="shared" si="5"/>
        <v>30.659999999999997</v>
      </c>
      <c r="S28" s="51">
        <f t="shared" si="6"/>
        <v>0</v>
      </c>
      <c r="T28" s="51">
        <f t="shared" si="7"/>
        <v>0</v>
      </c>
      <c r="U28" s="51">
        <f t="shared" si="8"/>
        <v>0</v>
      </c>
      <c r="V28" s="51">
        <f t="shared" si="9"/>
        <v>0</v>
      </c>
      <c r="Y28" t="s">
        <v>178</v>
      </c>
      <c r="Z28" s="60" t="s">
        <v>179</v>
      </c>
      <c r="AA28" t="s">
        <v>76</v>
      </c>
      <c r="AB28">
        <v>2029</v>
      </c>
      <c r="AC28">
        <v>0</v>
      </c>
      <c r="AD28" s="23">
        <f>AC28*1000000000000/Assumptions!$B$17/1000</f>
        <v>0</v>
      </c>
      <c r="AE28" s="9">
        <f t="shared" si="18"/>
        <v>5.2549999999999999</v>
      </c>
      <c r="AF28">
        <f>IF(LEFT(Z28,4)="Blue",Assumptions!$G$57,0)</f>
        <v>0</v>
      </c>
      <c r="AG28">
        <f>IF(LEFT(Z28,4)="Blue",Assumptions!$G$59,IF(LEFT(Z28,4)="Gree",Assumptions!$G$60,0))</f>
        <v>10.51</v>
      </c>
      <c r="AH28" s="6">
        <f t="shared" ref="AH28:AJ28" si="33">AH7</f>
        <v>97.544867879479852</v>
      </c>
      <c r="AI28" s="6">
        <f t="shared" si="33"/>
        <v>94.639735758959688</v>
      </c>
      <c r="AJ28" s="6">
        <f t="shared" si="33"/>
        <v>100.45</v>
      </c>
      <c r="AK28" s="51">
        <f t="shared" si="22"/>
        <v>-87.034867879479833</v>
      </c>
      <c r="AL28" s="51">
        <f t="shared" si="23"/>
        <v>-84.129735758959683</v>
      </c>
      <c r="AM28" s="51">
        <f t="shared" si="24"/>
        <v>-89.94</v>
      </c>
      <c r="AN28">
        <f>IFERROR(INDEX(WaterUseH2[Average Direct Water Consumption (Gal/ kg h2)],MATCH(LEFT(Hydrogen!Y28,3),WaterUseH2[Key],0)),0)</f>
        <v>2.8</v>
      </c>
      <c r="AO28" s="13">
        <f t="shared" si="11"/>
        <v>0</v>
      </c>
      <c r="AP28" s="13">
        <f>IF(Y28=$Y$3,AD28*Assumptions!$C$8*1000/1000,0)</f>
        <v>0</v>
      </c>
      <c r="AQ28" s="30">
        <f t="shared" si="25"/>
        <v>0</v>
      </c>
      <c r="AR28" s="30">
        <f>$AQ28*Assumptions!B$76</f>
        <v>0</v>
      </c>
      <c r="AS28" s="30">
        <f>$AQ28*Assumptions!C$76</f>
        <v>0</v>
      </c>
      <c r="AT28" s="30">
        <f>$AQ28*Assumptions!D$76</f>
        <v>0</v>
      </c>
      <c r="BC28" t="s">
        <v>180</v>
      </c>
      <c r="BD28" t="s">
        <v>76</v>
      </c>
      <c r="BE28">
        <v>2029</v>
      </c>
      <c r="BF28" s="21">
        <v>1</v>
      </c>
      <c r="BG28" t="s">
        <v>181</v>
      </c>
      <c r="BH28" s="7">
        <f t="shared" si="30"/>
        <v>97.544867879479852</v>
      </c>
      <c r="BI28" s="7">
        <f t="shared" si="28"/>
        <v>94.639735758959688</v>
      </c>
      <c r="BJ28" s="20">
        <v>100.45</v>
      </c>
      <c r="BK28" t="s">
        <v>184</v>
      </c>
      <c r="BL28" s="21">
        <v>5.7842372163816547E-2</v>
      </c>
      <c r="BM28" t="s">
        <v>183</v>
      </c>
    </row>
    <row r="29" spans="1:65" x14ac:dyDescent="0.35">
      <c r="A29" t="s">
        <v>107</v>
      </c>
      <c r="B29">
        <v>2030</v>
      </c>
      <c r="C29" s="51">
        <f t="shared" si="0"/>
        <v>4.5140000000000007E-3</v>
      </c>
      <c r="D29" s="51">
        <f>C29*1000000000000/Assumptions!$B$17/1000</f>
        <v>37616.666666666672</v>
      </c>
      <c r="E29" s="51" cm="1">
        <f t="array" ref="E29">IF(C29=0,0,SUMPRODUCT(IF($AB$3:$AB$212=B29,1,0),IF($AA$3:$AA$212=$A29,1,0),$AC$3:$AC$212,$AE$3:$AE$212)/C29)</f>
        <v>20.790312284336196</v>
      </c>
      <c r="F29" s="51" cm="1">
        <f t="array" ref="F29">IF(C29=0,0,SUMPRODUCT(IF($AB$3:$AB$212=B29,1,0),IF($AA$3:$AA$212=A29,1,0),$AC$3:$AC$212,$AF$3:$AF$212)/C29)</f>
        <v>12.76448825875055</v>
      </c>
      <c r="G29" s="51" cm="1">
        <f t="array" ref="G29">IF($C29=0,0,SUMPRODUCT(IF($AB$3:$AB$212=$B29,1,0),IF($AA$3:$AA$212=$A29,1,0),$AC$3:$AC$212,AG$3:AG$212)/$C29)</f>
        <v>28.816136309921838</v>
      </c>
      <c r="H29" s="51">
        <f t="shared" si="1"/>
        <v>65.999439121695474</v>
      </c>
      <c r="I29" s="51">
        <f t="shared" si="2"/>
        <v>63.598878243390942</v>
      </c>
      <c r="J29" s="51">
        <f t="shared" si="3"/>
        <v>68.400000000000006</v>
      </c>
      <c r="K29" s="51">
        <f t="shared" si="12"/>
        <v>-45.209126837359278</v>
      </c>
      <c r="L29" s="51">
        <f t="shared" si="13"/>
        <v>-50.834389984640396</v>
      </c>
      <c r="M29" s="51">
        <f t="shared" si="14"/>
        <v>-39.583863690078168</v>
      </c>
      <c r="N29" s="51">
        <f t="shared" si="15"/>
        <v>0.20407399854383981</v>
      </c>
      <c r="O29" s="51">
        <f t="shared" si="16"/>
        <v>0.22946643639066677</v>
      </c>
      <c r="P29" s="51">
        <f t="shared" si="17"/>
        <v>0.17868156069701288</v>
      </c>
      <c r="Q29" s="51" cm="1">
        <f t="array" ref="Q29">IF(D29=0,0,SUMPRODUCT(IF($AB$3:$AB$212=B29,1,0),IF($AA$3:$AA$212=A29,1,0),$AD$3:$AD$212,$AN$3:$AN$212)/D29)</f>
        <v>3.7215773150199372</v>
      </c>
      <c r="R29" s="51">
        <f t="shared" si="5"/>
        <v>139.99333333333334</v>
      </c>
      <c r="S29" s="51">
        <f t="shared" si="6"/>
        <v>520.54794520547944</v>
      </c>
      <c r="T29" s="51">
        <f t="shared" si="7"/>
        <v>1821.9178082191779</v>
      </c>
      <c r="U29" s="51">
        <f t="shared" si="8"/>
        <v>1457.5342465753424</v>
      </c>
      <c r="V29" s="51">
        <f t="shared" si="9"/>
        <v>2186.3013698630139</v>
      </c>
      <c r="Y29" t="s">
        <v>178</v>
      </c>
      <c r="Z29" s="60" t="s">
        <v>179</v>
      </c>
      <c r="AA29" t="s">
        <v>76</v>
      </c>
      <c r="AB29">
        <v>2030</v>
      </c>
      <c r="AC29">
        <v>0</v>
      </c>
      <c r="AD29" s="23">
        <f>AC29*1000000000000/Assumptions!$B$17/1000</f>
        <v>0</v>
      </c>
      <c r="AE29" s="9">
        <f t="shared" si="18"/>
        <v>5.2549999999999999</v>
      </c>
      <c r="AF29">
        <f>IF(LEFT(Z29,4)="Blue",Assumptions!$G$57,0)</f>
        <v>0</v>
      </c>
      <c r="AG29">
        <f>IF(LEFT(Z29,4)="Blue",Assumptions!$G$59,IF(LEFT(Z29,4)="Gree",Assumptions!$G$60,0))</f>
        <v>10.51</v>
      </c>
      <c r="AH29" s="6">
        <f t="shared" ref="AH29:AJ29" si="34">AH8</f>
        <v>96.924614347496885</v>
      </c>
      <c r="AI29" s="6">
        <f t="shared" si="34"/>
        <v>93.399228694993766</v>
      </c>
      <c r="AJ29" s="6">
        <f t="shared" si="34"/>
        <v>100.45</v>
      </c>
      <c r="AK29" s="51">
        <f t="shared" si="22"/>
        <v>-86.41461434749688</v>
      </c>
      <c r="AL29" s="51">
        <f t="shared" si="23"/>
        <v>-82.889228694993761</v>
      </c>
      <c r="AM29" s="51">
        <f t="shared" si="24"/>
        <v>-89.94</v>
      </c>
      <c r="AN29">
        <f>IFERROR(INDEX(WaterUseH2[Average Direct Water Consumption (Gal/ kg h2)],MATCH(LEFT(Hydrogen!Y29,3),WaterUseH2[Key],0)),0)</f>
        <v>2.8</v>
      </c>
      <c r="AO29" s="13">
        <f t="shared" si="11"/>
        <v>0</v>
      </c>
      <c r="AP29" s="13">
        <f>IF(Y29=$Y$3,AD29*Assumptions!$C$8*1000/1000,0)</f>
        <v>0</v>
      </c>
      <c r="AQ29" s="30">
        <f t="shared" si="25"/>
        <v>0</v>
      </c>
      <c r="AR29" s="30">
        <f>$AQ29*Assumptions!B$76</f>
        <v>0</v>
      </c>
      <c r="AS29" s="30">
        <f>$AQ29*Assumptions!C$76</f>
        <v>0</v>
      </c>
      <c r="AT29" s="30">
        <f>$AQ29*Assumptions!D$76</f>
        <v>0</v>
      </c>
      <c r="BC29" t="s">
        <v>180</v>
      </c>
      <c r="BD29" t="s">
        <v>76</v>
      </c>
      <c r="BE29">
        <v>2030</v>
      </c>
      <c r="BF29" s="21">
        <v>1</v>
      </c>
      <c r="BG29" t="s">
        <v>181</v>
      </c>
      <c r="BH29" s="7">
        <f t="shared" si="30"/>
        <v>96.924614347496885</v>
      </c>
      <c r="BI29" s="7">
        <f t="shared" si="28"/>
        <v>93.399228694993766</v>
      </c>
      <c r="BJ29" s="20">
        <v>100.45</v>
      </c>
      <c r="BK29" t="s">
        <v>184</v>
      </c>
      <c r="BL29" s="21">
        <v>7.019187358493531E-2</v>
      </c>
      <c r="BM29" t="s">
        <v>183</v>
      </c>
    </row>
    <row r="30" spans="1:65" x14ac:dyDescent="0.35">
      <c r="A30" t="s">
        <v>107</v>
      </c>
      <c r="B30">
        <v>2031</v>
      </c>
      <c r="C30" s="51">
        <f t="shared" si="0"/>
        <v>2.8014666666666556E-2</v>
      </c>
      <c r="D30" s="51">
        <f>C30*1000000000000/Assumptions!$B$17/1000</f>
        <v>233455.55555555466</v>
      </c>
      <c r="E30" s="51" cm="1">
        <f t="array" ref="E30">IF(C30=0,0,SUMPRODUCT(IF($AB$3:$AB$212=B30,1,0),IF($AA$3:$AA$212=$A30,1,0),$AC$3:$AC$212,$AE$3:$AE$212)/C30)</f>
        <v>10.261406143317348</v>
      </c>
      <c r="F30" s="51" cm="1">
        <f t="array" ref="F30">IF(C30=0,0,SUMPRODUCT(IF($AB$3:$AB$212=B30,1,0),IF($AA$3:$AA$212=A30,1,0),$AC$3:$AC$212,$AF$3:$AF$212)/C30)</f>
        <v>4.1134810337442449</v>
      </c>
      <c r="G30" s="51" cm="1">
        <f t="array" ref="G30">IF($C30=0,0,SUMPRODUCT(IF($AB$3:$AB$212=$B30,1,0),IF($AA$3:$AA$212=$A30,1,0),$AC$3:$AC$212,AG$3:AG$212)/$C30)</f>
        <v>16.409331252890453</v>
      </c>
      <c r="H30" s="51">
        <f t="shared" si="1"/>
        <v>65.519558620364165</v>
      </c>
      <c r="I30" s="51">
        <f t="shared" si="2"/>
        <v>62.639117240728325</v>
      </c>
      <c r="J30" s="51">
        <f t="shared" si="3"/>
        <v>68.400000000000006</v>
      </c>
      <c r="K30" s="51">
        <f t="shared" si="12"/>
        <v>-55.258152477046821</v>
      </c>
      <c r="L30" s="51">
        <f t="shared" si="13"/>
        <v>-58.525636206984082</v>
      </c>
      <c r="M30" s="51">
        <f t="shared" si="14"/>
        <v>-51.990668747109552</v>
      </c>
      <c r="N30" s="51">
        <f t="shared" si="15"/>
        <v>1.5480387222603016</v>
      </c>
      <c r="O30" s="51">
        <f t="shared" si="16"/>
        <v>1.6395761897932501</v>
      </c>
      <c r="P30" s="51">
        <f t="shared" si="17"/>
        <v>1.4565012547273526</v>
      </c>
      <c r="Q30" s="51" cm="1">
        <f t="array" ref="Q30">IF(D30=0,0,SUMPRODUCT(IF($AB$3:$AB$212=B30,1,0),IF($AA$3:$AA$212=A30,1,0),$AD$3:$AD$212,$AN$3:$AN$212)/D30)</f>
        <v>3.9780495930702955</v>
      </c>
      <c r="R30" s="51">
        <f t="shared" si="5"/>
        <v>928.69777777777404</v>
      </c>
      <c r="S30" s="51">
        <f t="shared" si="6"/>
        <v>4129.6803652967856</v>
      </c>
      <c r="T30" s="51">
        <f t="shared" si="7"/>
        <v>14453.881278538749</v>
      </c>
      <c r="U30" s="51">
        <f t="shared" si="8"/>
        <v>11563.105022831</v>
      </c>
      <c r="V30" s="51">
        <f t="shared" si="9"/>
        <v>17344.6575342465</v>
      </c>
      <c r="Y30" t="s">
        <v>178</v>
      </c>
      <c r="Z30" s="60" t="s">
        <v>179</v>
      </c>
      <c r="AA30" t="s">
        <v>76</v>
      </c>
      <c r="AB30">
        <v>2031</v>
      </c>
      <c r="AC30">
        <v>0</v>
      </c>
      <c r="AD30" s="23">
        <f>AC30*1000000000000/Assumptions!$B$17/1000</f>
        <v>0</v>
      </c>
      <c r="AE30" s="9">
        <f t="shared" si="18"/>
        <v>5.2549999999999999</v>
      </c>
      <c r="AF30">
        <f>IF(LEFT(Z30,4)="Blue",Assumptions!$G$57,0)</f>
        <v>0</v>
      </c>
      <c r="AG30">
        <f>IF(LEFT(Z30,4)="Blue",Assumptions!$G$59,IF(LEFT(Z30,4)="Gree",Assumptions!$G$60,0))</f>
        <v>10.51</v>
      </c>
      <c r="AH30" s="6">
        <f t="shared" ref="AH30:AJ30" si="35">AH9</f>
        <v>96.219877469537067</v>
      </c>
      <c r="AI30" s="6">
        <f t="shared" si="35"/>
        <v>91.989754939074118</v>
      </c>
      <c r="AJ30" s="6">
        <f t="shared" si="35"/>
        <v>100.45</v>
      </c>
      <c r="AK30" s="51">
        <f t="shared" si="22"/>
        <v>-85.709877469537048</v>
      </c>
      <c r="AL30" s="51">
        <f t="shared" si="23"/>
        <v>-81.479754939074112</v>
      </c>
      <c r="AM30" s="51">
        <f t="shared" si="24"/>
        <v>-89.94</v>
      </c>
      <c r="AN30">
        <f>IFERROR(INDEX(WaterUseH2[Average Direct Water Consumption (Gal/ kg h2)],MATCH(LEFT(Hydrogen!Y30,3),WaterUseH2[Key],0)),0)</f>
        <v>2.8</v>
      </c>
      <c r="AO30" s="13">
        <f t="shared" si="11"/>
        <v>0</v>
      </c>
      <c r="AP30" s="13">
        <f>IF(Y30=$Y$3,AD30*Assumptions!$C$8*1000/1000,0)</f>
        <v>0</v>
      </c>
      <c r="AQ30" s="30">
        <f t="shared" si="25"/>
        <v>0</v>
      </c>
      <c r="AR30" s="30">
        <f>$AQ30*Assumptions!B$76</f>
        <v>0</v>
      </c>
      <c r="AS30" s="30">
        <f>$AQ30*Assumptions!C$76</f>
        <v>0</v>
      </c>
      <c r="AT30" s="30">
        <f>$AQ30*Assumptions!D$76</f>
        <v>0</v>
      </c>
      <c r="BC30" t="s">
        <v>180</v>
      </c>
      <c r="BD30" t="s">
        <v>76</v>
      </c>
      <c r="BE30">
        <v>2031</v>
      </c>
      <c r="BF30" s="21">
        <v>1</v>
      </c>
      <c r="BG30" t="s">
        <v>181</v>
      </c>
      <c r="BH30" s="7">
        <f t="shared" si="30"/>
        <v>96.219877469537067</v>
      </c>
      <c r="BI30" s="7">
        <f t="shared" si="28"/>
        <v>91.989754939074118</v>
      </c>
      <c r="BJ30" s="20">
        <v>100.45</v>
      </c>
      <c r="BK30" t="s">
        <v>184</v>
      </c>
      <c r="BL30" s="21">
        <v>8.4223472750521097E-2</v>
      </c>
      <c r="BM30" t="s">
        <v>183</v>
      </c>
    </row>
    <row r="31" spans="1:65" x14ac:dyDescent="0.35">
      <c r="A31" t="s">
        <v>107</v>
      </c>
      <c r="B31">
        <v>2032</v>
      </c>
      <c r="C31" s="51">
        <f t="shared" si="0"/>
        <v>5.0201333333333278E-2</v>
      </c>
      <c r="D31" s="51">
        <f>C31*1000000000000/Assumptions!$B$17/1000</f>
        <v>418344.44444444391</v>
      </c>
      <c r="E31" s="51" cm="1">
        <f t="array" ref="E31">IF(C31=0,0,SUMPRODUCT(IF($AB$3:$AB$212=B31,1,0),IF($AA$3:$AA$212=$A31,1,0),$AC$3:$AC$212,$AE$3:$AE$212)/C31)</f>
        <v>8.048806259521406</v>
      </c>
      <c r="F31" s="51" cm="1">
        <f t="array" ref="F31">IF(C31=0,0,SUMPRODUCT(IF($AB$3:$AB$212=B31,1,0),IF($AA$3:$AA$212=A31,1,0),$AC$3:$AC$212,$AF$3:$AF$212)/C31)</f>
        <v>2.2955127353855165</v>
      </c>
      <c r="G31" s="51" cm="1">
        <f t="array" ref="G31">IF($C31=0,0,SUMPRODUCT(IF($AB$3:$AB$212=$B31,1,0),IF($AA$3:$AA$212=$A31,1,0),$AC$3:$AC$212,AG$3:AG$212)/$C31)</f>
        <v>13.802099783657297</v>
      </c>
      <c r="H31" s="51">
        <f t="shared" si="1"/>
        <v>64.982528787773802</v>
      </c>
      <c r="I31" s="51">
        <f t="shared" si="2"/>
        <v>61.565057575547598</v>
      </c>
      <c r="J31" s="51">
        <f t="shared" si="3"/>
        <v>68.400000000000006</v>
      </c>
      <c r="K31" s="51">
        <f t="shared" si="12"/>
        <v>-56.933722528252396</v>
      </c>
      <c r="L31" s="51">
        <f t="shared" si="13"/>
        <v>-59.269544840162084</v>
      </c>
      <c r="M31" s="51">
        <f t="shared" si="14"/>
        <v>-54.597900216342708</v>
      </c>
      <c r="N31" s="51">
        <f t="shared" si="15"/>
        <v>2.8581487825483047</v>
      </c>
      <c r="O31" s="51">
        <f t="shared" si="16"/>
        <v>2.9754101770359203</v>
      </c>
      <c r="P31" s="51">
        <f t="shared" si="17"/>
        <v>2.7408873880606892</v>
      </c>
      <c r="Q31" s="51" cm="1">
        <f t="array" ref="Q31">IF(D31=0,0,SUMPRODUCT(IF($AB$3:$AB$212=B31,1,0),IF($AA$3:$AA$212=A31,1,0),$AD$3:$AD$212,$AN$3:$AN$212)/D31)</f>
        <v>4.0319460306499169</v>
      </c>
      <c r="R31" s="51">
        <f t="shared" si="5"/>
        <v>1686.7422222222201</v>
      </c>
      <c r="S31" s="51">
        <f t="shared" si="6"/>
        <v>7738.8127853881178</v>
      </c>
      <c r="T31" s="51">
        <f t="shared" si="7"/>
        <v>27085.844748858413</v>
      </c>
      <c r="U31" s="51">
        <f t="shared" si="8"/>
        <v>21668.67579908673</v>
      </c>
      <c r="V31" s="51">
        <f t="shared" si="9"/>
        <v>32503.013698630097</v>
      </c>
      <c r="Y31" t="s">
        <v>178</v>
      </c>
      <c r="Z31" s="60" t="s">
        <v>179</v>
      </c>
      <c r="AA31" t="s">
        <v>76</v>
      </c>
      <c r="AB31">
        <v>2032</v>
      </c>
      <c r="AC31">
        <v>0</v>
      </c>
      <c r="AD31" s="23">
        <f>AC31*1000000000000/Assumptions!$B$17/1000</f>
        <v>0</v>
      </c>
      <c r="AE31" s="9">
        <f t="shared" si="18"/>
        <v>5.2549999999999999</v>
      </c>
      <c r="AF31">
        <f>IF(LEFT(Z31,4)="Blue",Assumptions!$G$57,0)</f>
        <v>0</v>
      </c>
      <c r="AG31">
        <f>IF(LEFT(Z31,4)="Blue",Assumptions!$G$59,IF(LEFT(Z31,4)="Gree",Assumptions!$G$60,0))</f>
        <v>10.51</v>
      </c>
      <c r="AH31" s="6">
        <f t="shared" ref="AH31:AJ31" si="36">AH10</f>
        <v>95.431212950513526</v>
      </c>
      <c r="AI31" s="6">
        <f t="shared" si="36"/>
        <v>90.412425901027063</v>
      </c>
      <c r="AJ31" s="6">
        <f t="shared" si="36"/>
        <v>100.45</v>
      </c>
      <c r="AK31" s="51">
        <f t="shared" si="22"/>
        <v>-84.921212950513535</v>
      </c>
      <c r="AL31" s="51">
        <f t="shared" si="23"/>
        <v>-79.902425901027058</v>
      </c>
      <c r="AM31" s="51">
        <f t="shared" si="24"/>
        <v>-89.94</v>
      </c>
      <c r="AN31">
        <f>IFERROR(INDEX(WaterUseH2[Average Direct Water Consumption (Gal/ kg h2)],MATCH(LEFT(Hydrogen!Y31,3),WaterUseH2[Key],0)),0)</f>
        <v>2.8</v>
      </c>
      <c r="AO31" s="13">
        <f t="shared" si="11"/>
        <v>0</v>
      </c>
      <c r="AP31" s="13">
        <f>IF(Y31=$Y$3,AD31*Assumptions!$C$8*1000/1000,0)</f>
        <v>0</v>
      </c>
      <c r="AQ31" s="30">
        <f t="shared" si="25"/>
        <v>0</v>
      </c>
      <c r="AR31" s="30">
        <f>$AQ31*Assumptions!B$76</f>
        <v>0</v>
      </c>
      <c r="AS31" s="30">
        <f>$AQ31*Assumptions!C$76</f>
        <v>0</v>
      </c>
      <c r="AT31" s="30">
        <f>$AQ31*Assumptions!D$76</f>
        <v>0</v>
      </c>
      <c r="BC31" t="s">
        <v>180</v>
      </c>
      <c r="BD31" t="s">
        <v>76</v>
      </c>
      <c r="BE31">
        <v>2032</v>
      </c>
      <c r="BF31" s="21">
        <v>1</v>
      </c>
      <c r="BG31" t="s">
        <v>181</v>
      </c>
      <c r="BH31" s="7">
        <f t="shared" si="30"/>
        <v>95.431212950513526</v>
      </c>
      <c r="BI31" s="7">
        <f t="shared" si="28"/>
        <v>90.412425901027063</v>
      </c>
      <c r="BJ31" s="20">
        <v>100.45</v>
      </c>
      <c r="BK31" t="s">
        <v>184</v>
      </c>
      <c r="BL31" s="21">
        <v>9.9926105289252304E-2</v>
      </c>
      <c r="BM31" t="s">
        <v>183</v>
      </c>
    </row>
    <row r="32" spans="1:65" x14ac:dyDescent="0.35">
      <c r="A32" t="s">
        <v>107</v>
      </c>
      <c r="B32">
        <v>2033</v>
      </c>
      <c r="C32" s="51">
        <f t="shared" si="0"/>
        <v>7.2388000000000008E-2</v>
      </c>
      <c r="D32" s="51">
        <f>C32*1000000000000/Assumptions!$B$17/1000</f>
        <v>603233.33333333349</v>
      </c>
      <c r="E32" s="51" cm="1">
        <f t="array" ref="E32">IF(C32=0,0,SUMPRODUCT(IF($AB$3:$AB$212=B32,1,0),IF($AA$3:$AA$212=$A32,1,0),$AC$3:$AC$212,$AE$3:$AE$212)/C32)</f>
        <v>7.1925144955377576</v>
      </c>
      <c r="F32" s="51" cm="1">
        <f t="array" ref="F32">IF(C32=0,0,SUMPRODUCT(IF($AB$3:$AB$212=B32,1,0),IF($AA$3:$AA$212=A32,1,0),$AC$3:$AC$212,$AF$3:$AF$212)/C32)</f>
        <v>1.5919461789246834</v>
      </c>
      <c r="G32" s="51" cm="1">
        <f t="array" ref="G32">IF($C32=0,0,SUMPRODUCT(IF($AB$3:$AB$212=$B32,1,0),IF($AA$3:$AA$212=$A32,1,0),$AC$3:$AC$212,AG$3:AG$212)/$C32)</f>
        <v>12.79308281215083</v>
      </c>
      <c r="H32" s="51">
        <f t="shared" si="1"/>
        <v>64.365793738287053</v>
      </c>
      <c r="I32" s="51">
        <f t="shared" si="2"/>
        <v>60.331587476574093</v>
      </c>
      <c r="J32" s="51">
        <f t="shared" si="3"/>
        <v>68.400000000000006</v>
      </c>
      <c r="K32" s="51">
        <f t="shared" si="12"/>
        <v>-57.173279242749295</v>
      </c>
      <c r="L32" s="51">
        <f t="shared" si="13"/>
        <v>-58.739641297649406</v>
      </c>
      <c r="M32" s="51">
        <f t="shared" si="14"/>
        <v>-55.606917187849177</v>
      </c>
      <c r="N32" s="51">
        <f t="shared" si="15"/>
        <v>4.1386593378241363</v>
      </c>
      <c r="O32" s="51">
        <f t="shared" si="16"/>
        <v>4.2520451542542457</v>
      </c>
      <c r="P32" s="51">
        <f t="shared" si="17"/>
        <v>4.0252735213940269</v>
      </c>
      <c r="Q32" s="51" cm="1">
        <f t="array" ref="Q32">IF(D32=0,0,SUMPRODUCT(IF($AB$3:$AB$212=B32,1,0),IF($AA$3:$AA$212=A32,1,0),$AD$3:$AD$212,$AN$3:$AN$212)/D32)</f>
        <v>4.0528043322097576</v>
      </c>
      <c r="R32" s="51">
        <f t="shared" si="5"/>
        <v>2444.7866666666669</v>
      </c>
      <c r="S32" s="51">
        <f t="shared" si="6"/>
        <v>11347.945205479453</v>
      </c>
      <c r="T32" s="51">
        <f t="shared" si="7"/>
        <v>39717.808219178085</v>
      </c>
      <c r="U32" s="51">
        <f t="shared" si="8"/>
        <v>31774.246575342466</v>
      </c>
      <c r="V32" s="51">
        <f t="shared" si="9"/>
        <v>47661.369863013701</v>
      </c>
      <c r="Y32" t="s">
        <v>178</v>
      </c>
      <c r="Z32" s="60" t="s">
        <v>179</v>
      </c>
      <c r="AA32" t="s">
        <v>76</v>
      </c>
      <c r="AB32">
        <v>2033</v>
      </c>
      <c r="AC32">
        <v>0</v>
      </c>
      <c r="AD32" s="23">
        <f>AC32*1000000000000/Assumptions!$B$17/1000</f>
        <v>0</v>
      </c>
      <c r="AE32" s="9">
        <f t="shared" si="18"/>
        <v>5.2549999999999999</v>
      </c>
      <c r="AF32">
        <f>IF(LEFT(Z32,4)="Blue",Assumptions!$G$57,0)</f>
        <v>0</v>
      </c>
      <c r="AG32">
        <f>IF(LEFT(Z32,4)="Blue",Assumptions!$G$59,IF(LEFT(Z32,4)="Gree",Assumptions!$G$60,0))</f>
        <v>10.51</v>
      </c>
      <c r="AH32" s="6">
        <f t="shared" ref="AH32:AJ32" si="37">AH11</f>
        <v>94.525495952097856</v>
      </c>
      <c r="AI32" s="6">
        <f t="shared" si="37"/>
        <v>88.600991904195695</v>
      </c>
      <c r="AJ32" s="6">
        <f t="shared" si="37"/>
        <v>100.45</v>
      </c>
      <c r="AK32" s="51">
        <f t="shared" si="22"/>
        <v>-84.015495952097837</v>
      </c>
      <c r="AL32" s="51">
        <f t="shared" si="23"/>
        <v>-78.09099190419569</v>
      </c>
      <c r="AM32" s="51">
        <f t="shared" si="24"/>
        <v>-89.94</v>
      </c>
      <c r="AN32">
        <f>IFERROR(INDEX(WaterUseH2[Average Direct Water Consumption (Gal/ kg h2)],MATCH(LEFT(Hydrogen!Y32,3),WaterUseH2[Key],0)),0)</f>
        <v>2.8</v>
      </c>
      <c r="AO32" s="13">
        <f t="shared" si="11"/>
        <v>0</v>
      </c>
      <c r="AP32" s="13">
        <f>IF(Y32=$Y$3,AD32*Assumptions!$C$8*1000/1000,0)</f>
        <v>0</v>
      </c>
      <c r="AQ32" s="30">
        <f t="shared" si="25"/>
        <v>0</v>
      </c>
      <c r="AR32" s="30">
        <f>$AQ32*Assumptions!B$76</f>
        <v>0</v>
      </c>
      <c r="AS32" s="30">
        <f>$AQ32*Assumptions!C$76</f>
        <v>0</v>
      </c>
      <c r="AT32" s="30">
        <f>$AQ32*Assumptions!D$76</f>
        <v>0</v>
      </c>
      <c r="BC32" t="s">
        <v>180</v>
      </c>
      <c r="BD32" t="s">
        <v>76</v>
      </c>
      <c r="BE32">
        <v>2033</v>
      </c>
      <c r="BF32" s="21">
        <v>1</v>
      </c>
      <c r="BG32" t="s">
        <v>181</v>
      </c>
      <c r="BH32" s="7">
        <f t="shared" si="30"/>
        <v>94.525495952097856</v>
      </c>
      <c r="BI32" s="7">
        <f t="shared" si="28"/>
        <v>88.600991904195695</v>
      </c>
      <c r="BJ32" s="20">
        <v>100.45</v>
      </c>
      <c r="BK32" t="s">
        <v>184</v>
      </c>
      <c r="BL32" s="21">
        <v>0.11795930023021503</v>
      </c>
      <c r="BM32" t="s">
        <v>183</v>
      </c>
    </row>
    <row r="33" spans="1:65" x14ac:dyDescent="0.35">
      <c r="A33" t="s">
        <v>107</v>
      </c>
      <c r="B33">
        <v>2034</v>
      </c>
      <c r="C33" s="51">
        <f t="shared" si="0"/>
        <v>9.4574666666666571E-2</v>
      </c>
      <c r="D33" s="51">
        <f>C33*1000000000000/Assumptions!$B$17/1000</f>
        <v>788122.22222222132</v>
      </c>
      <c r="E33" s="51" cm="1">
        <f t="array" ref="E33">IF(C33=0,0,SUMPRODUCT(IF($AB$3:$AB$212=B33,1,0),IF($AA$3:$AA$212=$A33,1,0),$AC$3:$AC$212,$AE$3:$AE$212)/C33)</f>
        <v>6.7379848652527174</v>
      </c>
      <c r="F33" s="51" cm="1">
        <f t="array" ref="F33">IF(C33=0,0,SUMPRODUCT(IF($AB$3:$AB$212=B33,1,0),IF($AA$3:$AA$212=A33,1,0),$AC$3:$AC$212,$AF$3:$AF$212)/C33)</f>
        <v>1.2184848655735867</v>
      </c>
      <c r="G33" s="51" cm="1">
        <f t="array" ref="G33">IF($C33=0,0,SUMPRODUCT(IF($AB$3:$AB$212=$B33,1,0),IF($AA$3:$AA$212=$A33,1,0),$AC$3:$AC$212,AG$3:AG$212)/$C33)</f>
        <v>12.257484864931849</v>
      </c>
      <c r="H33" s="51">
        <f t="shared" si="1"/>
        <v>63.677845995875501</v>
      </c>
      <c r="I33" s="51">
        <f t="shared" si="2"/>
        <v>58.955691991751003</v>
      </c>
      <c r="J33" s="51">
        <f t="shared" si="3"/>
        <v>68.400000000000006</v>
      </c>
      <c r="K33" s="51">
        <f t="shared" si="12"/>
        <v>-56.939861130622781</v>
      </c>
      <c r="L33" s="51">
        <f t="shared" si="13"/>
        <v>-57.737207126177417</v>
      </c>
      <c r="M33" s="51">
        <f t="shared" si="14"/>
        <v>-56.142515135068159</v>
      </c>
      <c r="N33" s="51">
        <f t="shared" si="15"/>
        <v>5.3850683864749342</v>
      </c>
      <c r="O33" s="51">
        <f t="shared" si="16"/>
        <v>5.4604771182225154</v>
      </c>
      <c r="P33" s="51">
        <f t="shared" si="17"/>
        <v>5.309659654727354</v>
      </c>
      <c r="Q33" s="51" cm="1">
        <f t="array" ref="Q33">IF(D33=0,0,SUMPRODUCT(IF($AB$3:$AB$212=B33,1,0),IF($AA$3:$AA$212=A33,1,0),$AD$3:$AD$212,$AN$3:$AN$212)/D33)</f>
        <v>4.0638761613398939</v>
      </c>
      <c r="R33" s="51">
        <f t="shared" si="5"/>
        <v>3202.8311111111075</v>
      </c>
      <c r="S33" s="51">
        <f t="shared" si="6"/>
        <v>14957.077625570755</v>
      </c>
      <c r="T33" s="51">
        <f t="shared" si="7"/>
        <v>52349.77168949764</v>
      </c>
      <c r="U33" s="51">
        <f t="shared" si="8"/>
        <v>41879.817351598111</v>
      </c>
      <c r="V33" s="51">
        <f t="shared" si="9"/>
        <v>62819.726027397177</v>
      </c>
      <c r="Y33" t="s">
        <v>178</v>
      </c>
      <c r="Z33" s="60" t="s">
        <v>179</v>
      </c>
      <c r="AA33" t="s">
        <v>76</v>
      </c>
      <c r="AB33">
        <v>2034</v>
      </c>
      <c r="AC33">
        <v>0</v>
      </c>
      <c r="AD33" s="23">
        <f>AC33*1000000000000/Assumptions!$B$17/1000</f>
        <v>0</v>
      </c>
      <c r="AE33" s="9">
        <f t="shared" si="18"/>
        <v>5.2549999999999999</v>
      </c>
      <c r="AF33">
        <f>IF(LEFT(Z33,4)="Blue",Assumptions!$G$57,0)</f>
        <v>0</v>
      </c>
      <c r="AG33">
        <f>IF(LEFT(Z33,4)="Blue",Assumptions!$G$59,IF(LEFT(Z33,4)="Gree",Assumptions!$G$60,0))</f>
        <v>10.51</v>
      </c>
      <c r="AH33" s="6">
        <f t="shared" ref="AH33:AJ33" si="38">AH12</f>
        <v>93.515198320512312</v>
      </c>
      <c r="AI33" s="6">
        <f t="shared" si="38"/>
        <v>86.58039664102462</v>
      </c>
      <c r="AJ33" s="6">
        <f t="shared" si="38"/>
        <v>100.45</v>
      </c>
      <c r="AK33" s="51">
        <f t="shared" si="22"/>
        <v>-83.005198320512307</v>
      </c>
      <c r="AL33" s="51">
        <f t="shared" si="23"/>
        <v>-76.070396641024615</v>
      </c>
      <c r="AM33" s="51">
        <f t="shared" si="24"/>
        <v>-89.94</v>
      </c>
      <c r="AN33">
        <f>IFERROR(INDEX(WaterUseH2[Average Direct Water Consumption (Gal/ kg h2)],MATCH(LEFT(Hydrogen!Y33,3),WaterUseH2[Key],0)),0)</f>
        <v>2.8</v>
      </c>
      <c r="AO33" s="13">
        <f t="shared" si="11"/>
        <v>0</v>
      </c>
      <c r="AP33" s="13">
        <f>IF(Y33=$Y$3,AD33*Assumptions!$C$8*1000/1000,0)</f>
        <v>0</v>
      </c>
      <c r="AQ33" s="30">
        <f t="shared" si="25"/>
        <v>0</v>
      </c>
      <c r="AR33" s="30">
        <f>$AQ33*Assumptions!B$76</f>
        <v>0</v>
      </c>
      <c r="AS33" s="30">
        <f>$AQ33*Assumptions!C$76</f>
        <v>0</v>
      </c>
      <c r="AT33" s="30">
        <f>$AQ33*Assumptions!D$76</f>
        <v>0</v>
      </c>
      <c r="BC33" t="s">
        <v>180</v>
      </c>
      <c r="BD33" t="s">
        <v>76</v>
      </c>
      <c r="BE33">
        <v>2034</v>
      </c>
      <c r="BF33" s="21">
        <v>1</v>
      </c>
      <c r="BG33" t="s">
        <v>181</v>
      </c>
      <c r="BH33" s="7">
        <f t="shared" si="30"/>
        <v>93.515198320512312</v>
      </c>
      <c r="BI33" s="7">
        <f t="shared" si="28"/>
        <v>86.58039664102462</v>
      </c>
      <c r="BJ33" s="20">
        <v>100.45</v>
      </c>
      <c r="BK33" t="s">
        <v>184</v>
      </c>
      <c r="BL33" s="21">
        <v>0.13807473793218036</v>
      </c>
      <c r="BM33" t="s">
        <v>183</v>
      </c>
    </row>
    <row r="34" spans="1:65" x14ac:dyDescent="0.35">
      <c r="A34" t="s">
        <v>107</v>
      </c>
      <c r="B34">
        <v>2035</v>
      </c>
      <c r="C34" s="51">
        <f t="shared" si="0"/>
        <v>0.1167613333333333</v>
      </c>
      <c r="D34" s="51">
        <f>C34*1000000000000/Assumptions!$B$17/1000</f>
        <v>973011.11111111077</v>
      </c>
      <c r="E34" s="51" cm="1">
        <f t="array" ref="E34">IF(C34=0,0,SUMPRODUCT(IF($AB$3:$AB$212=B34,1,0),IF($AA$3:$AA$212=$A34,1,0),$AC$3:$AC$212,$AE$3:$AE$212)/C34)</f>
        <v>6.4561921695223354</v>
      </c>
      <c r="F34" s="51" cm="1">
        <f t="array" ref="F34">IF(C34=0,0,SUMPRODUCT(IF($AB$3:$AB$212=B34,1,0),IF($AA$3:$AA$212=A34,1,0),$AC$3:$AC$212,$AF$3:$AF$212)/C34)</f>
        <v>0.98695173059574537</v>
      </c>
      <c r="G34" s="51" cm="1">
        <f t="array" ref="G34">IF($C34=0,0,SUMPRODUCT(IF($AB$3:$AB$212=$B34,1,0),IF($AA$3:$AA$212=$A34,1,0),$AC$3:$AC$212,AG$3:AG$212)/$C34)</f>
        <v>11.925432608448924</v>
      </c>
      <c r="H34" s="51">
        <f t="shared" si="1"/>
        <v>62.89235981178166</v>
      </c>
      <c r="I34" s="51">
        <f t="shared" si="2"/>
        <v>57.384719623563313</v>
      </c>
      <c r="J34" s="51">
        <f t="shared" si="3"/>
        <v>68.400000000000006</v>
      </c>
      <c r="K34" s="51">
        <f t="shared" si="12"/>
        <v>-56.436167642259321</v>
      </c>
      <c r="L34" s="51">
        <f t="shared" si="13"/>
        <v>-56.397767892967565</v>
      </c>
      <c r="M34" s="51">
        <f t="shared" si="14"/>
        <v>-56.474567391551084</v>
      </c>
      <c r="N34" s="51">
        <f t="shared" si="15"/>
        <v>6.5895621821337196</v>
      </c>
      <c r="O34" s="51">
        <f t="shared" si="16"/>
        <v>6.5850785762067483</v>
      </c>
      <c r="P34" s="51">
        <f t="shared" si="17"/>
        <v>6.5940457880606917</v>
      </c>
      <c r="Q34" s="51" cm="1">
        <f t="array" ref="Q34">IF(D34=0,0,SUMPRODUCT(IF($AB$3:$AB$212=B34,1,0),IF($AA$3:$AA$212=A34,1,0),$AD$3:$AD$212,$AN$3:$AN$212)/D34)</f>
        <v>4.0707403135741282</v>
      </c>
      <c r="R34" s="51">
        <f t="shared" si="5"/>
        <v>3960.8755555555535</v>
      </c>
      <c r="S34" s="51">
        <f t="shared" si="6"/>
        <v>18566.210045662094</v>
      </c>
      <c r="T34" s="51">
        <f t="shared" si="7"/>
        <v>64981.735159817326</v>
      </c>
      <c r="U34" s="51">
        <f t="shared" si="8"/>
        <v>51985.388127853861</v>
      </c>
      <c r="V34" s="51">
        <f t="shared" si="9"/>
        <v>77978.082191780792</v>
      </c>
      <c r="Y34" t="s">
        <v>178</v>
      </c>
      <c r="Z34" s="60" t="s">
        <v>179</v>
      </c>
      <c r="AA34" t="s">
        <v>76</v>
      </c>
      <c r="AB34">
        <v>2035</v>
      </c>
      <c r="AC34">
        <v>0</v>
      </c>
      <c r="AD34" s="23">
        <f>AC34*1000000000000/Assumptions!$B$17/1000</f>
        <v>0</v>
      </c>
      <c r="AE34" s="9">
        <f t="shared" si="18"/>
        <v>5.2549999999999999</v>
      </c>
      <c r="AF34">
        <f>IF(LEFT(Z34,4)="Blue",Assumptions!$G$57,0)</f>
        <v>0</v>
      </c>
      <c r="AG34">
        <f>IF(LEFT(Z34,4)="Blue",Assumptions!$G$59,IF(LEFT(Z34,4)="Gree",Assumptions!$G$60,0))</f>
        <v>10.51</v>
      </c>
      <c r="AH34" s="6">
        <f t="shared" ref="AH34:AJ34" si="39">AH13</f>
        <v>92.361658919879176</v>
      </c>
      <c r="AI34" s="6">
        <f t="shared" si="39"/>
        <v>84.273317839758363</v>
      </c>
      <c r="AJ34" s="6">
        <f t="shared" si="39"/>
        <v>100.45</v>
      </c>
      <c r="AK34" s="51">
        <f t="shared" si="22"/>
        <v>-81.851658919879185</v>
      </c>
      <c r="AL34" s="51">
        <f t="shared" si="23"/>
        <v>-73.763317839758358</v>
      </c>
      <c r="AM34" s="51">
        <f t="shared" si="24"/>
        <v>-89.94</v>
      </c>
      <c r="AN34">
        <f>IFERROR(INDEX(WaterUseH2[Average Direct Water Consumption (Gal/ kg h2)],MATCH(LEFT(Hydrogen!Y34,3),WaterUseH2[Key],0)),0)</f>
        <v>2.8</v>
      </c>
      <c r="AO34" s="13">
        <f t="shared" si="11"/>
        <v>0</v>
      </c>
      <c r="AP34" s="13">
        <f>IF(Y34=$Y$3,AD34*Assumptions!$C$8*1000/1000,0)</f>
        <v>0</v>
      </c>
      <c r="AQ34" s="30">
        <f t="shared" si="25"/>
        <v>0</v>
      </c>
      <c r="AR34" s="30">
        <f>$AQ34*Assumptions!B$76</f>
        <v>0</v>
      </c>
      <c r="AS34" s="30">
        <f>$AQ34*Assumptions!C$76</f>
        <v>0</v>
      </c>
      <c r="AT34" s="30">
        <f>$AQ34*Assumptions!D$76</f>
        <v>0</v>
      </c>
      <c r="BC34" t="s">
        <v>180</v>
      </c>
      <c r="BD34" t="s">
        <v>76</v>
      </c>
      <c r="BE34">
        <v>2035</v>
      </c>
      <c r="BF34" s="21">
        <v>1</v>
      </c>
      <c r="BG34" t="s">
        <v>181</v>
      </c>
      <c r="BH34" s="7">
        <f t="shared" si="30"/>
        <v>92.361658919879176</v>
      </c>
      <c r="BI34" s="7">
        <f t="shared" si="28"/>
        <v>84.273317839758363</v>
      </c>
      <c r="BJ34" s="20">
        <v>100.45</v>
      </c>
      <c r="BK34" t="s">
        <v>184</v>
      </c>
      <c r="BL34" s="21">
        <v>0.16104217734180828</v>
      </c>
      <c r="BM34" t="s">
        <v>183</v>
      </c>
    </row>
    <row r="35" spans="1:65" x14ac:dyDescent="0.35">
      <c r="A35" t="s">
        <v>107</v>
      </c>
      <c r="B35">
        <v>2036</v>
      </c>
      <c r="C35" s="51">
        <f t="shared" si="0"/>
        <v>0.14157600000000001</v>
      </c>
      <c r="D35" s="51">
        <f>C35*1000000000000/Assumptions!$B$17/1000</f>
        <v>1179800</v>
      </c>
      <c r="E35" s="51" cm="1">
        <f t="array" ref="E35">IF(C35=0,0,SUMPRODUCT(IF($AB$3:$AB$212=B35,1,0),IF($AA$3:$AA$212=$A35,1,0),$AC$3:$AC$212,$AE$3:$AE$212)/C35)</f>
        <v>7.2363075564076844</v>
      </c>
      <c r="F35" s="51" cm="1">
        <f t="array" ref="F35">IF(C35=0,0,SUMPRODUCT(IF($AB$3:$AB$212=B35,1,0),IF($AA$3:$AA$212=A35,1,0),$AC$3:$AC$212,$AF$3:$AF$212)/C35)</f>
        <v>1.6279284624512627</v>
      </c>
      <c r="G35" s="51" cm="1">
        <f t="array" ref="G35">IF($C35=0,0,SUMPRODUCT(IF($AB$3:$AB$212=$B35,1,0),IF($AA$3:$AA$212=$A35,1,0),$AC$3:$AC$212,AG$3:AG$212)/$C35)</f>
        <v>12.844686650364105</v>
      </c>
      <c r="H35" s="51">
        <f t="shared" si="1"/>
        <v>62.049847728212796</v>
      </c>
      <c r="I35" s="51">
        <f t="shared" si="2"/>
        <v>55.69969545642558</v>
      </c>
      <c r="J35" s="51">
        <f t="shared" si="3"/>
        <v>68.400000000000006</v>
      </c>
      <c r="K35" s="51">
        <f t="shared" si="12"/>
        <v>-54.813540171805116</v>
      </c>
      <c r="L35" s="51">
        <f t="shared" si="13"/>
        <v>-54.071766993974315</v>
      </c>
      <c r="M35" s="51">
        <f t="shared" si="14"/>
        <v>-55.555313349635902</v>
      </c>
      <c r="N35" s="51">
        <f t="shared" si="15"/>
        <v>7.7602817633634817</v>
      </c>
      <c r="O35" s="51">
        <f t="shared" si="16"/>
        <v>7.6552644839389083</v>
      </c>
      <c r="P35" s="51">
        <f t="shared" si="17"/>
        <v>7.8652990427880534</v>
      </c>
      <c r="Q35" s="51" cm="1">
        <f t="array" ref="Q35">IF(D35=0,0,SUMPRODUCT(IF($AB$3:$AB$212=B35,1,0),IF($AA$3:$AA$212=A35,1,0),$AD$3:$AD$212,$AN$3:$AN$212)/D35)</f>
        <v>4.0517375826411257</v>
      </c>
      <c r="R35" s="51">
        <f t="shared" si="5"/>
        <v>4780.2400000000007</v>
      </c>
      <c r="S35" s="51">
        <f t="shared" si="6"/>
        <v>22175.342465753427</v>
      </c>
      <c r="T35" s="51">
        <f t="shared" si="7"/>
        <v>77613.698630136991</v>
      </c>
      <c r="U35" s="51">
        <f t="shared" si="8"/>
        <v>62090.95890410959</v>
      </c>
      <c r="V35" s="51">
        <f t="shared" si="9"/>
        <v>93136.438356164392</v>
      </c>
      <c r="Y35" t="s">
        <v>178</v>
      </c>
      <c r="Z35" s="60" t="s">
        <v>179</v>
      </c>
      <c r="AA35" t="s">
        <v>76</v>
      </c>
      <c r="AB35">
        <v>2036</v>
      </c>
      <c r="AC35">
        <v>0</v>
      </c>
      <c r="AD35" s="23">
        <f>AC35*1000000000000/Assumptions!$B$17/1000</f>
        <v>0</v>
      </c>
      <c r="AE35" s="9">
        <f t="shared" si="18"/>
        <v>5.2549999999999999</v>
      </c>
      <c r="AF35">
        <f>IF(LEFT(Z35,4)="Blue",Assumptions!$G$57,0)</f>
        <v>0</v>
      </c>
      <c r="AG35">
        <f>IF(LEFT(Z35,4)="Blue",Assumptions!$G$59,IF(LEFT(Z35,4)="Gree",Assumptions!$G$60,0))</f>
        <v>10.51</v>
      </c>
      <c r="AH35" s="6">
        <f t="shared" ref="AH35:AJ35" si="40">AH14</f>
        <v>91.12437315283151</v>
      </c>
      <c r="AI35" s="6">
        <f t="shared" si="40"/>
        <v>81.798746305663002</v>
      </c>
      <c r="AJ35" s="6">
        <f t="shared" si="40"/>
        <v>100.45</v>
      </c>
      <c r="AK35" s="51">
        <f t="shared" si="22"/>
        <v>-80.61437315283149</v>
      </c>
      <c r="AL35" s="51">
        <f t="shared" si="23"/>
        <v>-71.288746305662997</v>
      </c>
      <c r="AM35" s="51">
        <f t="shared" si="24"/>
        <v>-89.94</v>
      </c>
      <c r="AN35">
        <f>IFERROR(INDEX(WaterUseH2[Average Direct Water Consumption (Gal/ kg h2)],MATCH(LEFT(Hydrogen!Y35,3),WaterUseH2[Key],0)),0)</f>
        <v>2.8</v>
      </c>
      <c r="AO35" s="13">
        <f t="shared" si="11"/>
        <v>0</v>
      </c>
      <c r="AP35" s="13">
        <f>IF(Y35=$Y$3,AD35*Assumptions!$C$8*1000/1000,0)</f>
        <v>0</v>
      </c>
      <c r="AQ35" s="30">
        <f t="shared" si="25"/>
        <v>0</v>
      </c>
      <c r="AR35" s="30">
        <f>$AQ35*Assumptions!B$76</f>
        <v>0</v>
      </c>
      <c r="AS35" s="30">
        <f>$AQ35*Assumptions!C$76</f>
        <v>0</v>
      </c>
      <c r="AT35" s="30">
        <f>$AQ35*Assumptions!D$76</f>
        <v>0</v>
      </c>
      <c r="BC35" t="s">
        <v>180</v>
      </c>
      <c r="BD35" t="s">
        <v>76</v>
      </c>
      <c r="BE35">
        <v>2036</v>
      </c>
      <c r="BF35" s="21">
        <v>1</v>
      </c>
      <c r="BG35" t="s">
        <v>181</v>
      </c>
      <c r="BH35" s="7">
        <f t="shared" si="30"/>
        <v>91.12437315283151</v>
      </c>
      <c r="BI35" s="7">
        <f t="shared" si="28"/>
        <v>81.798746305663002</v>
      </c>
      <c r="BJ35" s="20">
        <v>100.45</v>
      </c>
      <c r="BK35" t="s">
        <v>184</v>
      </c>
      <c r="BL35" s="21">
        <v>0.18567704058541562</v>
      </c>
      <c r="BM35" t="s">
        <v>183</v>
      </c>
    </row>
    <row r="36" spans="1:65" x14ac:dyDescent="0.35">
      <c r="A36" t="s">
        <v>107</v>
      </c>
      <c r="B36">
        <v>2037</v>
      </c>
      <c r="C36" s="51">
        <f t="shared" si="0"/>
        <v>0.16376266666666656</v>
      </c>
      <c r="D36" s="51">
        <f>C36*1000000000000/Assumptions!$B$17/1000</f>
        <v>1364688.8888888881</v>
      </c>
      <c r="E36" s="51" cm="1">
        <f t="array" ref="E36">IF(C36=0,0,SUMPRODUCT(IF($AB$3:$AB$212=B36,1,0),IF($AA$3:$AA$212=$A36,1,0),$AC$3:$AC$212,$AE$3:$AE$212)/C36)</f>
        <v>6.9678787917024696</v>
      </c>
      <c r="F36" s="51" cm="1">
        <f t="array" ref="F36">IF(C36=0,0,SUMPRODUCT(IF($AB$3:$AB$212=B36,1,0),IF($AA$3:$AA$212=A36,1,0),$AC$3:$AC$212,$AF$3:$AF$212)/C36)</f>
        <v>1.4073757144485524</v>
      </c>
      <c r="G36" s="51" cm="1">
        <f t="array" ref="G36">IF($C36=0,0,SUMPRODUCT(IF($AB$3:$AB$212=$B36,1,0),IF($AA$3:$AA$212=$A36,1,0),$AC$3:$AC$212,AG$3:AG$212)/$C36)</f>
        <v>12.528381868956389</v>
      </c>
      <c r="H36" s="51">
        <f t="shared" si="1"/>
        <v>61.179278736968676</v>
      </c>
      <c r="I36" s="51">
        <f t="shared" si="2"/>
        <v>53.958557473937347</v>
      </c>
      <c r="J36" s="51">
        <f t="shared" si="3"/>
        <v>68.400000000000006</v>
      </c>
      <c r="K36" s="51">
        <f t="shared" si="12"/>
        <v>-54.211399945266209</v>
      </c>
      <c r="L36" s="51">
        <f t="shared" si="13"/>
        <v>-52.551181759488792</v>
      </c>
      <c r="M36" s="51">
        <f t="shared" si="14"/>
        <v>-55.871618131043618</v>
      </c>
      <c r="N36" s="51">
        <f t="shared" si="15"/>
        <v>8.8778034187699753</v>
      </c>
      <c r="O36" s="51">
        <f t="shared" si="16"/>
        <v>8.6059216614185701</v>
      </c>
      <c r="P36" s="51">
        <f t="shared" si="17"/>
        <v>9.1496851761213804</v>
      </c>
      <c r="Q36" s="51" cm="1">
        <f t="array" ref="Q36">IF(D36=0,0,SUMPRODUCT(IF($AB$3:$AB$212=B36,1,0),IF($AA$3:$AA$212=A36,1,0),$AD$3:$AD$212,$AN$3:$AN$212)/D36)</f>
        <v>4.0582762045887533</v>
      </c>
      <c r="R36" s="51">
        <f t="shared" si="5"/>
        <v>5538.284444444439</v>
      </c>
      <c r="S36" s="51">
        <f t="shared" si="6"/>
        <v>25784.474885844727</v>
      </c>
      <c r="T36" s="51">
        <f t="shared" si="7"/>
        <v>90245.662100456539</v>
      </c>
      <c r="U36" s="51">
        <f t="shared" si="8"/>
        <v>72196.529680365231</v>
      </c>
      <c r="V36" s="51">
        <f t="shared" si="9"/>
        <v>108294.79452054786</v>
      </c>
      <c r="Y36" t="s">
        <v>178</v>
      </c>
      <c r="Z36" s="60" t="s">
        <v>179</v>
      </c>
      <c r="AA36" t="s">
        <v>76</v>
      </c>
      <c r="AB36">
        <v>2037</v>
      </c>
      <c r="AC36">
        <v>0</v>
      </c>
      <c r="AD36" s="23">
        <f>AC36*1000000000000/Assumptions!$B$17/1000</f>
        <v>0</v>
      </c>
      <c r="AE36" s="9">
        <f t="shared" si="18"/>
        <v>5.2549999999999999</v>
      </c>
      <c r="AF36">
        <f>IF(LEFT(Z36,4)="Blue",Assumptions!$G$57,0)</f>
        <v>0</v>
      </c>
      <c r="AG36">
        <f>IF(LEFT(Z36,4)="Blue",Assumptions!$G$59,IF(LEFT(Z36,4)="Gree",Assumptions!$G$60,0))</f>
        <v>10.51</v>
      </c>
      <c r="AH36" s="6">
        <f t="shared" ref="AH36:AJ36" si="41">AH15</f>
        <v>89.845883938555232</v>
      </c>
      <c r="AI36" s="6">
        <f t="shared" si="41"/>
        <v>79.241767877110448</v>
      </c>
      <c r="AJ36" s="6">
        <f t="shared" si="41"/>
        <v>100.45</v>
      </c>
      <c r="AK36" s="51">
        <f t="shared" si="22"/>
        <v>-79.335883938555213</v>
      </c>
      <c r="AL36" s="51">
        <f t="shared" si="23"/>
        <v>-68.731767877110443</v>
      </c>
      <c r="AM36" s="51">
        <f t="shared" si="24"/>
        <v>-89.94</v>
      </c>
      <c r="AN36">
        <f>IFERROR(INDEX(WaterUseH2[Average Direct Water Consumption (Gal/ kg h2)],MATCH(LEFT(Hydrogen!Y36,3),WaterUseH2[Key],0)),0)</f>
        <v>2.8</v>
      </c>
      <c r="AO36" s="13">
        <f t="shared" si="11"/>
        <v>0</v>
      </c>
      <c r="AP36" s="13">
        <f>IF(Y36=$Y$3,AD36*Assumptions!$C$8*1000/1000,0)</f>
        <v>0</v>
      </c>
      <c r="AQ36" s="30">
        <f t="shared" si="25"/>
        <v>0</v>
      </c>
      <c r="AR36" s="30">
        <f>$AQ36*Assumptions!B$76</f>
        <v>0</v>
      </c>
      <c r="AS36" s="30">
        <f>$AQ36*Assumptions!C$76</f>
        <v>0</v>
      </c>
      <c r="AT36" s="30">
        <f>$AQ36*Assumptions!D$76</f>
        <v>0</v>
      </c>
      <c r="BC36" t="s">
        <v>180</v>
      </c>
      <c r="BD36" t="s">
        <v>76</v>
      </c>
      <c r="BE36">
        <v>2037</v>
      </c>
      <c r="BF36" s="21">
        <v>1</v>
      </c>
      <c r="BG36" t="s">
        <v>181</v>
      </c>
      <c r="BH36" s="7">
        <f t="shared" si="30"/>
        <v>89.845883938555232</v>
      </c>
      <c r="BI36" s="7">
        <f t="shared" si="28"/>
        <v>79.241767877110448</v>
      </c>
      <c r="BJ36" s="20">
        <v>100.45</v>
      </c>
      <c r="BK36" t="s">
        <v>184</v>
      </c>
      <c r="BL36" s="21">
        <v>0.21113228071222778</v>
      </c>
      <c r="BM36" t="s">
        <v>183</v>
      </c>
    </row>
    <row r="37" spans="1:65" x14ac:dyDescent="0.35">
      <c r="A37" t="s">
        <v>107</v>
      </c>
      <c r="B37">
        <v>2038</v>
      </c>
      <c r="C37" s="51">
        <f t="shared" si="0"/>
        <v>0.18594933333333283</v>
      </c>
      <c r="D37" s="51">
        <f>C37*1000000000000/Assumptions!$B$17/1000</f>
        <v>1549577.7777777736</v>
      </c>
      <c r="E37" s="51" cm="1">
        <f t="array" ref="E37">IF(C37=0,0,SUMPRODUCT(IF($AB$3:$AB$212=B37,1,0),IF($AA$3:$AA$212=$A37,1,0),$AC$3:$AC$212,$AE$3:$AE$212)/C37)</f>
        <v>6.763505535231686</v>
      </c>
      <c r="F37" s="51" cm="1">
        <f t="array" ref="F37">IF(C37=0,0,SUMPRODUCT(IF($AB$3:$AB$212=B37,1,0),IF($AA$3:$AA$212=A37,1,0),$AC$3:$AC$212,$AF$3:$AF$212)/C37)</f>
        <v>1.2394537580129386</v>
      </c>
      <c r="G37" s="51" cm="1">
        <f t="array" ref="G37">IF($C37=0,0,SUMPRODUCT(IF($AB$3:$AB$212=$B37,1,0),IF($AA$3:$AA$212=$A37,1,0),$AC$3:$AC$212,AG$3:AG$212)/$C37)</f>
        <v>12.287557312450431</v>
      </c>
      <c r="H37" s="51">
        <f t="shared" si="1"/>
        <v>60.313580103886252</v>
      </c>
      <c r="I37" s="51">
        <f t="shared" si="2"/>
        <v>52.227160207772506</v>
      </c>
      <c r="J37" s="51">
        <f t="shared" si="3"/>
        <v>68.400000000000006</v>
      </c>
      <c r="K37" s="51">
        <f t="shared" si="12"/>
        <v>-53.550074568654566</v>
      </c>
      <c r="L37" s="51">
        <f t="shared" si="13"/>
        <v>-50.987706449759571</v>
      </c>
      <c r="M37" s="51">
        <f t="shared" si="14"/>
        <v>-56.112442687549574</v>
      </c>
      <c r="N37" s="51">
        <f t="shared" si="15"/>
        <v>9.9576006659915777</v>
      </c>
      <c r="O37" s="51">
        <f t="shared" si="16"/>
        <v>9.4811300225284665</v>
      </c>
      <c r="P37" s="51">
        <f t="shared" si="17"/>
        <v>10.434071309454691</v>
      </c>
      <c r="Q37" s="51" cm="1">
        <f t="array" ref="Q37">IF(D37=0,0,SUMPRODUCT(IF($AB$3:$AB$212=B37,1,0),IF($AA$3:$AA$212=A37,1,0),$AD$3:$AD$212,$AN$3:$AN$212)/D37)</f>
        <v>4.0632545066039496</v>
      </c>
      <c r="R37" s="51">
        <f t="shared" si="5"/>
        <v>6296.3288888888719</v>
      </c>
      <c r="S37" s="51">
        <f t="shared" si="6"/>
        <v>29393.607305935991</v>
      </c>
      <c r="T37" s="51">
        <f t="shared" si="7"/>
        <v>102877.62557077597</v>
      </c>
      <c r="U37" s="51">
        <f t="shared" si="8"/>
        <v>82302.10045662077</v>
      </c>
      <c r="V37" s="51">
        <f t="shared" si="9"/>
        <v>123453.15068493117</v>
      </c>
      <c r="Y37" t="s">
        <v>178</v>
      </c>
      <c r="Z37" s="60" t="s">
        <v>179</v>
      </c>
      <c r="AA37" t="s">
        <v>76</v>
      </c>
      <c r="AB37">
        <v>2038</v>
      </c>
      <c r="AC37">
        <v>0</v>
      </c>
      <c r="AD37" s="23">
        <f>AC37*1000000000000/Assumptions!$B$17/1000</f>
        <v>0</v>
      </c>
      <c r="AE37" s="9">
        <f t="shared" si="18"/>
        <v>5.2549999999999999</v>
      </c>
      <c r="AF37">
        <f>IF(LEFT(Z37,4)="Blue",Assumptions!$G$57,0)</f>
        <v>0</v>
      </c>
      <c r="AG37">
        <f>IF(LEFT(Z37,4)="Blue",Assumptions!$G$59,IF(LEFT(Z37,4)="Gree",Assumptions!$G$60,0))</f>
        <v>10.51</v>
      </c>
      <c r="AH37" s="6">
        <f t="shared" ref="AH37:AJ37" si="42">AH16</f>
        <v>88.574547187599435</v>
      </c>
      <c r="AI37" s="6">
        <f t="shared" si="42"/>
        <v>76.699094375198868</v>
      </c>
      <c r="AJ37" s="6">
        <f t="shared" si="42"/>
        <v>100.45</v>
      </c>
      <c r="AK37" s="51">
        <f t="shared" si="22"/>
        <v>-78.06454718759943</v>
      </c>
      <c r="AL37" s="51">
        <f t="shared" si="23"/>
        <v>-66.189094375198863</v>
      </c>
      <c r="AM37" s="51">
        <f t="shared" si="24"/>
        <v>-89.94</v>
      </c>
      <c r="AN37">
        <f>IFERROR(INDEX(WaterUseH2[Average Direct Water Consumption (Gal/ kg h2)],MATCH(LEFT(Hydrogen!Y37,3),WaterUseH2[Key],0)),0)</f>
        <v>2.8</v>
      </c>
      <c r="AO37" s="13">
        <f t="shared" si="11"/>
        <v>0</v>
      </c>
      <c r="AP37" s="13">
        <f>IF(Y37=$Y$3,AD37*Assumptions!$C$8*1000/1000,0)</f>
        <v>0</v>
      </c>
      <c r="AQ37" s="30">
        <f t="shared" si="25"/>
        <v>0</v>
      </c>
      <c r="AR37" s="30">
        <f>$AQ37*Assumptions!B$76</f>
        <v>0</v>
      </c>
      <c r="AS37" s="30">
        <f>$AQ37*Assumptions!C$76</f>
        <v>0</v>
      </c>
      <c r="AT37" s="30">
        <f>$AQ37*Assumptions!D$76</f>
        <v>0</v>
      </c>
      <c r="BC37" t="s">
        <v>180</v>
      </c>
      <c r="BD37" t="s">
        <v>76</v>
      </c>
      <c r="BE37">
        <v>2038</v>
      </c>
      <c r="BF37" s="21">
        <v>1</v>
      </c>
      <c r="BG37" t="s">
        <v>181</v>
      </c>
      <c r="BH37" s="7">
        <f t="shared" si="30"/>
        <v>88.574547187599435</v>
      </c>
      <c r="BI37" s="7">
        <f t="shared" si="28"/>
        <v>76.699094375198868</v>
      </c>
      <c r="BJ37" s="20">
        <v>100.45</v>
      </c>
      <c r="BK37" t="s">
        <v>184</v>
      </c>
      <c r="BL37" s="21">
        <v>0.2364451117807683</v>
      </c>
      <c r="BM37" t="s">
        <v>183</v>
      </c>
    </row>
    <row r="38" spans="1:65" x14ac:dyDescent="0.35">
      <c r="A38" t="s">
        <v>107</v>
      </c>
      <c r="B38">
        <v>2039</v>
      </c>
      <c r="C38" s="51">
        <f t="shared" si="0"/>
        <v>0.20813600000000002</v>
      </c>
      <c r="D38" s="51">
        <f>C38*1000000000000/Assumptions!$B$17/1000</f>
        <v>1734466.666666667</v>
      </c>
      <c r="E38" s="51" cm="1">
        <f t="array" ref="E38">IF(C38=0,0,SUMPRODUCT(IF($AB$3:$AB$212=B38,1,0),IF($AA$3:$AA$212=$A38,1,0),$AC$3:$AC$212,$AE$3:$AE$212)/C38)</f>
        <v>6.6027034179861932</v>
      </c>
      <c r="F38" s="51" cm="1">
        <f t="array" ref="F38">IF(C38=0,0,SUMPRODUCT(IF($AB$3:$AB$212=B38,1,0),IF($AA$3:$AA$212=A38,1,0),$AC$3:$AC$212,$AF$3:$AF$212)/C38)</f>
        <v>1.107331744628512</v>
      </c>
      <c r="G38" s="51" cm="1">
        <f t="array" ref="G38">IF($C38=0,0,SUMPRODUCT(IF($AB$3:$AB$212=$B38,1,0),IF($AA$3:$AA$212=$A38,1,0),$AC$3:$AC$212,AG$3:AG$212)/$C38)</f>
        <v>12.098075091343873</v>
      </c>
      <c r="H38" s="51">
        <f t="shared" si="1"/>
        <v>59.427636128056477</v>
      </c>
      <c r="I38" s="51">
        <f t="shared" si="2"/>
        <v>50.455272256112949</v>
      </c>
      <c r="J38" s="51">
        <f t="shared" si="3"/>
        <v>68.400000000000006</v>
      </c>
      <c r="K38" s="51">
        <f t="shared" si="12"/>
        <v>-52.824932710070286</v>
      </c>
      <c r="L38" s="51">
        <f t="shared" si="13"/>
        <v>-49.347940511484438</v>
      </c>
      <c r="M38" s="51">
        <f t="shared" si="14"/>
        <v>-56.301924908656133</v>
      </c>
      <c r="N38" s="51">
        <f t="shared" si="15"/>
        <v>10.994770194543189</v>
      </c>
      <c r="O38" s="51">
        <f t="shared" si="16"/>
        <v>10.271082946298327</v>
      </c>
      <c r="P38" s="51">
        <f t="shared" si="17"/>
        <v>11.718457442788054</v>
      </c>
      <c r="Q38" s="51" cm="1">
        <f t="array" ref="Q38">IF(D38=0,0,SUMPRODUCT(IF($AB$3:$AB$212=B38,1,0),IF($AA$3:$AA$212=A38,1,0),$AD$3:$AD$212,$AN$3:$AN$212)/D38)</f>
        <v>4.0671714648114685</v>
      </c>
      <c r="R38" s="51">
        <f t="shared" si="5"/>
        <v>7054.373333333333</v>
      </c>
      <c r="S38" s="51">
        <f t="shared" si="6"/>
        <v>33002.739726027401</v>
      </c>
      <c r="T38" s="51">
        <f t="shared" si="7"/>
        <v>115509.5890410959</v>
      </c>
      <c r="U38" s="51">
        <f t="shared" si="8"/>
        <v>92407.671232876717</v>
      </c>
      <c r="V38" s="51">
        <f t="shared" si="9"/>
        <v>138611.5068493151</v>
      </c>
      <c r="Y38" t="s">
        <v>178</v>
      </c>
      <c r="Z38" s="60" t="s">
        <v>179</v>
      </c>
      <c r="AA38" t="s">
        <v>76</v>
      </c>
      <c r="AB38">
        <v>2039</v>
      </c>
      <c r="AC38">
        <v>0</v>
      </c>
      <c r="AD38" s="23">
        <f>AC38*1000000000000/Assumptions!$B$17/1000</f>
        <v>0</v>
      </c>
      <c r="AE38" s="9">
        <f t="shared" si="18"/>
        <v>5.2549999999999999</v>
      </c>
      <c r="AF38">
        <f>IF(LEFT(Z38,4)="Blue",Assumptions!$G$57,0)</f>
        <v>0</v>
      </c>
      <c r="AG38">
        <f>IF(LEFT(Z38,4)="Blue",Assumptions!$G$59,IF(LEFT(Z38,4)="Gree",Assumptions!$G$60,0))</f>
        <v>10.51</v>
      </c>
      <c r="AH38" s="6">
        <f t="shared" ref="AH38:AJ38" si="43">AH17</f>
        <v>87.273478799936612</v>
      </c>
      <c r="AI38" s="6">
        <f t="shared" si="43"/>
        <v>74.096957599873221</v>
      </c>
      <c r="AJ38" s="6">
        <f t="shared" si="43"/>
        <v>100.45</v>
      </c>
      <c r="AK38" s="51">
        <f t="shared" si="22"/>
        <v>-76.763478799936607</v>
      </c>
      <c r="AL38" s="51">
        <f t="shared" si="23"/>
        <v>-63.586957599873223</v>
      </c>
      <c r="AM38" s="51">
        <f t="shared" si="24"/>
        <v>-89.94</v>
      </c>
      <c r="AN38">
        <f>IFERROR(INDEX(WaterUseH2[Average Direct Water Consumption (Gal/ kg h2)],MATCH(LEFT(Hydrogen!Y38,3),WaterUseH2[Key],0)),0)</f>
        <v>2.8</v>
      </c>
      <c r="AO38" s="13">
        <f t="shared" si="11"/>
        <v>0</v>
      </c>
      <c r="AP38" s="13">
        <f>IF(Y38=$Y$3,AD38*Assumptions!$C$8*1000/1000,0)</f>
        <v>0</v>
      </c>
      <c r="AQ38" s="30">
        <f t="shared" si="25"/>
        <v>0</v>
      </c>
      <c r="AR38" s="30">
        <f>$AQ38*Assumptions!B$76</f>
        <v>0</v>
      </c>
      <c r="AS38" s="30">
        <f>$AQ38*Assumptions!C$76</f>
        <v>0</v>
      </c>
      <c r="AT38" s="30">
        <f>$AQ38*Assumptions!D$76</f>
        <v>0</v>
      </c>
      <c r="BC38" t="s">
        <v>180</v>
      </c>
      <c r="BD38" t="s">
        <v>76</v>
      </c>
      <c r="BE38">
        <v>2039</v>
      </c>
      <c r="BF38" s="21">
        <v>1</v>
      </c>
      <c r="BG38" t="s">
        <v>181</v>
      </c>
      <c r="BH38" s="7">
        <f t="shared" si="30"/>
        <v>87.273478799936612</v>
      </c>
      <c r="BI38" s="7">
        <f t="shared" si="28"/>
        <v>74.096957599873221</v>
      </c>
      <c r="BJ38" s="20">
        <v>100.45</v>
      </c>
      <c r="BK38" t="s">
        <v>184</v>
      </c>
      <c r="BL38" s="21">
        <v>0.2623499112711305</v>
      </c>
      <c r="BM38" t="s">
        <v>183</v>
      </c>
    </row>
    <row r="39" spans="1:65" x14ac:dyDescent="0.35">
      <c r="A39" t="s">
        <v>107</v>
      </c>
      <c r="B39">
        <v>2040</v>
      </c>
      <c r="C39" s="51">
        <f t="shared" si="0"/>
        <v>0.23032266666666562</v>
      </c>
      <c r="D39" s="51">
        <f>C39*1000000000000/Assumptions!$B$17/1000</f>
        <v>1919355.5555555467</v>
      </c>
      <c r="E39" s="51" cm="1">
        <f t="array" ref="E39">IF(C39=0,0,SUMPRODUCT(IF($AB$3:$AB$212=B39,1,0),IF($AA$3:$AA$212=$A39,1,0),$AC$3:$AC$212,$AE$3:$AE$212)/C39)</f>
        <v>6.4728809956726314</v>
      </c>
      <c r="F39" s="51" cm="1">
        <f t="array" ref="F39">IF(C39=0,0,SUMPRODUCT(IF($AB$3:$AB$212=B39,1,0),IF($AA$3:$AA$212=A39,1,0),$AC$3:$AC$212,$AF$3:$AF$212)/C39)</f>
        <v>1.0006639960171861</v>
      </c>
      <c r="G39" s="51" cm="1">
        <f t="array" ref="G39">IF($C39=0,0,SUMPRODUCT(IF($AB$3:$AB$212=$B39,1,0),IF($AA$3:$AA$212=$A39,1,0),$AC$3:$AC$212,AG$3:AG$212)/$C39)</f>
        <v>11.945097995328076</v>
      </c>
      <c r="H39" s="51">
        <f t="shared" si="1"/>
        <v>58.5273007673552</v>
      </c>
      <c r="I39" s="51">
        <f t="shared" si="2"/>
        <v>48.654601534710388</v>
      </c>
      <c r="J39" s="51">
        <f t="shared" si="3"/>
        <v>68.400000000000006</v>
      </c>
      <c r="K39" s="51">
        <f t="shared" si="12"/>
        <v>-52.054419771682568</v>
      </c>
      <c r="L39" s="51">
        <f t="shared" si="13"/>
        <v>-47.653937538693199</v>
      </c>
      <c r="M39" s="51">
        <f t="shared" si="14"/>
        <v>-56.454902004671929</v>
      </c>
      <c r="N39" s="51">
        <f t="shared" si="15"/>
        <v>11.989312773599933</v>
      </c>
      <c r="O39" s="51">
        <f t="shared" si="16"/>
        <v>10.975781971078538</v>
      </c>
      <c r="P39" s="51">
        <f t="shared" si="17"/>
        <v>13.002843576121325</v>
      </c>
      <c r="Q39" s="51" cm="1">
        <f t="array" ref="Q39">IF(D39=0,0,SUMPRODUCT(IF($AB$3:$AB$212=B39,1,0),IF($AA$3:$AA$212=A39,1,0),$AD$3:$AD$212,$AN$3:$AN$212)/D39)</f>
        <v>4.0703337925924208</v>
      </c>
      <c r="R39" s="51">
        <f t="shared" si="5"/>
        <v>7812.4177777777404</v>
      </c>
      <c r="S39" s="51">
        <f t="shared" si="6"/>
        <v>36611.872146118549</v>
      </c>
      <c r="T39" s="51">
        <f t="shared" si="7"/>
        <v>128141.55251141492</v>
      </c>
      <c r="U39" s="51">
        <f t="shared" si="8"/>
        <v>102513.24200913194</v>
      </c>
      <c r="V39" s="51">
        <f t="shared" si="9"/>
        <v>153769.8630136979</v>
      </c>
      <c r="Y39" t="s">
        <v>178</v>
      </c>
      <c r="Z39" s="60" t="s">
        <v>179</v>
      </c>
      <c r="AA39" t="s">
        <v>76</v>
      </c>
      <c r="AB39">
        <v>2040</v>
      </c>
      <c r="AC39">
        <v>0</v>
      </c>
      <c r="AD39" s="23">
        <f>AC39*1000000000000/Assumptions!$B$17/1000</f>
        <v>0</v>
      </c>
      <c r="AE39" s="9">
        <f t="shared" si="18"/>
        <v>5.2549999999999999</v>
      </c>
      <c r="AF39">
        <f>IF(LEFT(Z39,4)="Blue",Assumptions!$G$57,0)</f>
        <v>0</v>
      </c>
      <c r="AG39">
        <f>IF(LEFT(Z39,4)="Blue",Assumptions!$G$59,IF(LEFT(Z39,4)="Gree",Assumptions!$G$60,0))</f>
        <v>10.51</v>
      </c>
      <c r="AH39" s="6">
        <f t="shared" ref="AH39:AJ39" si="44">AH18</f>
        <v>85.951275707781519</v>
      </c>
      <c r="AI39" s="6">
        <f t="shared" si="44"/>
        <v>71.452551415563036</v>
      </c>
      <c r="AJ39" s="6">
        <f t="shared" si="44"/>
        <v>100.45</v>
      </c>
      <c r="AK39" s="51">
        <f t="shared" si="22"/>
        <v>-75.441275707781514</v>
      </c>
      <c r="AL39" s="51">
        <f t="shared" si="23"/>
        <v>-60.942551415563038</v>
      </c>
      <c r="AM39" s="51">
        <f t="shared" si="24"/>
        <v>-89.94</v>
      </c>
      <c r="AN39">
        <f>IFERROR(INDEX(WaterUseH2[Average Direct Water Consumption (Gal/ kg h2)],MATCH(LEFT(Hydrogen!Y39,3),WaterUseH2[Key],0)),0)</f>
        <v>2.8</v>
      </c>
      <c r="AO39" s="13">
        <f t="shared" si="11"/>
        <v>0</v>
      </c>
      <c r="AP39" s="13">
        <f>IF(Y39=$Y$3,AD39*Assumptions!$C$8*1000/1000,0)</f>
        <v>0</v>
      </c>
      <c r="AQ39" s="30">
        <f t="shared" si="25"/>
        <v>0</v>
      </c>
      <c r="AR39" s="30">
        <f>$AQ39*Assumptions!B$76</f>
        <v>0</v>
      </c>
      <c r="AS39" s="30">
        <f>$AQ39*Assumptions!C$76</f>
        <v>0</v>
      </c>
      <c r="AT39" s="30">
        <f>$AQ39*Assumptions!D$76</f>
        <v>0</v>
      </c>
      <c r="BC39" t="s">
        <v>180</v>
      </c>
      <c r="BD39" t="s">
        <v>76</v>
      </c>
      <c r="BE39">
        <v>2040</v>
      </c>
      <c r="BF39" s="21">
        <v>1</v>
      </c>
      <c r="BG39" t="s">
        <v>181</v>
      </c>
      <c r="BH39" s="7">
        <f t="shared" si="30"/>
        <v>85.951275707781519</v>
      </c>
      <c r="BI39" s="7">
        <f t="shared" si="28"/>
        <v>71.452551415563036</v>
      </c>
      <c r="BJ39" s="20">
        <v>100.45</v>
      </c>
      <c r="BK39" t="s">
        <v>184</v>
      </c>
      <c r="BL39" s="21">
        <v>0.2886755107378266</v>
      </c>
      <c r="BM39" t="s">
        <v>183</v>
      </c>
    </row>
    <row r="40" spans="1:65" x14ac:dyDescent="0.35">
      <c r="A40" t="s">
        <v>107</v>
      </c>
      <c r="B40">
        <v>2041</v>
      </c>
      <c r="C40" s="51">
        <f t="shared" si="0"/>
        <v>0.25776533333333279</v>
      </c>
      <c r="D40" s="51">
        <f>C40*1000000000000/Assumptions!$B$17/1000</f>
        <v>2148044.4444444398</v>
      </c>
      <c r="E40" s="51" cm="1">
        <f t="array" ref="E40">IF(C40=0,0,SUMPRODUCT(IF($AB$3:$AB$212=B40,1,0),IF($AA$3:$AA$212=$A40,1,0),$AC$3:$AC$212,$AE$3:$AE$212)/C40)</f>
        <v>7.4314416105034162</v>
      </c>
      <c r="F40" s="51" cm="1">
        <f t="array" ref="F40">IF(C40=0,0,SUMPRODUCT(IF($AB$3:$AB$212=B40,1,0),IF($AA$3:$AA$212=A40,1,0),$AC$3:$AC$212,$AF$3:$AF$212)/C40)</f>
        <v>1.7882590883697869</v>
      </c>
      <c r="G40" s="51" cm="1">
        <f t="array" ref="G40">IF($C40=0,0,SUMPRODUCT(IF($AB$3:$AB$212=$B40,1,0),IF($AA$3:$AA$212=$A40,1,0),$AC$3:$AC$212,AG$3:AG$212)/$C40)</f>
        <v>13.074624132637046</v>
      </c>
      <c r="H40" s="51">
        <f t="shared" si="1"/>
        <v>57.632530665966812</v>
      </c>
      <c r="I40" s="51">
        <f t="shared" si="2"/>
        <v>46.86506133193361</v>
      </c>
      <c r="J40" s="51">
        <f t="shared" si="3"/>
        <v>68.400000000000006</v>
      </c>
      <c r="K40" s="51">
        <f t="shared" si="12"/>
        <v>-50.201089055463399</v>
      </c>
      <c r="L40" s="51">
        <f t="shared" si="13"/>
        <v>-45.076802243563826</v>
      </c>
      <c r="M40" s="51">
        <f t="shared" si="14"/>
        <v>-55.325375867362958</v>
      </c>
      <c r="N40" s="51">
        <f t="shared" si="15"/>
        <v>12.940100454077848</v>
      </c>
      <c r="O40" s="51">
        <f t="shared" si="16"/>
        <v>11.619236955912953</v>
      </c>
      <c r="P40" s="51">
        <f t="shared" si="17"/>
        <v>14.260963952242738</v>
      </c>
      <c r="Q40" s="51" cm="1">
        <f t="array" ref="Q40">IF(D40=0,0,SUMPRODUCT(IF($AB$3:$AB$212=B40,1,0),IF($AA$3:$AA$212=A40,1,0),$AD$3:$AD$212,$AN$3:$AN$212)/D40)</f>
        <v>4.046984337174897</v>
      </c>
      <c r="R40" s="51">
        <f t="shared" si="5"/>
        <v>8693.1022222222018</v>
      </c>
      <c r="S40" s="51">
        <f t="shared" si="6"/>
        <v>40221.004566209951</v>
      </c>
      <c r="T40" s="51">
        <f t="shared" si="7"/>
        <v>140773.51598173482</v>
      </c>
      <c r="U40" s="51">
        <f t="shared" si="8"/>
        <v>112618.81278538785</v>
      </c>
      <c r="V40" s="51">
        <f t="shared" si="9"/>
        <v>168928.21917808181</v>
      </c>
      <c r="Y40" t="s">
        <v>178</v>
      </c>
      <c r="Z40" s="60" t="s">
        <v>179</v>
      </c>
      <c r="AA40" t="s">
        <v>76</v>
      </c>
      <c r="AB40">
        <v>2041</v>
      </c>
      <c r="AC40">
        <v>0</v>
      </c>
      <c r="AD40" s="23">
        <f>AC40*1000000000000/Assumptions!$B$17/1000</f>
        <v>0</v>
      </c>
      <c r="AE40" s="9">
        <f t="shared" si="18"/>
        <v>5.2549999999999999</v>
      </c>
      <c r="AF40">
        <f>IF(LEFT(Z40,4)="Blue",Assumptions!$G$57,0)</f>
        <v>0</v>
      </c>
      <c r="AG40">
        <f>IF(LEFT(Z40,4)="Blue",Assumptions!$G$59,IF(LEFT(Z40,4)="Gree",Assumptions!$G$60,0))</f>
        <v>10.51</v>
      </c>
      <c r="AH40" s="6">
        <f t="shared" ref="AH40:AJ40" si="45">AH19</f>
        <v>84.637245588482756</v>
      </c>
      <c r="AI40" s="6">
        <f t="shared" si="45"/>
        <v>68.824491176965509</v>
      </c>
      <c r="AJ40" s="6">
        <f t="shared" si="45"/>
        <v>100.45</v>
      </c>
      <c r="AK40" s="51">
        <f t="shared" si="22"/>
        <v>-74.127245588482751</v>
      </c>
      <c r="AL40" s="51">
        <f t="shared" si="23"/>
        <v>-58.314491176965511</v>
      </c>
      <c r="AM40" s="51">
        <f t="shared" si="24"/>
        <v>-89.94</v>
      </c>
      <c r="AN40">
        <f>IFERROR(INDEX(WaterUseH2[Average Direct Water Consumption (Gal/ kg h2)],MATCH(LEFT(Hydrogen!Y40,3),WaterUseH2[Key],0)),0)</f>
        <v>2.8</v>
      </c>
      <c r="AO40" s="13">
        <f t="shared" si="11"/>
        <v>0</v>
      </c>
      <c r="AP40" s="13">
        <f>IF(Y40=$Y$3,AD40*Assumptions!$C$8*1000/1000,0)</f>
        <v>0</v>
      </c>
      <c r="AQ40" s="30">
        <f t="shared" si="25"/>
        <v>0</v>
      </c>
      <c r="AR40" s="30">
        <f>$AQ40*Assumptions!B$76</f>
        <v>0</v>
      </c>
      <c r="AS40" s="30">
        <f>$AQ40*Assumptions!C$76</f>
        <v>0</v>
      </c>
      <c r="AT40" s="30">
        <f>$AQ40*Assumptions!D$76</f>
        <v>0</v>
      </c>
      <c r="BC40" t="s">
        <v>180</v>
      </c>
      <c r="BD40" t="s">
        <v>76</v>
      </c>
      <c r="BE40">
        <v>2041</v>
      </c>
      <c r="BF40" s="21">
        <v>1</v>
      </c>
      <c r="BG40" t="s">
        <v>181</v>
      </c>
      <c r="BH40" s="7">
        <f t="shared" si="30"/>
        <v>84.637245588482756</v>
      </c>
      <c r="BI40" s="7">
        <f t="shared" si="28"/>
        <v>68.824491176965509</v>
      </c>
      <c r="BJ40" s="20">
        <v>100.45</v>
      </c>
      <c r="BK40" t="s">
        <v>184</v>
      </c>
      <c r="BL40" s="21">
        <v>0.31483838237029904</v>
      </c>
      <c r="BM40" t="s">
        <v>183</v>
      </c>
    </row>
    <row r="41" spans="1:65" x14ac:dyDescent="0.35">
      <c r="A41" t="s">
        <v>107</v>
      </c>
      <c r="B41">
        <v>2042</v>
      </c>
      <c r="C41" s="51">
        <f t="shared" si="0"/>
        <v>0.27995200000000003</v>
      </c>
      <c r="D41" s="51">
        <f>C41*1000000000000/Assumptions!$B$17/1000</f>
        <v>2332933.333333334</v>
      </c>
      <c r="E41" s="51" cm="1">
        <f t="array" ref="E41">IF(C41=0,0,SUMPRODUCT(IF($AB$3:$AB$212=B41,1,0),IF($AA$3:$AA$212=$A41,1,0),$AC$3:$AC$212,$AE$3:$AE$212)/C41)</f>
        <v>7.2589549537490301</v>
      </c>
      <c r="F41" s="51" cm="1">
        <f t="array" ref="F41">IF(C41=0,0,SUMPRODUCT(IF($AB$3:$AB$212=B41,1,0),IF($AA$3:$AA$212=A41,1,0),$AC$3:$AC$212,$AF$3:$AF$212)/C41)</f>
        <v>1.6465365491227064</v>
      </c>
      <c r="G41" s="51" cm="1">
        <f t="array" ref="G41">IF($C41=0,0,SUMPRODUCT(IF($AB$3:$AB$212=$B41,1,0),IF($AA$3:$AA$212=$A41,1,0),$AC$3:$AC$212,AG$3:AG$212)/$C41)</f>
        <v>12.871373358375356</v>
      </c>
      <c r="H41" s="51">
        <f t="shared" si="1"/>
        <v>56.76574080881619</v>
      </c>
      <c r="I41" s="51">
        <f t="shared" si="2"/>
        <v>45.131481617632375</v>
      </c>
      <c r="J41" s="51">
        <f t="shared" si="3"/>
        <v>68.400000000000006</v>
      </c>
      <c r="K41" s="51">
        <f t="shared" si="12"/>
        <v>-49.506785855067157</v>
      </c>
      <c r="L41" s="51">
        <f t="shared" si="13"/>
        <v>-43.484945068509667</v>
      </c>
      <c r="M41" s="51">
        <f t="shared" si="14"/>
        <v>-55.528626641624648</v>
      </c>
      <c r="N41" s="51">
        <f t="shared" si="15"/>
        <v>13.859523713697763</v>
      </c>
      <c r="O41" s="51">
        <f t="shared" si="16"/>
        <v>12.17369734181942</v>
      </c>
      <c r="P41" s="51">
        <f t="shared" si="17"/>
        <v>15.545350085576105</v>
      </c>
      <c r="Q41" s="51" cm="1">
        <f t="array" ref="Q41">IF(D41=0,0,SUMPRODUCT(IF($AB$3:$AB$212=B41,1,0),IF($AA$3:$AA$212=A41,1,0),$AD$3:$AD$212,$AN$3:$AN$212)/D41)</f>
        <v>4.0511859175858707</v>
      </c>
      <c r="R41" s="51">
        <f t="shared" si="5"/>
        <v>9451.1466666666674</v>
      </c>
      <c r="S41" s="51">
        <f t="shared" si="6"/>
        <v>43830.136986301368</v>
      </c>
      <c r="T41" s="51">
        <f t="shared" si="7"/>
        <v>153405.47945205477</v>
      </c>
      <c r="U41" s="51">
        <f t="shared" si="8"/>
        <v>122724.38356164382</v>
      </c>
      <c r="V41" s="51">
        <f t="shared" si="9"/>
        <v>184086.57534246575</v>
      </c>
      <c r="Y41" t="s">
        <v>178</v>
      </c>
      <c r="Z41" s="60" t="s">
        <v>179</v>
      </c>
      <c r="AA41" t="s">
        <v>76</v>
      </c>
      <c r="AB41">
        <v>2042</v>
      </c>
      <c r="AC41">
        <v>0</v>
      </c>
      <c r="AD41" s="23">
        <f>AC41*1000000000000/Assumptions!$B$17/1000</f>
        <v>0</v>
      </c>
      <c r="AE41" s="9">
        <f t="shared" si="18"/>
        <v>5.2549999999999999</v>
      </c>
      <c r="AF41">
        <f>IF(LEFT(Z41,4)="Blue",Assumptions!$G$57,0)</f>
        <v>0</v>
      </c>
      <c r="AG41">
        <f>IF(LEFT(Z41,4)="Blue",Assumptions!$G$59,IF(LEFT(Z41,4)="Gree",Assumptions!$G$60,0))</f>
        <v>10.51</v>
      </c>
      <c r="AH41" s="6">
        <f t="shared" ref="AH41:AJ41" si="46">AH20</f>
        <v>83.36430635778953</v>
      </c>
      <c r="AI41" s="6">
        <f t="shared" si="46"/>
        <v>66.278612715579072</v>
      </c>
      <c r="AJ41" s="6">
        <f t="shared" si="46"/>
        <v>100.45</v>
      </c>
      <c r="AK41" s="51">
        <f t="shared" si="22"/>
        <v>-72.85430635778954</v>
      </c>
      <c r="AL41" s="51">
        <f t="shared" si="23"/>
        <v>-55.768612715579074</v>
      </c>
      <c r="AM41" s="51">
        <f t="shared" si="24"/>
        <v>-89.94</v>
      </c>
      <c r="AN41">
        <f>IFERROR(INDEX(WaterUseH2[Average Direct Water Consumption (Gal/ kg h2)],MATCH(LEFT(Hydrogen!Y41,3),WaterUseH2[Key],0)),0)</f>
        <v>2.8</v>
      </c>
      <c r="AO41" s="13">
        <f t="shared" si="11"/>
        <v>0</v>
      </c>
      <c r="AP41" s="13">
        <f>IF(Y41=$Y$3,AD41*Assumptions!$C$8*1000/1000,0)</f>
        <v>0</v>
      </c>
      <c r="AQ41" s="30">
        <f t="shared" si="25"/>
        <v>0</v>
      </c>
      <c r="AR41" s="30">
        <f>$AQ41*Assumptions!B$76</f>
        <v>0</v>
      </c>
      <c r="AS41" s="30">
        <f>$AQ41*Assumptions!C$76</f>
        <v>0</v>
      </c>
      <c r="AT41" s="30">
        <f>$AQ41*Assumptions!D$76</f>
        <v>0</v>
      </c>
      <c r="BC41" t="s">
        <v>180</v>
      </c>
      <c r="BD41" t="s">
        <v>76</v>
      </c>
      <c r="BE41">
        <v>2042</v>
      </c>
      <c r="BF41" s="21">
        <v>1</v>
      </c>
      <c r="BG41" t="s">
        <v>181</v>
      </c>
      <c r="BH41" s="7">
        <f t="shared" si="30"/>
        <v>83.36430635778953</v>
      </c>
      <c r="BI41" s="7">
        <f t="shared" si="28"/>
        <v>66.278612715579072</v>
      </c>
      <c r="BJ41" s="20">
        <v>100.45</v>
      </c>
      <c r="BK41" t="s">
        <v>184</v>
      </c>
      <c r="BL41" s="21">
        <v>0.34018311706874538</v>
      </c>
      <c r="BM41" t="s">
        <v>183</v>
      </c>
    </row>
    <row r="42" spans="1:65" x14ac:dyDescent="0.35">
      <c r="A42" t="s">
        <v>107</v>
      </c>
      <c r="B42">
        <v>2043</v>
      </c>
      <c r="C42" s="51">
        <f t="shared" si="0"/>
        <v>0.30213866666666561</v>
      </c>
      <c r="D42" s="51">
        <f>C42*1000000000000/Assumptions!$B$17/1000</f>
        <v>2517822.2222222132</v>
      </c>
      <c r="E42" s="51" cm="1">
        <f t="array" ref="E42">IF(C42=0,0,SUMPRODUCT(IF($AB$3:$AB$212=B42,1,0),IF($AA$3:$AA$212=$A42,1,0),$AC$3:$AC$212,$AE$3:$AE$212)/C42)</f>
        <v>7.1118004002972706</v>
      </c>
      <c r="F42" s="51" cm="1">
        <f t="array" ref="F42">IF(C42=0,0,SUMPRODUCT(IF($AB$3:$AB$212=B42,1,0),IF($AA$3:$AA$212=A42,1,0),$AC$3:$AC$212,$AF$3:$AF$212)/C42)</f>
        <v>1.5256279677322606</v>
      </c>
      <c r="G42" s="51" cm="1">
        <f t="array" ref="G42">IF($C42=0,0,SUMPRODUCT(IF($AB$3:$AB$212=$B42,1,0),IF($AA$3:$AA$212=$A42,1,0),$AC$3:$AC$212,AG$3:AG$212)/$C42)</f>
        <v>12.697972832862284</v>
      </c>
      <c r="H42" s="51">
        <f t="shared" si="1"/>
        <v>55.933908231255018</v>
      </c>
      <c r="I42" s="51">
        <f t="shared" si="2"/>
        <v>43.467816462510037</v>
      </c>
      <c r="J42" s="51">
        <f t="shared" si="3"/>
        <v>68.400000000000006</v>
      </c>
      <c r="K42" s="51">
        <f t="shared" si="12"/>
        <v>-48.822107830957748</v>
      </c>
      <c r="L42" s="51">
        <f t="shared" si="13"/>
        <v>-41.942188494777774</v>
      </c>
      <c r="M42" s="51">
        <f t="shared" si="14"/>
        <v>-55.702027167137722</v>
      </c>
      <c r="N42" s="51">
        <f t="shared" si="15"/>
        <v>14.751046563901747</v>
      </c>
      <c r="O42" s="51">
        <f t="shared" si="16"/>
        <v>12.67235690889412</v>
      </c>
      <c r="P42" s="51">
        <f t="shared" si="17"/>
        <v>16.829736218909375</v>
      </c>
      <c r="Q42" s="51" cm="1">
        <f t="array" ref="Q42">IF(D42=0,0,SUMPRODUCT(IF($AB$3:$AB$212=B42,1,0),IF($AA$3:$AA$212=A42,1,0),$AD$3:$AD$212,$AN$3:$AN$212)/D42)</f>
        <v>4.0547704365324524</v>
      </c>
      <c r="R42" s="51">
        <f t="shared" si="5"/>
        <v>10209.191111111073</v>
      </c>
      <c r="S42" s="51">
        <f t="shared" si="6"/>
        <v>47439.269406392516</v>
      </c>
      <c r="T42" s="51">
        <f t="shared" si="7"/>
        <v>166037.4429223738</v>
      </c>
      <c r="U42" s="51">
        <f t="shared" si="8"/>
        <v>132829.95433789905</v>
      </c>
      <c r="V42" s="51">
        <f t="shared" si="9"/>
        <v>199244.93150684857</v>
      </c>
      <c r="Y42" t="s">
        <v>178</v>
      </c>
      <c r="Z42" s="60" t="s">
        <v>179</v>
      </c>
      <c r="AA42" t="s">
        <v>76</v>
      </c>
      <c r="AB42">
        <v>2043</v>
      </c>
      <c r="AC42">
        <v>0</v>
      </c>
      <c r="AD42" s="23">
        <f>AC42*1000000000000/Assumptions!$B$17/1000</f>
        <v>0</v>
      </c>
      <c r="AE42" s="9">
        <f t="shared" si="18"/>
        <v>5.2549999999999999</v>
      </c>
      <c r="AF42">
        <f>IF(LEFT(Z42,4)="Blue",Assumptions!$G$57,0)</f>
        <v>0</v>
      </c>
      <c r="AG42">
        <f>IF(LEFT(Z42,4)="Blue",Assumptions!$G$59,IF(LEFT(Z42,4)="Gree",Assumptions!$G$60,0))</f>
        <v>10.51</v>
      </c>
      <c r="AH42" s="6">
        <f t="shared" ref="AH42:AJ42" si="47">AH21</f>
        <v>82.142704261559757</v>
      </c>
      <c r="AI42" s="6">
        <f t="shared" si="47"/>
        <v>63.835408523119504</v>
      </c>
      <c r="AJ42" s="6">
        <f t="shared" si="47"/>
        <v>100.45</v>
      </c>
      <c r="AK42" s="51">
        <f t="shared" si="22"/>
        <v>-71.632704261559752</v>
      </c>
      <c r="AL42" s="51">
        <f t="shared" si="23"/>
        <v>-53.325408523119506</v>
      </c>
      <c r="AM42" s="51">
        <f t="shared" si="24"/>
        <v>-89.94</v>
      </c>
      <c r="AN42">
        <f>IFERROR(INDEX(WaterUseH2[Average Direct Water Consumption (Gal/ kg h2)],MATCH(LEFT(Hydrogen!Y42,3),WaterUseH2[Key],0)),0)</f>
        <v>2.8</v>
      </c>
      <c r="AO42" s="13">
        <f t="shared" si="11"/>
        <v>0</v>
      </c>
      <c r="AP42" s="13">
        <f>IF(Y42=$Y$3,AD42*Assumptions!$C$8*1000/1000,0)</f>
        <v>0</v>
      </c>
      <c r="AQ42" s="30">
        <f t="shared" si="25"/>
        <v>0</v>
      </c>
      <c r="AR42" s="30">
        <f>$AQ42*Assumptions!B$76</f>
        <v>0</v>
      </c>
      <c r="AS42" s="30">
        <f>$AQ42*Assumptions!C$76</f>
        <v>0</v>
      </c>
      <c r="AT42" s="30">
        <f>$AQ42*Assumptions!D$76</f>
        <v>0</v>
      </c>
      <c r="BC42" t="s">
        <v>180</v>
      </c>
      <c r="BD42" t="s">
        <v>76</v>
      </c>
      <c r="BE42">
        <v>2043</v>
      </c>
      <c r="BF42" s="21">
        <v>1</v>
      </c>
      <c r="BG42" t="s">
        <v>181</v>
      </c>
      <c r="BH42" s="7">
        <f t="shared" si="30"/>
        <v>82.142704261559757</v>
      </c>
      <c r="BI42" s="7">
        <f t="shared" si="28"/>
        <v>63.835408523119504</v>
      </c>
      <c r="BJ42" s="20">
        <v>100.45</v>
      </c>
      <c r="BK42" t="s">
        <v>184</v>
      </c>
      <c r="BL42" s="21">
        <v>0.36450570793730208</v>
      </c>
      <c r="BM42" t="s">
        <v>183</v>
      </c>
    </row>
    <row r="43" spans="1:65" x14ac:dyDescent="0.35">
      <c r="A43" t="s">
        <v>107</v>
      </c>
      <c r="B43">
        <v>2044</v>
      </c>
      <c r="C43" s="51">
        <f t="shared" si="0"/>
        <v>0.3243253333333328</v>
      </c>
      <c r="D43" s="51">
        <f>C43*1000000000000/Assumptions!$B$17/1000</f>
        <v>2702711.1111111068</v>
      </c>
      <c r="E43" s="51" cm="1">
        <f t="array" ref="E43">IF(C43=0,0,SUMPRODUCT(IF($AB$3:$AB$212=B43,1,0),IF($AA$3:$AA$212=$A43,1,0),$AC$3:$AC$212,$AE$3:$AE$212)/C43)</f>
        <v>6.9847791432017328</v>
      </c>
      <c r="F43" s="51" cm="1">
        <f t="array" ref="F43">IF(C43=0,0,SUMPRODUCT(IF($AB$3:$AB$212=B43,1,0),IF($AA$3:$AA$212=A43,1,0),$AC$3:$AC$212,$AF$3:$AF$212)/C43)</f>
        <v>1.4212617782966919</v>
      </c>
      <c r="G43" s="51" cm="1">
        <f t="array" ref="G43">IF($C43=0,0,SUMPRODUCT(IF($AB$3:$AB$212=$B43,1,0),IF($AA$3:$AA$212=$A43,1,0),$AC$3:$AC$212,AG$3:AG$212)/$C43)</f>
        <v>12.548296508106771</v>
      </c>
      <c r="H43" s="51">
        <f t="shared" si="1"/>
        <v>55.149114025282714</v>
      </c>
      <c r="I43" s="51">
        <f t="shared" si="2"/>
        <v>41.898228050565415</v>
      </c>
      <c r="J43" s="51">
        <f t="shared" si="3"/>
        <v>68.400000000000006</v>
      </c>
      <c r="K43" s="51">
        <f t="shared" si="12"/>
        <v>-48.164334882080979</v>
      </c>
      <c r="L43" s="51">
        <f t="shared" si="13"/>
        <v>-40.476966272268726</v>
      </c>
      <c r="M43" s="51">
        <f t="shared" si="14"/>
        <v>-55.851703491893232</v>
      </c>
      <c r="N43" s="51">
        <f t="shared" si="15"/>
        <v>15.620913965409182</v>
      </c>
      <c r="O43" s="51">
        <f t="shared" si="16"/>
        <v>13.127705578575624</v>
      </c>
      <c r="P43" s="51">
        <f t="shared" si="17"/>
        <v>18.114122352242742</v>
      </c>
      <c r="Q43" s="51" cm="1">
        <f t="array" ref="Q43">IF(D43=0,0,SUMPRODUCT(IF($AB$3:$AB$212=B43,1,0),IF($AA$3:$AA$212=A43,1,0),$AD$3:$AD$212,$AN$3:$AN$212)/D43)</f>
        <v>4.0578645310881249</v>
      </c>
      <c r="R43" s="51">
        <f t="shared" si="5"/>
        <v>10967.235555555537</v>
      </c>
      <c r="S43" s="51">
        <f t="shared" si="6"/>
        <v>51048.401826483925</v>
      </c>
      <c r="T43" s="51">
        <f t="shared" si="7"/>
        <v>178669.40639269375</v>
      </c>
      <c r="U43" s="51">
        <f t="shared" si="8"/>
        <v>142935.52511415497</v>
      </c>
      <c r="V43" s="51">
        <f t="shared" si="9"/>
        <v>214403.28767123251</v>
      </c>
      <c r="Y43" t="s">
        <v>178</v>
      </c>
      <c r="Z43" s="60" t="s">
        <v>179</v>
      </c>
      <c r="AA43" t="s">
        <v>76</v>
      </c>
      <c r="AB43">
        <v>2044</v>
      </c>
      <c r="AC43">
        <v>0</v>
      </c>
      <c r="AD43" s="23">
        <f>AC43*1000000000000/Assumptions!$B$17/1000</f>
        <v>0</v>
      </c>
      <c r="AE43" s="9">
        <f t="shared" si="18"/>
        <v>5.2549999999999999</v>
      </c>
      <c r="AF43">
        <f>IF(LEFT(Z43,4)="Blue",Assumptions!$G$57,0)</f>
        <v>0</v>
      </c>
      <c r="AG43">
        <f>IF(LEFT(Z43,4)="Blue",Assumptions!$G$59,IF(LEFT(Z43,4)="Gree",Assumptions!$G$60,0))</f>
        <v>10.51</v>
      </c>
      <c r="AH43" s="6">
        <f t="shared" ref="AH43:AJ43" si="48">AH22</f>
        <v>80.990181196488862</v>
      </c>
      <c r="AI43" s="6">
        <f t="shared" si="48"/>
        <v>61.530362392977736</v>
      </c>
      <c r="AJ43" s="6">
        <f t="shared" si="48"/>
        <v>100.45</v>
      </c>
      <c r="AK43" s="51">
        <f t="shared" si="22"/>
        <v>-70.480181196488871</v>
      </c>
      <c r="AL43" s="51">
        <f t="shared" si="23"/>
        <v>-51.020362392977738</v>
      </c>
      <c r="AM43" s="51">
        <f t="shared" si="24"/>
        <v>-89.94</v>
      </c>
      <c r="AN43">
        <f>IFERROR(INDEX(WaterUseH2[Average Direct Water Consumption (Gal/ kg h2)],MATCH(LEFT(Hydrogen!Y43,3),WaterUseH2[Key],0)),0)</f>
        <v>2.8</v>
      </c>
      <c r="AO43" s="13">
        <f t="shared" si="11"/>
        <v>0</v>
      </c>
      <c r="AP43" s="13">
        <f>IF(Y43=$Y$3,AD43*Assumptions!$C$8*1000/1000,0)</f>
        <v>0</v>
      </c>
      <c r="AQ43" s="30">
        <f t="shared" si="25"/>
        <v>0</v>
      </c>
      <c r="AR43" s="30">
        <f>$AQ43*Assumptions!B$76</f>
        <v>0</v>
      </c>
      <c r="AS43" s="30">
        <f>$AQ43*Assumptions!C$76</f>
        <v>0</v>
      </c>
      <c r="AT43" s="30">
        <f>$AQ43*Assumptions!D$76</f>
        <v>0</v>
      </c>
      <c r="BC43" t="s">
        <v>180</v>
      </c>
      <c r="BD43" t="s">
        <v>76</v>
      </c>
      <c r="BE43">
        <v>2044</v>
      </c>
      <c r="BF43" s="21">
        <v>1</v>
      </c>
      <c r="BG43" t="s">
        <v>181</v>
      </c>
      <c r="BH43" s="7">
        <f t="shared" si="30"/>
        <v>80.990181196488862</v>
      </c>
      <c r="BI43" s="7">
        <f t="shared" si="28"/>
        <v>61.530362392977736</v>
      </c>
      <c r="BJ43" s="20">
        <v>100.45</v>
      </c>
      <c r="BK43" t="s">
        <v>184</v>
      </c>
      <c r="BL43" s="21">
        <v>0.38745290663300092</v>
      </c>
      <c r="BM43" t="s">
        <v>183</v>
      </c>
    </row>
    <row r="44" spans="1:65" x14ac:dyDescent="0.35">
      <c r="A44" t="s">
        <v>107</v>
      </c>
      <c r="B44">
        <v>2045</v>
      </c>
      <c r="C44" s="51">
        <f t="shared" si="0"/>
        <v>0.34651199999999999</v>
      </c>
      <c r="D44" s="51">
        <f>C44*1000000000000/Assumptions!$B$17/1000</f>
        <v>2887600</v>
      </c>
      <c r="E44" s="51" cm="1">
        <f t="array" ref="E44">IF(C44=0,0,SUMPRODUCT(IF($AB$3:$AB$212=B44,1,0),IF($AA$3:$AA$212=$A44,1,0),$AC$3:$AC$212,$AE$3:$AE$212)/C44)</f>
        <v>6.8740238641430844</v>
      </c>
      <c r="F44" s="51" cm="1">
        <f t="array" ref="F44">IF(C44=0,0,SUMPRODUCT(IF($AB$3:$AB$212=B44,1,0),IF($AA$3:$AA$212=A44,1,0),$AC$3:$AC$212,$AF$3:$AF$212)/C44)</f>
        <v>1.330260423881424</v>
      </c>
      <c r="G44" s="51" cm="1">
        <f t="array" ref="G44">IF($C44=0,0,SUMPRODUCT(IF($AB$3:$AB$212=$B44,1,0),IF($AA$3:$AA$212=$A44,1,0),$AC$3:$AC$212,AG$3:AG$212)/$C44)</f>
        <v>12.417787304404746</v>
      </c>
      <c r="H44" s="51">
        <f t="shared" si="1"/>
        <v>54.420759797554837</v>
      </c>
      <c r="I44" s="51">
        <f t="shared" si="2"/>
        <v>40.441519595109675</v>
      </c>
      <c r="J44" s="51">
        <f t="shared" si="3"/>
        <v>68.400000000000006</v>
      </c>
      <c r="K44" s="51">
        <f t="shared" si="12"/>
        <v>-47.546735933411753</v>
      </c>
      <c r="L44" s="51">
        <f t="shared" si="13"/>
        <v>-39.111259171228248</v>
      </c>
      <c r="M44" s="51">
        <f t="shared" si="14"/>
        <v>-55.982212695595258</v>
      </c>
      <c r="N44" s="51">
        <f t="shared" si="15"/>
        <v>16.475514561758374</v>
      </c>
      <c r="O44" s="51">
        <f t="shared" si="16"/>
        <v>13.552520637940642</v>
      </c>
      <c r="P44" s="51">
        <f t="shared" si="17"/>
        <v>19.398508485576105</v>
      </c>
      <c r="Q44" s="51" cm="1">
        <f t="array" ref="Q44">IF(D44=0,0,SUMPRODUCT(IF($AB$3:$AB$212=B44,1,0),IF($AA$3:$AA$212=A44,1,0),$AD$3:$AD$212,$AN$3:$AN$212)/D44)</f>
        <v>4.0605624047652018</v>
      </c>
      <c r="R44" s="51">
        <f t="shared" si="5"/>
        <v>11725.279999999997</v>
      </c>
      <c r="S44" s="51">
        <f t="shared" si="6"/>
        <v>54657.534246575335</v>
      </c>
      <c r="T44" s="51">
        <f t="shared" si="7"/>
        <v>191301.36986301368</v>
      </c>
      <c r="U44" s="51">
        <f t="shared" si="8"/>
        <v>153041.09589041091</v>
      </c>
      <c r="V44" s="51">
        <f t="shared" si="9"/>
        <v>229561.64383561641</v>
      </c>
      <c r="Y44" t="s">
        <v>178</v>
      </c>
      <c r="Z44" s="60" t="s">
        <v>179</v>
      </c>
      <c r="AA44" t="s">
        <v>76</v>
      </c>
      <c r="AB44">
        <v>2045</v>
      </c>
      <c r="AC44">
        <v>0</v>
      </c>
      <c r="AD44" s="23">
        <f>AC44*1000000000000/Assumptions!$B$17/1000</f>
        <v>0</v>
      </c>
      <c r="AE44" s="9">
        <f t="shared" si="18"/>
        <v>5.2549999999999999</v>
      </c>
      <c r="AF44">
        <f>IF(LEFT(Z44,4)="Blue",Assumptions!$G$57,0)</f>
        <v>0</v>
      </c>
      <c r="AG44">
        <f>IF(LEFT(Z44,4)="Blue",Assumptions!$G$59,IF(LEFT(Z44,4)="Gree",Assumptions!$G$60,0))</f>
        <v>10.51</v>
      </c>
      <c r="AH44" s="6">
        <f t="shared" ref="AH44:AJ44" si="49">AH23</f>
        <v>79.920544054153567</v>
      </c>
      <c r="AI44" s="6">
        <f t="shared" si="49"/>
        <v>59.391088108307123</v>
      </c>
      <c r="AJ44" s="6">
        <f t="shared" si="49"/>
        <v>100.45</v>
      </c>
      <c r="AK44" s="51">
        <f t="shared" si="22"/>
        <v>-69.410544054153561</v>
      </c>
      <c r="AL44" s="51">
        <f t="shared" si="23"/>
        <v>-48.881088108307125</v>
      </c>
      <c r="AM44" s="51">
        <f t="shared" si="24"/>
        <v>-89.94</v>
      </c>
      <c r="AN44">
        <f>IFERROR(INDEX(WaterUseH2[Average Direct Water Consumption (Gal/ kg h2)],MATCH(LEFT(Hydrogen!Y44,3),WaterUseH2[Key],0)),0)</f>
        <v>2.8</v>
      </c>
      <c r="AO44" s="13">
        <f t="shared" si="11"/>
        <v>0</v>
      </c>
      <c r="AP44" s="13">
        <f>IF(Y44=$Y$3,AD44*Assumptions!$C$8*1000/1000,0)</f>
        <v>0</v>
      </c>
      <c r="AQ44" s="30">
        <f t="shared" si="25"/>
        <v>0</v>
      </c>
      <c r="AR44" s="30">
        <f>$AQ44*Assumptions!B$76</f>
        <v>0</v>
      </c>
      <c r="AS44" s="30">
        <f>$AQ44*Assumptions!C$76</f>
        <v>0</v>
      </c>
      <c r="AT44" s="30">
        <f>$AQ44*Assumptions!D$76</f>
        <v>0</v>
      </c>
      <c r="BC44" t="s">
        <v>180</v>
      </c>
      <c r="BD44" t="s">
        <v>76</v>
      </c>
      <c r="BE44">
        <v>2045</v>
      </c>
      <c r="BF44" s="21">
        <v>1</v>
      </c>
      <c r="BG44" t="s">
        <v>181</v>
      </c>
      <c r="BH44" s="7">
        <f t="shared" si="30"/>
        <v>79.920544054153567</v>
      </c>
      <c r="BI44" s="7">
        <f t="shared" si="28"/>
        <v>59.391088108307123</v>
      </c>
      <c r="BJ44" s="20">
        <v>100.45</v>
      </c>
      <c r="BK44" t="s">
        <v>184</v>
      </c>
      <c r="BL44" s="21">
        <v>0.40874981238073466</v>
      </c>
      <c r="BM44" t="s">
        <v>183</v>
      </c>
    </row>
    <row r="45" spans="1:65" x14ac:dyDescent="0.35">
      <c r="Y45" t="s">
        <v>74</v>
      </c>
      <c r="Z45" s="16" t="s">
        <v>73</v>
      </c>
      <c r="AA45" t="s">
        <v>76</v>
      </c>
      <c r="AB45">
        <v>2025</v>
      </c>
      <c r="AC45">
        <v>0</v>
      </c>
      <c r="AD45" s="23">
        <f>AC45*1000000000000/Assumptions!$B$17/1000</f>
        <v>0</v>
      </c>
      <c r="AE45" s="9">
        <f t="shared" si="18"/>
        <v>58.623645092460876</v>
      </c>
      <c r="AF45">
        <f>IF(LEFT(Z45,4)="Blue",Assumptions!$G$57,0)</f>
        <v>43.849999999999994</v>
      </c>
      <c r="AG45">
        <f>IF(LEFT(Z45,4)="Blue",Assumptions!$G$59,IF(LEFT(Z45,4)="Gree",Assumptions!$G$60,0))</f>
        <v>73.397290184921758</v>
      </c>
      <c r="AH45" s="6">
        <f t="shared" ref="AH45:AJ45" si="50">AH24</f>
        <v>99.359553682832001</v>
      </c>
      <c r="AI45" s="6">
        <f t="shared" si="50"/>
        <v>98.269107365663999</v>
      </c>
      <c r="AJ45" s="6">
        <f t="shared" si="50"/>
        <v>100.45</v>
      </c>
      <c r="AK45" s="51">
        <f t="shared" si="22"/>
        <v>-25.962263497910243</v>
      </c>
      <c r="AL45" s="51">
        <f t="shared" si="23"/>
        <v>-24.871817180742241</v>
      </c>
      <c r="AM45" s="51">
        <f t="shared" si="24"/>
        <v>-27.052709815078245</v>
      </c>
      <c r="AN45">
        <f>IFERROR(INDEX(WaterUseH2[Average Direct Water Consumption (Gal/ kg h2)],MATCH(LEFT(Hydrogen!Y45,3),WaterUseH2[Key],0)),0)</f>
        <v>2.8</v>
      </c>
      <c r="AO45" s="13">
        <f t="shared" si="11"/>
        <v>0</v>
      </c>
      <c r="AP45" s="13">
        <f>IF(Y45=$Y$3,AD45*Assumptions!$C$8*1000/1000,0)</f>
        <v>0</v>
      </c>
      <c r="AQ45" s="30">
        <f t="shared" si="25"/>
        <v>0</v>
      </c>
      <c r="AR45" s="30">
        <f>$AQ45*Assumptions!B$76</f>
        <v>0</v>
      </c>
      <c r="AS45" s="30">
        <f>$AQ45*Assumptions!C$76</f>
        <v>0</v>
      </c>
      <c r="AT45" s="30">
        <f>$AQ45*Assumptions!D$76</f>
        <v>0</v>
      </c>
      <c r="BC45" t="s">
        <v>185</v>
      </c>
      <c r="BD45" t="s">
        <v>76</v>
      </c>
      <c r="BE45" t="s">
        <v>186</v>
      </c>
      <c r="BF45" s="21">
        <v>0</v>
      </c>
      <c r="BG45" t="s">
        <v>181</v>
      </c>
      <c r="BH45" s="38">
        <v>50.067924528301887</v>
      </c>
      <c r="BI45" s="38">
        <v>50.067924528301887</v>
      </c>
      <c r="BJ45" s="38">
        <v>50.0679245283022</v>
      </c>
      <c r="BK45" t="s">
        <v>187</v>
      </c>
    </row>
    <row r="46" spans="1:65" x14ac:dyDescent="0.35">
      <c r="Y46" t="s">
        <v>74</v>
      </c>
      <c r="Z46" s="16" t="s">
        <v>73</v>
      </c>
      <c r="AA46" t="s">
        <v>76</v>
      </c>
      <c r="AB46">
        <v>2026</v>
      </c>
      <c r="AC46">
        <v>1.3140000000000001E-3</v>
      </c>
      <c r="AD46" s="23">
        <f>AC46*1000000000000/Assumptions!$B$17/1000</f>
        <v>10950</v>
      </c>
      <c r="AE46" s="9">
        <f t="shared" si="18"/>
        <v>58.623645092460876</v>
      </c>
      <c r="AF46">
        <f>IF(LEFT(Z46,4)="Blue",Assumptions!$G$57,0)</f>
        <v>43.849999999999994</v>
      </c>
      <c r="AG46">
        <f>IF(LEFT(Z46,4)="Blue",Assumptions!$G$59,IF(LEFT(Z46,4)="Gree",Assumptions!$G$60,0))</f>
        <v>73.397290184921758</v>
      </c>
      <c r="AH46" s="6">
        <f t="shared" ref="AH46:AJ46" si="51">AH25</f>
        <v>99.000787443158117</v>
      </c>
      <c r="AI46" s="6">
        <f t="shared" si="51"/>
        <v>97.551574886316232</v>
      </c>
      <c r="AJ46" s="6">
        <f t="shared" si="51"/>
        <v>100.45</v>
      </c>
      <c r="AK46" s="51">
        <f t="shared" si="22"/>
        <v>-25.603497258236359</v>
      </c>
      <c r="AL46" s="51">
        <f t="shared" si="23"/>
        <v>-24.154284701394474</v>
      </c>
      <c r="AM46" s="51">
        <f t="shared" si="24"/>
        <v>-27.052709815078245</v>
      </c>
      <c r="AN46">
        <f>IFERROR(INDEX(WaterUseH2[Average Direct Water Consumption (Gal/ kg h2)],MATCH(LEFT(Hydrogen!Y46,3),WaterUseH2[Key],0)),0)</f>
        <v>2.8</v>
      </c>
      <c r="AO46" s="13">
        <f t="shared" si="11"/>
        <v>30.659999999999997</v>
      </c>
      <c r="AP46" s="13">
        <f>IF(Y46=$Y$3,AD46*Assumptions!$C$8*1000/1000,0)</f>
        <v>0</v>
      </c>
      <c r="AQ46" s="30">
        <f t="shared" si="25"/>
        <v>0</v>
      </c>
      <c r="AR46" s="30">
        <f>$AQ46*Assumptions!B$76</f>
        <v>0</v>
      </c>
      <c r="AS46" s="30">
        <f>$AQ46*Assumptions!C$76</f>
        <v>0</v>
      </c>
      <c r="AT46" s="30">
        <f>$AQ46*Assumptions!D$76</f>
        <v>0</v>
      </c>
      <c r="BC46" t="s">
        <v>188</v>
      </c>
      <c r="BD46" t="s">
        <v>76</v>
      </c>
      <c r="BE46">
        <v>2025</v>
      </c>
      <c r="BF46" s="21">
        <v>0</v>
      </c>
      <c r="BG46" t="s">
        <v>181</v>
      </c>
      <c r="BH46" s="50">
        <f>Assumptions!E85*-1</f>
        <v>4.0010411424398109E-5</v>
      </c>
      <c r="BI46" s="50">
        <f>Assumptions!F85*-1</f>
        <v>3.6682399897791468E-5</v>
      </c>
      <c r="BJ46" s="50">
        <f>Assumptions!G85*-1</f>
        <v>4.3338422673213274E-5</v>
      </c>
      <c r="BK46" t="s">
        <v>189</v>
      </c>
    </row>
    <row r="47" spans="1:65" x14ac:dyDescent="0.35">
      <c r="Y47" t="s">
        <v>74</v>
      </c>
      <c r="Z47" s="16" t="s">
        <v>73</v>
      </c>
      <c r="AA47" t="s">
        <v>76</v>
      </c>
      <c r="AB47">
        <v>2027</v>
      </c>
      <c r="AC47">
        <v>1.3140000000000001E-3</v>
      </c>
      <c r="AD47" s="23">
        <f>AC47*1000000000000/Assumptions!$B$17/1000</f>
        <v>10950</v>
      </c>
      <c r="AE47" s="9">
        <f t="shared" si="18"/>
        <v>58.623645092460876</v>
      </c>
      <c r="AF47">
        <f>IF(LEFT(Z47,4)="Blue",Assumptions!$G$57,0)</f>
        <v>43.849999999999994</v>
      </c>
      <c r="AG47">
        <f>IF(LEFT(Z47,4)="Blue",Assumptions!$G$59,IF(LEFT(Z47,4)="Gree",Assumptions!$G$60,0))</f>
        <v>73.397290184921758</v>
      </c>
      <c r="AH47" s="6">
        <f t="shared" ref="AH47:AJ47" si="52">AH26</f>
        <v>98.562436921360089</v>
      </c>
      <c r="AI47" s="6">
        <f t="shared" si="52"/>
        <v>96.674873842720174</v>
      </c>
      <c r="AJ47" s="6">
        <f t="shared" si="52"/>
        <v>100.45</v>
      </c>
      <c r="AK47" s="51">
        <f t="shared" si="22"/>
        <v>-25.165146736438331</v>
      </c>
      <c r="AL47" s="51">
        <f t="shared" si="23"/>
        <v>-23.277583657798417</v>
      </c>
      <c r="AM47" s="51">
        <f t="shared" si="24"/>
        <v>-27.052709815078245</v>
      </c>
      <c r="AN47">
        <f>IFERROR(INDEX(WaterUseH2[Average Direct Water Consumption (Gal/ kg h2)],MATCH(LEFT(Hydrogen!Y47,3),WaterUseH2[Key],0)),0)</f>
        <v>2.8</v>
      </c>
      <c r="AO47" s="13">
        <f t="shared" si="11"/>
        <v>30.659999999999997</v>
      </c>
      <c r="AP47" s="13">
        <f>IF(Y47=$Y$3,AD47*Assumptions!$C$8*1000/1000,0)</f>
        <v>0</v>
      </c>
      <c r="AQ47" s="30">
        <f t="shared" si="25"/>
        <v>0</v>
      </c>
      <c r="AR47" s="30">
        <f>$AQ47*Assumptions!B$76</f>
        <v>0</v>
      </c>
      <c r="AS47" s="30">
        <f>$AQ47*Assumptions!C$76</f>
        <v>0</v>
      </c>
      <c r="AT47" s="30">
        <f>$AQ47*Assumptions!D$76</f>
        <v>0</v>
      </c>
      <c r="BC47" t="s">
        <v>188</v>
      </c>
      <c r="BD47" t="s">
        <v>76</v>
      </c>
      <c r="BE47">
        <v>2026</v>
      </c>
      <c r="BF47" s="21">
        <v>0</v>
      </c>
      <c r="BG47" t="s">
        <v>181</v>
      </c>
      <c r="BH47" s="50">
        <f>Assumptions!E86*-1</f>
        <v>3.8837041315114694E-5</v>
      </c>
      <c r="BI47" s="50">
        <f>Assumptions!F86*-1</f>
        <v>3.5249616183430805E-5</v>
      </c>
      <c r="BJ47" s="50">
        <f>Assumptions!G86*-1</f>
        <v>4.2424466169007116E-5</v>
      </c>
      <c r="BK47" t="s">
        <v>189</v>
      </c>
    </row>
    <row r="48" spans="1:65" x14ac:dyDescent="0.35">
      <c r="Y48" t="s">
        <v>74</v>
      </c>
      <c r="Z48" s="16" t="s">
        <v>73</v>
      </c>
      <c r="AA48" t="s">
        <v>76</v>
      </c>
      <c r="AB48">
        <v>2028</v>
      </c>
      <c r="AC48">
        <v>1.3140000000000001E-3</v>
      </c>
      <c r="AD48" s="23">
        <f>AC48*1000000000000/Assumptions!$B$17/1000</f>
        <v>10950</v>
      </c>
      <c r="AE48" s="9">
        <f t="shared" si="18"/>
        <v>58.623645092460876</v>
      </c>
      <c r="AF48">
        <f>IF(LEFT(Z48,4)="Blue",Assumptions!$G$57,0)</f>
        <v>43.849999999999994</v>
      </c>
      <c r="AG48">
        <f>IF(LEFT(Z48,4)="Blue",Assumptions!$G$59,IF(LEFT(Z48,4)="Gree",Assumptions!$G$60,0))</f>
        <v>73.397290184921758</v>
      </c>
      <c r="AH48" s="6">
        <f t="shared" ref="AH48:AJ48" si="53">AH27</f>
        <v>98.088874094271858</v>
      </c>
      <c r="AI48" s="6">
        <f t="shared" si="53"/>
        <v>95.7277481885437</v>
      </c>
      <c r="AJ48" s="6">
        <f t="shared" si="53"/>
        <v>100.45</v>
      </c>
      <c r="AK48" s="51">
        <f t="shared" si="22"/>
        <v>-24.691583909350094</v>
      </c>
      <c r="AL48" s="51">
        <f t="shared" si="23"/>
        <v>-22.330458003621942</v>
      </c>
      <c r="AM48" s="51">
        <f t="shared" si="24"/>
        <v>-27.052709815078245</v>
      </c>
      <c r="AN48">
        <f>IFERROR(INDEX(WaterUseH2[Average Direct Water Consumption (Gal/ kg h2)],MATCH(LEFT(Hydrogen!Y48,3),WaterUseH2[Key],0)),0)</f>
        <v>2.8</v>
      </c>
      <c r="AO48" s="13">
        <f t="shared" si="11"/>
        <v>30.659999999999997</v>
      </c>
      <c r="AP48" s="13">
        <f>IF(Y48=$Y$3,AD48*Assumptions!$C$8*1000/1000,0)</f>
        <v>0</v>
      </c>
      <c r="AQ48" s="30">
        <f t="shared" si="25"/>
        <v>0</v>
      </c>
      <c r="AR48" s="30">
        <f>$AQ48*Assumptions!B$76</f>
        <v>0</v>
      </c>
      <c r="AS48" s="30">
        <f>$AQ48*Assumptions!C$76</f>
        <v>0</v>
      </c>
      <c r="AT48" s="30">
        <f>$AQ48*Assumptions!D$76</f>
        <v>0</v>
      </c>
      <c r="BC48" t="s">
        <v>188</v>
      </c>
      <c r="BD48" t="s">
        <v>76</v>
      </c>
      <c r="BE48">
        <v>2027</v>
      </c>
      <c r="BF48" s="21">
        <v>0</v>
      </c>
      <c r="BG48" t="s">
        <v>181</v>
      </c>
      <c r="BH48" s="50">
        <f>Assumptions!E87*-1</f>
        <v>3.766367120583128E-5</v>
      </c>
      <c r="BI48" s="50">
        <f>Assumptions!F87*-1</f>
        <v>3.3816832469070141E-5</v>
      </c>
      <c r="BJ48" s="50">
        <f>Assumptions!G87*-1</f>
        <v>4.1510509664800957E-5</v>
      </c>
      <c r="BK48" t="s">
        <v>189</v>
      </c>
    </row>
    <row r="49" spans="25:63" x14ac:dyDescent="0.35">
      <c r="Y49" t="s">
        <v>74</v>
      </c>
      <c r="Z49" s="16" t="s">
        <v>73</v>
      </c>
      <c r="AA49" t="s">
        <v>76</v>
      </c>
      <c r="AB49">
        <v>2029</v>
      </c>
      <c r="AC49">
        <v>1.3140000000000001E-3</v>
      </c>
      <c r="AD49" s="23">
        <f>AC49*1000000000000/Assumptions!$B$17/1000</f>
        <v>10950</v>
      </c>
      <c r="AE49" s="9">
        <f t="shared" si="18"/>
        <v>58.623645092460876</v>
      </c>
      <c r="AF49">
        <f>IF(LEFT(Z49,4)="Blue",Assumptions!$G$57,0)</f>
        <v>43.849999999999994</v>
      </c>
      <c r="AG49">
        <f>IF(LEFT(Z49,4)="Blue",Assumptions!$G$59,IF(LEFT(Z49,4)="Gree",Assumptions!$G$60,0))</f>
        <v>73.397290184921758</v>
      </c>
      <c r="AH49" s="6">
        <f t="shared" ref="AH49:AJ49" si="54">AH28</f>
        <v>97.544867879479852</v>
      </c>
      <c r="AI49" s="6">
        <f t="shared" si="54"/>
        <v>94.639735758959688</v>
      </c>
      <c r="AJ49" s="6">
        <f t="shared" si="54"/>
        <v>100.45</v>
      </c>
      <c r="AK49" s="51">
        <f t="shared" si="22"/>
        <v>-24.147577694558088</v>
      </c>
      <c r="AL49" s="51">
        <f t="shared" si="23"/>
        <v>-21.24244557403793</v>
      </c>
      <c r="AM49" s="51">
        <f t="shared" si="24"/>
        <v>-27.052709815078245</v>
      </c>
      <c r="AN49">
        <f>IFERROR(INDEX(WaterUseH2[Average Direct Water Consumption (Gal/ kg h2)],MATCH(LEFT(Hydrogen!Y49,3),WaterUseH2[Key],0)),0)</f>
        <v>2.8</v>
      </c>
      <c r="AO49" s="13">
        <f t="shared" si="11"/>
        <v>30.659999999999997</v>
      </c>
      <c r="AP49" s="13">
        <f>IF(Y49=$Y$3,AD49*Assumptions!$C$8*1000/1000,0)</f>
        <v>0</v>
      </c>
      <c r="AQ49" s="30">
        <f t="shared" si="25"/>
        <v>0</v>
      </c>
      <c r="AR49" s="30">
        <f>$AQ49*Assumptions!B$76</f>
        <v>0</v>
      </c>
      <c r="AS49" s="30">
        <f>$AQ49*Assumptions!C$76</f>
        <v>0</v>
      </c>
      <c r="AT49" s="30">
        <f>$AQ49*Assumptions!D$76</f>
        <v>0</v>
      </c>
      <c r="BC49" t="s">
        <v>188</v>
      </c>
      <c r="BD49" t="s">
        <v>76</v>
      </c>
      <c r="BE49">
        <v>2028</v>
      </c>
      <c r="BF49" s="21">
        <v>0</v>
      </c>
      <c r="BG49" t="s">
        <v>181</v>
      </c>
      <c r="BH49" s="50">
        <f>Assumptions!E88*-1</f>
        <v>3.6490301096547866E-5</v>
      </c>
      <c r="BI49" s="50">
        <f>Assumptions!F88*-1</f>
        <v>3.2384048754709478E-5</v>
      </c>
      <c r="BJ49" s="50">
        <f>Assumptions!G88*-1</f>
        <v>4.0596553160594792E-5</v>
      </c>
      <c r="BK49" t="s">
        <v>189</v>
      </c>
    </row>
    <row r="50" spans="25:63" x14ac:dyDescent="0.35">
      <c r="Y50" t="s">
        <v>74</v>
      </c>
      <c r="Z50" s="16" t="s">
        <v>73</v>
      </c>
      <c r="AA50" t="s">
        <v>76</v>
      </c>
      <c r="AB50">
        <v>2030</v>
      </c>
      <c r="AC50">
        <v>1.3140000000000001E-3</v>
      </c>
      <c r="AD50" s="23">
        <f>AC50*1000000000000/Assumptions!$B$17/1000</f>
        <v>10950</v>
      </c>
      <c r="AE50" s="9">
        <f t="shared" si="18"/>
        <v>58.623645092460876</v>
      </c>
      <c r="AF50">
        <f>IF(LEFT(Z50,4)="Blue",Assumptions!$G$57,0)</f>
        <v>43.849999999999994</v>
      </c>
      <c r="AG50">
        <f>IF(LEFT(Z50,4)="Blue",Assumptions!$G$59,IF(LEFT(Z50,4)="Gree",Assumptions!$G$60,0))</f>
        <v>73.397290184921758</v>
      </c>
      <c r="AH50" s="6">
        <f t="shared" ref="AH50:AJ50" si="55">AH29</f>
        <v>96.924614347496885</v>
      </c>
      <c r="AI50" s="6">
        <f t="shared" si="55"/>
        <v>93.399228694993766</v>
      </c>
      <c r="AJ50" s="6">
        <f t="shared" si="55"/>
        <v>100.45</v>
      </c>
      <c r="AK50" s="51">
        <f t="shared" si="22"/>
        <v>-23.527324162575127</v>
      </c>
      <c r="AL50" s="51">
        <f t="shared" si="23"/>
        <v>-20.001938510072009</v>
      </c>
      <c r="AM50" s="51">
        <f t="shared" si="24"/>
        <v>-27.052709815078245</v>
      </c>
      <c r="AN50">
        <f>IFERROR(INDEX(WaterUseH2[Average Direct Water Consumption (Gal/ kg h2)],MATCH(LEFT(Hydrogen!Y50,3),WaterUseH2[Key],0)),0)</f>
        <v>2.8</v>
      </c>
      <c r="AO50" s="13">
        <f t="shared" si="11"/>
        <v>30.659999999999997</v>
      </c>
      <c r="AP50" s="13">
        <f>IF(Y50=$Y$3,AD50*Assumptions!$C$8*1000/1000,0)</f>
        <v>0</v>
      </c>
      <c r="AQ50" s="30">
        <f t="shared" si="25"/>
        <v>0</v>
      </c>
      <c r="AR50" s="30">
        <f>$AQ50*Assumptions!B$76</f>
        <v>0</v>
      </c>
      <c r="AS50" s="30">
        <f>$AQ50*Assumptions!C$76</f>
        <v>0</v>
      </c>
      <c r="AT50" s="30">
        <f>$AQ50*Assumptions!D$76</f>
        <v>0</v>
      </c>
      <c r="BC50" t="s">
        <v>188</v>
      </c>
      <c r="BD50" t="s">
        <v>76</v>
      </c>
      <c r="BE50">
        <v>2029</v>
      </c>
      <c r="BF50" s="21">
        <v>0</v>
      </c>
      <c r="BG50" t="s">
        <v>181</v>
      </c>
      <c r="BH50" s="50">
        <f>Assumptions!E89*-1</f>
        <v>3.5316930987264452E-5</v>
      </c>
      <c r="BI50" s="50">
        <f>Assumptions!F89*-1</f>
        <v>3.0951265040348822E-5</v>
      </c>
      <c r="BJ50" s="50">
        <f>Assumptions!G89*-1</f>
        <v>3.9682596656388634E-5</v>
      </c>
      <c r="BK50" t="s">
        <v>189</v>
      </c>
    </row>
    <row r="51" spans="25:63" x14ac:dyDescent="0.35">
      <c r="Y51" t="s">
        <v>74</v>
      </c>
      <c r="Z51" s="16" t="s">
        <v>73</v>
      </c>
      <c r="AA51" t="s">
        <v>76</v>
      </c>
      <c r="AB51">
        <v>2031</v>
      </c>
      <c r="AC51">
        <v>1.3140000000000001E-3</v>
      </c>
      <c r="AD51" s="23">
        <f>AC51*1000000000000/Assumptions!$B$17/1000</f>
        <v>10950</v>
      </c>
      <c r="AE51" s="9">
        <f t="shared" si="18"/>
        <v>58.623645092460876</v>
      </c>
      <c r="AF51">
        <f>IF(LEFT(Z51,4)="Blue",Assumptions!$G$57,0)</f>
        <v>43.849999999999994</v>
      </c>
      <c r="AG51">
        <f>IF(LEFT(Z51,4)="Blue",Assumptions!$G$59,IF(LEFT(Z51,4)="Gree",Assumptions!$G$60,0))</f>
        <v>73.397290184921758</v>
      </c>
      <c r="AH51" s="6">
        <f t="shared" ref="AH51:AJ51" si="56">AH30</f>
        <v>96.219877469537067</v>
      </c>
      <c r="AI51" s="6">
        <f t="shared" si="56"/>
        <v>91.989754939074118</v>
      </c>
      <c r="AJ51" s="6">
        <f t="shared" si="56"/>
        <v>100.45</v>
      </c>
      <c r="AK51" s="51">
        <f t="shared" si="22"/>
        <v>-22.822587284615302</v>
      </c>
      <c r="AL51" s="51">
        <f t="shared" si="23"/>
        <v>-18.59246475415236</v>
      </c>
      <c r="AM51" s="51">
        <f t="shared" si="24"/>
        <v>-27.052709815078245</v>
      </c>
      <c r="AN51">
        <f>IFERROR(INDEX(WaterUseH2[Average Direct Water Consumption (Gal/ kg h2)],MATCH(LEFT(Hydrogen!Y51,3),WaterUseH2[Key],0)),0)</f>
        <v>2.8</v>
      </c>
      <c r="AO51" s="13">
        <f t="shared" si="11"/>
        <v>30.659999999999997</v>
      </c>
      <c r="AP51" s="13">
        <f>IF(Y51=$Y$3,AD51*Assumptions!$C$8*1000/1000,0)</f>
        <v>0</v>
      </c>
      <c r="AQ51" s="30">
        <f t="shared" si="25"/>
        <v>0</v>
      </c>
      <c r="AR51" s="30">
        <f>$AQ51*Assumptions!B$76</f>
        <v>0</v>
      </c>
      <c r="AS51" s="30">
        <f>$AQ51*Assumptions!C$76</f>
        <v>0</v>
      </c>
      <c r="AT51" s="30">
        <f>$AQ51*Assumptions!D$76</f>
        <v>0</v>
      </c>
      <c r="BC51" t="s">
        <v>188</v>
      </c>
      <c r="BD51" t="s">
        <v>76</v>
      </c>
      <c r="BE51">
        <v>2030</v>
      </c>
      <c r="BF51" s="21">
        <v>0</v>
      </c>
      <c r="BG51" t="s">
        <v>181</v>
      </c>
      <c r="BH51" s="50">
        <f>Assumptions!E90*-1</f>
        <v>3.4143560877981038E-5</v>
      </c>
      <c r="BI51" s="50">
        <f>Assumptions!F90*-1</f>
        <v>2.9518481325988158E-5</v>
      </c>
      <c r="BJ51" s="50">
        <f>Assumptions!G90*-1</f>
        <v>3.8768640152182476E-5</v>
      </c>
      <c r="BK51" t="s">
        <v>189</v>
      </c>
    </row>
    <row r="52" spans="25:63" x14ac:dyDescent="0.35">
      <c r="Y52" t="s">
        <v>74</v>
      </c>
      <c r="Z52" s="16" t="s">
        <v>73</v>
      </c>
      <c r="AA52" t="s">
        <v>76</v>
      </c>
      <c r="AB52">
        <v>2032</v>
      </c>
      <c r="AC52">
        <v>1.3140000000000001E-3</v>
      </c>
      <c r="AD52" s="23">
        <f>AC52*1000000000000/Assumptions!$B$17/1000</f>
        <v>10950</v>
      </c>
      <c r="AE52" s="9">
        <f t="shared" si="18"/>
        <v>58.623645092460876</v>
      </c>
      <c r="AF52">
        <f>IF(LEFT(Z52,4)="Blue",Assumptions!$G$57,0)</f>
        <v>43.849999999999994</v>
      </c>
      <c r="AG52">
        <f>IF(LEFT(Z52,4)="Blue",Assumptions!$G$59,IF(LEFT(Z52,4)="Gree",Assumptions!$G$60,0))</f>
        <v>73.397290184921758</v>
      </c>
      <c r="AH52" s="6">
        <f t="shared" ref="AH52:AJ52" si="57">AH31</f>
        <v>95.431212950513526</v>
      </c>
      <c r="AI52" s="6">
        <f t="shared" si="57"/>
        <v>90.412425901027063</v>
      </c>
      <c r="AJ52" s="6">
        <f t="shared" si="57"/>
        <v>100.45</v>
      </c>
      <c r="AK52" s="51">
        <f t="shared" si="22"/>
        <v>-22.033922765591775</v>
      </c>
      <c r="AL52" s="51">
        <f t="shared" si="23"/>
        <v>-17.015135716105306</v>
      </c>
      <c r="AM52" s="51">
        <f t="shared" si="24"/>
        <v>-27.052709815078245</v>
      </c>
      <c r="AN52">
        <f>IFERROR(INDEX(WaterUseH2[Average Direct Water Consumption (Gal/ kg h2)],MATCH(LEFT(Hydrogen!Y52,3),WaterUseH2[Key],0)),0)</f>
        <v>2.8</v>
      </c>
      <c r="AO52" s="13">
        <f t="shared" si="11"/>
        <v>30.659999999999997</v>
      </c>
      <c r="AP52" s="13">
        <f>IF(Y52=$Y$3,AD52*Assumptions!$C$8*1000/1000,0)</f>
        <v>0</v>
      </c>
      <c r="AQ52" s="30">
        <f t="shared" si="25"/>
        <v>0</v>
      </c>
      <c r="AR52" s="30">
        <f>$AQ52*Assumptions!B$76</f>
        <v>0</v>
      </c>
      <c r="AS52" s="30">
        <f>$AQ52*Assumptions!C$76</f>
        <v>0</v>
      </c>
      <c r="AT52" s="30">
        <f>$AQ52*Assumptions!D$76</f>
        <v>0</v>
      </c>
      <c r="BC52" t="s">
        <v>188</v>
      </c>
      <c r="BD52" t="s">
        <v>76</v>
      </c>
      <c r="BE52">
        <v>2031</v>
      </c>
      <c r="BF52" s="21">
        <v>0</v>
      </c>
      <c r="BG52" t="s">
        <v>181</v>
      </c>
      <c r="BH52" s="50">
        <f>Assumptions!E91*-1</f>
        <v>3.2970190768697623E-5</v>
      </c>
      <c r="BI52" s="50">
        <f>Assumptions!F91*-1</f>
        <v>2.8085697611627498E-5</v>
      </c>
      <c r="BJ52" s="50">
        <f>Assumptions!G91*-1</f>
        <v>3.7854683647976317E-5</v>
      </c>
      <c r="BK52" t="s">
        <v>189</v>
      </c>
    </row>
    <row r="53" spans="25:63" x14ac:dyDescent="0.35">
      <c r="Y53" t="s">
        <v>74</v>
      </c>
      <c r="Z53" s="16" t="s">
        <v>73</v>
      </c>
      <c r="AA53" t="s">
        <v>76</v>
      </c>
      <c r="AB53">
        <v>2033</v>
      </c>
      <c r="AC53">
        <v>1.3140000000000001E-3</v>
      </c>
      <c r="AD53" s="23">
        <f>AC53*1000000000000/Assumptions!$B$17/1000</f>
        <v>10950</v>
      </c>
      <c r="AE53" s="9">
        <f t="shared" si="18"/>
        <v>58.623645092460876</v>
      </c>
      <c r="AF53">
        <f>IF(LEFT(Z53,4)="Blue",Assumptions!$G$57,0)</f>
        <v>43.849999999999994</v>
      </c>
      <c r="AG53">
        <f>IF(LEFT(Z53,4)="Blue",Assumptions!$G$59,IF(LEFT(Z53,4)="Gree",Assumptions!$G$60,0))</f>
        <v>73.397290184921758</v>
      </c>
      <c r="AH53" s="6">
        <f t="shared" ref="AH53:AJ53" si="58">AH32</f>
        <v>94.525495952097856</v>
      </c>
      <c r="AI53" s="6">
        <f t="shared" si="58"/>
        <v>88.600991904195695</v>
      </c>
      <c r="AJ53" s="6">
        <f t="shared" si="58"/>
        <v>100.45</v>
      </c>
      <c r="AK53" s="51">
        <f t="shared" si="22"/>
        <v>-21.128205767176091</v>
      </c>
      <c r="AL53" s="51">
        <f t="shared" si="23"/>
        <v>-15.203701719273937</v>
      </c>
      <c r="AM53" s="51">
        <f t="shared" si="24"/>
        <v>-27.052709815078245</v>
      </c>
      <c r="AN53">
        <f>IFERROR(INDEX(WaterUseH2[Average Direct Water Consumption (Gal/ kg h2)],MATCH(LEFT(Hydrogen!Y53,3),WaterUseH2[Key],0)),0)</f>
        <v>2.8</v>
      </c>
      <c r="AO53" s="13">
        <f t="shared" si="11"/>
        <v>30.659999999999997</v>
      </c>
      <c r="AP53" s="13">
        <f>IF(Y53=$Y$3,AD53*Assumptions!$C$8*1000/1000,0)</f>
        <v>0</v>
      </c>
      <c r="AQ53" s="30">
        <f t="shared" si="25"/>
        <v>0</v>
      </c>
      <c r="AR53" s="30">
        <f>$AQ53*Assumptions!B$76</f>
        <v>0</v>
      </c>
      <c r="AS53" s="30">
        <f>$AQ53*Assumptions!C$76</f>
        <v>0</v>
      </c>
      <c r="AT53" s="30">
        <f>$AQ53*Assumptions!D$76</f>
        <v>0</v>
      </c>
      <c r="BC53" t="s">
        <v>188</v>
      </c>
      <c r="BD53" t="s">
        <v>76</v>
      </c>
      <c r="BE53">
        <v>2032</v>
      </c>
      <c r="BF53" s="21">
        <v>0</v>
      </c>
      <c r="BG53" t="s">
        <v>181</v>
      </c>
      <c r="BH53" s="50">
        <f>Assumptions!E92*-1</f>
        <v>3.1796820659414209E-5</v>
      </c>
      <c r="BI53" s="50">
        <f>Assumptions!F92*-1</f>
        <v>2.6652913897266835E-5</v>
      </c>
      <c r="BJ53" s="50">
        <f>Assumptions!G92*-1</f>
        <v>3.6940727143770159E-5</v>
      </c>
      <c r="BK53" t="s">
        <v>189</v>
      </c>
    </row>
    <row r="54" spans="25:63" x14ac:dyDescent="0.35">
      <c r="Y54" t="s">
        <v>74</v>
      </c>
      <c r="Z54" s="16" t="s">
        <v>73</v>
      </c>
      <c r="AA54" t="s">
        <v>76</v>
      </c>
      <c r="AB54">
        <v>2034</v>
      </c>
      <c r="AC54">
        <v>1.3140000000000001E-3</v>
      </c>
      <c r="AD54" s="23">
        <f>AC54*1000000000000/Assumptions!$B$17/1000</f>
        <v>10950</v>
      </c>
      <c r="AE54" s="9">
        <f t="shared" si="18"/>
        <v>58.623645092460876</v>
      </c>
      <c r="AF54">
        <f>IF(LEFT(Z54,4)="Blue",Assumptions!$G$57,0)</f>
        <v>43.849999999999994</v>
      </c>
      <c r="AG54">
        <f>IF(LEFT(Z54,4)="Blue",Assumptions!$G$59,IF(LEFT(Z54,4)="Gree",Assumptions!$G$60,0))</f>
        <v>73.397290184921758</v>
      </c>
      <c r="AH54" s="6">
        <f t="shared" ref="AH54:AJ54" si="59">AH33</f>
        <v>93.515198320512312</v>
      </c>
      <c r="AI54" s="6">
        <f t="shared" si="59"/>
        <v>86.58039664102462</v>
      </c>
      <c r="AJ54" s="6">
        <f t="shared" si="59"/>
        <v>100.45</v>
      </c>
      <c r="AK54" s="51">
        <f t="shared" si="22"/>
        <v>-20.117908135590554</v>
      </c>
      <c r="AL54" s="51">
        <f t="shared" si="23"/>
        <v>-13.183106456102863</v>
      </c>
      <c r="AM54" s="51">
        <f t="shared" si="24"/>
        <v>-27.052709815078245</v>
      </c>
      <c r="AN54">
        <f>IFERROR(INDEX(WaterUseH2[Average Direct Water Consumption (Gal/ kg h2)],MATCH(LEFT(Hydrogen!Y54,3),WaterUseH2[Key],0)),0)</f>
        <v>2.8</v>
      </c>
      <c r="AO54" s="13">
        <f t="shared" si="11"/>
        <v>30.659999999999997</v>
      </c>
      <c r="AP54" s="13">
        <f>IF(Y54=$Y$3,AD54*Assumptions!$C$8*1000/1000,0)</f>
        <v>0</v>
      </c>
      <c r="AQ54" s="30">
        <f t="shared" si="25"/>
        <v>0</v>
      </c>
      <c r="AR54" s="30">
        <f>$AQ54*Assumptions!B$76</f>
        <v>0</v>
      </c>
      <c r="AS54" s="30">
        <f>$AQ54*Assumptions!C$76</f>
        <v>0</v>
      </c>
      <c r="AT54" s="30">
        <f>$AQ54*Assumptions!D$76</f>
        <v>0</v>
      </c>
      <c r="BC54" t="s">
        <v>188</v>
      </c>
      <c r="BD54" t="s">
        <v>76</v>
      </c>
      <c r="BE54">
        <v>2033</v>
      </c>
      <c r="BF54" s="21">
        <v>0</v>
      </c>
      <c r="BG54" t="s">
        <v>181</v>
      </c>
      <c r="BH54" s="50">
        <f>Assumptions!E93*-1</f>
        <v>3.0623450550130795E-5</v>
      </c>
      <c r="BI54" s="50">
        <f>Assumptions!F93*-1</f>
        <v>2.5220130182906175E-5</v>
      </c>
      <c r="BJ54" s="50">
        <f>Assumptions!G93*-1</f>
        <v>3.6026770639564001E-5</v>
      </c>
      <c r="BK54" t="s">
        <v>189</v>
      </c>
    </row>
    <row r="55" spans="25:63" x14ac:dyDescent="0.35">
      <c r="Y55" t="s">
        <v>74</v>
      </c>
      <c r="Z55" s="16" t="s">
        <v>73</v>
      </c>
      <c r="AA55" t="s">
        <v>76</v>
      </c>
      <c r="AB55">
        <v>2035</v>
      </c>
      <c r="AC55">
        <v>1.3140000000000001E-3</v>
      </c>
      <c r="AD55" s="23">
        <f>AC55*1000000000000/Assumptions!$B$17/1000</f>
        <v>10950</v>
      </c>
      <c r="AE55" s="9">
        <f t="shared" si="18"/>
        <v>58.623645092460876</v>
      </c>
      <c r="AF55">
        <f>IF(LEFT(Z55,4)="Blue",Assumptions!$G$57,0)</f>
        <v>43.849999999999994</v>
      </c>
      <c r="AG55">
        <f>IF(LEFT(Z55,4)="Blue",Assumptions!$G$59,IF(LEFT(Z55,4)="Gree",Assumptions!$G$60,0))</f>
        <v>73.397290184921758</v>
      </c>
      <c r="AH55" s="6">
        <f t="shared" ref="AH55:AJ55" si="60">AH34</f>
        <v>92.361658919879176</v>
      </c>
      <c r="AI55" s="6">
        <f t="shared" si="60"/>
        <v>84.273317839758363</v>
      </c>
      <c r="AJ55" s="6">
        <f t="shared" si="60"/>
        <v>100.45</v>
      </c>
      <c r="AK55" s="51">
        <f t="shared" si="22"/>
        <v>-18.964368734957425</v>
      </c>
      <c r="AL55" s="51">
        <f t="shared" si="23"/>
        <v>-10.876027654836605</v>
      </c>
      <c r="AM55" s="51">
        <f t="shared" si="24"/>
        <v>-27.052709815078245</v>
      </c>
      <c r="AN55">
        <f>IFERROR(INDEX(WaterUseH2[Average Direct Water Consumption (Gal/ kg h2)],MATCH(LEFT(Hydrogen!Y55,3),WaterUseH2[Key],0)),0)</f>
        <v>2.8</v>
      </c>
      <c r="AO55" s="13">
        <f t="shared" si="11"/>
        <v>30.659999999999997</v>
      </c>
      <c r="AP55" s="13">
        <f>IF(Y55=$Y$3,AD55*Assumptions!$C$8*1000/1000,0)</f>
        <v>0</v>
      </c>
      <c r="AQ55" s="30">
        <f t="shared" si="25"/>
        <v>0</v>
      </c>
      <c r="AR55" s="30">
        <f>$AQ55*Assumptions!B$76</f>
        <v>0</v>
      </c>
      <c r="AS55" s="30">
        <f>$AQ55*Assumptions!C$76</f>
        <v>0</v>
      </c>
      <c r="AT55" s="30">
        <f>$AQ55*Assumptions!D$76</f>
        <v>0</v>
      </c>
      <c r="BC55" t="s">
        <v>188</v>
      </c>
      <c r="BD55" t="s">
        <v>76</v>
      </c>
      <c r="BE55">
        <v>2034</v>
      </c>
      <c r="BF55" s="21">
        <v>0</v>
      </c>
      <c r="BG55" t="s">
        <v>181</v>
      </c>
      <c r="BH55" s="50">
        <f>Assumptions!E94*-1</f>
        <v>2.9450080440847381E-5</v>
      </c>
      <c r="BI55" s="50">
        <f>Assumptions!F94*-1</f>
        <v>2.3787346468545512E-5</v>
      </c>
      <c r="BJ55" s="50">
        <f>Assumptions!G94*-1</f>
        <v>3.5112814135357842E-5</v>
      </c>
      <c r="BK55" t="s">
        <v>189</v>
      </c>
    </row>
    <row r="56" spans="25:63" x14ac:dyDescent="0.35">
      <c r="Y56" t="s">
        <v>74</v>
      </c>
      <c r="Z56" s="16" t="s">
        <v>73</v>
      </c>
      <c r="AA56" t="s">
        <v>76</v>
      </c>
      <c r="AB56">
        <v>2036</v>
      </c>
      <c r="AC56">
        <v>1.3140000000000001E-3</v>
      </c>
      <c r="AD56" s="23">
        <f>AC56*1000000000000/Assumptions!$B$17/1000</f>
        <v>10950</v>
      </c>
      <c r="AE56" s="9">
        <f t="shared" si="18"/>
        <v>58.623645092460876</v>
      </c>
      <c r="AF56">
        <f>IF(LEFT(Z56,4)="Blue",Assumptions!$G$57,0)</f>
        <v>43.849999999999994</v>
      </c>
      <c r="AG56">
        <f>IF(LEFT(Z56,4)="Blue",Assumptions!$G$59,IF(LEFT(Z56,4)="Gree",Assumptions!$G$60,0))</f>
        <v>73.397290184921758</v>
      </c>
      <c r="AH56" s="6">
        <f t="shared" ref="AH56:AJ56" si="61">AH35</f>
        <v>91.12437315283151</v>
      </c>
      <c r="AI56" s="6">
        <f t="shared" si="61"/>
        <v>81.798746305663002</v>
      </c>
      <c r="AJ56" s="6">
        <f t="shared" si="61"/>
        <v>100.45</v>
      </c>
      <c r="AK56" s="51">
        <f t="shared" si="22"/>
        <v>-17.727082967909745</v>
      </c>
      <c r="AL56" s="51">
        <f t="shared" si="23"/>
        <v>-8.4014561207412441</v>
      </c>
      <c r="AM56" s="51">
        <f t="shared" si="24"/>
        <v>-27.052709815078245</v>
      </c>
      <c r="AN56">
        <f>IFERROR(INDEX(WaterUseH2[Average Direct Water Consumption (Gal/ kg h2)],MATCH(LEFT(Hydrogen!Y56,3),WaterUseH2[Key],0)),0)</f>
        <v>2.8</v>
      </c>
      <c r="AO56" s="13">
        <f t="shared" si="11"/>
        <v>30.659999999999997</v>
      </c>
      <c r="AP56" s="13">
        <f>IF(Y56=$Y$3,AD56*Assumptions!$C$8*1000/1000,0)</f>
        <v>0</v>
      </c>
      <c r="AQ56" s="30">
        <f t="shared" si="25"/>
        <v>0</v>
      </c>
      <c r="AR56" s="30">
        <f>$AQ56*Assumptions!B$76</f>
        <v>0</v>
      </c>
      <c r="AS56" s="30">
        <f>$AQ56*Assumptions!C$76</f>
        <v>0</v>
      </c>
      <c r="AT56" s="30">
        <f>$AQ56*Assumptions!D$76</f>
        <v>0</v>
      </c>
      <c r="BC56" t="s">
        <v>188</v>
      </c>
      <c r="BD56" t="s">
        <v>76</v>
      </c>
      <c r="BE56">
        <v>2035</v>
      </c>
      <c r="BF56" s="21">
        <v>0</v>
      </c>
      <c r="BG56" t="s">
        <v>181</v>
      </c>
      <c r="BH56" s="50">
        <f>Assumptions!E95*-1</f>
        <v>2.8276710331563967E-5</v>
      </c>
      <c r="BI56" s="50">
        <f>Assumptions!F95*-1</f>
        <v>2.2354562754184852E-5</v>
      </c>
      <c r="BJ56" s="50">
        <f>Assumptions!G95*-1</f>
        <v>3.4198857631151677E-5</v>
      </c>
      <c r="BK56" t="s">
        <v>189</v>
      </c>
    </row>
    <row r="57" spans="25:63" x14ac:dyDescent="0.35">
      <c r="Y57" t="s">
        <v>74</v>
      </c>
      <c r="Z57" s="16" t="s">
        <v>73</v>
      </c>
      <c r="AA57" t="s">
        <v>76</v>
      </c>
      <c r="AB57">
        <v>2037</v>
      </c>
      <c r="AC57">
        <v>1.3140000000000001E-3</v>
      </c>
      <c r="AD57" s="23">
        <f>AC57*1000000000000/Assumptions!$B$17/1000</f>
        <v>10950</v>
      </c>
      <c r="AE57" s="9">
        <f t="shared" si="18"/>
        <v>58.623645092460876</v>
      </c>
      <c r="AF57">
        <f>IF(LEFT(Z57,4)="Blue",Assumptions!$G$57,0)</f>
        <v>43.849999999999994</v>
      </c>
      <c r="AG57">
        <f>IF(LEFT(Z57,4)="Blue",Assumptions!$G$59,IF(LEFT(Z57,4)="Gree",Assumptions!$G$60,0))</f>
        <v>73.397290184921758</v>
      </c>
      <c r="AH57" s="6">
        <f t="shared" ref="AH57:AJ57" si="62">AH36</f>
        <v>89.845883938555232</v>
      </c>
      <c r="AI57" s="6">
        <f t="shared" si="62"/>
        <v>79.241767877110448</v>
      </c>
      <c r="AJ57" s="6">
        <f t="shared" si="62"/>
        <v>100.45</v>
      </c>
      <c r="AK57" s="51">
        <f t="shared" si="22"/>
        <v>-16.448593753633467</v>
      </c>
      <c r="AL57" s="51">
        <f t="shared" si="23"/>
        <v>-5.8444776921886898</v>
      </c>
      <c r="AM57" s="51">
        <f t="shared" si="24"/>
        <v>-27.052709815078245</v>
      </c>
      <c r="AN57">
        <f>IFERROR(INDEX(WaterUseH2[Average Direct Water Consumption (Gal/ kg h2)],MATCH(LEFT(Hydrogen!Y57,3),WaterUseH2[Key],0)),0)</f>
        <v>2.8</v>
      </c>
      <c r="AO57" s="13">
        <f t="shared" si="11"/>
        <v>30.659999999999997</v>
      </c>
      <c r="AP57" s="13">
        <f>IF(Y57=$Y$3,AD57*Assumptions!$C$8*1000/1000,0)</f>
        <v>0</v>
      </c>
      <c r="AQ57" s="30">
        <f t="shared" si="25"/>
        <v>0</v>
      </c>
      <c r="AR57" s="30">
        <f>$AQ57*Assumptions!B$76</f>
        <v>0</v>
      </c>
      <c r="AS57" s="30">
        <f>$AQ57*Assumptions!C$76</f>
        <v>0</v>
      </c>
      <c r="AT57" s="30">
        <f>$AQ57*Assumptions!D$76</f>
        <v>0</v>
      </c>
      <c r="BC57" t="s">
        <v>188</v>
      </c>
      <c r="BD57" t="s">
        <v>76</v>
      </c>
      <c r="BE57">
        <v>2036</v>
      </c>
      <c r="BF57" s="21">
        <v>0</v>
      </c>
      <c r="BG57" t="s">
        <v>181</v>
      </c>
      <c r="BH57" s="50">
        <f>Assumptions!E96*-1</f>
        <v>2.7103340222280552E-5</v>
      </c>
      <c r="BI57" s="50">
        <f>Assumptions!F96*-1</f>
        <v>2.0921779039824192E-5</v>
      </c>
      <c r="BJ57" s="50">
        <f>Assumptions!G96*-1</f>
        <v>3.3284901126945512E-5</v>
      </c>
      <c r="BK57" t="s">
        <v>189</v>
      </c>
    </row>
    <row r="58" spans="25:63" x14ac:dyDescent="0.35">
      <c r="Y58" t="s">
        <v>74</v>
      </c>
      <c r="Z58" s="16" t="s">
        <v>73</v>
      </c>
      <c r="AA58" t="s">
        <v>76</v>
      </c>
      <c r="AB58">
        <v>2038</v>
      </c>
      <c r="AC58">
        <v>1.3140000000000001E-3</v>
      </c>
      <c r="AD58" s="23">
        <f>AC58*1000000000000/Assumptions!$B$17/1000</f>
        <v>10950</v>
      </c>
      <c r="AE58" s="9">
        <f t="shared" si="18"/>
        <v>58.623645092460876</v>
      </c>
      <c r="AF58">
        <f>IF(LEFT(Z58,4)="Blue",Assumptions!$G$57,0)</f>
        <v>43.849999999999994</v>
      </c>
      <c r="AG58">
        <f>IF(LEFT(Z58,4)="Blue",Assumptions!$G$59,IF(LEFT(Z58,4)="Gree",Assumptions!$G$60,0))</f>
        <v>73.397290184921758</v>
      </c>
      <c r="AH58" s="6">
        <f t="shared" ref="AH58:AJ58" si="63">AH37</f>
        <v>88.574547187599435</v>
      </c>
      <c r="AI58" s="6">
        <f t="shared" si="63"/>
        <v>76.699094375198868</v>
      </c>
      <c r="AJ58" s="6">
        <f t="shared" si="63"/>
        <v>100.45</v>
      </c>
      <c r="AK58" s="51">
        <f t="shared" si="22"/>
        <v>-15.177257002677678</v>
      </c>
      <c r="AL58" s="51">
        <f t="shared" si="23"/>
        <v>-3.3018041902771103</v>
      </c>
      <c r="AM58" s="51">
        <f t="shared" si="24"/>
        <v>-27.052709815078245</v>
      </c>
      <c r="AN58">
        <f>IFERROR(INDEX(WaterUseH2[Average Direct Water Consumption (Gal/ kg h2)],MATCH(LEFT(Hydrogen!Y58,3),WaterUseH2[Key],0)),0)</f>
        <v>2.8</v>
      </c>
      <c r="AO58" s="13">
        <f t="shared" si="11"/>
        <v>30.659999999999997</v>
      </c>
      <c r="AP58" s="13">
        <f>IF(Y58=$Y$3,AD58*Assumptions!$C$8*1000/1000,0)</f>
        <v>0</v>
      </c>
      <c r="AQ58" s="30">
        <f t="shared" si="25"/>
        <v>0</v>
      </c>
      <c r="AR58" s="30">
        <f>$AQ58*Assumptions!B$76</f>
        <v>0</v>
      </c>
      <c r="AS58" s="30">
        <f>$AQ58*Assumptions!C$76</f>
        <v>0</v>
      </c>
      <c r="AT58" s="30">
        <f>$AQ58*Assumptions!D$76</f>
        <v>0</v>
      </c>
      <c r="BC58" t="s">
        <v>188</v>
      </c>
      <c r="BD58" t="s">
        <v>76</v>
      </c>
      <c r="BE58">
        <v>2037</v>
      </c>
      <c r="BF58" s="21">
        <v>0</v>
      </c>
      <c r="BG58" t="s">
        <v>181</v>
      </c>
      <c r="BH58" s="50">
        <f>Assumptions!E97*-1</f>
        <v>2.5929970112997138E-5</v>
      </c>
      <c r="BI58" s="50">
        <f>Assumptions!F97*-1</f>
        <v>1.9488995325463529E-5</v>
      </c>
      <c r="BJ58" s="50">
        <f>Assumptions!G97*-1</f>
        <v>3.2370944622739347E-5</v>
      </c>
      <c r="BK58" t="s">
        <v>189</v>
      </c>
    </row>
    <row r="59" spans="25:63" x14ac:dyDescent="0.35">
      <c r="Y59" t="s">
        <v>74</v>
      </c>
      <c r="Z59" s="16" t="s">
        <v>73</v>
      </c>
      <c r="AA59" t="s">
        <v>76</v>
      </c>
      <c r="AB59">
        <v>2039</v>
      </c>
      <c r="AC59">
        <v>1.3140000000000001E-3</v>
      </c>
      <c r="AD59" s="23">
        <f>AC59*1000000000000/Assumptions!$B$17/1000</f>
        <v>10950</v>
      </c>
      <c r="AE59" s="9">
        <f t="shared" si="18"/>
        <v>58.623645092460876</v>
      </c>
      <c r="AF59">
        <f>IF(LEFT(Z59,4)="Blue",Assumptions!$G$57,0)</f>
        <v>43.849999999999994</v>
      </c>
      <c r="AG59">
        <f>IF(LEFT(Z59,4)="Blue",Assumptions!$G$59,IF(LEFT(Z59,4)="Gree",Assumptions!$G$60,0))</f>
        <v>73.397290184921758</v>
      </c>
      <c r="AH59" s="6">
        <f t="shared" ref="AH59:AJ59" si="64">AH38</f>
        <v>87.273478799936612</v>
      </c>
      <c r="AI59" s="6">
        <f t="shared" si="64"/>
        <v>74.096957599873221</v>
      </c>
      <c r="AJ59" s="6">
        <f t="shared" si="64"/>
        <v>100.45</v>
      </c>
      <c r="AK59" s="51">
        <f t="shared" si="22"/>
        <v>-13.876188615014854</v>
      </c>
      <c r="AL59" s="51">
        <f t="shared" si="23"/>
        <v>-0.69966741495146323</v>
      </c>
      <c r="AM59" s="51">
        <f t="shared" si="24"/>
        <v>-27.052709815078245</v>
      </c>
      <c r="AN59">
        <f>IFERROR(INDEX(WaterUseH2[Average Direct Water Consumption (Gal/ kg h2)],MATCH(LEFT(Hydrogen!Y59,3),WaterUseH2[Key],0)),0)</f>
        <v>2.8</v>
      </c>
      <c r="AO59" s="13">
        <f t="shared" si="11"/>
        <v>30.659999999999997</v>
      </c>
      <c r="AP59" s="13">
        <f>IF(Y59=$Y$3,AD59*Assumptions!$C$8*1000/1000,0)</f>
        <v>0</v>
      </c>
      <c r="AQ59" s="30">
        <f t="shared" si="25"/>
        <v>0</v>
      </c>
      <c r="AR59" s="30">
        <f>$AQ59*Assumptions!B$76</f>
        <v>0</v>
      </c>
      <c r="AS59" s="30">
        <f>$AQ59*Assumptions!C$76</f>
        <v>0</v>
      </c>
      <c r="AT59" s="30">
        <f>$AQ59*Assumptions!D$76</f>
        <v>0</v>
      </c>
      <c r="BC59" t="s">
        <v>188</v>
      </c>
      <c r="BD59" t="s">
        <v>76</v>
      </c>
      <c r="BE59">
        <v>2038</v>
      </c>
      <c r="BF59" s="21">
        <v>0</v>
      </c>
      <c r="BG59" t="s">
        <v>181</v>
      </c>
      <c r="BH59" s="50">
        <f>Assumptions!E98*-1</f>
        <v>2.4756600003713724E-5</v>
      </c>
      <c r="BI59" s="50">
        <f>Assumptions!F98*-1</f>
        <v>1.8056211611102869E-5</v>
      </c>
      <c r="BJ59" s="50">
        <f>Assumptions!G98*-1</f>
        <v>3.1456988118533189E-5</v>
      </c>
      <c r="BK59" t="s">
        <v>189</v>
      </c>
    </row>
    <row r="60" spans="25:63" x14ac:dyDescent="0.35">
      <c r="Y60" t="s">
        <v>74</v>
      </c>
      <c r="Z60" s="16" t="s">
        <v>73</v>
      </c>
      <c r="AA60" t="s">
        <v>76</v>
      </c>
      <c r="AB60">
        <v>2040</v>
      </c>
      <c r="AC60">
        <v>1.3140000000000001E-3</v>
      </c>
      <c r="AD60" s="23">
        <f>AC60*1000000000000/Assumptions!$B$17/1000</f>
        <v>10950</v>
      </c>
      <c r="AE60" s="9">
        <f t="shared" si="18"/>
        <v>58.623645092460876</v>
      </c>
      <c r="AF60">
        <f>IF(LEFT(Z60,4)="Blue",Assumptions!$G$57,0)</f>
        <v>43.849999999999994</v>
      </c>
      <c r="AG60">
        <f>IF(LEFT(Z60,4)="Blue",Assumptions!$G$59,IF(LEFT(Z60,4)="Gree",Assumptions!$G$60,0))</f>
        <v>73.397290184921758</v>
      </c>
      <c r="AH60" s="6">
        <f t="shared" ref="AH60:AJ60" si="65">AH39</f>
        <v>85.951275707781519</v>
      </c>
      <c r="AI60" s="6">
        <f t="shared" si="65"/>
        <v>71.452551415563036</v>
      </c>
      <c r="AJ60" s="6">
        <f t="shared" si="65"/>
        <v>100.45</v>
      </c>
      <c r="AK60" s="51">
        <f t="shared" si="22"/>
        <v>-13.526354907539123</v>
      </c>
      <c r="AL60" s="51">
        <f t="shared" si="23"/>
        <v>0</v>
      </c>
      <c r="AM60" s="51">
        <f t="shared" si="24"/>
        <v>-27.052709815078245</v>
      </c>
      <c r="AN60">
        <f>IFERROR(INDEX(WaterUseH2[Average Direct Water Consumption (Gal/ kg h2)],MATCH(LEFT(Hydrogen!Y60,3),WaterUseH2[Key],0)),0)</f>
        <v>2.8</v>
      </c>
      <c r="AO60" s="13">
        <f t="shared" si="11"/>
        <v>30.659999999999997</v>
      </c>
      <c r="AP60" s="13">
        <f>IF(Y60=$Y$3,AD60*Assumptions!$C$8*1000/1000,0)</f>
        <v>0</v>
      </c>
      <c r="AQ60" s="30">
        <f t="shared" si="25"/>
        <v>0</v>
      </c>
      <c r="AR60" s="30">
        <f>$AQ60*Assumptions!B$76</f>
        <v>0</v>
      </c>
      <c r="AS60" s="30">
        <f>$AQ60*Assumptions!C$76</f>
        <v>0</v>
      </c>
      <c r="AT60" s="30">
        <f>$AQ60*Assumptions!D$76</f>
        <v>0</v>
      </c>
      <c r="BC60" t="s">
        <v>188</v>
      </c>
      <c r="BD60" t="s">
        <v>76</v>
      </c>
      <c r="BE60">
        <v>2039</v>
      </c>
      <c r="BF60" s="21">
        <v>0</v>
      </c>
      <c r="BG60" t="s">
        <v>181</v>
      </c>
      <c r="BH60" s="50">
        <f>Assumptions!E99*-1</f>
        <v>2.358322989443031E-5</v>
      </c>
      <c r="BI60" s="50">
        <f>Assumptions!F99*-1</f>
        <v>1.6623427896742205E-5</v>
      </c>
      <c r="BJ60" s="50">
        <f>Assumptions!G99*-1</f>
        <v>3.0543031614327023E-5</v>
      </c>
      <c r="BK60" t="s">
        <v>189</v>
      </c>
    </row>
    <row r="61" spans="25:63" x14ac:dyDescent="0.35">
      <c r="Y61" t="s">
        <v>74</v>
      </c>
      <c r="Z61" s="16" t="s">
        <v>73</v>
      </c>
      <c r="AA61" t="s">
        <v>76</v>
      </c>
      <c r="AB61">
        <v>2041</v>
      </c>
      <c r="AC61">
        <v>1.3140000000000001E-3</v>
      </c>
      <c r="AD61" s="23">
        <f>AC61*1000000000000/Assumptions!$B$17/1000</f>
        <v>10950</v>
      </c>
      <c r="AE61" s="9">
        <f t="shared" si="18"/>
        <v>58.623645092460876</v>
      </c>
      <c r="AF61">
        <f>IF(LEFT(Z61,4)="Blue",Assumptions!$G$57,0)</f>
        <v>43.849999999999994</v>
      </c>
      <c r="AG61">
        <f>IF(LEFT(Z61,4)="Blue",Assumptions!$G$59,IF(LEFT(Z61,4)="Gree",Assumptions!$G$60,0))</f>
        <v>73.397290184921758</v>
      </c>
      <c r="AH61" s="6">
        <f t="shared" ref="AH61:AJ61" si="66">AH40</f>
        <v>84.637245588482756</v>
      </c>
      <c r="AI61" s="6">
        <f t="shared" si="66"/>
        <v>68.824491176965509</v>
      </c>
      <c r="AJ61" s="6">
        <f t="shared" si="66"/>
        <v>100.45</v>
      </c>
      <c r="AK61" s="51">
        <f t="shared" si="22"/>
        <v>-13.526354907539123</v>
      </c>
      <c r="AL61" s="51">
        <f t="shared" si="23"/>
        <v>0</v>
      </c>
      <c r="AM61" s="51">
        <f t="shared" si="24"/>
        <v>-27.052709815078245</v>
      </c>
      <c r="AN61">
        <f>IFERROR(INDEX(WaterUseH2[Average Direct Water Consumption (Gal/ kg h2)],MATCH(LEFT(Hydrogen!Y61,3),WaterUseH2[Key],0)),0)</f>
        <v>2.8</v>
      </c>
      <c r="AO61" s="13">
        <f t="shared" si="11"/>
        <v>30.659999999999997</v>
      </c>
      <c r="AP61" s="13">
        <f>IF(Y61=$Y$3,AD61*Assumptions!$C$8*1000/1000,0)</f>
        <v>0</v>
      </c>
      <c r="AQ61" s="30">
        <f t="shared" si="25"/>
        <v>0</v>
      </c>
      <c r="AR61" s="30">
        <f>$AQ61*Assumptions!B$76</f>
        <v>0</v>
      </c>
      <c r="AS61" s="30">
        <f>$AQ61*Assumptions!C$76</f>
        <v>0</v>
      </c>
      <c r="AT61" s="30">
        <f>$AQ61*Assumptions!D$76</f>
        <v>0</v>
      </c>
      <c r="BC61" t="s">
        <v>188</v>
      </c>
      <c r="BD61" t="s">
        <v>76</v>
      </c>
      <c r="BE61">
        <v>2040</v>
      </c>
      <c r="BF61" s="21">
        <v>0</v>
      </c>
      <c r="BG61" t="s">
        <v>181</v>
      </c>
      <c r="BH61" s="50">
        <f>Assumptions!E100*-1</f>
        <v>2.2409859785146895E-5</v>
      </c>
      <c r="BI61" s="50">
        <f>Assumptions!F100*-1</f>
        <v>1.5190644182381542E-5</v>
      </c>
      <c r="BJ61" s="50">
        <f>Assumptions!G100*-1</f>
        <v>2.9629075110120862E-5</v>
      </c>
      <c r="BK61" t="s">
        <v>189</v>
      </c>
    </row>
    <row r="62" spans="25:63" x14ac:dyDescent="0.35">
      <c r="Y62" t="s">
        <v>74</v>
      </c>
      <c r="Z62" s="16" t="s">
        <v>73</v>
      </c>
      <c r="AA62" t="s">
        <v>76</v>
      </c>
      <c r="AB62">
        <v>2042</v>
      </c>
      <c r="AC62">
        <v>1.3140000000000001E-3</v>
      </c>
      <c r="AD62" s="23">
        <f>AC62*1000000000000/Assumptions!$B$17/1000</f>
        <v>10950</v>
      </c>
      <c r="AE62" s="9">
        <f t="shared" si="18"/>
        <v>58.623645092460876</v>
      </c>
      <c r="AF62">
        <f>IF(LEFT(Z62,4)="Blue",Assumptions!$G$57,0)</f>
        <v>43.849999999999994</v>
      </c>
      <c r="AG62">
        <f>IF(LEFT(Z62,4)="Blue",Assumptions!$G$59,IF(LEFT(Z62,4)="Gree",Assumptions!$G$60,0))</f>
        <v>73.397290184921758</v>
      </c>
      <c r="AH62" s="6">
        <f t="shared" ref="AH62:AJ62" si="67">AH41</f>
        <v>83.36430635778953</v>
      </c>
      <c r="AI62" s="6">
        <f t="shared" si="67"/>
        <v>66.278612715579072</v>
      </c>
      <c r="AJ62" s="6">
        <f t="shared" si="67"/>
        <v>100.45</v>
      </c>
      <c r="AK62" s="51">
        <f t="shared" si="22"/>
        <v>-13.526354907539123</v>
      </c>
      <c r="AL62" s="51">
        <f t="shared" si="23"/>
        <v>0</v>
      </c>
      <c r="AM62" s="51">
        <f t="shared" si="24"/>
        <v>-27.052709815078245</v>
      </c>
      <c r="AN62">
        <f>IFERROR(INDEX(WaterUseH2[Average Direct Water Consumption (Gal/ kg h2)],MATCH(LEFT(Hydrogen!Y62,3),WaterUseH2[Key],0)),0)</f>
        <v>2.8</v>
      </c>
      <c r="AO62" s="13">
        <f t="shared" si="11"/>
        <v>30.659999999999997</v>
      </c>
      <c r="AP62" s="13">
        <f>IF(Y62=$Y$3,AD62*Assumptions!$C$8*1000/1000,0)</f>
        <v>0</v>
      </c>
      <c r="AQ62" s="30">
        <f t="shared" si="25"/>
        <v>0</v>
      </c>
      <c r="AR62" s="30">
        <f>$AQ62*Assumptions!B$76</f>
        <v>0</v>
      </c>
      <c r="AS62" s="30">
        <f>$AQ62*Assumptions!C$76</f>
        <v>0</v>
      </c>
      <c r="AT62" s="30">
        <f>$AQ62*Assumptions!D$76</f>
        <v>0</v>
      </c>
      <c r="BC62" t="s">
        <v>188</v>
      </c>
      <c r="BD62" t="s">
        <v>76</v>
      </c>
      <c r="BE62">
        <v>2041</v>
      </c>
      <c r="BF62" s="21">
        <v>0</v>
      </c>
      <c r="BG62" t="s">
        <v>181</v>
      </c>
      <c r="BH62" s="50">
        <f>Assumptions!E101*-1</f>
        <v>2.1236489675863481E-5</v>
      </c>
      <c r="BI62" s="50">
        <f>Assumptions!F101*-1</f>
        <v>1.3757860468020879E-5</v>
      </c>
      <c r="BJ62" s="50">
        <f>Assumptions!G101*-1</f>
        <v>2.8715118605914697E-5</v>
      </c>
      <c r="BK62" t="s">
        <v>189</v>
      </c>
    </row>
    <row r="63" spans="25:63" x14ac:dyDescent="0.35">
      <c r="Y63" t="s">
        <v>74</v>
      </c>
      <c r="Z63" s="16" t="s">
        <v>73</v>
      </c>
      <c r="AA63" t="s">
        <v>76</v>
      </c>
      <c r="AB63">
        <v>2043</v>
      </c>
      <c r="AC63">
        <v>1.3140000000000001E-3</v>
      </c>
      <c r="AD63" s="23">
        <f>AC63*1000000000000/Assumptions!$B$17/1000</f>
        <v>10950</v>
      </c>
      <c r="AE63" s="9">
        <f t="shared" si="18"/>
        <v>58.623645092460876</v>
      </c>
      <c r="AF63">
        <f>IF(LEFT(Z63,4)="Blue",Assumptions!$G$57,0)</f>
        <v>43.849999999999994</v>
      </c>
      <c r="AG63">
        <f>IF(LEFT(Z63,4)="Blue",Assumptions!$G$59,IF(LEFT(Z63,4)="Gree",Assumptions!$G$60,0))</f>
        <v>73.397290184921758</v>
      </c>
      <c r="AH63" s="6">
        <f t="shared" ref="AH63:AJ63" si="68">AH42</f>
        <v>82.142704261559757</v>
      </c>
      <c r="AI63" s="6">
        <f t="shared" si="68"/>
        <v>63.835408523119504</v>
      </c>
      <c r="AJ63" s="6">
        <f t="shared" si="68"/>
        <v>100.45</v>
      </c>
      <c r="AK63" s="51">
        <f t="shared" si="22"/>
        <v>-13.526354907539123</v>
      </c>
      <c r="AL63" s="51">
        <f t="shared" si="23"/>
        <v>0</v>
      </c>
      <c r="AM63" s="51">
        <f t="shared" si="24"/>
        <v>-27.052709815078245</v>
      </c>
      <c r="AN63">
        <f>IFERROR(INDEX(WaterUseH2[Average Direct Water Consumption (Gal/ kg h2)],MATCH(LEFT(Hydrogen!Y63,3),WaterUseH2[Key],0)),0)</f>
        <v>2.8</v>
      </c>
      <c r="AO63" s="13">
        <f t="shared" si="11"/>
        <v>30.659999999999997</v>
      </c>
      <c r="AP63" s="13">
        <f>IF(Y63=$Y$3,AD63*Assumptions!$C$8*1000/1000,0)</f>
        <v>0</v>
      </c>
      <c r="AQ63" s="30">
        <f t="shared" si="25"/>
        <v>0</v>
      </c>
      <c r="AR63" s="30">
        <f>$AQ63*Assumptions!B$76</f>
        <v>0</v>
      </c>
      <c r="AS63" s="30">
        <f>$AQ63*Assumptions!C$76</f>
        <v>0</v>
      </c>
      <c r="AT63" s="30">
        <f>$AQ63*Assumptions!D$76</f>
        <v>0</v>
      </c>
      <c r="BC63" t="s">
        <v>188</v>
      </c>
      <c r="BD63" t="s">
        <v>76</v>
      </c>
      <c r="BE63">
        <v>2042</v>
      </c>
      <c r="BF63" s="21">
        <v>0</v>
      </c>
      <c r="BG63" t="s">
        <v>181</v>
      </c>
      <c r="BH63" s="50">
        <f>Assumptions!E102*-1</f>
        <v>2.0063119566580067E-5</v>
      </c>
      <c r="BI63" s="50">
        <f>Assumptions!F102*-1</f>
        <v>1.2325076753660215E-5</v>
      </c>
      <c r="BJ63" s="50">
        <f>Assumptions!G102*-1</f>
        <v>2.7801162101708535E-5</v>
      </c>
      <c r="BK63" t="s">
        <v>189</v>
      </c>
    </row>
    <row r="64" spans="25:63" x14ac:dyDescent="0.35">
      <c r="Y64" t="s">
        <v>74</v>
      </c>
      <c r="Z64" s="16" t="s">
        <v>73</v>
      </c>
      <c r="AA64" t="s">
        <v>76</v>
      </c>
      <c r="AB64">
        <v>2044</v>
      </c>
      <c r="AC64">
        <v>1.3140000000000001E-3</v>
      </c>
      <c r="AD64" s="23">
        <f>AC64*1000000000000/Assumptions!$B$17/1000</f>
        <v>10950</v>
      </c>
      <c r="AE64" s="9">
        <f t="shared" si="18"/>
        <v>58.623645092460876</v>
      </c>
      <c r="AF64">
        <f>IF(LEFT(Z64,4)="Blue",Assumptions!$G$57,0)</f>
        <v>43.849999999999994</v>
      </c>
      <c r="AG64">
        <f>IF(LEFT(Z64,4)="Blue",Assumptions!$G$59,IF(LEFT(Z64,4)="Gree",Assumptions!$G$60,0))</f>
        <v>73.397290184921758</v>
      </c>
      <c r="AH64" s="6">
        <f t="shared" ref="AH64:AJ64" si="69">AH43</f>
        <v>80.990181196488862</v>
      </c>
      <c r="AI64" s="6">
        <f t="shared" si="69"/>
        <v>61.530362392977736</v>
      </c>
      <c r="AJ64" s="6">
        <f t="shared" si="69"/>
        <v>100.45</v>
      </c>
      <c r="AK64" s="51">
        <f t="shared" si="22"/>
        <v>-13.526354907539123</v>
      </c>
      <c r="AL64" s="51">
        <f t="shared" si="23"/>
        <v>0</v>
      </c>
      <c r="AM64" s="51">
        <f t="shared" si="24"/>
        <v>-27.052709815078245</v>
      </c>
      <c r="AN64">
        <f>IFERROR(INDEX(WaterUseH2[Average Direct Water Consumption (Gal/ kg h2)],MATCH(LEFT(Hydrogen!Y64,3),WaterUseH2[Key],0)),0)</f>
        <v>2.8</v>
      </c>
      <c r="AO64" s="13">
        <f t="shared" si="11"/>
        <v>30.659999999999997</v>
      </c>
      <c r="AP64" s="13">
        <f>IF(Y64=$Y$3,AD64*Assumptions!$C$8*1000/1000,0)</f>
        <v>0</v>
      </c>
      <c r="AQ64" s="30">
        <f t="shared" si="25"/>
        <v>0</v>
      </c>
      <c r="AR64" s="30">
        <f>$AQ64*Assumptions!B$76</f>
        <v>0</v>
      </c>
      <c r="AS64" s="30">
        <f>$AQ64*Assumptions!C$76</f>
        <v>0</v>
      </c>
      <c r="AT64" s="30">
        <f>$AQ64*Assumptions!D$76</f>
        <v>0</v>
      </c>
      <c r="BC64" t="s">
        <v>188</v>
      </c>
      <c r="BD64" t="s">
        <v>76</v>
      </c>
      <c r="BE64">
        <v>2043</v>
      </c>
      <c r="BF64" s="21">
        <v>0</v>
      </c>
      <c r="BG64" t="s">
        <v>181</v>
      </c>
      <c r="BH64" s="50">
        <f>Assumptions!E103*-1</f>
        <v>1.8889749457296653E-5</v>
      </c>
      <c r="BI64" s="50">
        <f>Assumptions!F103*-1</f>
        <v>1.0892293039299552E-5</v>
      </c>
      <c r="BJ64" s="50">
        <f>Assumptions!G103*-1</f>
        <v>2.6887205597502373E-5</v>
      </c>
      <c r="BK64" t="s">
        <v>189</v>
      </c>
    </row>
    <row r="65" spans="25:63" x14ac:dyDescent="0.35">
      <c r="Y65" t="s">
        <v>74</v>
      </c>
      <c r="Z65" s="16" t="s">
        <v>73</v>
      </c>
      <c r="AA65" t="s">
        <v>76</v>
      </c>
      <c r="AB65">
        <v>2045</v>
      </c>
      <c r="AC65">
        <v>1.3140000000000001E-3</v>
      </c>
      <c r="AD65" s="23">
        <f>AC65*1000000000000/Assumptions!$B$17/1000</f>
        <v>10950</v>
      </c>
      <c r="AE65" s="9">
        <f t="shared" si="18"/>
        <v>58.623645092460876</v>
      </c>
      <c r="AF65">
        <f>IF(LEFT(Z65,4)="Blue",Assumptions!$G$57,0)</f>
        <v>43.849999999999994</v>
      </c>
      <c r="AG65">
        <f>IF(LEFT(Z65,4)="Blue",Assumptions!$G$59,IF(LEFT(Z65,4)="Gree",Assumptions!$G$60,0))</f>
        <v>73.397290184921758</v>
      </c>
      <c r="AH65" s="6">
        <f t="shared" ref="AH65:AJ65" si="70">AH44</f>
        <v>79.920544054153567</v>
      </c>
      <c r="AI65" s="6">
        <f t="shared" si="70"/>
        <v>59.391088108307123</v>
      </c>
      <c r="AJ65" s="6">
        <f t="shared" si="70"/>
        <v>100.45</v>
      </c>
      <c r="AK65" s="51">
        <f t="shared" si="22"/>
        <v>-13.526354907539123</v>
      </c>
      <c r="AL65" s="51">
        <f t="shared" si="23"/>
        <v>0</v>
      </c>
      <c r="AM65" s="51">
        <f t="shared" si="24"/>
        <v>-27.052709815078245</v>
      </c>
      <c r="AN65">
        <f>IFERROR(INDEX(WaterUseH2[Average Direct Water Consumption (Gal/ kg h2)],MATCH(LEFT(Hydrogen!Y65,3),WaterUseH2[Key],0)),0)</f>
        <v>2.8</v>
      </c>
      <c r="AO65" s="13">
        <f t="shared" si="11"/>
        <v>30.659999999999997</v>
      </c>
      <c r="AP65" s="13">
        <f>IF(Y65=$Y$3,AD65*Assumptions!$C$8*1000/1000,0)</f>
        <v>0</v>
      </c>
      <c r="AQ65" s="30">
        <f t="shared" si="25"/>
        <v>0</v>
      </c>
      <c r="AR65" s="30">
        <f>$AQ65*Assumptions!B$76</f>
        <v>0</v>
      </c>
      <c r="AS65" s="30">
        <f>$AQ65*Assumptions!C$76</f>
        <v>0</v>
      </c>
      <c r="AT65" s="30">
        <f>$AQ65*Assumptions!D$76</f>
        <v>0</v>
      </c>
      <c r="BC65" t="s">
        <v>188</v>
      </c>
      <c r="BD65" t="s">
        <v>76</v>
      </c>
      <c r="BE65">
        <v>2044</v>
      </c>
      <c r="BF65" s="21">
        <v>0</v>
      </c>
      <c r="BG65" t="s">
        <v>181</v>
      </c>
      <c r="BH65" s="50">
        <f>Assumptions!E104*-1</f>
        <v>1.7716379348013239E-5</v>
      </c>
      <c r="BI65" s="50">
        <f>Assumptions!F104*-1</f>
        <v>9.4595093249388888E-6</v>
      </c>
      <c r="BJ65" s="50">
        <f>Assumptions!G104*-1</f>
        <v>2.5973249093296208E-5</v>
      </c>
      <c r="BK65" t="s">
        <v>189</v>
      </c>
    </row>
    <row r="66" spans="25:63" x14ac:dyDescent="0.35">
      <c r="Y66" t="s">
        <v>190</v>
      </c>
      <c r="Z66" t="s">
        <v>179</v>
      </c>
      <c r="AA66" t="s">
        <v>76</v>
      </c>
      <c r="AB66">
        <v>2025</v>
      </c>
      <c r="AC66">
        <v>0</v>
      </c>
      <c r="AD66" s="23">
        <f>AC66*1000000000000/Assumptions!$B$17/1000</f>
        <v>0</v>
      </c>
      <c r="AE66" s="9">
        <f t="shared" si="18"/>
        <v>5.2549999999999999</v>
      </c>
      <c r="AF66">
        <f>IF(LEFT(Z66,4)="Blue",Assumptions!$G$57,0)</f>
        <v>0</v>
      </c>
      <c r="AG66">
        <f>IF(LEFT(Z66,4)="Blue",Assumptions!$G$59,IF(LEFT(Z66,4)="Gree",Assumptions!$G$60,0))</f>
        <v>10.51</v>
      </c>
      <c r="AH66" s="6">
        <f t="shared" ref="AH66:AJ66" si="71">AH45</f>
        <v>99.359553682832001</v>
      </c>
      <c r="AI66" s="6">
        <f t="shared" si="71"/>
        <v>98.269107365663999</v>
      </c>
      <c r="AJ66" s="6">
        <f t="shared" si="71"/>
        <v>100.45</v>
      </c>
      <c r="AK66" s="51">
        <f t="shared" si="22"/>
        <v>-88.849553682831996</v>
      </c>
      <c r="AL66" s="51">
        <f t="shared" si="23"/>
        <v>-87.759107365663994</v>
      </c>
      <c r="AM66" s="51">
        <f t="shared" si="24"/>
        <v>-89.94</v>
      </c>
      <c r="AN66">
        <f>IFERROR(INDEX(WaterUseH2[Average Direct Water Consumption (Gal/ kg h2)],MATCH(LEFT(Hydrogen!Y66,3),WaterUseH2[Key],0)),0)</f>
        <v>4.0999999999999996</v>
      </c>
      <c r="AO66" s="13">
        <f t="shared" si="11"/>
        <v>0</v>
      </c>
      <c r="AP66" s="13">
        <f>IF(Y66=$Y$3,AD66*Assumptions!$C$8*1000/1000,0)</f>
        <v>0</v>
      </c>
      <c r="AQ66" s="30">
        <f t="shared" si="25"/>
        <v>0</v>
      </c>
      <c r="AR66" s="30">
        <f>$AQ66*Assumptions!B$76</f>
        <v>0</v>
      </c>
      <c r="AS66" s="30">
        <f>$AQ66*Assumptions!C$76</f>
        <v>0</v>
      </c>
      <c r="AT66" s="30">
        <f>$AQ66*Assumptions!D$76</f>
        <v>0</v>
      </c>
      <c r="BC66" t="s">
        <v>188</v>
      </c>
      <c r="BD66" t="s">
        <v>76</v>
      </c>
      <c r="BE66">
        <v>2045</v>
      </c>
      <c r="BF66" s="21">
        <v>0</v>
      </c>
      <c r="BG66" t="s">
        <v>181</v>
      </c>
      <c r="BH66" s="50">
        <f>Assumptions!E105*-1</f>
        <v>1.6543009238729828E-5</v>
      </c>
      <c r="BI66" s="50">
        <f>Assumptions!F105*-1</f>
        <v>8.0267256105782254E-6</v>
      </c>
      <c r="BJ66" s="50">
        <f>Assumptions!G105*-1</f>
        <v>2.5059292589090046E-5</v>
      </c>
      <c r="BK66" t="s">
        <v>189</v>
      </c>
    </row>
    <row r="67" spans="25:63" x14ac:dyDescent="0.35">
      <c r="Y67" t="s">
        <v>190</v>
      </c>
      <c r="Z67" t="s">
        <v>179</v>
      </c>
      <c r="AA67" t="s">
        <v>76</v>
      </c>
      <c r="AB67">
        <v>2026</v>
      </c>
      <c r="AC67">
        <v>0</v>
      </c>
      <c r="AD67" s="23">
        <f>AC67*1000000000000/Assumptions!$B$17/1000</f>
        <v>0</v>
      </c>
      <c r="AE67" s="9">
        <f t="shared" si="18"/>
        <v>5.2549999999999999</v>
      </c>
      <c r="AF67">
        <f>IF(LEFT(Z67,4)="Blue",Assumptions!$G$57,0)</f>
        <v>0</v>
      </c>
      <c r="AG67">
        <f>IF(LEFT(Z67,4)="Blue",Assumptions!$G$59,IF(LEFT(Z67,4)="Gree",Assumptions!$G$60,0))</f>
        <v>10.51</v>
      </c>
      <c r="AH67" s="6">
        <f t="shared" ref="AH67:AJ67" si="72">AH46</f>
        <v>99.000787443158117</v>
      </c>
      <c r="AI67" s="6">
        <f t="shared" si="72"/>
        <v>97.551574886316232</v>
      </c>
      <c r="AJ67" s="6">
        <f t="shared" si="72"/>
        <v>100.45</v>
      </c>
      <c r="AK67" s="51">
        <f t="shared" si="22"/>
        <v>-88.490787443158112</v>
      </c>
      <c r="AL67" s="51">
        <f t="shared" si="23"/>
        <v>-87.041574886316226</v>
      </c>
      <c r="AM67" s="51">
        <f t="shared" si="24"/>
        <v>-89.94</v>
      </c>
      <c r="AN67">
        <f>IFERROR(INDEX(WaterUseH2[Average Direct Water Consumption (Gal/ kg h2)],MATCH(LEFT(Hydrogen!Y67,3),WaterUseH2[Key],0)),0)</f>
        <v>4.0999999999999996</v>
      </c>
      <c r="AO67" s="13">
        <f t="shared" ref="AO67:AO130" si="73">AD67*AN67*1000/1000000</f>
        <v>0</v>
      </c>
      <c r="AP67" s="13">
        <f>IF(Y67=$Y$3,AD67*Assumptions!$C$8*1000/1000,0)</f>
        <v>0</v>
      </c>
      <c r="AQ67" s="30">
        <f t="shared" si="25"/>
        <v>0</v>
      </c>
      <c r="AR67" s="30">
        <f>$AQ67*Assumptions!B$76</f>
        <v>0</v>
      </c>
      <c r="AS67" s="30">
        <f>$AQ67*Assumptions!C$76</f>
        <v>0</v>
      </c>
      <c r="AT67" s="30">
        <f>$AQ67*Assumptions!D$76</f>
        <v>0</v>
      </c>
      <c r="BC67" t="s">
        <v>170</v>
      </c>
      <c r="BD67" t="s">
        <v>107</v>
      </c>
      <c r="BE67">
        <v>2025</v>
      </c>
      <c r="BF67" s="23">
        <f>SUMIFS(AC:AC,AA:AA,BD67,AB:AB,BE67)</f>
        <v>0</v>
      </c>
      <c r="BG67" s="40">
        <f>BF67*10000000000000/Assumptions!$B$17/1000</f>
        <v>0</v>
      </c>
      <c r="BH67" s="41" cm="1">
        <f t="array" ref="BH67">SUMPRODUCT(IF($BE$88:$BE$130=$BE67,1,0),$BF$88:$BF$130,BH$88:BH$130)</f>
        <v>67.657476215293514</v>
      </c>
      <c r="BI67" s="41" cm="1">
        <f t="array" ref="BI67">SUMPRODUCT(IF($BE$88:$BE$130=$BE67,1,0),$BF$88:$BF$130,BI$88:BI$130)</f>
        <v>66.914952430587007</v>
      </c>
      <c r="BJ67" s="41" cm="1">
        <f t="array" ref="BJ67">SUMPRODUCT(IF($BE$88:$BE$130=$BE67,1,0),$BF$88:$BF$130,BJ$88:BJ$130)</f>
        <v>68.400000000000006</v>
      </c>
    </row>
    <row r="68" spans="25:63" x14ac:dyDescent="0.35">
      <c r="Y68" t="s">
        <v>190</v>
      </c>
      <c r="Z68" t="s">
        <v>179</v>
      </c>
      <c r="AA68" t="s">
        <v>76</v>
      </c>
      <c r="AB68">
        <v>2027</v>
      </c>
      <c r="AC68">
        <v>0</v>
      </c>
      <c r="AD68" s="23">
        <f>AC68*1000000000000/Assumptions!$B$17/1000</f>
        <v>0</v>
      </c>
      <c r="AE68" s="9">
        <f t="shared" ref="AE68:AE131" si="74">AVERAGE(AF68:AG68)</f>
        <v>5.2549999999999999</v>
      </c>
      <c r="AF68">
        <f>IF(LEFT(Z68,4)="Blue",Assumptions!$G$57,0)</f>
        <v>0</v>
      </c>
      <c r="AG68">
        <f>IF(LEFT(Z68,4)="Blue",Assumptions!$G$59,IF(LEFT(Z68,4)="Gree",Assumptions!$G$60,0))</f>
        <v>10.51</v>
      </c>
      <c r="AH68" s="6">
        <f t="shared" ref="AH68:AJ68" si="75">AH47</f>
        <v>98.562436921360089</v>
      </c>
      <c r="AI68" s="6">
        <f t="shared" si="75"/>
        <v>96.674873842720174</v>
      </c>
      <c r="AJ68" s="6">
        <f t="shared" si="75"/>
        <v>100.45</v>
      </c>
      <c r="AK68" s="51">
        <f t="shared" ref="AK68:AK131" si="76">AVERAGE(AL68:AM68)</f>
        <v>-88.052436921360083</v>
      </c>
      <c r="AL68" s="51">
        <f t="shared" ref="AL68:AL131" si="77">IF(AG68-AI68&gt;0,0,AG68-AI68)</f>
        <v>-86.164873842720169</v>
      </c>
      <c r="AM68" s="51">
        <f t="shared" ref="AM68:AM131" si="78">AG68-AJ68</f>
        <v>-89.94</v>
      </c>
      <c r="AN68">
        <f>IFERROR(INDEX(WaterUseH2[Average Direct Water Consumption (Gal/ kg h2)],MATCH(LEFT(Hydrogen!Y68,3),WaterUseH2[Key],0)),0)</f>
        <v>4.0999999999999996</v>
      </c>
      <c r="AO68" s="13">
        <f t="shared" si="73"/>
        <v>0</v>
      </c>
      <c r="AP68" s="13">
        <f>IF(Y68=$Y$3,AD68*Assumptions!$C$8*1000/1000,0)</f>
        <v>0</v>
      </c>
      <c r="AQ68" s="30">
        <f t="shared" ref="AQ68:AQ131" si="79">AP68/8760/30%</f>
        <v>0</v>
      </c>
      <c r="AR68" s="30">
        <f>$AQ68*Assumptions!B$76</f>
        <v>0</v>
      </c>
      <c r="AS68" s="30">
        <f>$AQ68*Assumptions!C$76</f>
        <v>0</v>
      </c>
      <c r="AT68" s="30">
        <f>$AQ68*Assumptions!D$76</f>
        <v>0</v>
      </c>
      <c r="BC68" t="s">
        <v>170</v>
      </c>
      <c r="BD68" t="s">
        <v>107</v>
      </c>
      <c r="BE68">
        <v>2026</v>
      </c>
      <c r="BF68" s="23">
        <f t="shared" ref="BF68:BF86" si="80">SUMIFS(AC:AC,AA:AA,BD68,AB:AB,BE68)</f>
        <v>1.3140000000000001E-3</v>
      </c>
      <c r="BG68" s="40">
        <f>BF68*10000000000000/Assumptions!$B$17/1000</f>
        <v>109500</v>
      </c>
      <c r="BH68" s="41" cm="1">
        <f t="array" ref="BH68">SUMPRODUCT(IF($BE$88:$BE$130=$BE68,1,0),$BF$88:$BF$130,BH$88:BH$130)</f>
        <v>67.413179483025914</v>
      </c>
      <c r="BI68" s="41" cm="1">
        <f t="array" ref="BI68">SUMPRODUCT(IF($BE$88:$BE$130=$BE68,1,0),$BF$88:$BF$130,BI$88:BI$130)</f>
        <v>66.426358966051836</v>
      </c>
      <c r="BJ68" s="41" cm="1">
        <f t="array" ref="BJ68">SUMPRODUCT(IF($BE$88:$BE$130=$BE68,1,0),$BF$88:$BF$130,BJ$88:BJ$130)</f>
        <v>68.400000000000006</v>
      </c>
    </row>
    <row r="69" spans="25:63" x14ac:dyDescent="0.35">
      <c r="Y69" t="s">
        <v>190</v>
      </c>
      <c r="Z69" t="s">
        <v>179</v>
      </c>
      <c r="AA69" t="s">
        <v>76</v>
      </c>
      <c r="AB69">
        <v>2028</v>
      </c>
      <c r="AC69">
        <v>0</v>
      </c>
      <c r="AD69" s="23">
        <f>AC69*1000000000000/Assumptions!$B$17/1000</f>
        <v>0</v>
      </c>
      <c r="AE69" s="9">
        <f t="shared" si="74"/>
        <v>5.2549999999999999</v>
      </c>
      <c r="AF69">
        <f>IF(LEFT(Z69,4)="Blue",Assumptions!$G$57,0)</f>
        <v>0</v>
      </c>
      <c r="AG69">
        <f>IF(LEFT(Z69,4)="Blue",Assumptions!$G$59,IF(LEFT(Z69,4)="Gree",Assumptions!$G$60,0))</f>
        <v>10.51</v>
      </c>
      <c r="AH69" s="6">
        <f t="shared" ref="AH69:AJ69" si="81">AH48</f>
        <v>98.088874094271858</v>
      </c>
      <c r="AI69" s="6">
        <f t="shared" si="81"/>
        <v>95.7277481885437</v>
      </c>
      <c r="AJ69" s="6">
        <f t="shared" si="81"/>
        <v>100.45</v>
      </c>
      <c r="AK69" s="51">
        <f t="shared" si="76"/>
        <v>-87.578874094271839</v>
      </c>
      <c r="AL69" s="51">
        <f t="shared" si="77"/>
        <v>-85.217748188543695</v>
      </c>
      <c r="AM69" s="51">
        <f t="shared" si="78"/>
        <v>-89.94</v>
      </c>
      <c r="AN69">
        <f>IFERROR(INDEX(WaterUseH2[Average Direct Water Consumption (Gal/ kg h2)],MATCH(LEFT(Hydrogen!Y69,3),WaterUseH2[Key],0)),0)</f>
        <v>4.0999999999999996</v>
      </c>
      <c r="AO69" s="13">
        <f t="shared" si="73"/>
        <v>0</v>
      </c>
      <c r="AP69" s="13">
        <f>IF(Y69=$Y$3,AD69*Assumptions!$C$8*1000/1000,0)</f>
        <v>0</v>
      </c>
      <c r="AQ69" s="30">
        <f t="shared" si="79"/>
        <v>0</v>
      </c>
      <c r="AR69" s="30">
        <f>$AQ69*Assumptions!B$76</f>
        <v>0</v>
      </c>
      <c r="AS69" s="30">
        <f>$AQ69*Assumptions!C$76</f>
        <v>0</v>
      </c>
      <c r="AT69" s="30">
        <f>$AQ69*Assumptions!D$76</f>
        <v>0</v>
      </c>
      <c r="BC69" t="s">
        <v>170</v>
      </c>
      <c r="BD69" t="s">
        <v>107</v>
      </c>
      <c r="BE69">
        <v>2027</v>
      </c>
      <c r="BF69" s="23">
        <f t="shared" si="80"/>
        <v>1.3140000000000001E-3</v>
      </c>
      <c r="BG69" s="40">
        <f>BF69*10000000000000/Assumptions!$B$17/1000</f>
        <v>109500</v>
      </c>
      <c r="BH69" s="41" cm="1">
        <f t="array" ref="BH69">SUMPRODUCT(IF($BE$88:$BE$130=$BE69,1,0),$BF$88:$BF$130,BH$88:BH$130)</f>
        <v>67.114690971668779</v>
      </c>
      <c r="BI69" s="41" cm="1">
        <f t="array" ref="BI69">SUMPRODUCT(IF($BE$88:$BE$130=$BE69,1,0),$BF$88:$BF$130,BI$88:BI$130)</f>
        <v>65.829381943337552</v>
      </c>
      <c r="BJ69" s="41" cm="1">
        <f t="array" ref="BJ69">SUMPRODUCT(IF($BE$88:$BE$130=$BE69,1,0),$BF$88:$BF$130,BJ$88:BJ$130)</f>
        <v>68.400000000000006</v>
      </c>
    </row>
    <row r="70" spans="25:63" x14ac:dyDescent="0.35">
      <c r="Y70" t="s">
        <v>190</v>
      </c>
      <c r="Z70" t="s">
        <v>179</v>
      </c>
      <c r="AA70" t="s">
        <v>76</v>
      </c>
      <c r="AB70">
        <v>2029</v>
      </c>
      <c r="AC70">
        <v>0</v>
      </c>
      <c r="AD70" s="23">
        <f>AC70*1000000000000/Assumptions!$B$17/1000</f>
        <v>0</v>
      </c>
      <c r="AE70" s="9">
        <f t="shared" si="74"/>
        <v>5.2549999999999999</v>
      </c>
      <c r="AF70">
        <f>IF(LEFT(Z70,4)="Blue",Assumptions!$G$57,0)</f>
        <v>0</v>
      </c>
      <c r="AG70">
        <f>IF(LEFT(Z70,4)="Blue",Assumptions!$G$59,IF(LEFT(Z70,4)="Gree",Assumptions!$G$60,0))</f>
        <v>10.51</v>
      </c>
      <c r="AH70" s="6">
        <f t="shared" ref="AH70:AJ70" si="82">AH49</f>
        <v>97.544867879479852</v>
      </c>
      <c r="AI70" s="6">
        <f t="shared" si="82"/>
        <v>94.639735758959688</v>
      </c>
      <c r="AJ70" s="6">
        <f t="shared" si="82"/>
        <v>100.45</v>
      </c>
      <c r="AK70" s="51">
        <f t="shared" si="76"/>
        <v>-87.034867879479833</v>
      </c>
      <c r="AL70" s="51">
        <f t="shared" si="77"/>
        <v>-84.129735758959683</v>
      </c>
      <c r="AM70" s="51">
        <f t="shared" si="78"/>
        <v>-89.94</v>
      </c>
      <c r="AN70">
        <f>IFERROR(INDEX(WaterUseH2[Average Direct Water Consumption (Gal/ kg h2)],MATCH(LEFT(Hydrogen!Y70,3),WaterUseH2[Key],0)),0)</f>
        <v>4.0999999999999996</v>
      </c>
      <c r="AO70" s="13">
        <f t="shared" si="73"/>
        <v>0</v>
      </c>
      <c r="AP70" s="13">
        <f>IF(Y70=$Y$3,AD70*Assumptions!$C$8*1000/1000,0)</f>
        <v>0</v>
      </c>
      <c r="AQ70" s="30">
        <f t="shared" si="79"/>
        <v>0</v>
      </c>
      <c r="AR70" s="30">
        <f>$AQ70*Assumptions!B$76</f>
        <v>0</v>
      </c>
      <c r="AS70" s="30">
        <f>$AQ70*Assumptions!C$76</f>
        <v>0</v>
      </c>
      <c r="AT70" s="30">
        <f>$AQ70*Assumptions!D$76</f>
        <v>0</v>
      </c>
      <c r="BC70" t="s">
        <v>170</v>
      </c>
      <c r="BD70" t="s">
        <v>107</v>
      </c>
      <c r="BE70">
        <v>2028</v>
      </c>
      <c r="BF70" s="23">
        <f t="shared" si="80"/>
        <v>1.3140000000000001E-3</v>
      </c>
      <c r="BG70" s="40">
        <f>BF70*10000000000000/Assumptions!$B$17/1000</f>
        <v>109500</v>
      </c>
      <c r="BH70" s="41" cm="1">
        <f t="array" ref="BH70">SUMPRODUCT(IF($BE$88:$BE$130=$BE70,1,0),$BF$88:$BF$130,BH$88:BH$130)</f>
        <v>66.792225142241932</v>
      </c>
      <c r="BI70" s="41" cm="1">
        <f t="array" ref="BI70">SUMPRODUCT(IF($BE$88:$BE$130=$BE70,1,0),$BF$88:$BF$130,BI$88:BI$130)</f>
        <v>65.184450284483844</v>
      </c>
      <c r="BJ70" s="41" cm="1">
        <f t="array" ref="BJ70">SUMPRODUCT(IF($BE$88:$BE$130=$BE70,1,0),$BF$88:$BF$130,BJ$88:BJ$130)</f>
        <v>68.400000000000006</v>
      </c>
    </row>
    <row r="71" spans="25:63" x14ac:dyDescent="0.35">
      <c r="Y71" t="s">
        <v>190</v>
      </c>
      <c r="Z71" t="s">
        <v>179</v>
      </c>
      <c r="AA71" t="s">
        <v>76</v>
      </c>
      <c r="AB71">
        <v>2030</v>
      </c>
      <c r="AC71">
        <v>0</v>
      </c>
      <c r="AD71" s="23">
        <f>AC71*1000000000000/Assumptions!$B$17/1000</f>
        <v>0</v>
      </c>
      <c r="AE71" s="9">
        <f t="shared" si="74"/>
        <v>5.2549999999999999</v>
      </c>
      <c r="AF71">
        <f>IF(LEFT(Z71,4)="Blue",Assumptions!$G$57,0)</f>
        <v>0</v>
      </c>
      <c r="AG71">
        <f>IF(LEFT(Z71,4)="Blue",Assumptions!$G$59,IF(LEFT(Z71,4)="Gree",Assumptions!$G$60,0))</f>
        <v>10.51</v>
      </c>
      <c r="AH71" s="6">
        <f t="shared" ref="AH71:AJ71" si="83">AH50</f>
        <v>96.924614347496885</v>
      </c>
      <c r="AI71" s="6">
        <f t="shared" si="83"/>
        <v>93.399228694993766</v>
      </c>
      <c r="AJ71" s="6">
        <f t="shared" si="83"/>
        <v>100.45</v>
      </c>
      <c r="AK71" s="51">
        <f t="shared" si="76"/>
        <v>-86.41461434749688</v>
      </c>
      <c r="AL71" s="51">
        <f t="shared" si="77"/>
        <v>-82.889228694993761</v>
      </c>
      <c r="AM71" s="51">
        <f t="shared" si="78"/>
        <v>-89.94</v>
      </c>
      <c r="AN71">
        <f>IFERROR(INDEX(WaterUseH2[Average Direct Water Consumption (Gal/ kg h2)],MATCH(LEFT(Hydrogen!Y71,3),WaterUseH2[Key],0)),0)</f>
        <v>4.0999999999999996</v>
      </c>
      <c r="AO71" s="13">
        <f t="shared" si="73"/>
        <v>0</v>
      </c>
      <c r="AP71" s="13">
        <f>IF(Y71=$Y$3,AD71*Assumptions!$C$8*1000/1000,0)</f>
        <v>0</v>
      </c>
      <c r="AQ71" s="30">
        <f t="shared" si="79"/>
        <v>0</v>
      </c>
      <c r="AR71" s="30">
        <f>$AQ71*Assumptions!B$76</f>
        <v>0</v>
      </c>
      <c r="AS71" s="30">
        <f>$AQ71*Assumptions!C$76</f>
        <v>0</v>
      </c>
      <c r="AT71" s="30">
        <f>$AQ71*Assumptions!D$76</f>
        <v>0</v>
      </c>
      <c r="BC71" t="s">
        <v>170</v>
      </c>
      <c r="BD71" t="s">
        <v>107</v>
      </c>
      <c r="BE71">
        <v>2029</v>
      </c>
      <c r="BF71" s="23">
        <f t="shared" si="80"/>
        <v>1.3140000000000001E-3</v>
      </c>
      <c r="BG71" s="40">
        <f>BF71*10000000000000/Assumptions!$B$17/1000</f>
        <v>109500</v>
      </c>
      <c r="BH71" s="41" cm="1">
        <f t="array" ref="BH71">SUMPRODUCT(IF($BE$88:$BE$130=$BE71,1,0),$BF$88:$BF$130,BH$88:BH$130)</f>
        <v>66.421791893405015</v>
      </c>
      <c r="BI71" s="41" cm="1">
        <f t="array" ref="BI71">SUMPRODUCT(IF($BE$88:$BE$130=$BE71,1,0),$BF$88:$BF$130,BI$88:BI$130)</f>
        <v>64.443583786810024</v>
      </c>
      <c r="BJ71" s="41" cm="1">
        <f t="array" ref="BJ71">SUMPRODUCT(IF($BE$88:$BE$130=$BE71,1,0),$BF$88:$BF$130,BJ$88:BJ$130)</f>
        <v>68.400000000000006</v>
      </c>
    </row>
    <row r="72" spans="25:63" x14ac:dyDescent="0.35">
      <c r="Y72" t="s">
        <v>190</v>
      </c>
      <c r="Z72" t="s">
        <v>179</v>
      </c>
      <c r="AA72" t="s">
        <v>76</v>
      </c>
      <c r="AB72">
        <v>2031</v>
      </c>
      <c r="AC72">
        <v>0</v>
      </c>
      <c r="AD72" s="23">
        <f>AC72*1000000000000/Assumptions!$B$17/1000</f>
        <v>0</v>
      </c>
      <c r="AE72" s="9">
        <f t="shared" si="74"/>
        <v>5.2549999999999999</v>
      </c>
      <c r="AF72">
        <f>IF(LEFT(Z72,4)="Blue",Assumptions!$G$57,0)</f>
        <v>0</v>
      </c>
      <c r="AG72">
        <f>IF(LEFT(Z72,4)="Blue",Assumptions!$G$59,IF(LEFT(Z72,4)="Gree",Assumptions!$G$60,0))</f>
        <v>10.51</v>
      </c>
      <c r="AH72" s="6">
        <f t="shared" ref="AH72:AJ72" si="84">AH51</f>
        <v>96.219877469537067</v>
      </c>
      <c r="AI72" s="6">
        <f t="shared" si="84"/>
        <v>91.989754939074118</v>
      </c>
      <c r="AJ72" s="6">
        <f t="shared" si="84"/>
        <v>100.45</v>
      </c>
      <c r="AK72" s="51">
        <f t="shared" si="76"/>
        <v>-85.709877469537048</v>
      </c>
      <c r="AL72" s="51">
        <f t="shared" si="77"/>
        <v>-81.479754939074112</v>
      </c>
      <c r="AM72" s="51">
        <f t="shared" si="78"/>
        <v>-89.94</v>
      </c>
      <c r="AN72">
        <f>IFERROR(INDEX(WaterUseH2[Average Direct Water Consumption (Gal/ kg h2)],MATCH(LEFT(Hydrogen!Y72,3),WaterUseH2[Key],0)),0)</f>
        <v>4.0999999999999996</v>
      </c>
      <c r="AO72" s="13">
        <f t="shared" si="73"/>
        <v>0</v>
      </c>
      <c r="AP72" s="13">
        <f>IF(Y72=$Y$3,AD72*Assumptions!$C$8*1000/1000,0)</f>
        <v>0</v>
      </c>
      <c r="AQ72" s="30">
        <f t="shared" si="79"/>
        <v>0</v>
      </c>
      <c r="AR72" s="30">
        <f>$AQ72*Assumptions!B$76</f>
        <v>0</v>
      </c>
      <c r="AS72" s="30">
        <f>$AQ72*Assumptions!C$76</f>
        <v>0</v>
      </c>
      <c r="AT72" s="30">
        <f>$AQ72*Assumptions!D$76</f>
        <v>0</v>
      </c>
      <c r="BC72" t="s">
        <v>170</v>
      </c>
      <c r="BD72" t="s">
        <v>107</v>
      </c>
      <c r="BE72">
        <v>2030</v>
      </c>
      <c r="BF72" s="23">
        <f t="shared" si="80"/>
        <v>4.5140000000000007E-3</v>
      </c>
      <c r="BG72" s="40">
        <f>BF72*10000000000000/Assumptions!$B$17/1000</f>
        <v>376166.66666666674</v>
      </c>
      <c r="BH72" s="41" cm="1">
        <f t="array" ref="BH72">SUMPRODUCT(IF($BE$88:$BE$130=$BE72,1,0),$BF$88:$BF$130,BH$88:BH$130)</f>
        <v>65.999439121695474</v>
      </c>
      <c r="BI72" s="41" cm="1">
        <f t="array" ref="BI72">SUMPRODUCT(IF($BE$88:$BE$130=$BE72,1,0),$BF$88:$BF$130,BI$88:BI$130)</f>
        <v>63.598878243390942</v>
      </c>
      <c r="BJ72" s="41" cm="1">
        <f t="array" ref="BJ72">SUMPRODUCT(IF($BE$88:$BE$130=$BE72,1,0),$BF$88:$BF$130,BJ$88:BJ$130)</f>
        <v>68.400000000000006</v>
      </c>
    </row>
    <row r="73" spans="25:63" x14ac:dyDescent="0.35">
      <c r="Y73" t="s">
        <v>190</v>
      </c>
      <c r="Z73" t="s">
        <v>179</v>
      </c>
      <c r="AA73" t="s">
        <v>76</v>
      </c>
      <c r="AB73">
        <v>2032</v>
      </c>
      <c r="AC73">
        <v>0</v>
      </c>
      <c r="AD73" s="23">
        <f>AC73*1000000000000/Assumptions!$B$17/1000</f>
        <v>0</v>
      </c>
      <c r="AE73" s="9">
        <f t="shared" si="74"/>
        <v>5.2549999999999999</v>
      </c>
      <c r="AF73">
        <f>IF(LEFT(Z73,4)="Blue",Assumptions!$G$57,0)</f>
        <v>0</v>
      </c>
      <c r="AG73">
        <f>IF(LEFT(Z73,4)="Blue",Assumptions!$G$59,IF(LEFT(Z73,4)="Gree",Assumptions!$G$60,0))</f>
        <v>10.51</v>
      </c>
      <c r="AH73" s="6">
        <f t="shared" ref="AH73:AJ73" si="85">AH52</f>
        <v>95.431212950513526</v>
      </c>
      <c r="AI73" s="6">
        <f t="shared" si="85"/>
        <v>90.412425901027063</v>
      </c>
      <c r="AJ73" s="6">
        <f t="shared" si="85"/>
        <v>100.45</v>
      </c>
      <c r="AK73" s="51">
        <f t="shared" si="76"/>
        <v>-84.921212950513535</v>
      </c>
      <c r="AL73" s="51">
        <f t="shared" si="77"/>
        <v>-79.902425901027058</v>
      </c>
      <c r="AM73" s="51">
        <f t="shared" si="78"/>
        <v>-89.94</v>
      </c>
      <c r="AN73">
        <f>IFERROR(INDEX(WaterUseH2[Average Direct Water Consumption (Gal/ kg h2)],MATCH(LEFT(Hydrogen!Y73,3),WaterUseH2[Key],0)),0)</f>
        <v>4.0999999999999996</v>
      </c>
      <c r="AO73" s="13">
        <f t="shared" si="73"/>
        <v>0</v>
      </c>
      <c r="AP73" s="13">
        <f>IF(Y73=$Y$3,AD73*Assumptions!$C$8*1000/1000,0)</f>
        <v>0</v>
      </c>
      <c r="AQ73" s="30">
        <f t="shared" si="79"/>
        <v>0</v>
      </c>
      <c r="AR73" s="30">
        <f>$AQ73*Assumptions!B$76</f>
        <v>0</v>
      </c>
      <c r="AS73" s="30">
        <f>$AQ73*Assumptions!C$76</f>
        <v>0</v>
      </c>
      <c r="AT73" s="30">
        <f>$AQ73*Assumptions!D$76</f>
        <v>0</v>
      </c>
      <c r="BC73" t="s">
        <v>170</v>
      </c>
      <c r="BD73" t="s">
        <v>107</v>
      </c>
      <c r="BE73">
        <v>2031</v>
      </c>
      <c r="BF73" s="23">
        <f t="shared" si="80"/>
        <v>2.8014666666666556E-2</v>
      </c>
      <c r="BG73" s="40">
        <f>BF73*10000000000000/Assumptions!$B$17/1000</f>
        <v>2334555.5555555467</v>
      </c>
      <c r="BH73" s="41" cm="1">
        <f t="array" ref="BH73">SUMPRODUCT(IF($BE$88:$BE$130=$BE73,1,0),$BF$88:$BF$130,BH$88:BH$130)</f>
        <v>65.519558620364165</v>
      </c>
      <c r="BI73" s="41" cm="1">
        <f t="array" ref="BI73">SUMPRODUCT(IF($BE$88:$BE$130=$BE73,1,0),$BF$88:$BF$130,BI$88:BI$130)</f>
        <v>62.639117240728325</v>
      </c>
      <c r="BJ73" s="41" cm="1">
        <f t="array" ref="BJ73">SUMPRODUCT(IF($BE$88:$BE$130=$BE73,1,0),$BF$88:$BF$130,BJ$88:BJ$130)</f>
        <v>68.400000000000006</v>
      </c>
    </row>
    <row r="74" spans="25:63" x14ac:dyDescent="0.35">
      <c r="Y74" t="s">
        <v>190</v>
      </c>
      <c r="Z74" t="s">
        <v>179</v>
      </c>
      <c r="AA74" t="s">
        <v>76</v>
      </c>
      <c r="AB74">
        <v>2033</v>
      </c>
      <c r="AC74">
        <v>0</v>
      </c>
      <c r="AD74" s="23">
        <f>AC74*1000000000000/Assumptions!$B$17/1000</f>
        <v>0</v>
      </c>
      <c r="AE74" s="9">
        <f t="shared" si="74"/>
        <v>5.2549999999999999</v>
      </c>
      <c r="AF74">
        <f>IF(LEFT(Z74,4)="Blue",Assumptions!$G$57,0)</f>
        <v>0</v>
      </c>
      <c r="AG74">
        <f>IF(LEFT(Z74,4)="Blue",Assumptions!$G$59,IF(LEFT(Z74,4)="Gree",Assumptions!$G$60,0))</f>
        <v>10.51</v>
      </c>
      <c r="AH74" s="6">
        <f t="shared" ref="AH74:AJ74" si="86">AH53</f>
        <v>94.525495952097856</v>
      </c>
      <c r="AI74" s="6">
        <f t="shared" si="86"/>
        <v>88.600991904195695</v>
      </c>
      <c r="AJ74" s="6">
        <f t="shared" si="86"/>
        <v>100.45</v>
      </c>
      <c r="AK74" s="51">
        <f t="shared" si="76"/>
        <v>-84.015495952097837</v>
      </c>
      <c r="AL74" s="51">
        <f t="shared" si="77"/>
        <v>-78.09099190419569</v>
      </c>
      <c r="AM74" s="51">
        <f t="shared" si="78"/>
        <v>-89.94</v>
      </c>
      <c r="AN74">
        <f>IFERROR(INDEX(WaterUseH2[Average Direct Water Consumption (Gal/ kg h2)],MATCH(LEFT(Hydrogen!Y74,3),WaterUseH2[Key],0)),0)</f>
        <v>4.0999999999999996</v>
      </c>
      <c r="AO74" s="13">
        <f t="shared" si="73"/>
        <v>0</v>
      </c>
      <c r="AP74" s="13">
        <f>IF(Y74=$Y$3,AD74*Assumptions!$C$8*1000/1000,0)</f>
        <v>0</v>
      </c>
      <c r="AQ74" s="30">
        <f t="shared" si="79"/>
        <v>0</v>
      </c>
      <c r="AR74" s="30">
        <f>$AQ74*Assumptions!B$76</f>
        <v>0</v>
      </c>
      <c r="AS74" s="30">
        <f>$AQ74*Assumptions!C$76</f>
        <v>0</v>
      </c>
      <c r="AT74" s="30">
        <f>$AQ74*Assumptions!D$76</f>
        <v>0</v>
      </c>
      <c r="BC74" t="s">
        <v>170</v>
      </c>
      <c r="BD74" t="s">
        <v>107</v>
      </c>
      <c r="BE74">
        <v>2032</v>
      </c>
      <c r="BF74" s="23">
        <f t="shared" si="80"/>
        <v>5.0201333333333278E-2</v>
      </c>
      <c r="BG74" s="40">
        <f>BF74*10000000000000/Assumptions!$B$17/1000</f>
        <v>4183444.4444444398</v>
      </c>
      <c r="BH74" s="41" cm="1">
        <f t="array" ref="BH74">SUMPRODUCT(IF($BE$88:$BE$130=$BE74,1,0),$BF$88:$BF$130,BH$88:BH$130)</f>
        <v>64.982528787773802</v>
      </c>
      <c r="BI74" s="41" cm="1">
        <f t="array" ref="BI74">SUMPRODUCT(IF($BE$88:$BE$130=$BE74,1,0),$BF$88:$BF$130,BI$88:BI$130)</f>
        <v>61.565057575547598</v>
      </c>
      <c r="BJ74" s="41" cm="1">
        <f t="array" ref="BJ74">SUMPRODUCT(IF($BE$88:$BE$130=$BE74,1,0),$BF$88:$BF$130,BJ$88:BJ$130)</f>
        <v>68.400000000000006</v>
      </c>
    </row>
    <row r="75" spans="25:63" x14ac:dyDescent="0.35">
      <c r="Y75" t="s">
        <v>190</v>
      </c>
      <c r="Z75" t="s">
        <v>179</v>
      </c>
      <c r="AA75" t="s">
        <v>76</v>
      </c>
      <c r="AB75">
        <v>2034</v>
      </c>
      <c r="AC75">
        <v>0</v>
      </c>
      <c r="AD75" s="23">
        <f>AC75*1000000000000/Assumptions!$B$17/1000</f>
        <v>0</v>
      </c>
      <c r="AE75" s="9">
        <f t="shared" si="74"/>
        <v>5.2549999999999999</v>
      </c>
      <c r="AF75">
        <f>IF(LEFT(Z75,4)="Blue",Assumptions!$G$57,0)</f>
        <v>0</v>
      </c>
      <c r="AG75">
        <f>IF(LEFT(Z75,4)="Blue",Assumptions!$G$59,IF(LEFT(Z75,4)="Gree",Assumptions!$G$60,0))</f>
        <v>10.51</v>
      </c>
      <c r="AH75" s="6">
        <f t="shared" ref="AH75:AJ75" si="87">AH54</f>
        <v>93.515198320512312</v>
      </c>
      <c r="AI75" s="6">
        <f t="shared" si="87"/>
        <v>86.58039664102462</v>
      </c>
      <c r="AJ75" s="6">
        <f t="shared" si="87"/>
        <v>100.45</v>
      </c>
      <c r="AK75" s="51">
        <f t="shared" si="76"/>
        <v>-83.005198320512307</v>
      </c>
      <c r="AL75" s="51">
        <f t="shared" si="77"/>
        <v>-76.070396641024615</v>
      </c>
      <c r="AM75" s="51">
        <f t="shared" si="78"/>
        <v>-89.94</v>
      </c>
      <c r="AN75">
        <f>IFERROR(INDEX(WaterUseH2[Average Direct Water Consumption (Gal/ kg h2)],MATCH(LEFT(Hydrogen!Y75,3),WaterUseH2[Key],0)),0)</f>
        <v>4.0999999999999996</v>
      </c>
      <c r="AO75" s="13">
        <f t="shared" si="73"/>
        <v>0</v>
      </c>
      <c r="AP75" s="13">
        <f>IF(Y75=$Y$3,AD75*Assumptions!$C$8*1000/1000,0)</f>
        <v>0</v>
      </c>
      <c r="AQ75" s="30">
        <f t="shared" si="79"/>
        <v>0</v>
      </c>
      <c r="AR75" s="30">
        <f>$AQ75*Assumptions!B$76</f>
        <v>0</v>
      </c>
      <c r="AS75" s="30">
        <f>$AQ75*Assumptions!C$76</f>
        <v>0</v>
      </c>
      <c r="AT75" s="30">
        <f>$AQ75*Assumptions!D$76</f>
        <v>0</v>
      </c>
      <c r="BC75" t="s">
        <v>170</v>
      </c>
      <c r="BD75" t="s">
        <v>107</v>
      </c>
      <c r="BE75">
        <v>2033</v>
      </c>
      <c r="BF75" s="23">
        <f t="shared" si="80"/>
        <v>7.2388000000000008E-2</v>
      </c>
      <c r="BG75" s="40">
        <f>BF75*10000000000000/Assumptions!$B$17/1000</f>
        <v>6032333.333333334</v>
      </c>
      <c r="BH75" s="41" cm="1">
        <f t="array" ref="BH75">SUMPRODUCT(IF($BE$88:$BE$130=$BE75,1,0),$BF$88:$BF$130,BH$88:BH$130)</f>
        <v>64.365793738287053</v>
      </c>
      <c r="BI75" s="41" cm="1">
        <f t="array" ref="BI75">SUMPRODUCT(IF($BE$88:$BE$130=$BE75,1,0),$BF$88:$BF$130,BI$88:BI$130)</f>
        <v>60.331587476574093</v>
      </c>
      <c r="BJ75" s="41" cm="1">
        <f t="array" ref="BJ75">SUMPRODUCT(IF($BE$88:$BE$130=$BE75,1,0),$BF$88:$BF$130,BJ$88:BJ$130)</f>
        <v>68.400000000000006</v>
      </c>
    </row>
    <row r="76" spans="25:63" x14ac:dyDescent="0.35">
      <c r="Y76" t="s">
        <v>190</v>
      </c>
      <c r="Z76" t="s">
        <v>179</v>
      </c>
      <c r="AA76" t="s">
        <v>76</v>
      </c>
      <c r="AB76">
        <v>2035</v>
      </c>
      <c r="AC76">
        <v>0</v>
      </c>
      <c r="AD76" s="23">
        <f>AC76*1000000000000/Assumptions!$B$17/1000</f>
        <v>0</v>
      </c>
      <c r="AE76" s="9">
        <f t="shared" si="74"/>
        <v>5.2549999999999999</v>
      </c>
      <c r="AF76">
        <f>IF(LEFT(Z76,4)="Blue",Assumptions!$G$57,0)</f>
        <v>0</v>
      </c>
      <c r="AG76">
        <f>IF(LEFT(Z76,4)="Blue",Assumptions!$G$59,IF(LEFT(Z76,4)="Gree",Assumptions!$G$60,0))</f>
        <v>10.51</v>
      </c>
      <c r="AH76" s="6">
        <f t="shared" ref="AH76:AJ76" si="88">AH55</f>
        <v>92.361658919879176</v>
      </c>
      <c r="AI76" s="6">
        <f t="shared" si="88"/>
        <v>84.273317839758363</v>
      </c>
      <c r="AJ76" s="6">
        <f t="shared" si="88"/>
        <v>100.45</v>
      </c>
      <c r="AK76" s="51">
        <f t="shared" si="76"/>
        <v>-81.851658919879185</v>
      </c>
      <c r="AL76" s="51">
        <f t="shared" si="77"/>
        <v>-73.763317839758358</v>
      </c>
      <c r="AM76" s="51">
        <f t="shared" si="78"/>
        <v>-89.94</v>
      </c>
      <c r="AN76">
        <f>IFERROR(INDEX(WaterUseH2[Average Direct Water Consumption (Gal/ kg h2)],MATCH(LEFT(Hydrogen!Y76,3),WaterUseH2[Key],0)),0)</f>
        <v>4.0999999999999996</v>
      </c>
      <c r="AO76" s="13">
        <f t="shared" si="73"/>
        <v>0</v>
      </c>
      <c r="AP76" s="13">
        <f>IF(Y76=$Y$3,AD76*Assumptions!$C$8*1000/1000,0)</f>
        <v>0</v>
      </c>
      <c r="AQ76" s="30">
        <f t="shared" si="79"/>
        <v>0</v>
      </c>
      <c r="AR76" s="30">
        <f>$AQ76*Assumptions!B$76</f>
        <v>0</v>
      </c>
      <c r="AS76" s="30">
        <f>$AQ76*Assumptions!C$76</f>
        <v>0</v>
      </c>
      <c r="AT76" s="30">
        <f>$AQ76*Assumptions!D$76</f>
        <v>0</v>
      </c>
      <c r="BC76" t="s">
        <v>170</v>
      </c>
      <c r="BD76" t="s">
        <v>107</v>
      </c>
      <c r="BE76">
        <v>2034</v>
      </c>
      <c r="BF76" s="23">
        <f t="shared" si="80"/>
        <v>9.4574666666666571E-2</v>
      </c>
      <c r="BG76" s="40">
        <f>BF76*10000000000000/Assumptions!$B$17/1000</f>
        <v>7881222.2222222136</v>
      </c>
      <c r="BH76" s="41" cm="1">
        <f t="array" ref="BH76">SUMPRODUCT(IF($BE$88:$BE$130=$BE76,1,0),$BF$88:$BF$130,BH$88:BH$130)</f>
        <v>63.677845995875501</v>
      </c>
      <c r="BI76" s="41" cm="1">
        <f t="array" ref="BI76">SUMPRODUCT(IF($BE$88:$BE$130=$BE76,1,0),$BF$88:$BF$130,BI$88:BI$130)</f>
        <v>58.955691991751003</v>
      </c>
      <c r="BJ76" s="41" cm="1">
        <f t="array" ref="BJ76">SUMPRODUCT(IF($BE$88:$BE$130=$BE76,1,0),$BF$88:$BF$130,BJ$88:BJ$130)</f>
        <v>68.400000000000006</v>
      </c>
    </row>
    <row r="77" spans="25:63" x14ac:dyDescent="0.35">
      <c r="Y77" t="s">
        <v>190</v>
      </c>
      <c r="Z77" t="s">
        <v>179</v>
      </c>
      <c r="AA77" t="s">
        <v>76</v>
      </c>
      <c r="AB77">
        <v>2036</v>
      </c>
      <c r="AC77">
        <v>0</v>
      </c>
      <c r="AD77" s="23">
        <f>AC77*1000000000000/Assumptions!$B$17/1000</f>
        <v>0</v>
      </c>
      <c r="AE77" s="9">
        <f t="shared" si="74"/>
        <v>5.2549999999999999</v>
      </c>
      <c r="AF77">
        <f>IF(LEFT(Z77,4)="Blue",Assumptions!$G$57,0)</f>
        <v>0</v>
      </c>
      <c r="AG77">
        <f>IF(LEFT(Z77,4)="Blue",Assumptions!$G$59,IF(LEFT(Z77,4)="Gree",Assumptions!$G$60,0))</f>
        <v>10.51</v>
      </c>
      <c r="AH77" s="6">
        <f t="shared" ref="AH77:AJ77" si="89">AH56</f>
        <v>91.12437315283151</v>
      </c>
      <c r="AI77" s="6">
        <f t="shared" si="89"/>
        <v>81.798746305663002</v>
      </c>
      <c r="AJ77" s="6">
        <f t="shared" si="89"/>
        <v>100.45</v>
      </c>
      <c r="AK77" s="51">
        <f t="shared" si="76"/>
        <v>-80.61437315283149</v>
      </c>
      <c r="AL77" s="51">
        <f t="shared" si="77"/>
        <v>-71.288746305662997</v>
      </c>
      <c r="AM77" s="51">
        <f t="shared" si="78"/>
        <v>-89.94</v>
      </c>
      <c r="AN77">
        <f>IFERROR(INDEX(WaterUseH2[Average Direct Water Consumption (Gal/ kg h2)],MATCH(LEFT(Hydrogen!Y77,3),WaterUseH2[Key],0)),0)</f>
        <v>4.0999999999999996</v>
      </c>
      <c r="AO77" s="13">
        <f t="shared" si="73"/>
        <v>0</v>
      </c>
      <c r="AP77" s="13">
        <f>IF(Y77=$Y$3,AD77*Assumptions!$C$8*1000/1000,0)</f>
        <v>0</v>
      </c>
      <c r="AQ77" s="30">
        <f t="shared" si="79"/>
        <v>0</v>
      </c>
      <c r="AR77" s="30">
        <f>$AQ77*Assumptions!B$76</f>
        <v>0</v>
      </c>
      <c r="AS77" s="30">
        <f>$AQ77*Assumptions!C$76</f>
        <v>0</v>
      </c>
      <c r="AT77" s="30">
        <f>$AQ77*Assumptions!D$76</f>
        <v>0</v>
      </c>
      <c r="BC77" t="s">
        <v>170</v>
      </c>
      <c r="BD77" t="s">
        <v>107</v>
      </c>
      <c r="BE77">
        <v>2035</v>
      </c>
      <c r="BF77" s="23">
        <f t="shared" si="80"/>
        <v>0.1167613333333333</v>
      </c>
      <c r="BG77" s="40">
        <f>BF77*10000000000000/Assumptions!$B$17/1000</f>
        <v>9730111.1111111082</v>
      </c>
      <c r="BH77" s="41" cm="1">
        <f t="array" ref="BH77">SUMPRODUCT(IF($BE$88:$BE$130=$BE77,1,0),$BF$88:$BF$130,BH$88:BH$130)</f>
        <v>62.89235981178166</v>
      </c>
      <c r="BI77" s="41" cm="1">
        <f t="array" ref="BI77">SUMPRODUCT(IF($BE$88:$BE$130=$BE77,1,0),$BF$88:$BF$130,BI$88:BI$130)</f>
        <v>57.384719623563313</v>
      </c>
      <c r="BJ77" s="41" cm="1">
        <f t="array" ref="BJ77">SUMPRODUCT(IF($BE$88:$BE$130=$BE77,1,0),$BF$88:$BF$130,BJ$88:BJ$130)</f>
        <v>68.400000000000006</v>
      </c>
    </row>
    <row r="78" spans="25:63" x14ac:dyDescent="0.35">
      <c r="Y78" t="s">
        <v>190</v>
      </c>
      <c r="Z78" t="s">
        <v>179</v>
      </c>
      <c r="AA78" t="s">
        <v>76</v>
      </c>
      <c r="AB78">
        <v>2037</v>
      </c>
      <c r="AC78">
        <v>0</v>
      </c>
      <c r="AD78" s="23">
        <f>AC78*1000000000000/Assumptions!$B$17/1000</f>
        <v>0</v>
      </c>
      <c r="AE78" s="9">
        <f t="shared" si="74"/>
        <v>5.2549999999999999</v>
      </c>
      <c r="AF78">
        <f>IF(LEFT(Z78,4)="Blue",Assumptions!$G$57,0)</f>
        <v>0</v>
      </c>
      <c r="AG78">
        <f>IF(LEFT(Z78,4)="Blue",Assumptions!$G$59,IF(LEFT(Z78,4)="Gree",Assumptions!$G$60,0))</f>
        <v>10.51</v>
      </c>
      <c r="AH78" s="6">
        <f t="shared" ref="AH78:AJ78" si="90">AH57</f>
        <v>89.845883938555232</v>
      </c>
      <c r="AI78" s="6">
        <f t="shared" si="90"/>
        <v>79.241767877110448</v>
      </c>
      <c r="AJ78" s="6">
        <f t="shared" si="90"/>
        <v>100.45</v>
      </c>
      <c r="AK78" s="51">
        <f t="shared" si="76"/>
        <v>-79.335883938555213</v>
      </c>
      <c r="AL78" s="51">
        <f t="shared" si="77"/>
        <v>-68.731767877110443</v>
      </c>
      <c r="AM78" s="51">
        <f t="shared" si="78"/>
        <v>-89.94</v>
      </c>
      <c r="AN78">
        <f>IFERROR(INDEX(WaterUseH2[Average Direct Water Consumption (Gal/ kg h2)],MATCH(LEFT(Hydrogen!Y78,3),WaterUseH2[Key],0)),0)</f>
        <v>4.0999999999999996</v>
      </c>
      <c r="AO78" s="13">
        <f t="shared" si="73"/>
        <v>0</v>
      </c>
      <c r="AP78" s="13">
        <f>IF(Y78=$Y$3,AD78*Assumptions!$C$8*1000/1000,0)</f>
        <v>0</v>
      </c>
      <c r="AQ78" s="30">
        <f t="shared" si="79"/>
        <v>0</v>
      </c>
      <c r="AR78" s="30">
        <f>$AQ78*Assumptions!B$76</f>
        <v>0</v>
      </c>
      <c r="AS78" s="30">
        <f>$AQ78*Assumptions!C$76</f>
        <v>0</v>
      </c>
      <c r="AT78" s="30">
        <f>$AQ78*Assumptions!D$76</f>
        <v>0</v>
      </c>
      <c r="BC78" t="s">
        <v>170</v>
      </c>
      <c r="BD78" t="s">
        <v>107</v>
      </c>
      <c r="BE78">
        <v>2036</v>
      </c>
      <c r="BF78" s="23">
        <f t="shared" si="80"/>
        <v>0.14157600000000001</v>
      </c>
      <c r="BG78" s="40">
        <f>BF78*10000000000000/Assumptions!$B$17/1000</f>
        <v>11798000</v>
      </c>
      <c r="BH78" s="41" cm="1">
        <f t="array" ref="BH78">SUMPRODUCT(IF($BE$88:$BE$130=$BE78,1,0),$BF$88:$BF$130,BH$88:BH$130)</f>
        <v>62.049847728212796</v>
      </c>
      <c r="BI78" s="41" cm="1">
        <f t="array" ref="BI78">SUMPRODUCT(IF($BE$88:$BE$130=$BE78,1,0),$BF$88:$BF$130,BI$88:BI$130)</f>
        <v>55.69969545642558</v>
      </c>
      <c r="BJ78" s="41" cm="1">
        <f t="array" ref="BJ78">SUMPRODUCT(IF($BE$88:$BE$130=$BE78,1,0),$BF$88:$BF$130,BJ$88:BJ$130)</f>
        <v>68.400000000000006</v>
      </c>
    </row>
    <row r="79" spans="25:63" x14ac:dyDescent="0.35">
      <c r="Y79" t="s">
        <v>190</v>
      </c>
      <c r="Z79" t="s">
        <v>179</v>
      </c>
      <c r="AA79" t="s">
        <v>76</v>
      </c>
      <c r="AB79">
        <v>2038</v>
      </c>
      <c r="AC79">
        <v>0</v>
      </c>
      <c r="AD79" s="23">
        <f>AC79*1000000000000/Assumptions!$B$17/1000</f>
        <v>0</v>
      </c>
      <c r="AE79" s="9">
        <f t="shared" si="74"/>
        <v>5.2549999999999999</v>
      </c>
      <c r="AF79">
        <f>IF(LEFT(Z79,4)="Blue",Assumptions!$G$57,0)</f>
        <v>0</v>
      </c>
      <c r="AG79">
        <f>IF(LEFT(Z79,4)="Blue",Assumptions!$G$59,IF(LEFT(Z79,4)="Gree",Assumptions!$G$60,0))</f>
        <v>10.51</v>
      </c>
      <c r="AH79" s="6">
        <f t="shared" ref="AH79:AJ79" si="91">AH58</f>
        <v>88.574547187599435</v>
      </c>
      <c r="AI79" s="6">
        <f t="shared" si="91"/>
        <v>76.699094375198868</v>
      </c>
      <c r="AJ79" s="6">
        <f t="shared" si="91"/>
        <v>100.45</v>
      </c>
      <c r="AK79" s="51">
        <f t="shared" si="76"/>
        <v>-78.06454718759943</v>
      </c>
      <c r="AL79" s="51">
        <f t="shared" si="77"/>
        <v>-66.189094375198863</v>
      </c>
      <c r="AM79" s="51">
        <f t="shared" si="78"/>
        <v>-89.94</v>
      </c>
      <c r="AN79">
        <f>IFERROR(INDEX(WaterUseH2[Average Direct Water Consumption (Gal/ kg h2)],MATCH(LEFT(Hydrogen!Y79,3),WaterUseH2[Key],0)),0)</f>
        <v>4.0999999999999996</v>
      </c>
      <c r="AO79" s="13">
        <f t="shared" si="73"/>
        <v>0</v>
      </c>
      <c r="AP79" s="13">
        <f>IF(Y79=$Y$3,AD79*Assumptions!$C$8*1000/1000,0)</f>
        <v>0</v>
      </c>
      <c r="AQ79" s="30">
        <f t="shared" si="79"/>
        <v>0</v>
      </c>
      <c r="AR79" s="30">
        <f>$AQ79*Assumptions!B$76</f>
        <v>0</v>
      </c>
      <c r="AS79" s="30">
        <f>$AQ79*Assumptions!C$76</f>
        <v>0</v>
      </c>
      <c r="AT79" s="30">
        <f>$AQ79*Assumptions!D$76</f>
        <v>0</v>
      </c>
      <c r="BC79" t="s">
        <v>170</v>
      </c>
      <c r="BD79" t="s">
        <v>107</v>
      </c>
      <c r="BE79">
        <v>2037</v>
      </c>
      <c r="BF79" s="23">
        <f t="shared" si="80"/>
        <v>0.16376266666666656</v>
      </c>
      <c r="BG79" s="40">
        <f>BF79*10000000000000/Assumptions!$B$17/1000</f>
        <v>13646888.888888881</v>
      </c>
      <c r="BH79" s="41" cm="1">
        <f t="array" ref="BH79">SUMPRODUCT(IF($BE$88:$BE$130=$BE79,1,0),$BF$88:$BF$130,BH$88:BH$130)</f>
        <v>61.179278736968676</v>
      </c>
      <c r="BI79" s="41" cm="1">
        <f t="array" ref="BI79">SUMPRODUCT(IF($BE$88:$BE$130=$BE79,1,0),$BF$88:$BF$130,BI$88:BI$130)</f>
        <v>53.958557473937347</v>
      </c>
      <c r="BJ79" s="41" cm="1">
        <f t="array" ref="BJ79">SUMPRODUCT(IF($BE$88:$BE$130=$BE79,1,0),$BF$88:$BF$130,BJ$88:BJ$130)</f>
        <v>68.400000000000006</v>
      </c>
    </row>
    <row r="80" spans="25:63" x14ac:dyDescent="0.35">
      <c r="Y80" t="s">
        <v>190</v>
      </c>
      <c r="Z80" t="s">
        <v>179</v>
      </c>
      <c r="AA80" t="s">
        <v>76</v>
      </c>
      <c r="AB80">
        <v>2039</v>
      </c>
      <c r="AC80">
        <v>0</v>
      </c>
      <c r="AD80" s="23">
        <f>AC80*1000000000000/Assumptions!$B$17/1000</f>
        <v>0</v>
      </c>
      <c r="AE80" s="9">
        <f t="shared" si="74"/>
        <v>5.2549999999999999</v>
      </c>
      <c r="AF80">
        <f>IF(LEFT(Z80,4)="Blue",Assumptions!$G$57,0)</f>
        <v>0</v>
      </c>
      <c r="AG80">
        <f>IF(LEFT(Z80,4)="Blue",Assumptions!$G$59,IF(LEFT(Z80,4)="Gree",Assumptions!$G$60,0))</f>
        <v>10.51</v>
      </c>
      <c r="AH80" s="6">
        <f t="shared" ref="AH80:AJ80" si="92">AH59</f>
        <v>87.273478799936612</v>
      </c>
      <c r="AI80" s="6">
        <f t="shared" si="92"/>
        <v>74.096957599873221</v>
      </c>
      <c r="AJ80" s="6">
        <f t="shared" si="92"/>
        <v>100.45</v>
      </c>
      <c r="AK80" s="51">
        <f t="shared" si="76"/>
        <v>-76.763478799936607</v>
      </c>
      <c r="AL80" s="51">
        <f t="shared" si="77"/>
        <v>-63.586957599873223</v>
      </c>
      <c r="AM80" s="51">
        <f t="shared" si="78"/>
        <v>-89.94</v>
      </c>
      <c r="AN80">
        <f>IFERROR(INDEX(WaterUseH2[Average Direct Water Consumption (Gal/ kg h2)],MATCH(LEFT(Hydrogen!Y80,3),WaterUseH2[Key],0)),0)</f>
        <v>4.0999999999999996</v>
      </c>
      <c r="AO80" s="13">
        <f t="shared" si="73"/>
        <v>0</v>
      </c>
      <c r="AP80" s="13">
        <f>IF(Y80=$Y$3,AD80*Assumptions!$C$8*1000/1000,0)</f>
        <v>0</v>
      </c>
      <c r="AQ80" s="30">
        <f t="shared" si="79"/>
        <v>0</v>
      </c>
      <c r="AR80" s="30">
        <f>$AQ80*Assumptions!B$76</f>
        <v>0</v>
      </c>
      <c r="AS80" s="30">
        <f>$AQ80*Assumptions!C$76</f>
        <v>0</v>
      </c>
      <c r="AT80" s="30">
        <f>$AQ80*Assumptions!D$76</f>
        <v>0</v>
      </c>
      <c r="BC80" t="s">
        <v>170</v>
      </c>
      <c r="BD80" t="s">
        <v>107</v>
      </c>
      <c r="BE80">
        <v>2038</v>
      </c>
      <c r="BF80" s="23">
        <f t="shared" si="80"/>
        <v>0.18594933333333283</v>
      </c>
      <c r="BG80" s="40">
        <f>BF80*10000000000000/Assumptions!$B$17/1000</f>
        <v>15495777.777777737</v>
      </c>
      <c r="BH80" s="41" cm="1">
        <f t="array" ref="BH80">SUMPRODUCT(IF($BE$88:$BE$130=$BE80,1,0),$BF$88:$BF$130,BH$88:BH$130)</f>
        <v>60.313580103886252</v>
      </c>
      <c r="BI80" s="41" cm="1">
        <f t="array" ref="BI80">SUMPRODUCT(IF($BE$88:$BE$130=$BE80,1,0),$BF$88:$BF$130,BI$88:BI$130)</f>
        <v>52.227160207772506</v>
      </c>
      <c r="BJ80" s="41" cm="1">
        <f t="array" ref="BJ80">SUMPRODUCT(IF($BE$88:$BE$130=$BE80,1,0),$BF$88:$BF$130,BJ$88:BJ$130)</f>
        <v>68.400000000000006</v>
      </c>
    </row>
    <row r="81" spans="25:65" x14ac:dyDescent="0.35">
      <c r="Y81" t="s">
        <v>190</v>
      </c>
      <c r="Z81" t="s">
        <v>179</v>
      </c>
      <c r="AA81" t="s">
        <v>76</v>
      </c>
      <c r="AB81">
        <v>2040</v>
      </c>
      <c r="AC81">
        <v>0</v>
      </c>
      <c r="AD81" s="23">
        <f>AC81*1000000000000/Assumptions!$B$17/1000</f>
        <v>0</v>
      </c>
      <c r="AE81" s="9">
        <f t="shared" si="74"/>
        <v>5.2549999999999999</v>
      </c>
      <c r="AF81">
        <f>IF(LEFT(Z81,4)="Blue",Assumptions!$G$57,0)</f>
        <v>0</v>
      </c>
      <c r="AG81">
        <f>IF(LEFT(Z81,4)="Blue",Assumptions!$G$59,IF(LEFT(Z81,4)="Gree",Assumptions!$G$60,0))</f>
        <v>10.51</v>
      </c>
      <c r="AH81" s="6">
        <f t="shared" ref="AH81:AJ81" si="93">AH60</f>
        <v>85.951275707781519</v>
      </c>
      <c r="AI81" s="6">
        <f t="shared" si="93"/>
        <v>71.452551415563036</v>
      </c>
      <c r="AJ81" s="6">
        <f t="shared" si="93"/>
        <v>100.45</v>
      </c>
      <c r="AK81" s="51">
        <f t="shared" si="76"/>
        <v>-75.441275707781514</v>
      </c>
      <c r="AL81" s="51">
        <f t="shared" si="77"/>
        <v>-60.942551415563038</v>
      </c>
      <c r="AM81" s="51">
        <f t="shared" si="78"/>
        <v>-89.94</v>
      </c>
      <c r="AN81">
        <f>IFERROR(INDEX(WaterUseH2[Average Direct Water Consumption (Gal/ kg h2)],MATCH(LEFT(Hydrogen!Y81,3),WaterUseH2[Key],0)),0)</f>
        <v>4.0999999999999996</v>
      </c>
      <c r="AO81" s="13">
        <f t="shared" si="73"/>
        <v>0</v>
      </c>
      <c r="AP81" s="13">
        <f>IF(Y81=$Y$3,AD81*Assumptions!$C$8*1000/1000,0)</f>
        <v>0</v>
      </c>
      <c r="AQ81" s="30">
        <f t="shared" si="79"/>
        <v>0</v>
      </c>
      <c r="AR81" s="30">
        <f>$AQ81*Assumptions!B$76</f>
        <v>0</v>
      </c>
      <c r="AS81" s="30">
        <f>$AQ81*Assumptions!C$76</f>
        <v>0</v>
      </c>
      <c r="AT81" s="30">
        <f>$AQ81*Assumptions!D$76</f>
        <v>0</v>
      </c>
      <c r="BC81" t="s">
        <v>170</v>
      </c>
      <c r="BD81" t="s">
        <v>107</v>
      </c>
      <c r="BE81">
        <v>2039</v>
      </c>
      <c r="BF81" s="23">
        <f t="shared" si="80"/>
        <v>0.20813600000000002</v>
      </c>
      <c r="BG81" s="40">
        <f>BF81*10000000000000/Assumptions!$B$17/1000</f>
        <v>17344666.666666668</v>
      </c>
      <c r="BH81" s="41" cm="1">
        <f t="array" ref="BH81">SUMPRODUCT(IF($BE$88:$BE$130=$BE81,1,0),$BF$88:$BF$130,BH$88:BH$130)</f>
        <v>59.427636128056477</v>
      </c>
      <c r="BI81" s="41" cm="1">
        <f t="array" ref="BI81">SUMPRODUCT(IF($BE$88:$BE$130=$BE81,1,0),$BF$88:$BF$130,BI$88:BI$130)</f>
        <v>50.455272256112949</v>
      </c>
      <c r="BJ81" s="41" cm="1">
        <f t="array" ref="BJ81">SUMPRODUCT(IF($BE$88:$BE$130=$BE81,1,0),$BF$88:$BF$130,BJ$88:BJ$130)</f>
        <v>68.400000000000006</v>
      </c>
    </row>
    <row r="82" spans="25:65" x14ac:dyDescent="0.35">
      <c r="Y82" t="s">
        <v>190</v>
      </c>
      <c r="Z82" t="s">
        <v>179</v>
      </c>
      <c r="AA82" t="s">
        <v>76</v>
      </c>
      <c r="AB82">
        <v>2041</v>
      </c>
      <c r="AC82">
        <v>0</v>
      </c>
      <c r="AD82" s="23">
        <f>AC82*1000000000000/Assumptions!$B$17/1000</f>
        <v>0</v>
      </c>
      <c r="AE82" s="9">
        <f t="shared" si="74"/>
        <v>5.2549999999999999</v>
      </c>
      <c r="AF82">
        <f>IF(LEFT(Z82,4)="Blue",Assumptions!$G$57,0)</f>
        <v>0</v>
      </c>
      <c r="AG82">
        <f>IF(LEFT(Z82,4)="Blue",Assumptions!$G$59,IF(LEFT(Z82,4)="Gree",Assumptions!$G$60,0))</f>
        <v>10.51</v>
      </c>
      <c r="AH82" s="6">
        <f t="shared" ref="AH82:AJ82" si="94">AH61</f>
        <v>84.637245588482756</v>
      </c>
      <c r="AI82" s="6">
        <f t="shared" si="94"/>
        <v>68.824491176965509</v>
      </c>
      <c r="AJ82" s="6">
        <f t="shared" si="94"/>
        <v>100.45</v>
      </c>
      <c r="AK82" s="51">
        <f t="shared" si="76"/>
        <v>-74.127245588482751</v>
      </c>
      <c r="AL82" s="51">
        <f t="shared" si="77"/>
        <v>-58.314491176965511</v>
      </c>
      <c r="AM82" s="51">
        <f t="shared" si="78"/>
        <v>-89.94</v>
      </c>
      <c r="AN82">
        <f>IFERROR(INDEX(WaterUseH2[Average Direct Water Consumption (Gal/ kg h2)],MATCH(LEFT(Hydrogen!Y82,3),WaterUseH2[Key],0)),0)</f>
        <v>4.0999999999999996</v>
      </c>
      <c r="AO82" s="13">
        <f t="shared" si="73"/>
        <v>0</v>
      </c>
      <c r="AP82" s="13">
        <f>IF(Y82=$Y$3,AD82*Assumptions!$C$8*1000/1000,0)</f>
        <v>0</v>
      </c>
      <c r="AQ82" s="30">
        <f t="shared" si="79"/>
        <v>0</v>
      </c>
      <c r="AR82" s="30">
        <f>$AQ82*Assumptions!B$76</f>
        <v>0</v>
      </c>
      <c r="AS82" s="30">
        <f>$AQ82*Assumptions!C$76</f>
        <v>0</v>
      </c>
      <c r="AT82" s="30">
        <f>$AQ82*Assumptions!D$76</f>
        <v>0</v>
      </c>
      <c r="BC82" t="s">
        <v>170</v>
      </c>
      <c r="BD82" t="s">
        <v>107</v>
      </c>
      <c r="BE82">
        <v>2040</v>
      </c>
      <c r="BF82" s="23">
        <f t="shared" si="80"/>
        <v>0.23032266666666562</v>
      </c>
      <c r="BG82" s="40">
        <f>BF82*10000000000000/Assumptions!$B$17/1000</f>
        <v>19193555.55555547</v>
      </c>
      <c r="BH82" s="41" cm="1">
        <f t="array" ref="BH82">SUMPRODUCT(IF($BE$88:$BE$130=$BE82,1,0),$BF$88:$BF$130,BH$88:BH$130)</f>
        <v>58.5273007673552</v>
      </c>
      <c r="BI82" s="41" cm="1">
        <f t="array" ref="BI82">SUMPRODUCT(IF($BE$88:$BE$130=$BE82,1,0),$BF$88:$BF$130,BI$88:BI$130)</f>
        <v>48.654601534710388</v>
      </c>
      <c r="BJ82" s="41" cm="1">
        <f t="array" ref="BJ82">SUMPRODUCT(IF($BE$88:$BE$130=$BE82,1,0),$BF$88:$BF$130,BJ$88:BJ$130)</f>
        <v>68.400000000000006</v>
      </c>
    </row>
    <row r="83" spans="25:65" x14ac:dyDescent="0.35">
      <c r="Y83" t="s">
        <v>190</v>
      </c>
      <c r="Z83" t="s">
        <v>179</v>
      </c>
      <c r="AA83" t="s">
        <v>76</v>
      </c>
      <c r="AB83">
        <v>2042</v>
      </c>
      <c r="AC83">
        <v>0</v>
      </c>
      <c r="AD83" s="23">
        <f>AC83*1000000000000/Assumptions!$B$17/1000</f>
        <v>0</v>
      </c>
      <c r="AE83" s="9">
        <f t="shared" si="74"/>
        <v>5.2549999999999999</v>
      </c>
      <c r="AF83">
        <f>IF(LEFT(Z83,4)="Blue",Assumptions!$G$57,0)</f>
        <v>0</v>
      </c>
      <c r="AG83">
        <f>IF(LEFT(Z83,4)="Blue",Assumptions!$G$59,IF(LEFT(Z83,4)="Gree",Assumptions!$G$60,0))</f>
        <v>10.51</v>
      </c>
      <c r="AH83" s="6">
        <f t="shared" ref="AH83:AJ83" si="95">AH62</f>
        <v>83.36430635778953</v>
      </c>
      <c r="AI83" s="6">
        <f t="shared" si="95"/>
        <v>66.278612715579072</v>
      </c>
      <c r="AJ83" s="6">
        <f t="shared" si="95"/>
        <v>100.45</v>
      </c>
      <c r="AK83" s="51">
        <f t="shared" si="76"/>
        <v>-72.85430635778954</v>
      </c>
      <c r="AL83" s="51">
        <f t="shared" si="77"/>
        <v>-55.768612715579074</v>
      </c>
      <c r="AM83" s="51">
        <f t="shared" si="78"/>
        <v>-89.94</v>
      </c>
      <c r="AN83">
        <f>IFERROR(INDEX(WaterUseH2[Average Direct Water Consumption (Gal/ kg h2)],MATCH(LEFT(Hydrogen!Y83,3),WaterUseH2[Key],0)),0)</f>
        <v>4.0999999999999996</v>
      </c>
      <c r="AO83" s="13">
        <f t="shared" si="73"/>
        <v>0</v>
      </c>
      <c r="AP83" s="13">
        <f>IF(Y83=$Y$3,AD83*Assumptions!$C$8*1000/1000,0)</f>
        <v>0</v>
      </c>
      <c r="AQ83" s="30">
        <f t="shared" si="79"/>
        <v>0</v>
      </c>
      <c r="AR83" s="30">
        <f>$AQ83*Assumptions!B$76</f>
        <v>0</v>
      </c>
      <c r="AS83" s="30">
        <f>$AQ83*Assumptions!C$76</f>
        <v>0</v>
      </c>
      <c r="AT83" s="30">
        <f>$AQ83*Assumptions!D$76</f>
        <v>0</v>
      </c>
      <c r="BC83" t="s">
        <v>170</v>
      </c>
      <c r="BD83" t="s">
        <v>107</v>
      </c>
      <c r="BE83">
        <v>2041</v>
      </c>
      <c r="BF83" s="23">
        <f t="shared" si="80"/>
        <v>0.25776533333333279</v>
      </c>
      <c r="BG83" s="40">
        <f>BF83*10000000000000/Assumptions!$B$17/1000</f>
        <v>21480444.444444399</v>
      </c>
      <c r="BH83" s="41" cm="1">
        <f t="array" ref="BH83">SUMPRODUCT(IF($BE$88:$BE$130=$BE83,1,0),$BF$88:$BF$130,BH$88:BH$130)</f>
        <v>57.632530665966812</v>
      </c>
      <c r="BI83" s="41" cm="1">
        <f t="array" ref="BI83">SUMPRODUCT(IF($BE$88:$BE$130=$BE83,1,0),$BF$88:$BF$130,BI$88:BI$130)</f>
        <v>46.86506133193361</v>
      </c>
      <c r="BJ83" s="41" cm="1">
        <f t="array" ref="BJ83">SUMPRODUCT(IF($BE$88:$BE$130=$BE83,1,0),$BF$88:$BF$130,BJ$88:BJ$130)</f>
        <v>68.400000000000006</v>
      </c>
    </row>
    <row r="84" spans="25:65" x14ac:dyDescent="0.35">
      <c r="Y84" t="s">
        <v>190</v>
      </c>
      <c r="Z84" t="s">
        <v>179</v>
      </c>
      <c r="AA84" t="s">
        <v>76</v>
      </c>
      <c r="AB84">
        <v>2043</v>
      </c>
      <c r="AC84">
        <v>0</v>
      </c>
      <c r="AD84" s="23">
        <f>AC84*1000000000000/Assumptions!$B$17/1000</f>
        <v>0</v>
      </c>
      <c r="AE84" s="9">
        <f t="shared" si="74"/>
        <v>5.2549999999999999</v>
      </c>
      <c r="AF84">
        <f>IF(LEFT(Z84,4)="Blue",Assumptions!$G$57,0)</f>
        <v>0</v>
      </c>
      <c r="AG84">
        <f>IF(LEFT(Z84,4)="Blue",Assumptions!$G$59,IF(LEFT(Z84,4)="Gree",Assumptions!$G$60,0))</f>
        <v>10.51</v>
      </c>
      <c r="AH84" s="6">
        <f t="shared" ref="AH84:AJ84" si="96">AH63</f>
        <v>82.142704261559757</v>
      </c>
      <c r="AI84" s="6">
        <f t="shared" si="96"/>
        <v>63.835408523119504</v>
      </c>
      <c r="AJ84" s="6">
        <f t="shared" si="96"/>
        <v>100.45</v>
      </c>
      <c r="AK84" s="51">
        <f t="shared" si="76"/>
        <v>-71.632704261559752</v>
      </c>
      <c r="AL84" s="51">
        <f t="shared" si="77"/>
        <v>-53.325408523119506</v>
      </c>
      <c r="AM84" s="51">
        <f t="shared" si="78"/>
        <v>-89.94</v>
      </c>
      <c r="AN84">
        <f>IFERROR(INDEX(WaterUseH2[Average Direct Water Consumption (Gal/ kg h2)],MATCH(LEFT(Hydrogen!Y84,3),WaterUseH2[Key],0)),0)</f>
        <v>4.0999999999999996</v>
      </c>
      <c r="AO84" s="13">
        <f t="shared" si="73"/>
        <v>0</v>
      </c>
      <c r="AP84" s="13">
        <f>IF(Y84=$Y$3,AD84*Assumptions!$C$8*1000/1000,0)</f>
        <v>0</v>
      </c>
      <c r="AQ84" s="30">
        <f t="shared" si="79"/>
        <v>0</v>
      </c>
      <c r="AR84" s="30">
        <f>$AQ84*Assumptions!B$76</f>
        <v>0</v>
      </c>
      <c r="AS84" s="30">
        <f>$AQ84*Assumptions!C$76</f>
        <v>0</v>
      </c>
      <c r="AT84" s="30">
        <f>$AQ84*Assumptions!D$76</f>
        <v>0</v>
      </c>
      <c r="BC84" t="s">
        <v>170</v>
      </c>
      <c r="BD84" t="s">
        <v>107</v>
      </c>
      <c r="BE84">
        <v>2042</v>
      </c>
      <c r="BF84" s="23">
        <f t="shared" si="80"/>
        <v>0.27995200000000003</v>
      </c>
      <c r="BG84" s="40">
        <f>BF84*10000000000000/Assumptions!$B$17/1000</f>
        <v>23329333.333333336</v>
      </c>
      <c r="BH84" s="41" cm="1">
        <f t="array" ref="BH84">SUMPRODUCT(IF($BE$88:$BE$130=$BE84,1,0),$BF$88:$BF$130,BH$88:BH$130)</f>
        <v>56.76574080881619</v>
      </c>
      <c r="BI84" s="41" cm="1">
        <f t="array" ref="BI84">SUMPRODUCT(IF($BE$88:$BE$130=$BE84,1,0),$BF$88:$BF$130,BI$88:BI$130)</f>
        <v>45.131481617632375</v>
      </c>
      <c r="BJ84" s="41" cm="1">
        <f t="array" ref="BJ84">SUMPRODUCT(IF($BE$88:$BE$130=$BE84,1,0),$BF$88:$BF$130,BJ$88:BJ$130)</f>
        <v>68.400000000000006</v>
      </c>
    </row>
    <row r="85" spans="25:65" x14ac:dyDescent="0.35">
      <c r="Y85" t="s">
        <v>191</v>
      </c>
      <c r="Z85" t="s">
        <v>192</v>
      </c>
      <c r="AA85" t="s">
        <v>76</v>
      </c>
      <c r="AB85">
        <v>2044</v>
      </c>
      <c r="AC85">
        <v>0</v>
      </c>
      <c r="AD85" s="23">
        <f>AC85*1000000000000/Assumptions!$B$17/1000</f>
        <v>0</v>
      </c>
      <c r="AE85" s="9">
        <f t="shared" si="74"/>
        <v>0</v>
      </c>
      <c r="AF85">
        <f>IF(LEFT(Z85,4)="Blue",Assumptions!$G$57,0)</f>
        <v>0</v>
      </c>
      <c r="AG85">
        <f>IF(LEFT(Z85,4)="Blue",Assumptions!$G$59,IF(LEFT(Z85,4)="Gree",Assumptions!$G$60,0))</f>
        <v>0</v>
      </c>
      <c r="AH85" s="6">
        <f t="shared" ref="AH85:AJ85" si="97">AH64</f>
        <v>80.990181196488862</v>
      </c>
      <c r="AI85" s="6">
        <f t="shared" si="97"/>
        <v>61.530362392977736</v>
      </c>
      <c r="AJ85" s="6">
        <f t="shared" si="97"/>
        <v>100.45</v>
      </c>
      <c r="AK85" s="51">
        <f t="shared" si="76"/>
        <v>-80.990181196488862</v>
      </c>
      <c r="AL85" s="51">
        <f t="shared" si="77"/>
        <v>-61.530362392977736</v>
      </c>
      <c r="AM85" s="51">
        <f t="shared" si="78"/>
        <v>-100.45</v>
      </c>
      <c r="AN85">
        <f>IFERROR(INDEX(WaterUseH2[Average Direct Water Consumption (Gal/ kg h2)],MATCH(LEFT(Hydrogen!Y85,3),WaterUseH2[Key],0)),0)</f>
        <v>4.0999999999999996</v>
      </c>
      <c r="AO85" s="13">
        <f t="shared" si="73"/>
        <v>0</v>
      </c>
      <c r="AP85" s="13">
        <f>IF(Y85=$Y$3,AD85*Assumptions!$C$8*1000/1000,0)</f>
        <v>0</v>
      </c>
      <c r="AQ85" s="30">
        <f t="shared" si="79"/>
        <v>0</v>
      </c>
      <c r="AR85" s="30">
        <f>$AQ85*Assumptions!B$76</f>
        <v>0</v>
      </c>
      <c r="AS85" s="30">
        <f>$AQ85*Assumptions!C$76</f>
        <v>0</v>
      </c>
      <c r="AT85" s="30">
        <f>$AQ85*Assumptions!D$76</f>
        <v>0</v>
      </c>
      <c r="BC85" t="s">
        <v>170</v>
      </c>
      <c r="BD85" t="s">
        <v>107</v>
      </c>
      <c r="BE85">
        <v>2043</v>
      </c>
      <c r="BF85" s="23">
        <f t="shared" si="80"/>
        <v>0.30213866666666561</v>
      </c>
      <c r="BG85" s="40">
        <f>BF85*10000000000000/Assumptions!$B$17/1000</f>
        <v>25178222.222222134</v>
      </c>
      <c r="BH85" s="41" cm="1">
        <f t="array" ref="BH85">SUMPRODUCT(IF($BE$88:$BE$130=$BE85,1,0),$BF$88:$BF$130,BH$88:BH$130)</f>
        <v>55.933908231255018</v>
      </c>
      <c r="BI85" s="41" cm="1">
        <f t="array" ref="BI85">SUMPRODUCT(IF($BE$88:$BE$130=$BE85,1,0),$BF$88:$BF$130,BI$88:BI$130)</f>
        <v>43.467816462510037</v>
      </c>
      <c r="BJ85" s="41" cm="1">
        <f t="array" ref="BJ85">SUMPRODUCT(IF($BE$88:$BE$130=$BE85,1,0),$BF$88:$BF$130,BJ$88:BJ$130)</f>
        <v>68.400000000000006</v>
      </c>
    </row>
    <row r="86" spans="25:65" x14ac:dyDescent="0.35">
      <c r="Y86" t="s">
        <v>191</v>
      </c>
      <c r="Z86" t="s">
        <v>192</v>
      </c>
      <c r="AA86" t="s">
        <v>76</v>
      </c>
      <c r="AB86">
        <v>2045</v>
      </c>
      <c r="AC86">
        <v>0</v>
      </c>
      <c r="AD86" s="23">
        <f>AC86*1000000000000/Assumptions!$B$17/1000</f>
        <v>0</v>
      </c>
      <c r="AE86" s="9">
        <f t="shared" si="74"/>
        <v>0</v>
      </c>
      <c r="AF86">
        <f>IF(LEFT(Z86,4)="Blue",Assumptions!$G$57,0)</f>
        <v>0</v>
      </c>
      <c r="AG86">
        <f>IF(LEFT(Z86,4)="Blue",Assumptions!$G$59,IF(LEFT(Z86,4)="Gree",Assumptions!$G$60,0))</f>
        <v>0</v>
      </c>
      <c r="AH86" s="6">
        <f t="shared" ref="AH86:AJ86" si="98">AH65</f>
        <v>79.920544054153567</v>
      </c>
      <c r="AI86" s="6">
        <f t="shared" si="98"/>
        <v>59.391088108307123</v>
      </c>
      <c r="AJ86" s="6">
        <f t="shared" si="98"/>
        <v>100.45</v>
      </c>
      <c r="AK86" s="51">
        <f t="shared" si="76"/>
        <v>-79.920544054153567</v>
      </c>
      <c r="AL86" s="51">
        <f t="shared" si="77"/>
        <v>-59.391088108307123</v>
      </c>
      <c r="AM86" s="51">
        <f t="shared" si="78"/>
        <v>-100.45</v>
      </c>
      <c r="AN86">
        <f>IFERROR(INDEX(WaterUseH2[Average Direct Water Consumption (Gal/ kg h2)],MATCH(LEFT(Hydrogen!Y86,3),WaterUseH2[Key],0)),0)</f>
        <v>4.0999999999999996</v>
      </c>
      <c r="AO86" s="13">
        <f t="shared" si="73"/>
        <v>0</v>
      </c>
      <c r="AP86" s="13">
        <f>IF(Y86=$Y$3,AD86*Assumptions!$C$8*1000/1000,0)</f>
        <v>0</v>
      </c>
      <c r="AQ86" s="30">
        <f t="shared" si="79"/>
        <v>0</v>
      </c>
      <c r="AR86" s="30">
        <f>$AQ86*Assumptions!B$76</f>
        <v>0</v>
      </c>
      <c r="AS86" s="30">
        <f>$AQ86*Assumptions!C$76</f>
        <v>0</v>
      </c>
      <c r="AT86" s="30">
        <f>$AQ86*Assumptions!D$76</f>
        <v>0</v>
      </c>
      <c r="BC86" t="s">
        <v>170</v>
      </c>
      <c r="BD86" t="s">
        <v>107</v>
      </c>
      <c r="BE86">
        <v>2044</v>
      </c>
      <c r="BF86" s="23">
        <f t="shared" si="80"/>
        <v>0.3243253333333328</v>
      </c>
      <c r="BG86" s="40">
        <f>BF86*10000000000000/Assumptions!$B$17/1000</f>
        <v>27027111.111111067</v>
      </c>
      <c r="BH86" s="41" cm="1">
        <f t="array" ref="BH86">SUMPRODUCT(IF($BE$88:$BE$130=$BE86,1,0),$BF$88:$BF$130,BH$88:BH$130)</f>
        <v>55.149114025282714</v>
      </c>
      <c r="BI86" s="41" cm="1">
        <f t="array" ref="BI86">SUMPRODUCT(IF($BE$88:$BE$130=$BE86,1,0),$BF$88:$BF$130,BI$88:BI$130)</f>
        <v>41.898228050565415</v>
      </c>
      <c r="BJ86" s="41" cm="1">
        <f t="array" ref="BJ86">SUMPRODUCT(IF($BE$88:$BE$130=$BE86,1,0),$BF$88:$BF$130,BJ$88:BJ$130)</f>
        <v>68.400000000000006</v>
      </c>
    </row>
    <row r="87" spans="25:65" x14ac:dyDescent="0.35">
      <c r="Y87" t="s">
        <v>191</v>
      </c>
      <c r="Z87" t="s">
        <v>192</v>
      </c>
      <c r="AA87" t="s">
        <v>76</v>
      </c>
      <c r="AB87">
        <v>2025</v>
      </c>
      <c r="AC87">
        <v>0</v>
      </c>
      <c r="AD87" s="23">
        <f>AC87*1000000000000/Assumptions!$B$17/1000</f>
        <v>0</v>
      </c>
      <c r="AE87" s="9">
        <f t="shared" si="74"/>
        <v>0</v>
      </c>
      <c r="AF87">
        <f>IF(LEFT(Z87,4)="Blue",Assumptions!$G$57,0)</f>
        <v>0</v>
      </c>
      <c r="AG87">
        <f>IF(LEFT(Z87,4)="Blue",Assumptions!$G$59,IF(LEFT(Z87,4)="Gree",Assumptions!$G$60,0))</f>
        <v>0</v>
      </c>
      <c r="AH87" s="6">
        <f t="shared" ref="AH87:AJ87" si="99">AH66</f>
        <v>99.359553682832001</v>
      </c>
      <c r="AI87" s="6">
        <f t="shared" si="99"/>
        <v>98.269107365663999</v>
      </c>
      <c r="AJ87" s="6">
        <f t="shared" si="99"/>
        <v>100.45</v>
      </c>
      <c r="AK87" s="51">
        <f t="shared" si="76"/>
        <v>-99.359553682832001</v>
      </c>
      <c r="AL87" s="51">
        <f t="shared" si="77"/>
        <v>-98.269107365663999</v>
      </c>
      <c r="AM87" s="51">
        <f t="shared" si="78"/>
        <v>-100.45</v>
      </c>
      <c r="AN87">
        <f>IFERROR(INDEX(WaterUseH2[Average Direct Water Consumption (Gal/ kg h2)],MATCH(LEFT(Hydrogen!Y87,3),WaterUseH2[Key],0)),0)</f>
        <v>4.0999999999999996</v>
      </c>
      <c r="AO87" s="13">
        <f t="shared" si="73"/>
        <v>0</v>
      </c>
      <c r="AP87" s="13">
        <f>IF(Y87=$Y$3,AD87*Assumptions!$C$8*1000/1000,0)</f>
        <v>0</v>
      </c>
      <c r="AQ87" s="30">
        <f t="shared" si="79"/>
        <v>0</v>
      </c>
      <c r="AR87" s="30">
        <f>$AQ87*Assumptions!B$76</f>
        <v>0</v>
      </c>
      <c r="AS87" s="30">
        <f>$AQ87*Assumptions!C$76</f>
        <v>0</v>
      </c>
      <c r="AT87" s="30">
        <f>$AQ87*Assumptions!D$76</f>
        <v>0</v>
      </c>
      <c r="BC87" t="s">
        <v>170</v>
      </c>
      <c r="BD87" t="s">
        <v>107</v>
      </c>
      <c r="BE87">
        <v>2045</v>
      </c>
      <c r="BF87" s="23">
        <f t="shared" ref="BF87" si="100">SUMIFS(AC:AC,AA:AA,BD87,AB:AB,BE87)</f>
        <v>0.34651199999999999</v>
      </c>
      <c r="BG87" s="40">
        <f>BF87*10000000000000/Assumptions!$B$17/1000</f>
        <v>28876000</v>
      </c>
      <c r="BH87" s="41" cm="1">
        <f t="array" ref="BH87">SUMPRODUCT(IF($BE$88:$BE$130=$BE87,1,0),$BF$88:$BF$130,BH$88:BH$130)</f>
        <v>54.420759797554837</v>
      </c>
      <c r="BI87" s="41" cm="1">
        <f t="array" ref="BI87">SUMPRODUCT(IF($BE$88:$BE$130=$BE87,1,0),$BF$88:$BF$130,BI$88:BI$130)</f>
        <v>40.441519595109675</v>
      </c>
      <c r="BJ87" s="41" cm="1">
        <f t="array" ref="BJ87">SUMPRODUCT(IF($BE$88:$BE$130=$BE87,1,0),$BF$88:$BF$130,BJ$88:BJ$130)</f>
        <v>68.400000000000006</v>
      </c>
    </row>
    <row r="88" spans="25:65" x14ac:dyDescent="0.35">
      <c r="Y88" t="s">
        <v>191</v>
      </c>
      <c r="Z88" t="s">
        <v>192</v>
      </c>
      <c r="AA88" t="s">
        <v>76</v>
      </c>
      <c r="AB88">
        <v>2026</v>
      </c>
      <c r="AC88">
        <v>0</v>
      </c>
      <c r="AD88" s="23">
        <f>AC88*1000000000000/Assumptions!$B$17/1000</f>
        <v>0</v>
      </c>
      <c r="AE88" s="9">
        <f t="shared" si="74"/>
        <v>0</v>
      </c>
      <c r="AF88">
        <f>IF(LEFT(Z88,4)="Blue",Assumptions!$G$57,0)</f>
        <v>0</v>
      </c>
      <c r="AG88">
        <f>IF(LEFT(Z88,4)="Blue",Assumptions!$G$59,IF(LEFT(Z88,4)="Gree",Assumptions!$G$60,0))</f>
        <v>0</v>
      </c>
      <c r="AH88" s="6">
        <f t="shared" ref="AH88:AJ88" si="101">AH67</f>
        <v>99.000787443158117</v>
      </c>
      <c r="AI88" s="6">
        <f t="shared" si="101"/>
        <v>97.551574886316232</v>
      </c>
      <c r="AJ88" s="6">
        <f t="shared" si="101"/>
        <v>100.45</v>
      </c>
      <c r="AK88" s="51">
        <f t="shared" si="76"/>
        <v>-99.000787443158117</v>
      </c>
      <c r="AL88" s="51">
        <f t="shared" si="77"/>
        <v>-97.551574886316232</v>
      </c>
      <c r="AM88" s="51">
        <f t="shared" si="78"/>
        <v>-100.45</v>
      </c>
      <c r="AN88">
        <f>IFERROR(INDEX(WaterUseH2[Average Direct Water Consumption (Gal/ kg h2)],MATCH(LEFT(Hydrogen!Y88,3),WaterUseH2[Key],0)),0)</f>
        <v>4.0999999999999996</v>
      </c>
      <c r="AO88" s="13">
        <f t="shared" si="73"/>
        <v>0</v>
      </c>
      <c r="AP88" s="13">
        <f>IF(Y88=$Y$3,AD88*Assumptions!$C$8*1000/1000,0)</f>
        <v>0</v>
      </c>
      <c r="AQ88" s="30">
        <f t="shared" si="79"/>
        <v>0</v>
      </c>
      <c r="AR88" s="30">
        <f>$AQ88*Assumptions!B$76</f>
        <v>0</v>
      </c>
      <c r="AS88" s="30">
        <f>$AQ88*Assumptions!C$76</f>
        <v>0</v>
      </c>
      <c r="AT88" s="30">
        <f>$AQ88*Assumptions!D$76</f>
        <v>0</v>
      </c>
      <c r="BC88" t="s">
        <v>180</v>
      </c>
      <c r="BD88" t="s">
        <v>107</v>
      </c>
      <c r="BE88">
        <v>2025</v>
      </c>
      <c r="BF88" s="21">
        <v>1</v>
      </c>
      <c r="BG88" t="s">
        <v>181</v>
      </c>
      <c r="BH88" s="7">
        <f>AVERAGE(BI88:BJ88)</f>
        <v>67.657476215293514</v>
      </c>
      <c r="BI88" s="7">
        <f t="shared" ref="BI88:BI108" si="102">BL88*BH110+BJ88*(1-BL88)</f>
        <v>66.914952430587007</v>
      </c>
      <c r="BJ88" s="20">
        <v>68.400000000000006</v>
      </c>
      <c r="BK88" t="s">
        <v>184</v>
      </c>
      <c r="BL88" s="21">
        <v>2.1711234474976884E-2</v>
      </c>
      <c r="BM88" t="s">
        <v>193</v>
      </c>
    </row>
    <row r="89" spans="25:65" x14ac:dyDescent="0.35">
      <c r="Y89" t="s">
        <v>191</v>
      </c>
      <c r="Z89" t="s">
        <v>192</v>
      </c>
      <c r="AA89" t="s">
        <v>76</v>
      </c>
      <c r="AB89">
        <v>2027</v>
      </c>
      <c r="AC89">
        <v>0</v>
      </c>
      <c r="AD89" s="23">
        <f>AC89*1000000000000/Assumptions!$B$17/1000</f>
        <v>0</v>
      </c>
      <c r="AE89" s="9">
        <f t="shared" si="74"/>
        <v>0</v>
      </c>
      <c r="AF89">
        <f>IF(LEFT(Z89,4)="Blue",Assumptions!$G$57,0)</f>
        <v>0</v>
      </c>
      <c r="AG89">
        <f>IF(LEFT(Z89,4)="Blue",Assumptions!$G$59,IF(LEFT(Z89,4)="Gree",Assumptions!$G$60,0))</f>
        <v>0</v>
      </c>
      <c r="AH89" s="6">
        <f t="shared" ref="AH89:AJ89" si="103">AH68</f>
        <v>98.562436921360089</v>
      </c>
      <c r="AI89" s="6">
        <f t="shared" si="103"/>
        <v>96.674873842720174</v>
      </c>
      <c r="AJ89" s="6">
        <f t="shared" si="103"/>
        <v>100.45</v>
      </c>
      <c r="AK89" s="51">
        <f t="shared" si="76"/>
        <v>-98.562436921360089</v>
      </c>
      <c r="AL89" s="51">
        <f t="shared" si="77"/>
        <v>-96.674873842720174</v>
      </c>
      <c r="AM89" s="51">
        <f t="shared" si="78"/>
        <v>-100.45</v>
      </c>
      <c r="AN89">
        <f>IFERROR(INDEX(WaterUseH2[Average Direct Water Consumption (Gal/ kg h2)],MATCH(LEFT(Hydrogen!Y89,3),WaterUseH2[Key],0)),0)</f>
        <v>4.0999999999999996</v>
      </c>
      <c r="AO89" s="13">
        <f t="shared" si="73"/>
        <v>0</v>
      </c>
      <c r="AP89" s="13">
        <f>IF(Y89=$Y$3,AD89*Assumptions!$C$8*1000/1000,0)</f>
        <v>0</v>
      </c>
      <c r="AQ89" s="30">
        <f t="shared" si="79"/>
        <v>0</v>
      </c>
      <c r="AR89" s="30">
        <f>$AQ89*Assumptions!B$76</f>
        <v>0</v>
      </c>
      <c r="AS89" s="30">
        <f>$AQ89*Assumptions!C$76</f>
        <v>0</v>
      </c>
      <c r="AT89" s="30">
        <f>$AQ89*Assumptions!D$76</f>
        <v>0</v>
      </c>
      <c r="BC89" t="s">
        <v>180</v>
      </c>
      <c r="BD89" t="s">
        <v>107</v>
      </c>
      <c r="BE89">
        <v>2026</v>
      </c>
      <c r="BF89" s="21">
        <v>1</v>
      </c>
      <c r="BG89" t="s">
        <v>181</v>
      </c>
      <c r="BH89" s="7">
        <f t="shared" ref="BH89:BH108" si="104">AVERAGE(BI89:BJ89)</f>
        <v>67.413179483025914</v>
      </c>
      <c r="BI89" s="7">
        <f t="shared" si="102"/>
        <v>66.426358966051836</v>
      </c>
      <c r="BJ89" s="20">
        <v>68.400000000000006</v>
      </c>
      <c r="BK89" t="s">
        <v>184</v>
      </c>
      <c r="BL89" s="21">
        <v>2.8854417464449684E-2</v>
      </c>
      <c r="BM89" t="s">
        <v>193</v>
      </c>
    </row>
    <row r="90" spans="25:65" x14ac:dyDescent="0.35">
      <c r="Y90" t="s">
        <v>191</v>
      </c>
      <c r="Z90" t="s">
        <v>192</v>
      </c>
      <c r="AA90" t="s">
        <v>76</v>
      </c>
      <c r="AB90">
        <v>2028</v>
      </c>
      <c r="AC90">
        <v>0</v>
      </c>
      <c r="AD90" s="23">
        <f>AC90*1000000000000/Assumptions!$B$17/1000</f>
        <v>0</v>
      </c>
      <c r="AE90" s="9">
        <f t="shared" si="74"/>
        <v>0</v>
      </c>
      <c r="AF90">
        <f>IF(LEFT(Z90,4)="Blue",Assumptions!$G$57,0)</f>
        <v>0</v>
      </c>
      <c r="AG90">
        <f>IF(LEFT(Z90,4)="Blue",Assumptions!$G$59,IF(LEFT(Z90,4)="Gree",Assumptions!$G$60,0))</f>
        <v>0</v>
      </c>
      <c r="AH90" s="6">
        <f t="shared" ref="AH90:AJ90" si="105">AH69</f>
        <v>98.088874094271858</v>
      </c>
      <c r="AI90" s="6">
        <f t="shared" si="105"/>
        <v>95.7277481885437</v>
      </c>
      <c r="AJ90" s="6">
        <f t="shared" si="105"/>
        <v>100.45</v>
      </c>
      <c r="AK90" s="51">
        <f t="shared" si="76"/>
        <v>-98.088874094271858</v>
      </c>
      <c r="AL90" s="51">
        <f t="shared" si="77"/>
        <v>-95.7277481885437</v>
      </c>
      <c r="AM90" s="51">
        <f t="shared" si="78"/>
        <v>-100.45</v>
      </c>
      <c r="AN90">
        <f>IFERROR(INDEX(WaterUseH2[Average Direct Water Consumption (Gal/ kg h2)],MATCH(LEFT(Hydrogen!Y90,3),WaterUseH2[Key],0)),0)</f>
        <v>4.0999999999999996</v>
      </c>
      <c r="AO90" s="13">
        <f t="shared" si="73"/>
        <v>0</v>
      </c>
      <c r="AP90" s="13">
        <f>IF(Y90=$Y$3,AD90*Assumptions!$C$8*1000/1000,0)</f>
        <v>0</v>
      </c>
      <c r="AQ90" s="30">
        <f t="shared" si="79"/>
        <v>0</v>
      </c>
      <c r="AR90" s="30">
        <f>$AQ90*Assumptions!B$76</f>
        <v>0</v>
      </c>
      <c r="AS90" s="30">
        <f>$AQ90*Assumptions!C$76</f>
        <v>0</v>
      </c>
      <c r="AT90" s="30">
        <f>$AQ90*Assumptions!D$76</f>
        <v>0</v>
      </c>
      <c r="BC90" t="s">
        <v>180</v>
      </c>
      <c r="BD90" t="s">
        <v>107</v>
      </c>
      <c r="BE90">
        <v>2027</v>
      </c>
      <c r="BF90" s="21">
        <v>1</v>
      </c>
      <c r="BG90" t="s">
        <v>181</v>
      </c>
      <c r="BH90" s="7">
        <f t="shared" si="104"/>
        <v>67.114690971668779</v>
      </c>
      <c r="BI90" s="7">
        <f t="shared" si="102"/>
        <v>65.829381943337552</v>
      </c>
      <c r="BJ90" s="20">
        <v>68.400000000000006</v>
      </c>
      <c r="BK90" t="s">
        <v>184</v>
      </c>
      <c r="BL90" s="21">
        <v>3.7582156025503077E-2</v>
      </c>
      <c r="BM90" t="s">
        <v>193</v>
      </c>
    </row>
    <row r="91" spans="25:65" x14ac:dyDescent="0.35">
      <c r="Y91" t="s">
        <v>191</v>
      </c>
      <c r="Z91" t="s">
        <v>192</v>
      </c>
      <c r="AA91" t="s">
        <v>76</v>
      </c>
      <c r="AB91">
        <v>2029</v>
      </c>
      <c r="AC91">
        <v>0</v>
      </c>
      <c r="AD91" s="23">
        <f>AC91*1000000000000/Assumptions!$B$17/1000</f>
        <v>0</v>
      </c>
      <c r="AE91" s="9">
        <f t="shared" si="74"/>
        <v>0</v>
      </c>
      <c r="AF91">
        <f>IF(LEFT(Z91,4)="Blue",Assumptions!$G$57,0)</f>
        <v>0</v>
      </c>
      <c r="AG91">
        <f>IF(LEFT(Z91,4)="Blue",Assumptions!$G$59,IF(LEFT(Z91,4)="Gree",Assumptions!$G$60,0))</f>
        <v>0</v>
      </c>
      <c r="AH91" s="6">
        <f t="shared" ref="AH91:AJ91" si="106">AH70</f>
        <v>97.544867879479852</v>
      </c>
      <c r="AI91" s="6">
        <f t="shared" si="106"/>
        <v>94.639735758959688</v>
      </c>
      <c r="AJ91" s="6">
        <f t="shared" si="106"/>
        <v>100.45</v>
      </c>
      <c r="AK91" s="51">
        <f t="shared" si="76"/>
        <v>-97.544867879479852</v>
      </c>
      <c r="AL91" s="51">
        <f t="shared" si="77"/>
        <v>-94.639735758959688</v>
      </c>
      <c r="AM91" s="51">
        <f t="shared" si="78"/>
        <v>-100.45</v>
      </c>
      <c r="AN91">
        <f>IFERROR(INDEX(WaterUseH2[Average Direct Water Consumption (Gal/ kg h2)],MATCH(LEFT(Hydrogen!Y91,3),WaterUseH2[Key],0)),0)</f>
        <v>4.0999999999999996</v>
      </c>
      <c r="AO91" s="13">
        <f t="shared" si="73"/>
        <v>0</v>
      </c>
      <c r="AP91" s="13">
        <f>IF(Y91=$Y$3,AD91*Assumptions!$C$8*1000/1000,0)</f>
        <v>0</v>
      </c>
      <c r="AQ91" s="30">
        <f t="shared" si="79"/>
        <v>0</v>
      </c>
      <c r="AR91" s="30">
        <f>$AQ91*Assumptions!B$76</f>
        <v>0</v>
      </c>
      <c r="AS91" s="30">
        <f>$AQ91*Assumptions!C$76</f>
        <v>0</v>
      </c>
      <c r="AT91" s="30">
        <f>$AQ91*Assumptions!D$76</f>
        <v>0</v>
      </c>
      <c r="BC91" t="s">
        <v>180</v>
      </c>
      <c r="BD91" t="s">
        <v>107</v>
      </c>
      <c r="BE91">
        <v>2028</v>
      </c>
      <c r="BF91" s="21">
        <v>1</v>
      </c>
      <c r="BG91" t="s">
        <v>181</v>
      </c>
      <c r="BH91" s="7">
        <f t="shared" si="104"/>
        <v>66.792225142241932</v>
      </c>
      <c r="BI91" s="7">
        <f t="shared" si="102"/>
        <v>65.184450284483844</v>
      </c>
      <c r="BJ91" s="20">
        <v>68.400000000000006</v>
      </c>
      <c r="BK91" t="s">
        <v>184</v>
      </c>
      <c r="BL91" s="21">
        <v>4.7010985832765827E-2</v>
      </c>
      <c r="BM91" t="s">
        <v>193</v>
      </c>
    </row>
    <row r="92" spans="25:65" x14ac:dyDescent="0.35">
      <c r="Y92" t="s">
        <v>191</v>
      </c>
      <c r="Z92" t="s">
        <v>192</v>
      </c>
      <c r="AA92" t="s">
        <v>76</v>
      </c>
      <c r="AB92">
        <v>2030</v>
      </c>
      <c r="AC92">
        <v>0</v>
      </c>
      <c r="AD92" s="23">
        <f>AC92*1000000000000/Assumptions!$B$17/1000</f>
        <v>0</v>
      </c>
      <c r="AE92" s="9">
        <f t="shared" si="74"/>
        <v>0</v>
      </c>
      <c r="AF92">
        <f>IF(LEFT(Z92,4)="Blue",Assumptions!$G$57,0)</f>
        <v>0</v>
      </c>
      <c r="AG92">
        <f>IF(LEFT(Z92,4)="Blue",Assumptions!$G$59,IF(LEFT(Z92,4)="Gree",Assumptions!$G$60,0))</f>
        <v>0</v>
      </c>
      <c r="AH92" s="6">
        <f t="shared" ref="AH92:AJ92" si="107">AH71</f>
        <v>96.924614347496885</v>
      </c>
      <c r="AI92" s="6">
        <f t="shared" si="107"/>
        <v>93.399228694993766</v>
      </c>
      <c r="AJ92" s="6">
        <f t="shared" si="107"/>
        <v>100.45</v>
      </c>
      <c r="AK92" s="51">
        <f t="shared" si="76"/>
        <v>-96.924614347496885</v>
      </c>
      <c r="AL92" s="51">
        <f t="shared" si="77"/>
        <v>-93.399228694993766</v>
      </c>
      <c r="AM92" s="51">
        <f t="shared" si="78"/>
        <v>-100.45</v>
      </c>
      <c r="AN92">
        <f>IFERROR(INDEX(WaterUseH2[Average Direct Water Consumption (Gal/ kg h2)],MATCH(LEFT(Hydrogen!Y92,3),WaterUseH2[Key],0)),0)</f>
        <v>4.0999999999999996</v>
      </c>
      <c r="AO92" s="13">
        <f t="shared" si="73"/>
        <v>0</v>
      </c>
      <c r="AP92" s="13">
        <f>IF(Y92=$Y$3,AD92*Assumptions!$C$8*1000/1000,0)</f>
        <v>0</v>
      </c>
      <c r="AQ92" s="30">
        <f t="shared" si="79"/>
        <v>0</v>
      </c>
      <c r="AR92" s="30">
        <f>$AQ92*Assumptions!B$76</f>
        <v>0</v>
      </c>
      <c r="AS92" s="30">
        <f>$AQ92*Assumptions!C$76</f>
        <v>0</v>
      </c>
      <c r="AT92" s="30">
        <f>$AQ92*Assumptions!D$76</f>
        <v>0</v>
      </c>
      <c r="BC92" t="s">
        <v>180</v>
      </c>
      <c r="BD92" t="s">
        <v>107</v>
      </c>
      <c r="BE92">
        <v>2029</v>
      </c>
      <c r="BF92" s="21">
        <v>1</v>
      </c>
      <c r="BG92" t="s">
        <v>181</v>
      </c>
      <c r="BH92" s="7">
        <f t="shared" si="104"/>
        <v>66.421791893405015</v>
      </c>
      <c r="BI92" s="7">
        <f t="shared" si="102"/>
        <v>64.443583786810024</v>
      </c>
      <c r="BJ92" s="20">
        <v>68.400000000000006</v>
      </c>
      <c r="BK92" t="s">
        <v>184</v>
      </c>
      <c r="BL92" s="21">
        <v>5.7842372163816547E-2</v>
      </c>
      <c r="BM92" t="s">
        <v>193</v>
      </c>
    </row>
    <row r="93" spans="25:65" x14ac:dyDescent="0.35">
      <c r="Y93" t="s">
        <v>191</v>
      </c>
      <c r="Z93" t="s">
        <v>192</v>
      </c>
      <c r="AA93" t="s">
        <v>76</v>
      </c>
      <c r="AB93">
        <v>2031</v>
      </c>
      <c r="AC93">
        <v>0</v>
      </c>
      <c r="AD93" s="23">
        <f>AC93*1000000000000/Assumptions!$B$17/1000</f>
        <v>0</v>
      </c>
      <c r="AE93" s="9">
        <f t="shared" si="74"/>
        <v>0</v>
      </c>
      <c r="AF93">
        <f>IF(LEFT(Z93,4)="Blue",Assumptions!$G$57,0)</f>
        <v>0</v>
      </c>
      <c r="AG93">
        <f>IF(LEFT(Z93,4)="Blue",Assumptions!$G$59,IF(LEFT(Z93,4)="Gree",Assumptions!$G$60,0))</f>
        <v>0</v>
      </c>
      <c r="AH93" s="6">
        <f t="shared" ref="AH93:AJ93" si="108">AH72</f>
        <v>96.219877469537067</v>
      </c>
      <c r="AI93" s="6">
        <f t="shared" si="108"/>
        <v>91.989754939074118</v>
      </c>
      <c r="AJ93" s="6">
        <f t="shared" si="108"/>
        <v>100.45</v>
      </c>
      <c r="AK93" s="51">
        <f t="shared" si="76"/>
        <v>-96.219877469537067</v>
      </c>
      <c r="AL93" s="51">
        <f t="shared" si="77"/>
        <v>-91.989754939074118</v>
      </c>
      <c r="AM93" s="51">
        <f t="shared" si="78"/>
        <v>-100.45</v>
      </c>
      <c r="AN93">
        <f>IFERROR(INDEX(WaterUseH2[Average Direct Water Consumption (Gal/ kg h2)],MATCH(LEFT(Hydrogen!Y93,3),WaterUseH2[Key],0)),0)</f>
        <v>4.0999999999999996</v>
      </c>
      <c r="AO93" s="13">
        <f t="shared" si="73"/>
        <v>0</v>
      </c>
      <c r="AP93" s="13">
        <f>IF(Y93=$Y$3,AD93*Assumptions!$C$8*1000/1000,0)</f>
        <v>0</v>
      </c>
      <c r="AQ93" s="30">
        <f t="shared" si="79"/>
        <v>0</v>
      </c>
      <c r="AR93" s="30">
        <f>$AQ93*Assumptions!B$76</f>
        <v>0</v>
      </c>
      <c r="AS93" s="30">
        <f>$AQ93*Assumptions!C$76</f>
        <v>0</v>
      </c>
      <c r="AT93" s="30">
        <f>$AQ93*Assumptions!D$76</f>
        <v>0</v>
      </c>
      <c r="BC93" t="s">
        <v>180</v>
      </c>
      <c r="BD93" t="s">
        <v>107</v>
      </c>
      <c r="BE93">
        <v>2030</v>
      </c>
      <c r="BF93" s="21">
        <v>1</v>
      </c>
      <c r="BG93" t="s">
        <v>181</v>
      </c>
      <c r="BH93" s="7">
        <f t="shared" si="104"/>
        <v>65.999439121695474</v>
      </c>
      <c r="BI93" s="7">
        <f t="shared" si="102"/>
        <v>63.598878243390942</v>
      </c>
      <c r="BJ93" s="20">
        <v>68.400000000000006</v>
      </c>
      <c r="BK93" t="s">
        <v>184</v>
      </c>
      <c r="BL93" s="21">
        <v>7.019187358493531E-2</v>
      </c>
      <c r="BM93" t="s">
        <v>193</v>
      </c>
    </row>
    <row r="94" spans="25:65" x14ac:dyDescent="0.35">
      <c r="Y94" t="s">
        <v>191</v>
      </c>
      <c r="Z94" t="s">
        <v>192</v>
      </c>
      <c r="AA94" t="s">
        <v>76</v>
      </c>
      <c r="AB94">
        <v>2032</v>
      </c>
      <c r="AC94">
        <v>0</v>
      </c>
      <c r="AD94" s="23">
        <f>AC94*1000000000000/Assumptions!$B$17/1000</f>
        <v>0</v>
      </c>
      <c r="AE94" s="9">
        <f t="shared" si="74"/>
        <v>0</v>
      </c>
      <c r="AF94">
        <f>IF(LEFT(Z94,4)="Blue",Assumptions!$G$57,0)</f>
        <v>0</v>
      </c>
      <c r="AG94">
        <f>IF(LEFT(Z94,4)="Blue",Assumptions!$G$59,IF(LEFT(Z94,4)="Gree",Assumptions!$G$60,0))</f>
        <v>0</v>
      </c>
      <c r="AH94" s="6">
        <f t="shared" ref="AH94:AJ94" si="109">AH73</f>
        <v>95.431212950513526</v>
      </c>
      <c r="AI94" s="6">
        <f t="shared" si="109"/>
        <v>90.412425901027063</v>
      </c>
      <c r="AJ94" s="6">
        <f t="shared" si="109"/>
        <v>100.45</v>
      </c>
      <c r="AK94" s="51">
        <f t="shared" si="76"/>
        <v>-95.431212950513526</v>
      </c>
      <c r="AL94" s="51">
        <f t="shared" si="77"/>
        <v>-90.412425901027063</v>
      </c>
      <c r="AM94" s="51">
        <f t="shared" si="78"/>
        <v>-100.45</v>
      </c>
      <c r="AN94">
        <f>IFERROR(INDEX(WaterUseH2[Average Direct Water Consumption (Gal/ kg h2)],MATCH(LEFT(Hydrogen!Y94,3),WaterUseH2[Key],0)),0)</f>
        <v>4.0999999999999996</v>
      </c>
      <c r="AO94" s="13">
        <f t="shared" si="73"/>
        <v>0</v>
      </c>
      <c r="AP94" s="13">
        <f>IF(Y94=$Y$3,AD94*Assumptions!$C$8*1000/1000,0)</f>
        <v>0</v>
      </c>
      <c r="AQ94" s="30">
        <f t="shared" si="79"/>
        <v>0</v>
      </c>
      <c r="AR94" s="30">
        <f>$AQ94*Assumptions!B$76</f>
        <v>0</v>
      </c>
      <c r="AS94" s="30">
        <f>$AQ94*Assumptions!C$76</f>
        <v>0</v>
      </c>
      <c r="AT94" s="30">
        <f>$AQ94*Assumptions!D$76</f>
        <v>0</v>
      </c>
      <c r="BC94" t="s">
        <v>180</v>
      </c>
      <c r="BD94" t="s">
        <v>107</v>
      </c>
      <c r="BE94">
        <v>2031</v>
      </c>
      <c r="BF94" s="21">
        <v>1</v>
      </c>
      <c r="BG94" t="s">
        <v>181</v>
      </c>
      <c r="BH94" s="7">
        <f t="shared" si="104"/>
        <v>65.519558620364165</v>
      </c>
      <c r="BI94" s="7">
        <f t="shared" si="102"/>
        <v>62.639117240728325</v>
      </c>
      <c r="BJ94" s="20">
        <v>68.400000000000006</v>
      </c>
      <c r="BK94" t="s">
        <v>184</v>
      </c>
      <c r="BL94" s="21">
        <v>8.4223472750521097E-2</v>
      </c>
      <c r="BM94" t="s">
        <v>193</v>
      </c>
    </row>
    <row r="95" spans="25:65" x14ac:dyDescent="0.35">
      <c r="Y95" t="s">
        <v>191</v>
      </c>
      <c r="Z95" t="s">
        <v>192</v>
      </c>
      <c r="AA95" t="s">
        <v>76</v>
      </c>
      <c r="AB95">
        <v>2033</v>
      </c>
      <c r="AC95">
        <v>0</v>
      </c>
      <c r="AD95" s="23">
        <f>AC95*1000000000000/Assumptions!$B$17/1000</f>
        <v>0</v>
      </c>
      <c r="AE95" s="9">
        <f t="shared" si="74"/>
        <v>0</v>
      </c>
      <c r="AF95">
        <f>IF(LEFT(Z95,4)="Blue",Assumptions!$G$57,0)</f>
        <v>0</v>
      </c>
      <c r="AG95">
        <f>IF(LEFT(Z95,4)="Blue",Assumptions!$G$59,IF(LEFT(Z95,4)="Gree",Assumptions!$G$60,0))</f>
        <v>0</v>
      </c>
      <c r="AH95" s="6">
        <f t="shared" ref="AH95:AJ95" si="110">AH74</f>
        <v>94.525495952097856</v>
      </c>
      <c r="AI95" s="6">
        <f t="shared" si="110"/>
        <v>88.600991904195695</v>
      </c>
      <c r="AJ95" s="6">
        <f t="shared" si="110"/>
        <v>100.45</v>
      </c>
      <c r="AK95" s="51">
        <f t="shared" si="76"/>
        <v>-94.525495952097856</v>
      </c>
      <c r="AL95" s="51">
        <f t="shared" si="77"/>
        <v>-88.600991904195695</v>
      </c>
      <c r="AM95" s="51">
        <f t="shared" si="78"/>
        <v>-100.45</v>
      </c>
      <c r="AN95">
        <f>IFERROR(INDEX(WaterUseH2[Average Direct Water Consumption (Gal/ kg h2)],MATCH(LEFT(Hydrogen!Y95,3),WaterUseH2[Key],0)),0)</f>
        <v>4.0999999999999996</v>
      </c>
      <c r="AO95" s="13">
        <f t="shared" si="73"/>
        <v>0</v>
      </c>
      <c r="AP95" s="13">
        <f>IF(Y95=$Y$3,AD95*Assumptions!$C$8*1000/1000,0)</f>
        <v>0</v>
      </c>
      <c r="AQ95" s="30">
        <f t="shared" si="79"/>
        <v>0</v>
      </c>
      <c r="AR95" s="30">
        <f>$AQ95*Assumptions!B$76</f>
        <v>0</v>
      </c>
      <c r="AS95" s="30">
        <f>$AQ95*Assumptions!C$76</f>
        <v>0</v>
      </c>
      <c r="AT95" s="30">
        <f>$AQ95*Assumptions!D$76</f>
        <v>0</v>
      </c>
      <c r="BC95" t="s">
        <v>180</v>
      </c>
      <c r="BD95" t="s">
        <v>107</v>
      </c>
      <c r="BE95">
        <v>2032</v>
      </c>
      <c r="BF95" s="21">
        <v>1</v>
      </c>
      <c r="BG95" t="s">
        <v>181</v>
      </c>
      <c r="BH95" s="7">
        <f t="shared" si="104"/>
        <v>64.982528787773802</v>
      </c>
      <c r="BI95" s="7">
        <f t="shared" si="102"/>
        <v>61.565057575547598</v>
      </c>
      <c r="BJ95" s="20">
        <v>68.400000000000006</v>
      </c>
      <c r="BK95" t="s">
        <v>184</v>
      </c>
      <c r="BL95" s="21">
        <v>9.9926105289252304E-2</v>
      </c>
      <c r="BM95" t="s">
        <v>193</v>
      </c>
    </row>
    <row r="96" spans="25:65" x14ac:dyDescent="0.35">
      <c r="Y96" t="s">
        <v>191</v>
      </c>
      <c r="Z96" t="s">
        <v>192</v>
      </c>
      <c r="AA96" t="s">
        <v>76</v>
      </c>
      <c r="AB96">
        <v>2034</v>
      </c>
      <c r="AC96">
        <v>0</v>
      </c>
      <c r="AD96" s="23">
        <f>AC96*1000000000000/Assumptions!$B$17/1000</f>
        <v>0</v>
      </c>
      <c r="AE96" s="9">
        <f t="shared" si="74"/>
        <v>0</v>
      </c>
      <c r="AF96">
        <f>IF(LEFT(Z96,4)="Blue",Assumptions!$G$57,0)</f>
        <v>0</v>
      </c>
      <c r="AG96">
        <f>IF(LEFT(Z96,4)="Blue",Assumptions!$G$59,IF(LEFT(Z96,4)="Gree",Assumptions!$G$60,0))</f>
        <v>0</v>
      </c>
      <c r="AH96" s="6">
        <f t="shared" ref="AH96:AJ96" si="111">AH75</f>
        <v>93.515198320512312</v>
      </c>
      <c r="AI96" s="6">
        <f t="shared" si="111"/>
        <v>86.58039664102462</v>
      </c>
      <c r="AJ96" s="6">
        <f t="shared" si="111"/>
        <v>100.45</v>
      </c>
      <c r="AK96" s="51">
        <f t="shared" si="76"/>
        <v>-93.515198320512312</v>
      </c>
      <c r="AL96" s="51">
        <f t="shared" si="77"/>
        <v>-86.58039664102462</v>
      </c>
      <c r="AM96" s="51">
        <f t="shared" si="78"/>
        <v>-100.45</v>
      </c>
      <c r="AN96">
        <f>IFERROR(INDEX(WaterUseH2[Average Direct Water Consumption (Gal/ kg h2)],MATCH(LEFT(Hydrogen!Y96,3),WaterUseH2[Key],0)),0)</f>
        <v>4.0999999999999996</v>
      </c>
      <c r="AO96" s="13">
        <f t="shared" si="73"/>
        <v>0</v>
      </c>
      <c r="AP96" s="13">
        <f>IF(Y96=$Y$3,AD96*Assumptions!$C$8*1000/1000,0)</f>
        <v>0</v>
      </c>
      <c r="AQ96" s="30">
        <f t="shared" si="79"/>
        <v>0</v>
      </c>
      <c r="AR96" s="30">
        <f>$AQ96*Assumptions!B$76</f>
        <v>0</v>
      </c>
      <c r="AS96" s="30">
        <f>$AQ96*Assumptions!C$76</f>
        <v>0</v>
      </c>
      <c r="AT96" s="30">
        <f>$AQ96*Assumptions!D$76</f>
        <v>0</v>
      </c>
      <c r="BC96" t="s">
        <v>180</v>
      </c>
      <c r="BD96" t="s">
        <v>107</v>
      </c>
      <c r="BE96">
        <v>2033</v>
      </c>
      <c r="BF96" s="21">
        <v>1</v>
      </c>
      <c r="BG96" t="s">
        <v>181</v>
      </c>
      <c r="BH96" s="7">
        <f t="shared" si="104"/>
        <v>64.365793738287053</v>
      </c>
      <c r="BI96" s="7">
        <f t="shared" si="102"/>
        <v>60.331587476574093</v>
      </c>
      <c r="BJ96" s="20">
        <v>68.400000000000006</v>
      </c>
      <c r="BK96" t="s">
        <v>184</v>
      </c>
      <c r="BL96" s="21">
        <v>0.11795930023021503</v>
      </c>
      <c r="BM96" t="s">
        <v>193</v>
      </c>
    </row>
    <row r="97" spans="25:65" x14ac:dyDescent="0.35">
      <c r="Y97" t="s">
        <v>191</v>
      </c>
      <c r="Z97" t="s">
        <v>192</v>
      </c>
      <c r="AA97" t="s">
        <v>76</v>
      </c>
      <c r="AB97">
        <v>2035</v>
      </c>
      <c r="AC97">
        <v>0</v>
      </c>
      <c r="AD97" s="23">
        <f>AC97*1000000000000/Assumptions!$B$17/1000</f>
        <v>0</v>
      </c>
      <c r="AE97" s="9">
        <f t="shared" si="74"/>
        <v>0</v>
      </c>
      <c r="AF97">
        <f>IF(LEFT(Z97,4)="Blue",Assumptions!$G$57,0)</f>
        <v>0</v>
      </c>
      <c r="AG97">
        <f>IF(LEFT(Z97,4)="Blue",Assumptions!$G$59,IF(LEFT(Z97,4)="Gree",Assumptions!$G$60,0))</f>
        <v>0</v>
      </c>
      <c r="AH97" s="6">
        <f t="shared" ref="AH97:AJ97" si="112">AH76</f>
        <v>92.361658919879176</v>
      </c>
      <c r="AI97" s="6">
        <f t="shared" si="112"/>
        <v>84.273317839758363</v>
      </c>
      <c r="AJ97" s="6">
        <f t="shared" si="112"/>
        <v>100.45</v>
      </c>
      <c r="AK97" s="51">
        <f t="shared" si="76"/>
        <v>-92.361658919879176</v>
      </c>
      <c r="AL97" s="51">
        <f t="shared" si="77"/>
        <v>-84.273317839758363</v>
      </c>
      <c r="AM97" s="51">
        <f t="shared" si="78"/>
        <v>-100.45</v>
      </c>
      <c r="AN97">
        <f>IFERROR(INDEX(WaterUseH2[Average Direct Water Consumption (Gal/ kg h2)],MATCH(LEFT(Hydrogen!Y97,3),WaterUseH2[Key],0)),0)</f>
        <v>4.0999999999999996</v>
      </c>
      <c r="AO97" s="13">
        <f t="shared" si="73"/>
        <v>0</v>
      </c>
      <c r="AP97" s="13">
        <f>IF(Y97=$Y$3,AD97*Assumptions!$C$8*1000/1000,0)</f>
        <v>0</v>
      </c>
      <c r="AQ97" s="30">
        <f t="shared" si="79"/>
        <v>0</v>
      </c>
      <c r="AR97" s="30">
        <f>$AQ97*Assumptions!B$76</f>
        <v>0</v>
      </c>
      <c r="AS97" s="30">
        <f>$AQ97*Assumptions!C$76</f>
        <v>0</v>
      </c>
      <c r="AT97" s="30">
        <f>$AQ97*Assumptions!D$76</f>
        <v>0</v>
      </c>
      <c r="BC97" t="s">
        <v>180</v>
      </c>
      <c r="BD97" t="s">
        <v>107</v>
      </c>
      <c r="BE97">
        <v>2034</v>
      </c>
      <c r="BF97" s="21">
        <v>1</v>
      </c>
      <c r="BG97" t="s">
        <v>181</v>
      </c>
      <c r="BH97" s="7">
        <f t="shared" si="104"/>
        <v>63.677845995875501</v>
      </c>
      <c r="BI97" s="7">
        <f t="shared" si="102"/>
        <v>58.955691991751003</v>
      </c>
      <c r="BJ97" s="20">
        <v>68.400000000000006</v>
      </c>
      <c r="BK97" t="s">
        <v>184</v>
      </c>
      <c r="BL97" s="21">
        <v>0.13807473793218036</v>
      </c>
      <c r="BM97" t="s">
        <v>193</v>
      </c>
    </row>
    <row r="98" spans="25:65" x14ac:dyDescent="0.35">
      <c r="Y98" t="s">
        <v>191</v>
      </c>
      <c r="Z98" t="s">
        <v>192</v>
      </c>
      <c r="AA98" t="s">
        <v>76</v>
      </c>
      <c r="AB98">
        <v>2036</v>
      </c>
      <c r="AC98">
        <v>0</v>
      </c>
      <c r="AD98" s="23">
        <f>AC98*1000000000000/Assumptions!$B$17/1000</f>
        <v>0</v>
      </c>
      <c r="AE98" s="9">
        <f t="shared" si="74"/>
        <v>0</v>
      </c>
      <c r="AF98">
        <f>IF(LEFT(Z98,4)="Blue",Assumptions!$G$57,0)</f>
        <v>0</v>
      </c>
      <c r="AG98">
        <f>IF(LEFT(Z98,4)="Blue",Assumptions!$G$59,IF(LEFT(Z98,4)="Gree",Assumptions!$G$60,0))</f>
        <v>0</v>
      </c>
      <c r="AH98" s="6">
        <f t="shared" ref="AH98:AJ98" si="113">AH77</f>
        <v>91.12437315283151</v>
      </c>
      <c r="AI98" s="6">
        <f t="shared" si="113"/>
        <v>81.798746305663002</v>
      </c>
      <c r="AJ98" s="6">
        <f t="shared" si="113"/>
        <v>100.45</v>
      </c>
      <c r="AK98" s="51">
        <f t="shared" si="76"/>
        <v>-91.12437315283151</v>
      </c>
      <c r="AL98" s="51">
        <f t="shared" si="77"/>
        <v>-81.798746305663002</v>
      </c>
      <c r="AM98" s="51">
        <f t="shared" si="78"/>
        <v>-100.45</v>
      </c>
      <c r="AN98">
        <f>IFERROR(INDEX(WaterUseH2[Average Direct Water Consumption (Gal/ kg h2)],MATCH(LEFT(Hydrogen!Y98,3),WaterUseH2[Key],0)),0)</f>
        <v>4.0999999999999996</v>
      </c>
      <c r="AO98" s="13">
        <f t="shared" si="73"/>
        <v>0</v>
      </c>
      <c r="AP98" s="13">
        <f>IF(Y98=$Y$3,AD98*Assumptions!$C$8*1000/1000,0)</f>
        <v>0</v>
      </c>
      <c r="AQ98" s="30">
        <f t="shared" si="79"/>
        <v>0</v>
      </c>
      <c r="AR98" s="30">
        <f>$AQ98*Assumptions!B$76</f>
        <v>0</v>
      </c>
      <c r="AS98" s="30">
        <f>$AQ98*Assumptions!C$76</f>
        <v>0</v>
      </c>
      <c r="AT98" s="30">
        <f>$AQ98*Assumptions!D$76</f>
        <v>0</v>
      </c>
      <c r="BC98" t="s">
        <v>180</v>
      </c>
      <c r="BD98" t="s">
        <v>107</v>
      </c>
      <c r="BE98">
        <v>2035</v>
      </c>
      <c r="BF98" s="21">
        <v>1</v>
      </c>
      <c r="BG98" t="s">
        <v>181</v>
      </c>
      <c r="BH98" s="7">
        <f t="shared" si="104"/>
        <v>62.89235981178166</v>
      </c>
      <c r="BI98" s="7">
        <f t="shared" si="102"/>
        <v>57.384719623563313</v>
      </c>
      <c r="BJ98" s="20">
        <v>68.400000000000006</v>
      </c>
      <c r="BK98" t="s">
        <v>184</v>
      </c>
      <c r="BL98" s="21">
        <v>0.16104217734180828</v>
      </c>
      <c r="BM98" t="s">
        <v>193</v>
      </c>
    </row>
    <row r="99" spans="25:65" x14ac:dyDescent="0.35">
      <c r="Y99" t="s">
        <v>191</v>
      </c>
      <c r="Z99" t="s">
        <v>192</v>
      </c>
      <c r="AA99" t="s">
        <v>76</v>
      </c>
      <c r="AB99">
        <v>2037</v>
      </c>
      <c r="AC99">
        <v>0</v>
      </c>
      <c r="AD99" s="23">
        <f>AC99*1000000000000/Assumptions!$B$17/1000</f>
        <v>0</v>
      </c>
      <c r="AE99" s="9">
        <f t="shared" si="74"/>
        <v>0</v>
      </c>
      <c r="AF99">
        <f>IF(LEFT(Z99,4)="Blue",Assumptions!$G$57,0)</f>
        <v>0</v>
      </c>
      <c r="AG99">
        <f>IF(LEFT(Z99,4)="Blue",Assumptions!$G$59,IF(LEFT(Z99,4)="Gree",Assumptions!$G$60,0))</f>
        <v>0</v>
      </c>
      <c r="AH99" s="6">
        <f t="shared" ref="AH99:AJ99" si="114">AH78</f>
        <v>89.845883938555232</v>
      </c>
      <c r="AI99" s="6">
        <f t="shared" si="114"/>
        <v>79.241767877110448</v>
      </c>
      <c r="AJ99" s="6">
        <f t="shared" si="114"/>
        <v>100.45</v>
      </c>
      <c r="AK99" s="51">
        <f t="shared" si="76"/>
        <v>-89.845883938555232</v>
      </c>
      <c r="AL99" s="51">
        <f t="shared" si="77"/>
        <v>-79.241767877110448</v>
      </c>
      <c r="AM99" s="51">
        <f t="shared" si="78"/>
        <v>-100.45</v>
      </c>
      <c r="AN99">
        <f>IFERROR(INDEX(WaterUseH2[Average Direct Water Consumption (Gal/ kg h2)],MATCH(LEFT(Hydrogen!Y99,3),WaterUseH2[Key],0)),0)</f>
        <v>4.0999999999999996</v>
      </c>
      <c r="AO99" s="13">
        <f t="shared" si="73"/>
        <v>0</v>
      </c>
      <c r="AP99" s="13">
        <f>IF(Y99=$Y$3,AD99*Assumptions!$C$8*1000/1000,0)</f>
        <v>0</v>
      </c>
      <c r="AQ99" s="30">
        <f t="shared" si="79"/>
        <v>0</v>
      </c>
      <c r="AR99" s="30">
        <f>$AQ99*Assumptions!B$76</f>
        <v>0</v>
      </c>
      <c r="AS99" s="30">
        <f>$AQ99*Assumptions!C$76</f>
        <v>0</v>
      </c>
      <c r="AT99" s="30">
        <f>$AQ99*Assumptions!D$76</f>
        <v>0</v>
      </c>
      <c r="BC99" t="s">
        <v>180</v>
      </c>
      <c r="BD99" t="s">
        <v>107</v>
      </c>
      <c r="BE99">
        <v>2036</v>
      </c>
      <c r="BF99" s="21">
        <v>1</v>
      </c>
      <c r="BG99" t="s">
        <v>181</v>
      </c>
      <c r="BH99" s="7">
        <f t="shared" si="104"/>
        <v>62.049847728212796</v>
      </c>
      <c r="BI99" s="7">
        <f t="shared" si="102"/>
        <v>55.69969545642558</v>
      </c>
      <c r="BJ99" s="20">
        <v>68.400000000000006</v>
      </c>
      <c r="BK99" t="s">
        <v>184</v>
      </c>
      <c r="BL99" s="21">
        <v>0.18567704058541562</v>
      </c>
      <c r="BM99" t="s">
        <v>193</v>
      </c>
    </row>
    <row r="100" spans="25:65" x14ac:dyDescent="0.35">
      <c r="Y100" t="s">
        <v>191</v>
      </c>
      <c r="Z100" t="s">
        <v>192</v>
      </c>
      <c r="AA100" t="s">
        <v>76</v>
      </c>
      <c r="AB100">
        <v>2038</v>
      </c>
      <c r="AC100">
        <v>0</v>
      </c>
      <c r="AD100" s="23">
        <f>AC100*1000000000000/Assumptions!$B$17/1000</f>
        <v>0</v>
      </c>
      <c r="AE100" s="9">
        <f t="shared" si="74"/>
        <v>0</v>
      </c>
      <c r="AF100">
        <f>IF(LEFT(Z100,4)="Blue",Assumptions!$G$57,0)</f>
        <v>0</v>
      </c>
      <c r="AG100">
        <f>IF(LEFT(Z100,4)="Blue",Assumptions!$G$59,IF(LEFT(Z100,4)="Gree",Assumptions!$G$60,0))</f>
        <v>0</v>
      </c>
      <c r="AH100" s="6">
        <f t="shared" ref="AH100:AJ100" si="115">AH79</f>
        <v>88.574547187599435</v>
      </c>
      <c r="AI100" s="6">
        <f t="shared" si="115"/>
        <v>76.699094375198868</v>
      </c>
      <c r="AJ100" s="6">
        <f t="shared" si="115"/>
        <v>100.45</v>
      </c>
      <c r="AK100" s="51">
        <f t="shared" si="76"/>
        <v>-88.574547187599435</v>
      </c>
      <c r="AL100" s="51">
        <f t="shared" si="77"/>
        <v>-76.699094375198868</v>
      </c>
      <c r="AM100" s="51">
        <f t="shared" si="78"/>
        <v>-100.45</v>
      </c>
      <c r="AN100">
        <f>IFERROR(INDEX(WaterUseH2[Average Direct Water Consumption (Gal/ kg h2)],MATCH(LEFT(Hydrogen!Y100,3),WaterUseH2[Key],0)),0)</f>
        <v>4.0999999999999996</v>
      </c>
      <c r="AO100" s="13">
        <f t="shared" si="73"/>
        <v>0</v>
      </c>
      <c r="AP100" s="13">
        <f>IF(Y100=$Y$3,AD100*Assumptions!$C$8*1000/1000,0)</f>
        <v>0</v>
      </c>
      <c r="AQ100" s="30">
        <f t="shared" si="79"/>
        <v>0</v>
      </c>
      <c r="AR100" s="30">
        <f>$AQ100*Assumptions!B$76</f>
        <v>0</v>
      </c>
      <c r="AS100" s="30">
        <f>$AQ100*Assumptions!C$76</f>
        <v>0</v>
      </c>
      <c r="AT100" s="30">
        <f>$AQ100*Assumptions!D$76</f>
        <v>0</v>
      </c>
      <c r="BC100" t="s">
        <v>180</v>
      </c>
      <c r="BD100" t="s">
        <v>107</v>
      </c>
      <c r="BE100">
        <v>2037</v>
      </c>
      <c r="BF100" s="21">
        <v>1</v>
      </c>
      <c r="BG100" t="s">
        <v>181</v>
      </c>
      <c r="BH100" s="7">
        <f t="shared" si="104"/>
        <v>61.179278736968676</v>
      </c>
      <c r="BI100" s="7">
        <f t="shared" si="102"/>
        <v>53.958557473937347</v>
      </c>
      <c r="BJ100" s="20">
        <v>68.400000000000006</v>
      </c>
      <c r="BK100" t="s">
        <v>184</v>
      </c>
      <c r="BL100" s="21">
        <v>0.21113228071222778</v>
      </c>
      <c r="BM100" t="s">
        <v>193</v>
      </c>
    </row>
    <row r="101" spans="25:65" x14ac:dyDescent="0.35">
      <c r="Y101" t="s">
        <v>191</v>
      </c>
      <c r="Z101" t="s">
        <v>192</v>
      </c>
      <c r="AA101" t="s">
        <v>76</v>
      </c>
      <c r="AB101">
        <v>2039</v>
      </c>
      <c r="AC101">
        <v>0</v>
      </c>
      <c r="AD101" s="23">
        <f>AC101*1000000000000/Assumptions!$B$17/1000</f>
        <v>0</v>
      </c>
      <c r="AE101" s="9">
        <f t="shared" si="74"/>
        <v>0</v>
      </c>
      <c r="AF101">
        <f>IF(LEFT(Z101,4)="Blue",Assumptions!$G$57,0)</f>
        <v>0</v>
      </c>
      <c r="AG101">
        <f>IF(LEFT(Z101,4)="Blue",Assumptions!$G$59,IF(LEFT(Z101,4)="Gree",Assumptions!$G$60,0))</f>
        <v>0</v>
      </c>
      <c r="AH101" s="6">
        <f t="shared" ref="AH101:AJ101" si="116">AH80</f>
        <v>87.273478799936612</v>
      </c>
      <c r="AI101" s="6">
        <f t="shared" si="116"/>
        <v>74.096957599873221</v>
      </c>
      <c r="AJ101" s="6">
        <f t="shared" si="116"/>
        <v>100.45</v>
      </c>
      <c r="AK101" s="51">
        <f t="shared" si="76"/>
        <v>-87.273478799936612</v>
      </c>
      <c r="AL101" s="51">
        <f t="shared" si="77"/>
        <v>-74.096957599873221</v>
      </c>
      <c r="AM101" s="51">
        <f t="shared" si="78"/>
        <v>-100.45</v>
      </c>
      <c r="AN101">
        <f>IFERROR(INDEX(WaterUseH2[Average Direct Water Consumption (Gal/ kg h2)],MATCH(LEFT(Hydrogen!Y101,3),WaterUseH2[Key],0)),0)</f>
        <v>4.0999999999999996</v>
      </c>
      <c r="AO101" s="13">
        <f t="shared" si="73"/>
        <v>0</v>
      </c>
      <c r="AP101" s="13">
        <f>IF(Y101=$Y$3,AD101*Assumptions!$C$8*1000/1000,0)</f>
        <v>0</v>
      </c>
      <c r="AQ101" s="30">
        <f t="shared" si="79"/>
        <v>0</v>
      </c>
      <c r="AR101" s="30">
        <f>$AQ101*Assumptions!B$76</f>
        <v>0</v>
      </c>
      <c r="AS101" s="30">
        <f>$AQ101*Assumptions!C$76</f>
        <v>0</v>
      </c>
      <c r="AT101" s="30">
        <f>$AQ101*Assumptions!D$76</f>
        <v>0</v>
      </c>
      <c r="BC101" t="s">
        <v>180</v>
      </c>
      <c r="BD101" t="s">
        <v>107</v>
      </c>
      <c r="BE101">
        <v>2038</v>
      </c>
      <c r="BF101" s="21">
        <v>1</v>
      </c>
      <c r="BG101" t="s">
        <v>181</v>
      </c>
      <c r="BH101" s="7">
        <f t="shared" si="104"/>
        <v>60.313580103886252</v>
      </c>
      <c r="BI101" s="7">
        <f t="shared" si="102"/>
        <v>52.227160207772506</v>
      </c>
      <c r="BJ101" s="20">
        <v>68.400000000000006</v>
      </c>
      <c r="BK101" t="s">
        <v>184</v>
      </c>
      <c r="BL101" s="21">
        <v>0.2364451117807683</v>
      </c>
      <c r="BM101" t="s">
        <v>193</v>
      </c>
    </row>
    <row r="102" spans="25:65" x14ac:dyDescent="0.35">
      <c r="Y102" t="s">
        <v>191</v>
      </c>
      <c r="Z102" t="s">
        <v>192</v>
      </c>
      <c r="AA102" t="s">
        <v>76</v>
      </c>
      <c r="AB102">
        <v>2040</v>
      </c>
      <c r="AC102">
        <v>0</v>
      </c>
      <c r="AD102" s="23">
        <f>AC102*1000000000000/Assumptions!$B$17/1000</f>
        <v>0</v>
      </c>
      <c r="AE102" s="9">
        <f t="shared" si="74"/>
        <v>0</v>
      </c>
      <c r="AF102">
        <f>IF(LEFT(Z102,4)="Blue",Assumptions!$G$57,0)</f>
        <v>0</v>
      </c>
      <c r="AG102">
        <f>IF(LEFT(Z102,4)="Blue",Assumptions!$G$59,IF(LEFT(Z102,4)="Gree",Assumptions!$G$60,0))</f>
        <v>0</v>
      </c>
      <c r="AH102" s="6">
        <f t="shared" ref="AH102:AJ102" si="117">AH81</f>
        <v>85.951275707781519</v>
      </c>
      <c r="AI102" s="6">
        <f t="shared" si="117"/>
        <v>71.452551415563036</v>
      </c>
      <c r="AJ102" s="6">
        <f t="shared" si="117"/>
        <v>100.45</v>
      </c>
      <c r="AK102" s="51">
        <f t="shared" si="76"/>
        <v>-85.951275707781519</v>
      </c>
      <c r="AL102" s="51">
        <f t="shared" si="77"/>
        <v>-71.452551415563036</v>
      </c>
      <c r="AM102" s="51">
        <f t="shared" si="78"/>
        <v>-100.45</v>
      </c>
      <c r="AN102">
        <f>IFERROR(INDEX(WaterUseH2[Average Direct Water Consumption (Gal/ kg h2)],MATCH(LEFT(Hydrogen!Y102,3),WaterUseH2[Key],0)),0)</f>
        <v>4.0999999999999996</v>
      </c>
      <c r="AO102" s="13">
        <f t="shared" si="73"/>
        <v>0</v>
      </c>
      <c r="AP102" s="13">
        <f>IF(Y102=$Y$3,AD102*Assumptions!$C$8*1000/1000,0)</f>
        <v>0</v>
      </c>
      <c r="AQ102" s="30">
        <f t="shared" si="79"/>
        <v>0</v>
      </c>
      <c r="AR102" s="30">
        <f>$AQ102*Assumptions!B$76</f>
        <v>0</v>
      </c>
      <c r="AS102" s="30">
        <f>$AQ102*Assumptions!C$76</f>
        <v>0</v>
      </c>
      <c r="AT102" s="30">
        <f>$AQ102*Assumptions!D$76</f>
        <v>0</v>
      </c>
      <c r="BC102" t="s">
        <v>180</v>
      </c>
      <c r="BD102" t="s">
        <v>107</v>
      </c>
      <c r="BE102">
        <v>2039</v>
      </c>
      <c r="BF102" s="21">
        <v>1</v>
      </c>
      <c r="BG102" t="s">
        <v>181</v>
      </c>
      <c r="BH102" s="7">
        <f t="shared" si="104"/>
        <v>59.427636128056477</v>
      </c>
      <c r="BI102" s="7">
        <f t="shared" si="102"/>
        <v>50.455272256112949</v>
      </c>
      <c r="BJ102" s="20">
        <v>68.400000000000006</v>
      </c>
      <c r="BK102" t="s">
        <v>184</v>
      </c>
      <c r="BL102" s="21">
        <v>0.2623499112711305</v>
      </c>
      <c r="BM102" t="s">
        <v>193</v>
      </c>
    </row>
    <row r="103" spans="25:65" x14ac:dyDescent="0.35">
      <c r="Y103" t="s">
        <v>191</v>
      </c>
      <c r="Z103" t="s">
        <v>192</v>
      </c>
      <c r="AA103" t="s">
        <v>76</v>
      </c>
      <c r="AB103">
        <v>2041</v>
      </c>
      <c r="AC103">
        <v>0</v>
      </c>
      <c r="AD103" s="23">
        <f>AC103*1000000000000/Assumptions!$B$17/1000</f>
        <v>0</v>
      </c>
      <c r="AE103" s="9">
        <f t="shared" si="74"/>
        <v>0</v>
      </c>
      <c r="AF103">
        <f>IF(LEFT(Z103,4)="Blue",Assumptions!$G$57,0)</f>
        <v>0</v>
      </c>
      <c r="AG103">
        <f>IF(LEFT(Z103,4)="Blue",Assumptions!$G$59,IF(LEFT(Z103,4)="Gree",Assumptions!$G$60,0))</f>
        <v>0</v>
      </c>
      <c r="AH103" s="6">
        <f t="shared" ref="AH103:AJ103" si="118">AH82</f>
        <v>84.637245588482756</v>
      </c>
      <c r="AI103" s="6">
        <f t="shared" si="118"/>
        <v>68.824491176965509</v>
      </c>
      <c r="AJ103" s="6">
        <f t="shared" si="118"/>
        <v>100.45</v>
      </c>
      <c r="AK103" s="51">
        <f t="shared" si="76"/>
        <v>-84.637245588482756</v>
      </c>
      <c r="AL103" s="51">
        <f t="shared" si="77"/>
        <v>-68.824491176965509</v>
      </c>
      <c r="AM103" s="51">
        <f t="shared" si="78"/>
        <v>-100.45</v>
      </c>
      <c r="AN103">
        <f>IFERROR(INDEX(WaterUseH2[Average Direct Water Consumption (Gal/ kg h2)],MATCH(LEFT(Hydrogen!Y103,3),WaterUseH2[Key],0)),0)</f>
        <v>4.0999999999999996</v>
      </c>
      <c r="AO103" s="13">
        <f t="shared" si="73"/>
        <v>0</v>
      </c>
      <c r="AP103" s="13">
        <f>IF(Y103=$Y$3,AD103*Assumptions!$C$8*1000/1000,0)</f>
        <v>0</v>
      </c>
      <c r="AQ103" s="30">
        <f t="shared" si="79"/>
        <v>0</v>
      </c>
      <c r="AR103" s="30">
        <f>$AQ103*Assumptions!B$76</f>
        <v>0</v>
      </c>
      <c r="AS103" s="30">
        <f>$AQ103*Assumptions!C$76</f>
        <v>0</v>
      </c>
      <c r="AT103" s="30">
        <f>$AQ103*Assumptions!D$76</f>
        <v>0</v>
      </c>
      <c r="BC103" t="s">
        <v>180</v>
      </c>
      <c r="BD103" t="s">
        <v>107</v>
      </c>
      <c r="BE103">
        <v>2040</v>
      </c>
      <c r="BF103" s="21">
        <v>1</v>
      </c>
      <c r="BG103" t="s">
        <v>181</v>
      </c>
      <c r="BH103" s="7">
        <f t="shared" si="104"/>
        <v>58.5273007673552</v>
      </c>
      <c r="BI103" s="7">
        <f t="shared" si="102"/>
        <v>48.654601534710388</v>
      </c>
      <c r="BJ103" s="20">
        <v>68.400000000000006</v>
      </c>
      <c r="BK103" t="s">
        <v>184</v>
      </c>
      <c r="BL103" s="21">
        <v>0.2886755107378266</v>
      </c>
      <c r="BM103" t="s">
        <v>193</v>
      </c>
    </row>
    <row r="104" spans="25:65" x14ac:dyDescent="0.35">
      <c r="Y104" t="s">
        <v>191</v>
      </c>
      <c r="Z104" t="s">
        <v>192</v>
      </c>
      <c r="AA104" t="s">
        <v>76</v>
      </c>
      <c r="AB104">
        <v>2042</v>
      </c>
      <c r="AC104">
        <v>0</v>
      </c>
      <c r="AD104" s="23">
        <f>AC104*1000000000000/Assumptions!$B$17/1000</f>
        <v>0</v>
      </c>
      <c r="AE104" s="9">
        <f t="shared" si="74"/>
        <v>0</v>
      </c>
      <c r="AF104">
        <f>IF(LEFT(Z104,4)="Blue",Assumptions!$G$57,0)</f>
        <v>0</v>
      </c>
      <c r="AG104">
        <f>IF(LEFT(Z104,4)="Blue",Assumptions!$G$59,IF(LEFT(Z104,4)="Gree",Assumptions!$G$60,0))</f>
        <v>0</v>
      </c>
      <c r="AH104" s="6">
        <f t="shared" ref="AH104:AJ104" si="119">AH83</f>
        <v>83.36430635778953</v>
      </c>
      <c r="AI104" s="6">
        <f t="shared" si="119"/>
        <v>66.278612715579072</v>
      </c>
      <c r="AJ104" s="6">
        <f t="shared" si="119"/>
        <v>100.45</v>
      </c>
      <c r="AK104" s="51">
        <f t="shared" si="76"/>
        <v>-83.36430635778953</v>
      </c>
      <c r="AL104" s="51">
        <f t="shared" si="77"/>
        <v>-66.278612715579072</v>
      </c>
      <c r="AM104" s="51">
        <f t="shared" si="78"/>
        <v>-100.45</v>
      </c>
      <c r="AN104">
        <f>IFERROR(INDEX(WaterUseH2[Average Direct Water Consumption (Gal/ kg h2)],MATCH(LEFT(Hydrogen!Y104,3),WaterUseH2[Key],0)),0)</f>
        <v>4.0999999999999996</v>
      </c>
      <c r="AO104" s="13">
        <f t="shared" si="73"/>
        <v>0</v>
      </c>
      <c r="AP104" s="13">
        <f>IF(Y104=$Y$3,AD104*Assumptions!$C$8*1000/1000,0)</f>
        <v>0</v>
      </c>
      <c r="AQ104" s="30">
        <f t="shared" si="79"/>
        <v>0</v>
      </c>
      <c r="AR104" s="30">
        <f>$AQ104*Assumptions!B$76</f>
        <v>0</v>
      </c>
      <c r="AS104" s="30">
        <f>$AQ104*Assumptions!C$76</f>
        <v>0</v>
      </c>
      <c r="AT104" s="30">
        <f>$AQ104*Assumptions!D$76</f>
        <v>0</v>
      </c>
      <c r="BC104" t="s">
        <v>180</v>
      </c>
      <c r="BD104" t="s">
        <v>107</v>
      </c>
      <c r="BE104">
        <v>2041</v>
      </c>
      <c r="BF104" s="21">
        <v>1</v>
      </c>
      <c r="BG104" t="s">
        <v>181</v>
      </c>
      <c r="BH104" s="7">
        <f t="shared" si="104"/>
        <v>57.632530665966812</v>
      </c>
      <c r="BI104" s="7">
        <f t="shared" si="102"/>
        <v>46.86506133193361</v>
      </c>
      <c r="BJ104" s="20">
        <v>68.400000000000006</v>
      </c>
      <c r="BK104" t="s">
        <v>184</v>
      </c>
      <c r="BL104" s="21">
        <v>0.31483838237029904</v>
      </c>
      <c r="BM104" t="s">
        <v>193</v>
      </c>
    </row>
    <row r="105" spans="25:65" x14ac:dyDescent="0.35">
      <c r="Y105" t="s">
        <v>191</v>
      </c>
      <c r="Z105" t="s">
        <v>192</v>
      </c>
      <c r="AA105" t="s">
        <v>76</v>
      </c>
      <c r="AB105">
        <v>2043</v>
      </c>
      <c r="AC105">
        <v>0</v>
      </c>
      <c r="AD105" s="23">
        <f>AC105*1000000000000/Assumptions!$B$17/1000</f>
        <v>0</v>
      </c>
      <c r="AE105" s="9">
        <f t="shared" si="74"/>
        <v>0</v>
      </c>
      <c r="AF105">
        <f>IF(LEFT(Z105,4)="Blue",Assumptions!$G$57,0)</f>
        <v>0</v>
      </c>
      <c r="AG105">
        <f>IF(LEFT(Z105,4)="Blue",Assumptions!$G$59,IF(LEFT(Z105,4)="Gree",Assumptions!$G$60,0))</f>
        <v>0</v>
      </c>
      <c r="AH105" s="6">
        <f t="shared" ref="AH105:AJ105" si="120">AH84</f>
        <v>82.142704261559757</v>
      </c>
      <c r="AI105" s="6">
        <f t="shared" si="120"/>
        <v>63.835408523119504</v>
      </c>
      <c r="AJ105" s="6">
        <f t="shared" si="120"/>
        <v>100.45</v>
      </c>
      <c r="AK105" s="51">
        <f t="shared" si="76"/>
        <v>-82.142704261559757</v>
      </c>
      <c r="AL105" s="51">
        <f t="shared" si="77"/>
        <v>-63.835408523119504</v>
      </c>
      <c r="AM105" s="51">
        <f t="shared" si="78"/>
        <v>-100.45</v>
      </c>
      <c r="AN105">
        <f>IFERROR(INDEX(WaterUseH2[Average Direct Water Consumption (Gal/ kg h2)],MATCH(LEFT(Hydrogen!Y105,3),WaterUseH2[Key],0)),0)</f>
        <v>4.0999999999999996</v>
      </c>
      <c r="AO105" s="13">
        <f t="shared" si="73"/>
        <v>0</v>
      </c>
      <c r="AP105" s="13">
        <f>IF(Y105=$Y$3,AD105*Assumptions!$C$8*1000/1000,0)</f>
        <v>0</v>
      </c>
      <c r="AQ105" s="30">
        <f t="shared" si="79"/>
        <v>0</v>
      </c>
      <c r="AR105" s="30">
        <f>$AQ105*Assumptions!B$76</f>
        <v>0</v>
      </c>
      <c r="AS105" s="30">
        <f>$AQ105*Assumptions!C$76</f>
        <v>0</v>
      </c>
      <c r="AT105" s="30">
        <f>$AQ105*Assumptions!D$76</f>
        <v>0</v>
      </c>
      <c r="BC105" t="s">
        <v>180</v>
      </c>
      <c r="BD105" t="s">
        <v>107</v>
      </c>
      <c r="BE105">
        <v>2042</v>
      </c>
      <c r="BF105" s="21">
        <v>1</v>
      </c>
      <c r="BG105" t="s">
        <v>181</v>
      </c>
      <c r="BH105" s="7">
        <f t="shared" si="104"/>
        <v>56.76574080881619</v>
      </c>
      <c r="BI105" s="7">
        <f t="shared" si="102"/>
        <v>45.131481617632375</v>
      </c>
      <c r="BJ105" s="20">
        <v>68.400000000000006</v>
      </c>
      <c r="BK105" t="s">
        <v>184</v>
      </c>
      <c r="BL105" s="21">
        <v>0.34018311706874538</v>
      </c>
      <c r="BM105" t="s">
        <v>193</v>
      </c>
    </row>
    <row r="106" spans="25:65" x14ac:dyDescent="0.35">
      <c r="Y106" t="s">
        <v>191</v>
      </c>
      <c r="Z106" t="s">
        <v>192</v>
      </c>
      <c r="AA106" t="s">
        <v>76</v>
      </c>
      <c r="AB106">
        <v>2044</v>
      </c>
      <c r="AC106">
        <v>0</v>
      </c>
      <c r="AD106" s="23">
        <f>AC106*1000000000000/Assumptions!$B$17/1000</f>
        <v>0</v>
      </c>
      <c r="AE106" s="9">
        <f t="shared" si="74"/>
        <v>0</v>
      </c>
      <c r="AF106">
        <f>IF(LEFT(Z106,4)="Blue",Assumptions!$G$57,0)</f>
        <v>0</v>
      </c>
      <c r="AG106">
        <f>IF(LEFT(Z106,4)="Blue",Assumptions!$G$59,IF(LEFT(Z106,4)="Gree",Assumptions!$G$60,0))</f>
        <v>0</v>
      </c>
      <c r="AH106" s="6">
        <f t="shared" ref="AH106:AJ106" si="121">AH85</f>
        <v>80.990181196488862</v>
      </c>
      <c r="AI106" s="6">
        <f t="shared" si="121"/>
        <v>61.530362392977736</v>
      </c>
      <c r="AJ106" s="6">
        <f t="shared" si="121"/>
        <v>100.45</v>
      </c>
      <c r="AK106" s="51">
        <f t="shared" si="76"/>
        <v>-80.990181196488862</v>
      </c>
      <c r="AL106" s="51">
        <f t="shared" si="77"/>
        <v>-61.530362392977736</v>
      </c>
      <c r="AM106" s="51">
        <f t="shared" si="78"/>
        <v>-100.45</v>
      </c>
      <c r="AN106">
        <f>IFERROR(INDEX(WaterUseH2[Average Direct Water Consumption (Gal/ kg h2)],MATCH(LEFT(Hydrogen!Y106,3),WaterUseH2[Key],0)),0)</f>
        <v>4.0999999999999996</v>
      </c>
      <c r="AO106" s="13">
        <f t="shared" si="73"/>
        <v>0</v>
      </c>
      <c r="AP106" s="13">
        <f>IF(Y106=$Y$3,AD106*Assumptions!$C$8*1000/1000,0)</f>
        <v>0</v>
      </c>
      <c r="AQ106" s="30">
        <f t="shared" si="79"/>
        <v>0</v>
      </c>
      <c r="AR106" s="30">
        <f>$AQ106*Assumptions!B$76</f>
        <v>0</v>
      </c>
      <c r="AS106" s="30">
        <f>$AQ106*Assumptions!C$76</f>
        <v>0</v>
      </c>
      <c r="AT106" s="30">
        <f>$AQ106*Assumptions!D$76</f>
        <v>0</v>
      </c>
      <c r="BC106" t="s">
        <v>180</v>
      </c>
      <c r="BD106" t="s">
        <v>107</v>
      </c>
      <c r="BE106">
        <v>2043</v>
      </c>
      <c r="BF106" s="21">
        <v>1</v>
      </c>
      <c r="BG106" t="s">
        <v>181</v>
      </c>
      <c r="BH106" s="7">
        <f t="shared" si="104"/>
        <v>55.933908231255018</v>
      </c>
      <c r="BI106" s="7">
        <f t="shared" si="102"/>
        <v>43.467816462510037</v>
      </c>
      <c r="BJ106" s="20">
        <v>68.400000000000006</v>
      </c>
      <c r="BK106" t="s">
        <v>184</v>
      </c>
      <c r="BL106" s="21">
        <v>0.36450570793730208</v>
      </c>
      <c r="BM106" t="s">
        <v>193</v>
      </c>
    </row>
    <row r="107" spans="25:65" x14ac:dyDescent="0.35">
      <c r="Y107" t="s">
        <v>191</v>
      </c>
      <c r="Z107" t="s">
        <v>192</v>
      </c>
      <c r="AA107" t="s">
        <v>76</v>
      </c>
      <c r="AB107">
        <v>2045</v>
      </c>
      <c r="AC107">
        <v>0</v>
      </c>
      <c r="AD107" s="23">
        <f>AC107*1000000000000/Assumptions!$B$17/1000</f>
        <v>0</v>
      </c>
      <c r="AE107" s="9">
        <f t="shared" si="74"/>
        <v>0</v>
      </c>
      <c r="AF107">
        <f>IF(LEFT(Z107,4)="Blue",Assumptions!$G$57,0)</f>
        <v>0</v>
      </c>
      <c r="AG107">
        <f>IF(LEFT(Z107,4)="Blue",Assumptions!$G$59,IF(LEFT(Z107,4)="Gree",Assumptions!$G$60,0))</f>
        <v>0</v>
      </c>
      <c r="AH107" s="6">
        <f t="shared" ref="AH107:AJ107" si="122">AH86</f>
        <v>79.920544054153567</v>
      </c>
      <c r="AI107" s="6">
        <f t="shared" si="122"/>
        <v>59.391088108307123</v>
      </c>
      <c r="AJ107" s="6">
        <f t="shared" si="122"/>
        <v>100.45</v>
      </c>
      <c r="AK107" s="51">
        <f t="shared" si="76"/>
        <v>-79.920544054153567</v>
      </c>
      <c r="AL107" s="51">
        <f t="shared" si="77"/>
        <v>-59.391088108307123</v>
      </c>
      <c r="AM107" s="51">
        <f t="shared" si="78"/>
        <v>-100.45</v>
      </c>
      <c r="AN107">
        <f>IFERROR(INDEX(WaterUseH2[Average Direct Water Consumption (Gal/ kg h2)],MATCH(LEFT(Hydrogen!Y107,3),WaterUseH2[Key],0)),0)</f>
        <v>4.0999999999999996</v>
      </c>
      <c r="AO107" s="13">
        <f t="shared" si="73"/>
        <v>0</v>
      </c>
      <c r="AP107" s="13">
        <f>IF(Y107=$Y$3,AD107*Assumptions!$C$8*1000/1000,0)</f>
        <v>0</v>
      </c>
      <c r="AQ107" s="30">
        <f t="shared" si="79"/>
        <v>0</v>
      </c>
      <c r="AR107" s="30">
        <f>$AQ107*Assumptions!B$76</f>
        <v>0</v>
      </c>
      <c r="AS107" s="30">
        <f>$AQ107*Assumptions!C$76</f>
        <v>0</v>
      </c>
      <c r="AT107" s="30">
        <f>$AQ107*Assumptions!D$76</f>
        <v>0</v>
      </c>
      <c r="BC107" t="s">
        <v>180</v>
      </c>
      <c r="BD107" t="s">
        <v>107</v>
      </c>
      <c r="BE107">
        <v>2044</v>
      </c>
      <c r="BF107" s="21">
        <v>1</v>
      </c>
      <c r="BG107" t="s">
        <v>181</v>
      </c>
      <c r="BH107" s="7">
        <f t="shared" si="104"/>
        <v>55.149114025282714</v>
      </c>
      <c r="BI107" s="7">
        <f t="shared" si="102"/>
        <v>41.898228050565415</v>
      </c>
      <c r="BJ107" s="20">
        <v>68.400000000000006</v>
      </c>
      <c r="BK107" t="s">
        <v>184</v>
      </c>
      <c r="BL107" s="21">
        <v>0.38745290663300092</v>
      </c>
      <c r="BM107" t="s">
        <v>193</v>
      </c>
    </row>
    <row r="108" spans="25:65" x14ac:dyDescent="0.35">
      <c r="Y108" t="s">
        <v>79</v>
      </c>
      <c r="Z108" t="s">
        <v>78</v>
      </c>
      <c r="AA108" t="s">
        <v>107</v>
      </c>
      <c r="AB108">
        <v>2025</v>
      </c>
      <c r="AC108">
        <v>0</v>
      </c>
      <c r="AD108" s="23">
        <f>AC108*1000000000000/Assumptions!$B$17/1000</f>
        <v>0</v>
      </c>
      <c r="AE108" s="9">
        <f t="shared" si="74"/>
        <v>5.2549999999999999</v>
      </c>
      <c r="AF108">
        <f>IF(LEFT(Z108,4)="Blue",Assumptions!$G$57,0)</f>
        <v>0</v>
      </c>
      <c r="AG108">
        <f>IF(LEFT(Z108,4)="Blue",Assumptions!$G$59,IF(LEFT(Z108,4)="Gree",Assumptions!$G$60,0))</f>
        <v>10.51</v>
      </c>
      <c r="AH108" s="6">
        <f t="shared" ref="AH108:AJ108" si="123">AH87</f>
        <v>99.359553682832001</v>
      </c>
      <c r="AI108" s="6">
        <f t="shared" si="123"/>
        <v>98.269107365663999</v>
      </c>
      <c r="AJ108" s="6">
        <f t="shared" si="123"/>
        <v>100.45</v>
      </c>
      <c r="AK108" s="51">
        <f t="shared" si="76"/>
        <v>-88.849553682831996</v>
      </c>
      <c r="AL108" s="51">
        <f t="shared" si="77"/>
        <v>-87.759107365663994</v>
      </c>
      <c r="AM108" s="51">
        <f t="shared" si="78"/>
        <v>-89.94</v>
      </c>
      <c r="AN108">
        <f>IFERROR(INDEX(WaterUseH2[Average Direct Water Consumption (Gal/ kg h2)],MATCH(LEFT(Hydrogen!Y108,3),WaterUseH2[Key],0)),0)</f>
        <v>4.0999999999999996</v>
      </c>
      <c r="AO108" s="13">
        <f t="shared" si="73"/>
        <v>0</v>
      </c>
      <c r="AP108" s="13">
        <f>IF(Y108=$Y$3,AD108*Assumptions!$C$8*1000/1000,0)</f>
        <v>0</v>
      </c>
      <c r="AQ108" s="30">
        <f t="shared" si="79"/>
        <v>0</v>
      </c>
      <c r="AR108" s="30">
        <f>$AQ108*Assumptions!B$76</f>
        <v>0</v>
      </c>
      <c r="AS108" s="30">
        <f>$AQ108*Assumptions!C$76</f>
        <v>0</v>
      </c>
      <c r="AT108" s="30">
        <f>$AQ108*Assumptions!D$76</f>
        <v>0</v>
      </c>
      <c r="BC108" t="s">
        <v>180</v>
      </c>
      <c r="BD108" t="s">
        <v>107</v>
      </c>
      <c r="BE108">
        <v>2045</v>
      </c>
      <c r="BF108" s="21">
        <v>1</v>
      </c>
      <c r="BG108" t="s">
        <v>181</v>
      </c>
      <c r="BH108" s="7">
        <f t="shared" si="104"/>
        <v>54.420759797554837</v>
      </c>
      <c r="BI108" s="7">
        <f t="shared" si="102"/>
        <v>40.441519595109675</v>
      </c>
      <c r="BJ108" s="20">
        <v>68.400000000000006</v>
      </c>
      <c r="BK108" t="s">
        <v>184</v>
      </c>
      <c r="BL108" s="21">
        <v>0.40874981238073466</v>
      </c>
      <c r="BM108" t="s">
        <v>193</v>
      </c>
    </row>
    <row r="109" spans="25:65" x14ac:dyDescent="0.35">
      <c r="Y109" t="s">
        <v>79</v>
      </c>
      <c r="Z109" t="s">
        <v>78</v>
      </c>
      <c r="AA109" t="s">
        <v>107</v>
      </c>
      <c r="AB109">
        <v>2026</v>
      </c>
      <c r="AC109">
        <v>0</v>
      </c>
      <c r="AD109" s="23">
        <f>AC109*1000000000000/Assumptions!$B$17/1000</f>
        <v>0</v>
      </c>
      <c r="AE109" s="9">
        <f t="shared" si="74"/>
        <v>5.2549999999999999</v>
      </c>
      <c r="AF109">
        <f>IF(LEFT(Z109,4)="Blue",Assumptions!$G$57,0)</f>
        <v>0</v>
      </c>
      <c r="AG109">
        <f>IF(LEFT(Z109,4)="Blue",Assumptions!$G$59,IF(LEFT(Z109,4)="Gree",Assumptions!$G$60,0))</f>
        <v>10.51</v>
      </c>
      <c r="AH109" s="6">
        <f t="shared" ref="AH109:AJ109" si="124">AH88</f>
        <v>99.000787443158117</v>
      </c>
      <c r="AI109" s="6">
        <f t="shared" si="124"/>
        <v>97.551574886316232</v>
      </c>
      <c r="AJ109" s="6">
        <f t="shared" si="124"/>
        <v>100.45</v>
      </c>
      <c r="AK109" s="51">
        <f t="shared" si="76"/>
        <v>-88.490787443158112</v>
      </c>
      <c r="AL109" s="51">
        <f t="shared" si="77"/>
        <v>-87.041574886316226</v>
      </c>
      <c r="AM109" s="51">
        <f t="shared" si="78"/>
        <v>-89.94</v>
      </c>
      <c r="AN109">
        <f>IFERROR(INDEX(WaterUseH2[Average Direct Water Consumption (Gal/ kg h2)],MATCH(LEFT(Hydrogen!Y109,3),WaterUseH2[Key],0)),0)</f>
        <v>4.0999999999999996</v>
      </c>
      <c r="AO109" s="13">
        <f t="shared" si="73"/>
        <v>0</v>
      </c>
      <c r="AP109" s="13">
        <f>IF(Y109=$Y$3,AD109*Assumptions!$C$8*1000/1000,0)</f>
        <v>0</v>
      </c>
      <c r="AQ109" s="30">
        <f t="shared" si="79"/>
        <v>0</v>
      </c>
      <c r="AR109" s="30">
        <f>$AQ109*Assumptions!B$76</f>
        <v>0</v>
      </c>
      <c r="AS109" s="30">
        <f>$AQ109*Assumptions!C$76</f>
        <v>0</v>
      </c>
      <c r="AT109" s="30">
        <f>$AQ109*Assumptions!D$76</f>
        <v>0</v>
      </c>
      <c r="BC109" t="s">
        <v>185</v>
      </c>
      <c r="BD109" t="s">
        <v>107</v>
      </c>
      <c r="BE109" t="s">
        <v>186</v>
      </c>
      <c r="BF109" s="21">
        <v>0</v>
      </c>
      <c r="BG109" t="s">
        <v>181</v>
      </c>
      <c r="BH109" s="38">
        <v>50.067924528301887</v>
      </c>
      <c r="BI109" s="38">
        <v>50.067924528301887</v>
      </c>
      <c r="BJ109" s="38">
        <v>50.0679245283022</v>
      </c>
      <c r="BK109" t="s">
        <v>187</v>
      </c>
    </row>
    <row r="110" spans="25:65" x14ac:dyDescent="0.35">
      <c r="Y110" t="s">
        <v>79</v>
      </c>
      <c r="Z110" t="s">
        <v>78</v>
      </c>
      <c r="AA110" t="s">
        <v>107</v>
      </c>
      <c r="AB110">
        <v>2027</v>
      </c>
      <c r="AC110">
        <v>0</v>
      </c>
      <c r="AD110" s="23">
        <f>AC110*1000000000000/Assumptions!$B$17/1000</f>
        <v>0</v>
      </c>
      <c r="AE110" s="9">
        <f t="shared" si="74"/>
        <v>5.2549999999999999</v>
      </c>
      <c r="AF110">
        <f>IF(LEFT(Z110,4)="Blue",Assumptions!$G$57,0)</f>
        <v>0</v>
      </c>
      <c r="AG110">
        <f>IF(LEFT(Z110,4)="Blue",Assumptions!$G$59,IF(LEFT(Z110,4)="Gree",Assumptions!$G$60,0))</f>
        <v>10.51</v>
      </c>
      <c r="AH110" s="6">
        <f t="shared" ref="AH110:AJ110" si="125">AH89</f>
        <v>98.562436921360089</v>
      </c>
      <c r="AI110" s="6">
        <f t="shared" si="125"/>
        <v>96.674873842720174</v>
      </c>
      <c r="AJ110" s="6">
        <f t="shared" si="125"/>
        <v>100.45</v>
      </c>
      <c r="AK110" s="51">
        <f t="shared" si="76"/>
        <v>-88.052436921360083</v>
      </c>
      <c r="AL110" s="51">
        <f t="shared" si="77"/>
        <v>-86.164873842720169</v>
      </c>
      <c r="AM110" s="51">
        <f t="shared" si="78"/>
        <v>-89.94</v>
      </c>
      <c r="AN110">
        <f>IFERROR(INDEX(WaterUseH2[Average Direct Water Consumption (Gal/ kg h2)],MATCH(LEFT(Hydrogen!Y110,3),WaterUseH2[Key],0)),0)</f>
        <v>4.0999999999999996</v>
      </c>
      <c r="AO110" s="13">
        <f t="shared" si="73"/>
        <v>0</v>
      </c>
      <c r="AP110" s="13">
        <f>IF(Y110=$Y$3,AD110*Assumptions!$C$8*1000/1000,0)</f>
        <v>0</v>
      </c>
      <c r="AQ110" s="30">
        <f t="shared" si="79"/>
        <v>0</v>
      </c>
      <c r="AR110" s="30">
        <f>$AQ110*Assumptions!B$76</f>
        <v>0</v>
      </c>
      <c r="AS110" s="30">
        <f>$AQ110*Assumptions!C$76</f>
        <v>0</v>
      </c>
      <c r="AT110" s="30">
        <f>$AQ110*Assumptions!D$76</f>
        <v>0</v>
      </c>
      <c r="BC110" t="s">
        <v>188</v>
      </c>
      <c r="BD110" t="s">
        <v>107</v>
      </c>
      <c r="BE110">
        <v>2025</v>
      </c>
      <c r="BF110" s="21">
        <v>0</v>
      </c>
      <c r="BG110" t="s">
        <v>181</v>
      </c>
      <c r="BH110" s="118">
        <f>Assumptions!E85*-1</f>
        <v>4.0010411424398109E-5</v>
      </c>
      <c r="BI110" s="118">
        <f>Assumptions!F85*-1</f>
        <v>3.6682399897791468E-5</v>
      </c>
      <c r="BJ110" s="118">
        <f>Assumptions!G85*-1</f>
        <v>4.3338422673213274E-5</v>
      </c>
      <c r="BK110" t="s">
        <v>189</v>
      </c>
    </row>
    <row r="111" spans="25:65" x14ac:dyDescent="0.35">
      <c r="Y111" t="s">
        <v>79</v>
      </c>
      <c r="Z111" t="s">
        <v>78</v>
      </c>
      <c r="AA111" t="s">
        <v>107</v>
      </c>
      <c r="AB111">
        <v>2028</v>
      </c>
      <c r="AC111">
        <v>0</v>
      </c>
      <c r="AD111" s="23">
        <f>AC111*1000000000000/Assumptions!$B$17/1000</f>
        <v>0</v>
      </c>
      <c r="AE111" s="9">
        <f t="shared" si="74"/>
        <v>5.2549999999999999</v>
      </c>
      <c r="AF111">
        <f>IF(LEFT(Z111,4)="Blue",Assumptions!$G$57,0)</f>
        <v>0</v>
      </c>
      <c r="AG111">
        <f>IF(LEFT(Z111,4)="Blue",Assumptions!$G$59,IF(LEFT(Z111,4)="Gree",Assumptions!$G$60,0))</f>
        <v>10.51</v>
      </c>
      <c r="AH111" s="6">
        <f t="shared" ref="AH111:AJ111" si="126">AH90</f>
        <v>98.088874094271858</v>
      </c>
      <c r="AI111" s="6">
        <f t="shared" si="126"/>
        <v>95.7277481885437</v>
      </c>
      <c r="AJ111" s="6">
        <f t="shared" si="126"/>
        <v>100.45</v>
      </c>
      <c r="AK111" s="51">
        <f t="shared" si="76"/>
        <v>-87.578874094271839</v>
      </c>
      <c r="AL111" s="51">
        <f t="shared" si="77"/>
        <v>-85.217748188543695</v>
      </c>
      <c r="AM111" s="51">
        <f t="shared" si="78"/>
        <v>-89.94</v>
      </c>
      <c r="AN111">
        <f>IFERROR(INDEX(WaterUseH2[Average Direct Water Consumption (Gal/ kg h2)],MATCH(LEFT(Hydrogen!Y111,3),WaterUseH2[Key],0)),0)</f>
        <v>4.0999999999999996</v>
      </c>
      <c r="AO111" s="13">
        <f t="shared" si="73"/>
        <v>0</v>
      </c>
      <c r="AP111" s="13">
        <f>IF(Y111=$Y$3,AD111*Assumptions!$C$8*1000/1000,0)</f>
        <v>0</v>
      </c>
      <c r="AQ111" s="30">
        <f t="shared" si="79"/>
        <v>0</v>
      </c>
      <c r="AR111" s="30">
        <f>$AQ111*Assumptions!B$76</f>
        <v>0</v>
      </c>
      <c r="AS111" s="30">
        <f>$AQ111*Assumptions!C$76</f>
        <v>0</v>
      </c>
      <c r="AT111" s="30">
        <f>$AQ111*Assumptions!D$76</f>
        <v>0</v>
      </c>
      <c r="BC111" t="s">
        <v>188</v>
      </c>
      <c r="BD111" t="s">
        <v>107</v>
      </c>
      <c r="BE111">
        <v>2026</v>
      </c>
      <c r="BF111" s="21">
        <v>0</v>
      </c>
      <c r="BG111" t="s">
        <v>181</v>
      </c>
      <c r="BH111" s="118">
        <f>Assumptions!E86*-1</f>
        <v>3.8837041315114694E-5</v>
      </c>
      <c r="BI111" s="118">
        <f>Assumptions!F86*-1</f>
        <v>3.5249616183430805E-5</v>
      </c>
      <c r="BJ111" s="118">
        <f>Assumptions!G86*-1</f>
        <v>4.2424466169007116E-5</v>
      </c>
      <c r="BK111" t="s">
        <v>189</v>
      </c>
    </row>
    <row r="112" spans="25:65" x14ac:dyDescent="0.35">
      <c r="Y112" t="s">
        <v>79</v>
      </c>
      <c r="Z112" t="s">
        <v>78</v>
      </c>
      <c r="AA112" t="s">
        <v>107</v>
      </c>
      <c r="AB112">
        <v>2029</v>
      </c>
      <c r="AC112">
        <v>0</v>
      </c>
      <c r="AD112" s="23">
        <f>AC112*1000000000000/Assumptions!$B$17/1000</f>
        <v>0</v>
      </c>
      <c r="AE112" s="9">
        <f t="shared" si="74"/>
        <v>5.2549999999999999</v>
      </c>
      <c r="AF112">
        <f>IF(LEFT(Z112,4)="Blue",Assumptions!$G$57,0)</f>
        <v>0</v>
      </c>
      <c r="AG112">
        <f>IF(LEFT(Z112,4)="Blue",Assumptions!$G$59,IF(LEFT(Z112,4)="Gree",Assumptions!$G$60,0))</f>
        <v>10.51</v>
      </c>
      <c r="AH112" s="6">
        <f t="shared" ref="AH112:AJ112" si="127">AH91</f>
        <v>97.544867879479852</v>
      </c>
      <c r="AI112" s="6">
        <f t="shared" si="127"/>
        <v>94.639735758959688</v>
      </c>
      <c r="AJ112" s="6">
        <f t="shared" si="127"/>
        <v>100.45</v>
      </c>
      <c r="AK112" s="51">
        <f t="shared" si="76"/>
        <v>-87.034867879479833</v>
      </c>
      <c r="AL112" s="51">
        <f t="shared" si="77"/>
        <v>-84.129735758959683</v>
      </c>
      <c r="AM112" s="51">
        <f t="shared" si="78"/>
        <v>-89.94</v>
      </c>
      <c r="AN112">
        <f>IFERROR(INDEX(WaterUseH2[Average Direct Water Consumption (Gal/ kg h2)],MATCH(LEFT(Hydrogen!Y112,3),WaterUseH2[Key],0)),0)</f>
        <v>4.0999999999999996</v>
      </c>
      <c r="AO112" s="13">
        <f t="shared" si="73"/>
        <v>0</v>
      </c>
      <c r="AP112" s="13">
        <f>IF(Y112=$Y$3,AD112*Assumptions!$C$8*1000/1000,0)</f>
        <v>0</v>
      </c>
      <c r="AQ112" s="30">
        <f t="shared" si="79"/>
        <v>0</v>
      </c>
      <c r="AR112" s="30">
        <f>$AQ112*Assumptions!B$76</f>
        <v>0</v>
      </c>
      <c r="AS112" s="30">
        <f>$AQ112*Assumptions!C$76</f>
        <v>0</v>
      </c>
      <c r="AT112" s="30">
        <f>$AQ112*Assumptions!D$76</f>
        <v>0</v>
      </c>
      <c r="BC112" t="s">
        <v>188</v>
      </c>
      <c r="BD112" t="s">
        <v>107</v>
      </c>
      <c r="BE112">
        <v>2027</v>
      </c>
      <c r="BF112" s="21">
        <v>0</v>
      </c>
      <c r="BG112" t="s">
        <v>181</v>
      </c>
      <c r="BH112" s="118">
        <f>Assumptions!E87*-1</f>
        <v>3.766367120583128E-5</v>
      </c>
      <c r="BI112" s="118">
        <f>Assumptions!F87*-1</f>
        <v>3.3816832469070141E-5</v>
      </c>
      <c r="BJ112" s="118">
        <f>Assumptions!G87*-1</f>
        <v>4.1510509664800957E-5</v>
      </c>
      <c r="BK112" t="s">
        <v>189</v>
      </c>
    </row>
    <row r="113" spans="25:63" x14ac:dyDescent="0.35">
      <c r="Y113" t="s">
        <v>79</v>
      </c>
      <c r="Z113" t="s">
        <v>78</v>
      </c>
      <c r="AA113" t="s">
        <v>107</v>
      </c>
      <c r="AB113">
        <v>2030</v>
      </c>
      <c r="AC113">
        <v>3.2000000000000002E-3</v>
      </c>
      <c r="AD113" s="40">
        <f>AC113*1000000000000/Assumptions!$B$17/1000</f>
        <v>26666.666666666668</v>
      </c>
      <c r="AE113" s="9">
        <f t="shared" si="74"/>
        <v>5.2549999999999999</v>
      </c>
      <c r="AF113">
        <f>IF(LEFT(Z113,4)="Blue",Assumptions!$G$57,0)</f>
        <v>0</v>
      </c>
      <c r="AG113">
        <f>IF(LEFT(Z113,4)="Blue",Assumptions!$G$59,IF(LEFT(Z113,4)="Gree",Assumptions!$G$60,0))</f>
        <v>10.51</v>
      </c>
      <c r="AH113" s="6">
        <f t="shared" ref="AH113:AJ113" si="128">AH92</f>
        <v>96.924614347496885</v>
      </c>
      <c r="AI113" s="6">
        <f t="shared" si="128"/>
        <v>93.399228694993766</v>
      </c>
      <c r="AJ113" s="6">
        <f t="shared" si="128"/>
        <v>100.45</v>
      </c>
      <c r="AK113" s="51">
        <f t="shared" si="76"/>
        <v>-86.41461434749688</v>
      </c>
      <c r="AL113" s="51">
        <f t="shared" si="77"/>
        <v>-82.889228694993761</v>
      </c>
      <c r="AM113" s="51">
        <f t="shared" si="78"/>
        <v>-89.94</v>
      </c>
      <c r="AN113">
        <f>IFERROR(INDEX(WaterUseH2[Average Direct Water Consumption (Gal/ kg h2)],MATCH(LEFT(Hydrogen!Y113,3),WaterUseH2[Key],0)),0)</f>
        <v>4.0999999999999996</v>
      </c>
      <c r="AO113" s="13">
        <f t="shared" si="73"/>
        <v>109.33333333333333</v>
      </c>
      <c r="AP113" s="13">
        <f>IF(Y113=$Y$3,AD113*Assumptions!$C$8*1000/1000,0)</f>
        <v>1368000</v>
      </c>
      <c r="AQ113" s="30">
        <f t="shared" si="79"/>
        <v>520.54794520547944</v>
      </c>
      <c r="AR113" s="30">
        <f>$AQ113*Assumptions!B$76</f>
        <v>1821.9178082191779</v>
      </c>
      <c r="AS113" s="30">
        <f>$AQ113*Assumptions!C$76</f>
        <v>1457.5342465753424</v>
      </c>
      <c r="AT113" s="30">
        <f>$AQ113*Assumptions!D$76</f>
        <v>2186.3013698630139</v>
      </c>
      <c r="BC113" t="s">
        <v>188</v>
      </c>
      <c r="BD113" t="s">
        <v>107</v>
      </c>
      <c r="BE113">
        <v>2028</v>
      </c>
      <c r="BF113" s="21">
        <v>0</v>
      </c>
      <c r="BG113" t="s">
        <v>181</v>
      </c>
      <c r="BH113" s="118">
        <f>Assumptions!E88*-1</f>
        <v>3.6490301096547866E-5</v>
      </c>
      <c r="BI113" s="118">
        <f>Assumptions!F88*-1</f>
        <v>3.2384048754709478E-5</v>
      </c>
      <c r="BJ113" s="118">
        <f>Assumptions!G88*-1</f>
        <v>4.0596553160594792E-5</v>
      </c>
      <c r="BK113" t="s">
        <v>189</v>
      </c>
    </row>
    <row r="114" spans="25:63" x14ac:dyDescent="0.35">
      <c r="Y114" t="s">
        <v>79</v>
      </c>
      <c r="Z114" t="s">
        <v>78</v>
      </c>
      <c r="AA114" t="s">
        <v>107</v>
      </c>
      <c r="AB114">
        <v>2031</v>
      </c>
      <c r="AC114">
        <v>2.5386666666666557E-2</v>
      </c>
      <c r="AD114" s="40">
        <f>AC114*1000000000000/Assumptions!$B$17/1000</f>
        <v>211555.55555555466</v>
      </c>
      <c r="AE114" s="9">
        <f t="shared" si="74"/>
        <v>5.2549999999999999</v>
      </c>
      <c r="AF114">
        <f>IF(LEFT(Z114,4)="Blue",Assumptions!$G$57,0)</f>
        <v>0</v>
      </c>
      <c r="AG114">
        <f>IF(LEFT(Z114,4)="Blue",Assumptions!$G$59,IF(LEFT(Z114,4)="Gree",Assumptions!$G$60,0))</f>
        <v>10.51</v>
      </c>
      <c r="AH114" s="6">
        <f t="shared" ref="AH114:AJ114" si="129">AH93</f>
        <v>96.219877469537067</v>
      </c>
      <c r="AI114" s="6">
        <f t="shared" si="129"/>
        <v>91.989754939074118</v>
      </c>
      <c r="AJ114" s="6">
        <f t="shared" si="129"/>
        <v>100.45</v>
      </c>
      <c r="AK114" s="51">
        <f t="shared" si="76"/>
        <v>-85.709877469537048</v>
      </c>
      <c r="AL114" s="51">
        <f t="shared" si="77"/>
        <v>-81.479754939074112</v>
      </c>
      <c r="AM114" s="51">
        <f t="shared" si="78"/>
        <v>-89.94</v>
      </c>
      <c r="AN114">
        <f>IFERROR(INDEX(WaterUseH2[Average Direct Water Consumption (Gal/ kg h2)],MATCH(LEFT(Hydrogen!Y114,3),WaterUseH2[Key],0)),0)</f>
        <v>4.0999999999999996</v>
      </c>
      <c r="AO114" s="13">
        <f t="shared" si="73"/>
        <v>867.37777777777399</v>
      </c>
      <c r="AP114" s="13">
        <f>IF(Y114=$Y$3,AD114*Assumptions!$C$8*1000/1000,0)</f>
        <v>10852799.999999953</v>
      </c>
      <c r="AQ114" s="30">
        <f t="shared" si="79"/>
        <v>4129.6803652967856</v>
      </c>
      <c r="AR114" s="30">
        <f>$AQ114*Assumptions!B$76</f>
        <v>14453.881278538749</v>
      </c>
      <c r="AS114" s="30">
        <f>$AQ114*Assumptions!C$76</f>
        <v>11563.105022831</v>
      </c>
      <c r="AT114" s="30">
        <f>$AQ114*Assumptions!D$76</f>
        <v>17344.6575342465</v>
      </c>
      <c r="BC114" t="s">
        <v>188</v>
      </c>
      <c r="BD114" t="s">
        <v>107</v>
      </c>
      <c r="BE114">
        <v>2029</v>
      </c>
      <c r="BF114" s="21">
        <v>0</v>
      </c>
      <c r="BG114" t="s">
        <v>181</v>
      </c>
      <c r="BH114" s="118">
        <f>Assumptions!E89*-1</f>
        <v>3.5316930987264452E-5</v>
      </c>
      <c r="BI114" s="118">
        <f>Assumptions!F89*-1</f>
        <v>3.0951265040348822E-5</v>
      </c>
      <c r="BJ114" s="118">
        <f>Assumptions!G89*-1</f>
        <v>3.9682596656388634E-5</v>
      </c>
      <c r="BK114" t="s">
        <v>189</v>
      </c>
    </row>
    <row r="115" spans="25:63" x14ac:dyDescent="0.35">
      <c r="Y115" t="s">
        <v>79</v>
      </c>
      <c r="Z115" t="s">
        <v>78</v>
      </c>
      <c r="AA115" t="s">
        <v>107</v>
      </c>
      <c r="AB115">
        <v>2032</v>
      </c>
      <c r="AC115">
        <v>4.757333333333328E-2</v>
      </c>
      <c r="AD115" s="40">
        <f>AC115*1000000000000/Assumptions!$B$17/1000</f>
        <v>396444.44444444397</v>
      </c>
      <c r="AE115" s="9">
        <f t="shared" si="74"/>
        <v>5.2549999999999999</v>
      </c>
      <c r="AF115">
        <f>IF(LEFT(Z115,4)="Blue",Assumptions!$G$57,0)</f>
        <v>0</v>
      </c>
      <c r="AG115">
        <f>IF(LEFT(Z115,4)="Blue",Assumptions!$G$59,IF(LEFT(Z115,4)="Gree",Assumptions!$G$60,0))</f>
        <v>10.51</v>
      </c>
      <c r="AH115" s="6">
        <f t="shared" ref="AH115:AJ115" si="130">AH94</f>
        <v>95.431212950513526</v>
      </c>
      <c r="AI115" s="6">
        <f t="shared" si="130"/>
        <v>90.412425901027063</v>
      </c>
      <c r="AJ115" s="6">
        <f t="shared" si="130"/>
        <v>100.45</v>
      </c>
      <c r="AK115" s="51">
        <f t="shared" si="76"/>
        <v>-84.921212950513535</v>
      </c>
      <c r="AL115" s="51">
        <f t="shared" si="77"/>
        <v>-79.902425901027058</v>
      </c>
      <c r="AM115" s="51">
        <f t="shared" si="78"/>
        <v>-89.94</v>
      </c>
      <c r="AN115">
        <f>IFERROR(INDEX(WaterUseH2[Average Direct Water Consumption (Gal/ kg h2)],MATCH(LEFT(Hydrogen!Y115,3),WaterUseH2[Key],0)),0)</f>
        <v>4.0999999999999996</v>
      </c>
      <c r="AO115" s="13">
        <f t="shared" si="73"/>
        <v>1625.4222222222202</v>
      </c>
      <c r="AP115" s="13">
        <f>IF(Y115=$Y$3,AD115*Assumptions!$C$8*1000/1000,0)</f>
        <v>20337599.999999974</v>
      </c>
      <c r="AQ115" s="30">
        <f t="shared" si="79"/>
        <v>7738.8127853881178</v>
      </c>
      <c r="AR115" s="30">
        <f>$AQ115*Assumptions!B$76</f>
        <v>27085.844748858413</v>
      </c>
      <c r="AS115" s="30">
        <f>$AQ115*Assumptions!C$76</f>
        <v>21668.67579908673</v>
      </c>
      <c r="AT115" s="30">
        <f>$AQ115*Assumptions!D$76</f>
        <v>32503.013698630097</v>
      </c>
      <c r="BC115" t="s">
        <v>188</v>
      </c>
      <c r="BD115" t="s">
        <v>107</v>
      </c>
      <c r="BE115">
        <v>2030</v>
      </c>
      <c r="BF115" s="21">
        <v>0</v>
      </c>
      <c r="BG115" t="s">
        <v>181</v>
      </c>
      <c r="BH115" s="118">
        <f>Assumptions!E90*-1</f>
        <v>3.4143560877981038E-5</v>
      </c>
      <c r="BI115" s="118">
        <f>Assumptions!F90*-1</f>
        <v>2.9518481325988158E-5</v>
      </c>
      <c r="BJ115" s="118">
        <f>Assumptions!G90*-1</f>
        <v>3.8768640152182476E-5</v>
      </c>
      <c r="BK115" t="s">
        <v>189</v>
      </c>
    </row>
    <row r="116" spans="25:63" x14ac:dyDescent="0.35">
      <c r="Y116" t="s">
        <v>79</v>
      </c>
      <c r="Z116" t="s">
        <v>78</v>
      </c>
      <c r="AA116" t="s">
        <v>107</v>
      </c>
      <c r="AB116">
        <v>2033</v>
      </c>
      <c r="AC116">
        <v>6.9760000000000003E-2</v>
      </c>
      <c r="AD116" s="40">
        <f>AC116*1000000000000/Assumptions!$B$17/1000</f>
        <v>581333.33333333337</v>
      </c>
      <c r="AE116" s="9">
        <f t="shared" si="74"/>
        <v>5.2549999999999999</v>
      </c>
      <c r="AF116">
        <f>IF(LEFT(Z116,4)="Blue",Assumptions!$G$57,0)</f>
        <v>0</v>
      </c>
      <c r="AG116">
        <f>IF(LEFT(Z116,4)="Blue",Assumptions!$G$59,IF(LEFT(Z116,4)="Gree",Assumptions!$G$60,0))</f>
        <v>10.51</v>
      </c>
      <c r="AH116" s="6">
        <f t="shared" ref="AH116:AJ116" si="131">AH95</f>
        <v>94.525495952097856</v>
      </c>
      <c r="AI116" s="6">
        <f t="shared" si="131"/>
        <v>88.600991904195695</v>
      </c>
      <c r="AJ116" s="6">
        <f t="shared" si="131"/>
        <v>100.45</v>
      </c>
      <c r="AK116" s="51">
        <f t="shared" si="76"/>
        <v>-84.015495952097837</v>
      </c>
      <c r="AL116" s="51">
        <f t="shared" si="77"/>
        <v>-78.09099190419569</v>
      </c>
      <c r="AM116" s="51">
        <f t="shared" si="78"/>
        <v>-89.94</v>
      </c>
      <c r="AN116">
        <f>IFERROR(INDEX(WaterUseH2[Average Direct Water Consumption (Gal/ kg h2)],MATCH(LEFT(Hydrogen!Y116,3),WaterUseH2[Key],0)),0)</f>
        <v>4.0999999999999996</v>
      </c>
      <c r="AO116" s="13">
        <f t="shared" si="73"/>
        <v>2383.4666666666667</v>
      </c>
      <c r="AP116" s="13">
        <f>IF(Y116=$Y$3,AD116*Assumptions!$C$8*1000/1000,0)</f>
        <v>29822400</v>
      </c>
      <c r="AQ116" s="30">
        <f t="shared" si="79"/>
        <v>11347.945205479453</v>
      </c>
      <c r="AR116" s="30">
        <f>$AQ116*Assumptions!B$76</f>
        <v>39717.808219178085</v>
      </c>
      <c r="AS116" s="30">
        <f>$AQ116*Assumptions!C$76</f>
        <v>31774.246575342466</v>
      </c>
      <c r="AT116" s="30">
        <f>$AQ116*Assumptions!D$76</f>
        <v>47661.369863013701</v>
      </c>
      <c r="BC116" t="s">
        <v>188</v>
      </c>
      <c r="BD116" t="s">
        <v>107</v>
      </c>
      <c r="BE116">
        <v>2031</v>
      </c>
      <c r="BF116" s="21">
        <v>0</v>
      </c>
      <c r="BG116" t="s">
        <v>181</v>
      </c>
      <c r="BH116" s="118">
        <f>Assumptions!E91*-1</f>
        <v>3.2970190768697623E-5</v>
      </c>
      <c r="BI116" s="118">
        <f>Assumptions!F91*-1</f>
        <v>2.8085697611627498E-5</v>
      </c>
      <c r="BJ116" s="118">
        <f>Assumptions!G91*-1</f>
        <v>3.7854683647976317E-5</v>
      </c>
      <c r="BK116" t="s">
        <v>189</v>
      </c>
    </row>
    <row r="117" spans="25:63" x14ac:dyDescent="0.35">
      <c r="Y117" t="s">
        <v>79</v>
      </c>
      <c r="Z117" t="s">
        <v>78</v>
      </c>
      <c r="AA117" t="s">
        <v>107</v>
      </c>
      <c r="AB117">
        <v>2034</v>
      </c>
      <c r="AC117">
        <v>9.1946666666666566E-2</v>
      </c>
      <c r="AD117" s="40">
        <f>AC117*1000000000000/Assumptions!$B$17/1000</f>
        <v>766222.22222222132</v>
      </c>
      <c r="AE117" s="9">
        <f t="shared" si="74"/>
        <v>5.2549999999999999</v>
      </c>
      <c r="AF117">
        <f>IF(LEFT(Z117,4)="Blue",Assumptions!$G$57,0)</f>
        <v>0</v>
      </c>
      <c r="AG117">
        <f>IF(LEFT(Z117,4)="Blue",Assumptions!$G$59,IF(LEFT(Z117,4)="Gree",Assumptions!$G$60,0))</f>
        <v>10.51</v>
      </c>
      <c r="AH117" s="6">
        <f t="shared" ref="AH117:AJ117" si="132">AH96</f>
        <v>93.515198320512312</v>
      </c>
      <c r="AI117" s="6">
        <f t="shared" si="132"/>
        <v>86.58039664102462</v>
      </c>
      <c r="AJ117" s="6">
        <f t="shared" si="132"/>
        <v>100.45</v>
      </c>
      <c r="AK117" s="51">
        <f t="shared" si="76"/>
        <v>-83.005198320512307</v>
      </c>
      <c r="AL117" s="51">
        <f t="shared" si="77"/>
        <v>-76.070396641024615</v>
      </c>
      <c r="AM117" s="51">
        <f t="shared" si="78"/>
        <v>-89.94</v>
      </c>
      <c r="AN117">
        <f>IFERROR(INDEX(WaterUseH2[Average Direct Water Consumption (Gal/ kg h2)],MATCH(LEFT(Hydrogen!Y117,3),WaterUseH2[Key],0)),0)</f>
        <v>4.0999999999999996</v>
      </c>
      <c r="AO117" s="13">
        <f t="shared" si="73"/>
        <v>3141.5111111111073</v>
      </c>
      <c r="AP117" s="13">
        <f>IF(Y117=$Y$3,AD117*Assumptions!$C$8*1000/1000,0)</f>
        <v>39307199.999999948</v>
      </c>
      <c r="AQ117" s="30">
        <f t="shared" si="79"/>
        <v>14957.077625570755</v>
      </c>
      <c r="AR117" s="30">
        <f>$AQ117*Assumptions!B$76</f>
        <v>52349.77168949764</v>
      </c>
      <c r="AS117" s="30">
        <f>$AQ117*Assumptions!C$76</f>
        <v>41879.817351598111</v>
      </c>
      <c r="AT117" s="30">
        <f>$AQ117*Assumptions!D$76</f>
        <v>62819.726027397177</v>
      </c>
      <c r="BC117" t="s">
        <v>188</v>
      </c>
      <c r="BD117" t="s">
        <v>107</v>
      </c>
      <c r="BE117">
        <v>2032</v>
      </c>
      <c r="BF117" s="21">
        <v>0</v>
      </c>
      <c r="BG117" t="s">
        <v>181</v>
      </c>
      <c r="BH117" s="118">
        <f>Assumptions!E92*-1</f>
        <v>3.1796820659414209E-5</v>
      </c>
      <c r="BI117" s="118">
        <f>Assumptions!F92*-1</f>
        <v>2.6652913897266835E-5</v>
      </c>
      <c r="BJ117" s="118">
        <f>Assumptions!G92*-1</f>
        <v>3.6940727143770159E-5</v>
      </c>
      <c r="BK117" t="s">
        <v>189</v>
      </c>
    </row>
    <row r="118" spans="25:63" x14ac:dyDescent="0.35">
      <c r="Y118" t="s">
        <v>79</v>
      </c>
      <c r="Z118" t="s">
        <v>78</v>
      </c>
      <c r="AA118" t="s">
        <v>107</v>
      </c>
      <c r="AB118">
        <v>2035</v>
      </c>
      <c r="AC118">
        <v>0.1141333333333333</v>
      </c>
      <c r="AD118" s="40">
        <f>AC118*1000000000000/Assumptions!$B$17/1000</f>
        <v>951111.11111111077</v>
      </c>
      <c r="AE118" s="9">
        <f t="shared" si="74"/>
        <v>5.2549999999999999</v>
      </c>
      <c r="AF118">
        <f>IF(LEFT(Z118,4)="Blue",Assumptions!$G$57,0)</f>
        <v>0</v>
      </c>
      <c r="AG118">
        <f>IF(LEFT(Z118,4)="Blue",Assumptions!$G$59,IF(LEFT(Z118,4)="Gree",Assumptions!$G$60,0))</f>
        <v>10.51</v>
      </c>
      <c r="AH118" s="6">
        <f t="shared" ref="AH118:AJ118" si="133">AH97</f>
        <v>92.361658919879176</v>
      </c>
      <c r="AI118" s="6">
        <f t="shared" si="133"/>
        <v>84.273317839758363</v>
      </c>
      <c r="AJ118" s="6">
        <f t="shared" si="133"/>
        <v>100.45</v>
      </c>
      <c r="AK118" s="51">
        <f t="shared" si="76"/>
        <v>-81.851658919879185</v>
      </c>
      <c r="AL118" s="51">
        <f t="shared" si="77"/>
        <v>-73.763317839758358</v>
      </c>
      <c r="AM118" s="51">
        <f t="shared" si="78"/>
        <v>-89.94</v>
      </c>
      <c r="AN118">
        <f>IFERROR(INDEX(WaterUseH2[Average Direct Water Consumption (Gal/ kg h2)],MATCH(LEFT(Hydrogen!Y118,3),WaterUseH2[Key],0)),0)</f>
        <v>4.0999999999999996</v>
      </c>
      <c r="AO118" s="13">
        <f t="shared" si="73"/>
        <v>3899.5555555555534</v>
      </c>
      <c r="AP118" s="13">
        <f>IF(Y118=$Y$3,AD118*Assumptions!$C$8*1000/1000,0)</f>
        <v>48791999.999999978</v>
      </c>
      <c r="AQ118" s="30">
        <f t="shared" si="79"/>
        <v>18566.210045662094</v>
      </c>
      <c r="AR118" s="30">
        <f>$AQ118*Assumptions!B$76</f>
        <v>64981.735159817326</v>
      </c>
      <c r="AS118" s="30">
        <f>$AQ118*Assumptions!C$76</f>
        <v>51985.388127853861</v>
      </c>
      <c r="AT118" s="30">
        <f>$AQ118*Assumptions!D$76</f>
        <v>77978.082191780792</v>
      </c>
      <c r="BC118" t="s">
        <v>188</v>
      </c>
      <c r="BD118" t="s">
        <v>107</v>
      </c>
      <c r="BE118">
        <v>2033</v>
      </c>
      <c r="BF118" s="21">
        <v>0</v>
      </c>
      <c r="BG118" t="s">
        <v>181</v>
      </c>
      <c r="BH118" s="118">
        <f>Assumptions!E93*-1</f>
        <v>3.0623450550130795E-5</v>
      </c>
      <c r="BI118" s="118">
        <f>Assumptions!F93*-1</f>
        <v>2.5220130182906175E-5</v>
      </c>
      <c r="BJ118" s="118">
        <f>Assumptions!G93*-1</f>
        <v>3.6026770639564001E-5</v>
      </c>
      <c r="BK118" t="s">
        <v>189</v>
      </c>
    </row>
    <row r="119" spans="25:63" x14ac:dyDescent="0.35">
      <c r="Y119" t="s">
        <v>79</v>
      </c>
      <c r="Z119" t="s">
        <v>78</v>
      </c>
      <c r="AA119" t="s">
        <v>107</v>
      </c>
      <c r="AB119">
        <v>2036</v>
      </c>
      <c r="AC119">
        <v>0.13632</v>
      </c>
      <c r="AD119" s="40">
        <f>AC119*1000000000000/Assumptions!$B$17/1000</f>
        <v>1136000</v>
      </c>
      <c r="AE119" s="9">
        <f t="shared" si="74"/>
        <v>5.2549999999999999</v>
      </c>
      <c r="AF119">
        <f>IF(LEFT(Z119,4)="Blue",Assumptions!$G$57,0)</f>
        <v>0</v>
      </c>
      <c r="AG119">
        <f>IF(LEFT(Z119,4)="Blue",Assumptions!$G$59,IF(LEFT(Z119,4)="Gree",Assumptions!$G$60,0))</f>
        <v>10.51</v>
      </c>
      <c r="AH119" s="6">
        <f t="shared" ref="AH119:AJ119" si="134">AH98</f>
        <v>91.12437315283151</v>
      </c>
      <c r="AI119" s="6">
        <f t="shared" si="134"/>
        <v>81.798746305663002</v>
      </c>
      <c r="AJ119" s="6">
        <f t="shared" si="134"/>
        <v>100.45</v>
      </c>
      <c r="AK119" s="51">
        <f t="shared" si="76"/>
        <v>-80.61437315283149</v>
      </c>
      <c r="AL119" s="51">
        <f t="shared" si="77"/>
        <v>-71.288746305662997</v>
      </c>
      <c r="AM119" s="51">
        <f t="shared" si="78"/>
        <v>-89.94</v>
      </c>
      <c r="AN119">
        <f>IFERROR(INDEX(WaterUseH2[Average Direct Water Consumption (Gal/ kg h2)],MATCH(LEFT(Hydrogen!Y119,3),WaterUseH2[Key],0)),0)</f>
        <v>4.0999999999999996</v>
      </c>
      <c r="AO119" s="13">
        <f t="shared" si="73"/>
        <v>4657.6000000000004</v>
      </c>
      <c r="AP119" s="13">
        <f>IF(Y119=$Y$3,AD119*Assumptions!$C$8*1000/1000,0)</f>
        <v>58276800</v>
      </c>
      <c r="AQ119" s="30">
        <f t="shared" si="79"/>
        <v>22175.342465753427</v>
      </c>
      <c r="AR119" s="30">
        <f>$AQ119*Assumptions!B$76</f>
        <v>77613.698630136991</v>
      </c>
      <c r="AS119" s="30">
        <f>$AQ119*Assumptions!C$76</f>
        <v>62090.95890410959</v>
      </c>
      <c r="AT119" s="30">
        <f>$AQ119*Assumptions!D$76</f>
        <v>93136.438356164392</v>
      </c>
      <c r="BC119" t="s">
        <v>188</v>
      </c>
      <c r="BD119" t="s">
        <v>107</v>
      </c>
      <c r="BE119">
        <v>2034</v>
      </c>
      <c r="BF119" s="21">
        <v>0</v>
      </c>
      <c r="BG119" t="s">
        <v>181</v>
      </c>
      <c r="BH119" s="118">
        <f>Assumptions!E94*-1</f>
        <v>2.9450080440847381E-5</v>
      </c>
      <c r="BI119" s="118">
        <f>Assumptions!F94*-1</f>
        <v>2.3787346468545512E-5</v>
      </c>
      <c r="BJ119" s="118">
        <f>Assumptions!G94*-1</f>
        <v>3.5112814135357842E-5</v>
      </c>
      <c r="BK119" t="s">
        <v>189</v>
      </c>
    </row>
    <row r="120" spans="25:63" x14ac:dyDescent="0.35">
      <c r="Y120" t="s">
        <v>79</v>
      </c>
      <c r="Z120" t="s">
        <v>78</v>
      </c>
      <c r="AA120" t="s">
        <v>107</v>
      </c>
      <c r="AB120">
        <v>2037</v>
      </c>
      <c r="AC120">
        <v>0.15850666666666655</v>
      </c>
      <c r="AD120" s="40">
        <f>AC120*1000000000000/Assumptions!$B$17/1000</f>
        <v>1320888.8888888878</v>
      </c>
      <c r="AE120" s="9">
        <f t="shared" si="74"/>
        <v>5.2549999999999999</v>
      </c>
      <c r="AF120">
        <f>IF(LEFT(Z120,4)="Blue",Assumptions!$G$57,0)</f>
        <v>0</v>
      </c>
      <c r="AG120">
        <f>IF(LEFT(Z120,4)="Blue",Assumptions!$G$59,IF(LEFT(Z120,4)="Gree",Assumptions!$G$60,0))</f>
        <v>10.51</v>
      </c>
      <c r="AH120" s="6">
        <f t="shared" ref="AH120:AJ120" si="135">AH99</f>
        <v>89.845883938555232</v>
      </c>
      <c r="AI120" s="6">
        <f t="shared" si="135"/>
        <v>79.241767877110448</v>
      </c>
      <c r="AJ120" s="6">
        <f t="shared" si="135"/>
        <v>100.45</v>
      </c>
      <c r="AK120" s="51">
        <f t="shared" si="76"/>
        <v>-79.335883938555213</v>
      </c>
      <c r="AL120" s="51">
        <f t="shared" si="77"/>
        <v>-68.731767877110443</v>
      </c>
      <c r="AM120" s="51">
        <f t="shared" si="78"/>
        <v>-89.94</v>
      </c>
      <c r="AN120">
        <f>IFERROR(INDEX(WaterUseH2[Average Direct Water Consumption (Gal/ kg h2)],MATCH(LEFT(Hydrogen!Y120,3),WaterUseH2[Key],0)),0)</f>
        <v>4.0999999999999996</v>
      </c>
      <c r="AO120" s="13">
        <f t="shared" si="73"/>
        <v>5415.6444444444387</v>
      </c>
      <c r="AP120" s="13">
        <f>IF(Y120=$Y$3,AD120*Assumptions!$C$8*1000/1000,0)</f>
        <v>67761599.99999994</v>
      </c>
      <c r="AQ120" s="30">
        <f t="shared" si="79"/>
        <v>25784.474885844727</v>
      </c>
      <c r="AR120" s="30">
        <f>$AQ120*Assumptions!B$76</f>
        <v>90245.662100456539</v>
      </c>
      <c r="AS120" s="30">
        <f>$AQ120*Assumptions!C$76</f>
        <v>72196.529680365231</v>
      </c>
      <c r="AT120" s="30">
        <f>$AQ120*Assumptions!D$76</f>
        <v>108294.79452054786</v>
      </c>
      <c r="BC120" t="s">
        <v>188</v>
      </c>
      <c r="BD120" t="s">
        <v>107</v>
      </c>
      <c r="BE120">
        <v>2035</v>
      </c>
      <c r="BF120" s="21">
        <v>0</v>
      </c>
      <c r="BG120" t="s">
        <v>181</v>
      </c>
      <c r="BH120" s="118">
        <f>Assumptions!E95*-1</f>
        <v>2.8276710331563967E-5</v>
      </c>
      <c r="BI120" s="118">
        <f>Assumptions!F95*-1</f>
        <v>2.2354562754184852E-5</v>
      </c>
      <c r="BJ120" s="118">
        <f>Assumptions!G95*-1</f>
        <v>3.4198857631151677E-5</v>
      </c>
      <c r="BK120" t="s">
        <v>189</v>
      </c>
    </row>
    <row r="121" spans="25:63" x14ac:dyDescent="0.35">
      <c r="Y121" t="s">
        <v>79</v>
      </c>
      <c r="Z121" t="s">
        <v>78</v>
      </c>
      <c r="AA121" t="s">
        <v>107</v>
      </c>
      <c r="AB121">
        <v>2038</v>
      </c>
      <c r="AC121">
        <v>0.18069333333333282</v>
      </c>
      <c r="AD121" s="40">
        <f>AC121*1000000000000/Assumptions!$B$17/1000</f>
        <v>1505777.7777777736</v>
      </c>
      <c r="AE121" s="9">
        <f t="shared" si="74"/>
        <v>5.2549999999999999</v>
      </c>
      <c r="AF121">
        <f>IF(LEFT(Z121,4)="Blue",Assumptions!$G$57,0)</f>
        <v>0</v>
      </c>
      <c r="AG121">
        <f>IF(LEFT(Z121,4)="Blue",Assumptions!$G$59,IF(LEFT(Z121,4)="Gree",Assumptions!$G$60,0))</f>
        <v>10.51</v>
      </c>
      <c r="AH121" s="6">
        <f t="shared" ref="AH121:AJ121" si="136">AH100</f>
        <v>88.574547187599435</v>
      </c>
      <c r="AI121" s="6">
        <f t="shared" si="136"/>
        <v>76.699094375198868</v>
      </c>
      <c r="AJ121" s="6">
        <f t="shared" si="136"/>
        <v>100.45</v>
      </c>
      <c r="AK121" s="51">
        <f t="shared" si="76"/>
        <v>-78.06454718759943</v>
      </c>
      <c r="AL121" s="51">
        <f t="shared" si="77"/>
        <v>-66.189094375198863</v>
      </c>
      <c r="AM121" s="51">
        <f t="shared" si="78"/>
        <v>-89.94</v>
      </c>
      <c r="AN121">
        <f>IFERROR(INDEX(WaterUseH2[Average Direct Water Consumption (Gal/ kg h2)],MATCH(LEFT(Hydrogen!Y121,3),WaterUseH2[Key],0)),0)</f>
        <v>4.0999999999999996</v>
      </c>
      <c r="AO121" s="13">
        <f t="shared" si="73"/>
        <v>6173.6888888888716</v>
      </c>
      <c r="AP121" s="13">
        <f>IF(Y121=$Y$3,AD121*Assumptions!$C$8*1000/1000,0)</f>
        <v>77246399.999999776</v>
      </c>
      <c r="AQ121" s="30">
        <f t="shared" si="79"/>
        <v>29393.607305935991</v>
      </c>
      <c r="AR121" s="30">
        <f>$AQ121*Assumptions!B$76</f>
        <v>102877.62557077597</v>
      </c>
      <c r="AS121" s="30">
        <f>$AQ121*Assumptions!C$76</f>
        <v>82302.10045662077</v>
      </c>
      <c r="AT121" s="30">
        <f>$AQ121*Assumptions!D$76</f>
        <v>123453.15068493117</v>
      </c>
      <c r="BC121" t="s">
        <v>188</v>
      </c>
      <c r="BD121" t="s">
        <v>107</v>
      </c>
      <c r="BE121">
        <v>2036</v>
      </c>
      <c r="BF121" s="21">
        <v>0</v>
      </c>
      <c r="BG121" t="s">
        <v>181</v>
      </c>
      <c r="BH121" s="118">
        <f>Assumptions!E96*-1</f>
        <v>2.7103340222280552E-5</v>
      </c>
      <c r="BI121" s="118">
        <f>Assumptions!F96*-1</f>
        <v>2.0921779039824192E-5</v>
      </c>
      <c r="BJ121" s="118">
        <f>Assumptions!G96*-1</f>
        <v>3.3284901126945512E-5</v>
      </c>
      <c r="BK121" t="s">
        <v>189</v>
      </c>
    </row>
    <row r="122" spans="25:63" x14ac:dyDescent="0.35">
      <c r="Y122" t="s">
        <v>79</v>
      </c>
      <c r="Z122" t="s">
        <v>78</v>
      </c>
      <c r="AA122" t="s">
        <v>107</v>
      </c>
      <c r="AB122">
        <v>2039</v>
      </c>
      <c r="AC122">
        <v>0.20288</v>
      </c>
      <c r="AD122" s="40">
        <f>AC122*1000000000000/Assumptions!$B$17/1000</f>
        <v>1690666.6666666667</v>
      </c>
      <c r="AE122" s="9">
        <f t="shared" si="74"/>
        <v>5.2549999999999999</v>
      </c>
      <c r="AF122">
        <f>IF(LEFT(Z122,4)="Blue",Assumptions!$G$57,0)</f>
        <v>0</v>
      </c>
      <c r="AG122">
        <f>IF(LEFT(Z122,4)="Blue",Assumptions!$G$59,IF(LEFT(Z122,4)="Gree",Assumptions!$G$60,0))</f>
        <v>10.51</v>
      </c>
      <c r="AH122" s="6">
        <f t="shared" ref="AH122:AJ122" si="137">AH101</f>
        <v>87.273478799936612</v>
      </c>
      <c r="AI122" s="6">
        <f t="shared" si="137"/>
        <v>74.096957599873221</v>
      </c>
      <c r="AJ122" s="6">
        <f t="shared" si="137"/>
        <v>100.45</v>
      </c>
      <c r="AK122" s="51">
        <f t="shared" si="76"/>
        <v>-76.763478799936607</v>
      </c>
      <c r="AL122" s="51">
        <f t="shared" si="77"/>
        <v>-63.586957599873223</v>
      </c>
      <c r="AM122" s="51">
        <f t="shared" si="78"/>
        <v>-89.94</v>
      </c>
      <c r="AN122">
        <f>IFERROR(INDEX(WaterUseH2[Average Direct Water Consumption (Gal/ kg h2)],MATCH(LEFT(Hydrogen!Y122,3),WaterUseH2[Key],0)),0)</f>
        <v>4.0999999999999996</v>
      </c>
      <c r="AO122" s="13">
        <f t="shared" si="73"/>
        <v>6931.7333333333327</v>
      </c>
      <c r="AP122" s="13">
        <f>IF(Y122=$Y$3,AD122*Assumptions!$C$8*1000/1000,0)</f>
        <v>86731200</v>
      </c>
      <c r="AQ122" s="30">
        <f t="shared" si="79"/>
        <v>33002.739726027401</v>
      </c>
      <c r="AR122" s="30">
        <f>$AQ122*Assumptions!B$76</f>
        <v>115509.5890410959</v>
      </c>
      <c r="AS122" s="30">
        <f>$AQ122*Assumptions!C$76</f>
        <v>92407.671232876717</v>
      </c>
      <c r="AT122" s="30">
        <f>$AQ122*Assumptions!D$76</f>
        <v>138611.5068493151</v>
      </c>
      <c r="BC122" t="s">
        <v>188</v>
      </c>
      <c r="BD122" t="s">
        <v>107</v>
      </c>
      <c r="BE122">
        <v>2037</v>
      </c>
      <c r="BF122" s="21">
        <v>0</v>
      </c>
      <c r="BG122" t="s">
        <v>181</v>
      </c>
      <c r="BH122" s="118">
        <f>Assumptions!E97*-1</f>
        <v>2.5929970112997138E-5</v>
      </c>
      <c r="BI122" s="118">
        <f>Assumptions!F97*-1</f>
        <v>1.9488995325463529E-5</v>
      </c>
      <c r="BJ122" s="118">
        <f>Assumptions!G97*-1</f>
        <v>3.2370944622739347E-5</v>
      </c>
      <c r="BK122" t="s">
        <v>189</v>
      </c>
    </row>
    <row r="123" spans="25:63" x14ac:dyDescent="0.35">
      <c r="Y123" t="s">
        <v>79</v>
      </c>
      <c r="Z123" t="s">
        <v>78</v>
      </c>
      <c r="AA123" t="s">
        <v>107</v>
      </c>
      <c r="AB123">
        <v>2040</v>
      </c>
      <c r="AC123">
        <v>0.22506666666666561</v>
      </c>
      <c r="AD123" s="40">
        <f>AC123*1000000000000/Assumptions!$B$17/1000</f>
        <v>1875555.5555555467</v>
      </c>
      <c r="AE123" s="9">
        <f t="shared" si="74"/>
        <v>5.2549999999999999</v>
      </c>
      <c r="AF123">
        <f>IF(LEFT(Z123,4)="Blue",Assumptions!$G$57,0)</f>
        <v>0</v>
      </c>
      <c r="AG123">
        <f>IF(LEFT(Z123,4)="Blue",Assumptions!$G$59,IF(LEFT(Z123,4)="Gree",Assumptions!$G$60,0))</f>
        <v>10.51</v>
      </c>
      <c r="AH123" s="6">
        <f t="shared" ref="AH123:AJ123" si="138">AH102</f>
        <v>85.951275707781519</v>
      </c>
      <c r="AI123" s="6">
        <f t="shared" si="138"/>
        <v>71.452551415563036</v>
      </c>
      <c r="AJ123" s="6">
        <f t="shared" si="138"/>
        <v>100.45</v>
      </c>
      <c r="AK123" s="51">
        <f t="shared" si="76"/>
        <v>-75.441275707781514</v>
      </c>
      <c r="AL123" s="51">
        <f t="shared" si="77"/>
        <v>-60.942551415563038</v>
      </c>
      <c r="AM123" s="51">
        <f t="shared" si="78"/>
        <v>-89.94</v>
      </c>
      <c r="AN123">
        <f>IFERROR(INDEX(WaterUseH2[Average Direct Water Consumption (Gal/ kg h2)],MATCH(LEFT(Hydrogen!Y123,3),WaterUseH2[Key],0)),0)</f>
        <v>4.0999999999999996</v>
      </c>
      <c r="AO123" s="13">
        <f t="shared" si="73"/>
        <v>7689.7777777777401</v>
      </c>
      <c r="AP123" s="13">
        <f>IF(Y123=$Y$3,AD123*Assumptions!$C$8*1000/1000,0)</f>
        <v>96215999.999999538</v>
      </c>
      <c r="AQ123" s="30">
        <f t="shared" si="79"/>
        <v>36611.872146118549</v>
      </c>
      <c r="AR123" s="30">
        <f>$AQ123*Assumptions!B$76</f>
        <v>128141.55251141492</v>
      </c>
      <c r="AS123" s="30">
        <f>$AQ123*Assumptions!C$76</f>
        <v>102513.24200913194</v>
      </c>
      <c r="AT123" s="30">
        <f>$AQ123*Assumptions!D$76</f>
        <v>153769.8630136979</v>
      </c>
      <c r="BC123" t="s">
        <v>188</v>
      </c>
      <c r="BD123" t="s">
        <v>107</v>
      </c>
      <c r="BE123">
        <v>2038</v>
      </c>
      <c r="BF123" s="21">
        <v>0</v>
      </c>
      <c r="BG123" t="s">
        <v>181</v>
      </c>
      <c r="BH123" s="118">
        <f>Assumptions!E98*-1</f>
        <v>2.4756600003713724E-5</v>
      </c>
      <c r="BI123" s="118">
        <f>Assumptions!F98*-1</f>
        <v>1.8056211611102869E-5</v>
      </c>
      <c r="BJ123" s="118">
        <f>Assumptions!G98*-1</f>
        <v>3.1456988118533189E-5</v>
      </c>
      <c r="BK123" t="s">
        <v>189</v>
      </c>
    </row>
    <row r="124" spans="25:63" x14ac:dyDescent="0.35">
      <c r="Y124" t="s">
        <v>79</v>
      </c>
      <c r="Z124" t="s">
        <v>78</v>
      </c>
      <c r="AA124" t="s">
        <v>107</v>
      </c>
      <c r="AB124">
        <v>2041</v>
      </c>
      <c r="AC124">
        <v>0.24725333333333277</v>
      </c>
      <c r="AD124" s="40">
        <f>AC124*1000000000000/Assumptions!$B$17/1000</f>
        <v>2060444.4444444396</v>
      </c>
      <c r="AE124" s="9">
        <f t="shared" si="74"/>
        <v>5.2549999999999999</v>
      </c>
      <c r="AF124">
        <f>IF(LEFT(Z124,4)="Blue",Assumptions!$G$57,0)</f>
        <v>0</v>
      </c>
      <c r="AG124">
        <f>IF(LEFT(Z124,4)="Blue",Assumptions!$G$59,IF(LEFT(Z124,4)="Gree",Assumptions!$G$60,0))</f>
        <v>10.51</v>
      </c>
      <c r="AH124" s="6">
        <f t="shared" ref="AH124:AJ124" si="139">AH103</f>
        <v>84.637245588482756</v>
      </c>
      <c r="AI124" s="6">
        <f t="shared" si="139"/>
        <v>68.824491176965509</v>
      </c>
      <c r="AJ124" s="6">
        <f t="shared" si="139"/>
        <v>100.45</v>
      </c>
      <c r="AK124" s="51">
        <f t="shared" si="76"/>
        <v>-74.127245588482751</v>
      </c>
      <c r="AL124" s="51">
        <f t="shared" si="77"/>
        <v>-58.314491176965511</v>
      </c>
      <c r="AM124" s="51">
        <f t="shared" si="78"/>
        <v>-89.94</v>
      </c>
      <c r="AN124">
        <f>IFERROR(INDEX(WaterUseH2[Average Direct Water Consumption (Gal/ kg h2)],MATCH(LEFT(Hydrogen!Y124,3),WaterUseH2[Key],0)),0)</f>
        <v>4.0999999999999996</v>
      </c>
      <c r="AO124" s="13">
        <f t="shared" si="73"/>
        <v>8447.8222222222012</v>
      </c>
      <c r="AP124" s="13">
        <f>IF(Y124=$Y$3,AD124*Assumptions!$C$8*1000/1000,0)</f>
        <v>105700799.99999975</v>
      </c>
      <c r="AQ124" s="30">
        <f t="shared" si="79"/>
        <v>40221.004566209951</v>
      </c>
      <c r="AR124" s="30">
        <f>$AQ124*Assumptions!B$76</f>
        <v>140773.51598173482</v>
      </c>
      <c r="AS124" s="30">
        <f>$AQ124*Assumptions!C$76</f>
        <v>112618.81278538785</v>
      </c>
      <c r="AT124" s="30">
        <f>$AQ124*Assumptions!D$76</f>
        <v>168928.21917808181</v>
      </c>
      <c r="BC124" t="s">
        <v>188</v>
      </c>
      <c r="BD124" t="s">
        <v>107</v>
      </c>
      <c r="BE124">
        <v>2039</v>
      </c>
      <c r="BF124" s="21">
        <v>0</v>
      </c>
      <c r="BG124" t="s">
        <v>181</v>
      </c>
      <c r="BH124" s="118">
        <f>Assumptions!E99*-1</f>
        <v>2.358322989443031E-5</v>
      </c>
      <c r="BI124" s="118">
        <f>Assumptions!F99*-1</f>
        <v>1.6623427896742205E-5</v>
      </c>
      <c r="BJ124" s="118">
        <f>Assumptions!G99*-1</f>
        <v>3.0543031614327023E-5</v>
      </c>
      <c r="BK124" t="s">
        <v>189</v>
      </c>
    </row>
    <row r="125" spans="25:63" x14ac:dyDescent="0.35">
      <c r="Y125" t="s">
        <v>79</v>
      </c>
      <c r="Z125" t="s">
        <v>78</v>
      </c>
      <c r="AA125" t="s">
        <v>107</v>
      </c>
      <c r="AB125">
        <v>2042</v>
      </c>
      <c r="AC125">
        <v>0.26944000000000001</v>
      </c>
      <c r="AD125" s="40">
        <f>AC125*1000000000000/Assumptions!$B$17/1000</f>
        <v>2245333.3333333335</v>
      </c>
      <c r="AE125" s="9">
        <f t="shared" si="74"/>
        <v>5.2549999999999999</v>
      </c>
      <c r="AF125">
        <f>IF(LEFT(Z125,4)="Blue",Assumptions!$G$57,0)</f>
        <v>0</v>
      </c>
      <c r="AG125">
        <f>IF(LEFT(Z125,4)="Blue",Assumptions!$G$59,IF(LEFT(Z125,4)="Gree",Assumptions!$G$60,0))</f>
        <v>10.51</v>
      </c>
      <c r="AH125" s="6">
        <f t="shared" ref="AH125:AJ125" si="140">AH104</f>
        <v>83.36430635778953</v>
      </c>
      <c r="AI125" s="6">
        <f t="shared" si="140"/>
        <v>66.278612715579072</v>
      </c>
      <c r="AJ125" s="6">
        <f t="shared" si="140"/>
        <v>100.45</v>
      </c>
      <c r="AK125" s="51">
        <f t="shared" si="76"/>
        <v>-72.85430635778954</v>
      </c>
      <c r="AL125" s="51">
        <f t="shared" si="77"/>
        <v>-55.768612715579074</v>
      </c>
      <c r="AM125" s="51">
        <f t="shared" si="78"/>
        <v>-89.94</v>
      </c>
      <c r="AN125">
        <f>IFERROR(INDEX(WaterUseH2[Average Direct Water Consumption (Gal/ kg h2)],MATCH(LEFT(Hydrogen!Y125,3),WaterUseH2[Key],0)),0)</f>
        <v>4.0999999999999996</v>
      </c>
      <c r="AO125" s="13">
        <f t="shared" si="73"/>
        <v>9205.8666666666668</v>
      </c>
      <c r="AP125" s="13">
        <f>IF(Y125=$Y$3,AD125*Assumptions!$C$8*1000/1000,0)</f>
        <v>115185600</v>
      </c>
      <c r="AQ125" s="30">
        <f t="shared" si="79"/>
        <v>43830.136986301368</v>
      </c>
      <c r="AR125" s="30">
        <f>$AQ125*Assumptions!B$76</f>
        <v>153405.47945205477</v>
      </c>
      <c r="AS125" s="30">
        <f>$AQ125*Assumptions!C$76</f>
        <v>122724.38356164382</v>
      </c>
      <c r="AT125" s="30">
        <f>$AQ125*Assumptions!D$76</f>
        <v>184086.57534246575</v>
      </c>
      <c r="BC125" t="s">
        <v>188</v>
      </c>
      <c r="BD125" t="s">
        <v>107</v>
      </c>
      <c r="BE125">
        <v>2040</v>
      </c>
      <c r="BF125" s="21">
        <v>0</v>
      </c>
      <c r="BG125" t="s">
        <v>181</v>
      </c>
      <c r="BH125" s="118">
        <f>Assumptions!E100*-1</f>
        <v>2.2409859785146895E-5</v>
      </c>
      <c r="BI125" s="118">
        <f>Assumptions!F100*-1</f>
        <v>1.5190644182381542E-5</v>
      </c>
      <c r="BJ125" s="118">
        <f>Assumptions!G100*-1</f>
        <v>2.9629075110120862E-5</v>
      </c>
      <c r="BK125" t="s">
        <v>189</v>
      </c>
    </row>
    <row r="126" spans="25:63" x14ac:dyDescent="0.35">
      <c r="Y126" t="s">
        <v>79</v>
      </c>
      <c r="Z126" t="s">
        <v>78</v>
      </c>
      <c r="AA126" t="s">
        <v>107</v>
      </c>
      <c r="AB126">
        <v>2043</v>
      </c>
      <c r="AC126">
        <v>0.29162666666666559</v>
      </c>
      <c r="AD126" s="40">
        <f>AC126*1000000000000/Assumptions!$B$17/1000</f>
        <v>2430222.2222222132</v>
      </c>
      <c r="AE126" s="9">
        <f t="shared" si="74"/>
        <v>5.2549999999999999</v>
      </c>
      <c r="AF126">
        <f>IF(LEFT(Z126,4)="Blue",Assumptions!$G$57,0)</f>
        <v>0</v>
      </c>
      <c r="AG126">
        <f>IF(LEFT(Z126,4)="Blue",Assumptions!$G$59,IF(LEFT(Z126,4)="Gree",Assumptions!$G$60,0))</f>
        <v>10.51</v>
      </c>
      <c r="AH126" s="6">
        <f t="shared" ref="AH126:AJ126" si="141">AH105</f>
        <v>82.142704261559757</v>
      </c>
      <c r="AI126" s="6">
        <f t="shared" si="141"/>
        <v>63.835408523119504</v>
      </c>
      <c r="AJ126" s="6">
        <f t="shared" si="141"/>
        <v>100.45</v>
      </c>
      <c r="AK126" s="51">
        <f t="shared" si="76"/>
        <v>-71.632704261559752</v>
      </c>
      <c r="AL126" s="51">
        <f t="shared" si="77"/>
        <v>-53.325408523119506</v>
      </c>
      <c r="AM126" s="51">
        <f t="shared" si="78"/>
        <v>-89.94</v>
      </c>
      <c r="AN126">
        <f>IFERROR(INDEX(WaterUseH2[Average Direct Water Consumption (Gal/ kg h2)],MATCH(LEFT(Hydrogen!Y126,3),WaterUseH2[Key],0)),0)</f>
        <v>4.0999999999999996</v>
      </c>
      <c r="AO126" s="13">
        <f t="shared" si="73"/>
        <v>9963.9111111110724</v>
      </c>
      <c r="AP126" s="13">
        <f>IF(Y126=$Y$3,AD126*Assumptions!$C$8*1000/1000,0)</f>
        <v>124670399.99999952</v>
      </c>
      <c r="AQ126" s="30">
        <f t="shared" si="79"/>
        <v>47439.269406392516</v>
      </c>
      <c r="AR126" s="30">
        <f>$AQ126*Assumptions!B$76</f>
        <v>166037.4429223738</v>
      </c>
      <c r="AS126" s="30">
        <f>$AQ126*Assumptions!C$76</f>
        <v>132829.95433789905</v>
      </c>
      <c r="AT126" s="30">
        <f>$AQ126*Assumptions!D$76</f>
        <v>199244.93150684857</v>
      </c>
      <c r="BC126" t="s">
        <v>188</v>
      </c>
      <c r="BD126" t="s">
        <v>107</v>
      </c>
      <c r="BE126">
        <v>2041</v>
      </c>
      <c r="BF126" s="21">
        <v>0</v>
      </c>
      <c r="BG126" t="s">
        <v>181</v>
      </c>
      <c r="BH126" s="118">
        <f>Assumptions!E101*-1</f>
        <v>2.1236489675863481E-5</v>
      </c>
      <c r="BI126" s="118">
        <f>Assumptions!F101*-1</f>
        <v>1.3757860468020879E-5</v>
      </c>
      <c r="BJ126" s="118">
        <f>Assumptions!G101*-1</f>
        <v>2.8715118605914697E-5</v>
      </c>
      <c r="BK126" t="s">
        <v>189</v>
      </c>
    </row>
    <row r="127" spans="25:63" x14ac:dyDescent="0.35">
      <c r="Y127" t="s">
        <v>79</v>
      </c>
      <c r="Z127" t="s">
        <v>78</v>
      </c>
      <c r="AA127" t="s">
        <v>107</v>
      </c>
      <c r="AB127">
        <v>2044</v>
      </c>
      <c r="AC127">
        <v>0.31381333333333278</v>
      </c>
      <c r="AD127" s="40">
        <f>AC127*1000000000000/Assumptions!$B$17/1000</f>
        <v>2615111.1111111064</v>
      </c>
      <c r="AE127" s="9">
        <f t="shared" si="74"/>
        <v>5.2549999999999999</v>
      </c>
      <c r="AF127">
        <f>IF(LEFT(Z127,4)="Blue",Assumptions!$G$57,0)</f>
        <v>0</v>
      </c>
      <c r="AG127">
        <f>IF(LEFT(Z127,4)="Blue",Assumptions!$G$59,IF(LEFT(Z127,4)="Gree",Assumptions!$G$60,0))</f>
        <v>10.51</v>
      </c>
      <c r="AH127" s="6">
        <f t="shared" ref="AH127:AJ127" si="142">AH106</f>
        <v>80.990181196488862</v>
      </c>
      <c r="AI127" s="6">
        <f t="shared" si="142"/>
        <v>61.530362392977736</v>
      </c>
      <c r="AJ127" s="6">
        <f t="shared" si="142"/>
        <v>100.45</v>
      </c>
      <c r="AK127" s="51">
        <f t="shared" si="76"/>
        <v>-70.480181196488871</v>
      </c>
      <c r="AL127" s="51">
        <f t="shared" si="77"/>
        <v>-51.020362392977738</v>
      </c>
      <c r="AM127" s="51">
        <f t="shared" si="78"/>
        <v>-89.94</v>
      </c>
      <c r="AN127">
        <f>IFERROR(INDEX(WaterUseH2[Average Direct Water Consumption (Gal/ kg h2)],MATCH(LEFT(Hydrogen!Y127,3),WaterUseH2[Key],0)),0)</f>
        <v>4.0999999999999996</v>
      </c>
      <c r="AO127" s="13">
        <f t="shared" si="73"/>
        <v>10721.955555555536</v>
      </c>
      <c r="AP127" s="13">
        <f>IF(Y127=$Y$3,AD127*Assumptions!$C$8*1000/1000,0)</f>
        <v>134155199.99999975</v>
      </c>
      <c r="AQ127" s="30">
        <f t="shared" si="79"/>
        <v>51048.401826483925</v>
      </c>
      <c r="AR127" s="30">
        <f>$AQ127*Assumptions!B$76</f>
        <v>178669.40639269375</v>
      </c>
      <c r="AS127" s="30">
        <f>$AQ127*Assumptions!C$76</f>
        <v>142935.52511415497</v>
      </c>
      <c r="AT127" s="30">
        <f>$AQ127*Assumptions!D$76</f>
        <v>214403.28767123251</v>
      </c>
      <c r="BC127" t="s">
        <v>188</v>
      </c>
      <c r="BD127" t="s">
        <v>107</v>
      </c>
      <c r="BE127">
        <v>2042</v>
      </c>
      <c r="BF127" s="21">
        <v>0</v>
      </c>
      <c r="BG127" t="s">
        <v>181</v>
      </c>
      <c r="BH127" s="118">
        <f>Assumptions!E102*-1</f>
        <v>2.0063119566580067E-5</v>
      </c>
      <c r="BI127" s="118">
        <f>Assumptions!F102*-1</f>
        <v>1.2325076753660215E-5</v>
      </c>
      <c r="BJ127" s="118">
        <f>Assumptions!G102*-1</f>
        <v>2.7801162101708535E-5</v>
      </c>
      <c r="BK127" t="s">
        <v>189</v>
      </c>
    </row>
    <row r="128" spans="25:63" x14ac:dyDescent="0.35">
      <c r="Y128" t="s">
        <v>79</v>
      </c>
      <c r="Z128" t="s">
        <v>78</v>
      </c>
      <c r="AA128" t="s">
        <v>107</v>
      </c>
      <c r="AB128">
        <v>2045</v>
      </c>
      <c r="AC128">
        <v>0.33599999999999997</v>
      </c>
      <c r="AD128" s="40">
        <f>AC128*1000000000000/Assumptions!$B$17/1000</f>
        <v>2799999.9999999995</v>
      </c>
      <c r="AE128" s="9">
        <f t="shared" si="74"/>
        <v>5.2549999999999999</v>
      </c>
      <c r="AF128">
        <f>IF(LEFT(Z128,4)="Blue",Assumptions!$G$57,0)</f>
        <v>0</v>
      </c>
      <c r="AG128">
        <f>IF(LEFT(Z128,4)="Blue",Assumptions!$G$59,IF(LEFT(Z128,4)="Gree",Assumptions!$G$60,0))</f>
        <v>10.51</v>
      </c>
      <c r="AH128" s="6">
        <f t="shared" ref="AH128:AJ128" si="143">AH107</f>
        <v>79.920544054153567</v>
      </c>
      <c r="AI128" s="6">
        <f t="shared" si="143"/>
        <v>59.391088108307123</v>
      </c>
      <c r="AJ128" s="6">
        <f t="shared" si="143"/>
        <v>100.45</v>
      </c>
      <c r="AK128" s="51">
        <f t="shared" si="76"/>
        <v>-69.410544054153561</v>
      </c>
      <c r="AL128" s="51">
        <f t="shared" si="77"/>
        <v>-48.881088108307125</v>
      </c>
      <c r="AM128" s="51">
        <f t="shared" si="78"/>
        <v>-89.94</v>
      </c>
      <c r="AN128">
        <f>IFERROR(INDEX(WaterUseH2[Average Direct Water Consumption (Gal/ kg h2)],MATCH(LEFT(Hydrogen!Y128,3),WaterUseH2[Key],0)),0)</f>
        <v>4.0999999999999996</v>
      </c>
      <c r="AO128" s="13">
        <f t="shared" si="73"/>
        <v>11479.999999999996</v>
      </c>
      <c r="AP128" s="13">
        <f>IF(Y128=$Y$3,AD128*Assumptions!$C$8*1000/1000,0)</f>
        <v>143639999.99999997</v>
      </c>
      <c r="AQ128" s="30">
        <f t="shared" si="79"/>
        <v>54657.534246575335</v>
      </c>
      <c r="AR128" s="30">
        <f>$AQ128*Assumptions!B$76</f>
        <v>191301.36986301368</v>
      </c>
      <c r="AS128" s="30">
        <f>$AQ128*Assumptions!C$76</f>
        <v>153041.09589041091</v>
      </c>
      <c r="AT128" s="30">
        <f>$AQ128*Assumptions!D$76</f>
        <v>229561.64383561641</v>
      </c>
      <c r="BC128" t="s">
        <v>188</v>
      </c>
      <c r="BD128" t="s">
        <v>107</v>
      </c>
      <c r="BE128">
        <v>2043</v>
      </c>
      <c r="BF128" s="21">
        <v>0</v>
      </c>
      <c r="BG128" t="s">
        <v>181</v>
      </c>
      <c r="BH128" s="118">
        <f>Assumptions!E103*-1</f>
        <v>1.8889749457296653E-5</v>
      </c>
      <c r="BI128" s="118">
        <f>Assumptions!F103*-1</f>
        <v>1.0892293039299552E-5</v>
      </c>
      <c r="BJ128" s="118">
        <f>Assumptions!G103*-1</f>
        <v>2.6887205597502373E-5</v>
      </c>
      <c r="BK128" t="s">
        <v>189</v>
      </c>
    </row>
    <row r="129" spans="25:63" x14ac:dyDescent="0.35">
      <c r="Y129" t="s">
        <v>178</v>
      </c>
      <c r="Z129" t="s">
        <v>179</v>
      </c>
      <c r="AA129" t="s">
        <v>107</v>
      </c>
      <c r="AB129">
        <v>2025</v>
      </c>
      <c r="AC129">
        <v>0</v>
      </c>
      <c r="AD129" s="23">
        <f>AC129*1000000000000/Assumptions!$B$17/1000</f>
        <v>0</v>
      </c>
      <c r="AE129" s="9">
        <f t="shared" si="74"/>
        <v>5.2549999999999999</v>
      </c>
      <c r="AF129">
        <f>IF(LEFT(Z129,4)="Blue",Assumptions!$G$57,0)</f>
        <v>0</v>
      </c>
      <c r="AG129">
        <f>IF(LEFT(Z129,4)="Blue",Assumptions!$G$59,IF(LEFT(Z129,4)="Gree",Assumptions!$G$60,0))</f>
        <v>10.51</v>
      </c>
      <c r="AH129" s="6">
        <f t="shared" ref="AH129:AJ129" si="144">AH108</f>
        <v>99.359553682832001</v>
      </c>
      <c r="AI129" s="6">
        <f t="shared" si="144"/>
        <v>98.269107365663999</v>
      </c>
      <c r="AJ129" s="6">
        <f t="shared" si="144"/>
        <v>100.45</v>
      </c>
      <c r="AK129" s="51">
        <f t="shared" si="76"/>
        <v>-88.849553682831996</v>
      </c>
      <c r="AL129" s="51">
        <f t="shared" si="77"/>
        <v>-87.759107365663994</v>
      </c>
      <c r="AM129" s="51">
        <f t="shared" si="78"/>
        <v>-89.94</v>
      </c>
      <c r="AN129">
        <f>IFERROR(INDEX(WaterUseH2[Average Direct Water Consumption (Gal/ kg h2)],MATCH(LEFT(Hydrogen!Y129,3),WaterUseH2[Key],0)),0)</f>
        <v>2.8</v>
      </c>
      <c r="AO129" s="13">
        <f t="shared" si="73"/>
        <v>0</v>
      </c>
      <c r="AP129" s="13">
        <f>IF(Y129=$Y$3,AD129*Assumptions!$C$8*1000/1000,0)</f>
        <v>0</v>
      </c>
      <c r="AQ129" s="30">
        <f t="shared" si="79"/>
        <v>0</v>
      </c>
      <c r="AR129" s="30">
        <f>$AQ129*Assumptions!B$76</f>
        <v>0</v>
      </c>
      <c r="AS129" s="30">
        <f>$AQ129*Assumptions!C$76</f>
        <v>0</v>
      </c>
      <c r="AT129" s="30">
        <f>$AQ129*Assumptions!D$76</f>
        <v>0</v>
      </c>
      <c r="BC129" t="s">
        <v>188</v>
      </c>
      <c r="BD129" t="s">
        <v>107</v>
      </c>
      <c r="BE129">
        <v>2044</v>
      </c>
      <c r="BF129" s="21">
        <v>0</v>
      </c>
      <c r="BG129" t="s">
        <v>181</v>
      </c>
      <c r="BH129" s="118">
        <f>Assumptions!E104*-1</f>
        <v>1.7716379348013239E-5</v>
      </c>
      <c r="BI129" s="118">
        <f>Assumptions!F104*-1</f>
        <v>9.4595093249388888E-6</v>
      </c>
      <c r="BJ129" s="118">
        <f>Assumptions!G104*-1</f>
        <v>2.5973249093296208E-5</v>
      </c>
      <c r="BK129" t="s">
        <v>189</v>
      </c>
    </row>
    <row r="130" spans="25:63" x14ac:dyDescent="0.35">
      <c r="Y130" t="s">
        <v>178</v>
      </c>
      <c r="Z130" t="s">
        <v>179</v>
      </c>
      <c r="AA130" t="s">
        <v>107</v>
      </c>
      <c r="AB130">
        <v>2026</v>
      </c>
      <c r="AC130">
        <v>0</v>
      </c>
      <c r="AD130" s="23">
        <f>AC130*1000000000000/Assumptions!$B$17/1000</f>
        <v>0</v>
      </c>
      <c r="AE130" s="9">
        <f t="shared" si="74"/>
        <v>5.2549999999999999</v>
      </c>
      <c r="AF130">
        <f>IF(LEFT(Z130,4)="Blue",Assumptions!$G$57,0)</f>
        <v>0</v>
      </c>
      <c r="AG130">
        <f>IF(LEFT(Z130,4)="Blue",Assumptions!$G$59,IF(LEFT(Z130,4)="Gree",Assumptions!$G$60,0))</f>
        <v>10.51</v>
      </c>
      <c r="AH130" s="6">
        <f t="shared" ref="AH130:AJ130" si="145">AH109</f>
        <v>99.000787443158117</v>
      </c>
      <c r="AI130" s="6">
        <f t="shared" si="145"/>
        <v>97.551574886316232</v>
      </c>
      <c r="AJ130" s="6">
        <f t="shared" si="145"/>
        <v>100.45</v>
      </c>
      <c r="AK130" s="51">
        <f t="shared" si="76"/>
        <v>-88.490787443158112</v>
      </c>
      <c r="AL130" s="51">
        <f t="shared" si="77"/>
        <v>-87.041574886316226</v>
      </c>
      <c r="AM130" s="51">
        <f t="shared" si="78"/>
        <v>-89.94</v>
      </c>
      <c r="AN130">
        <f>IFERROR(INDEX(WaterUseH2[Average Direct Water Consumption (Gal/ kg h2)],MATCH(LEFT(Hydrogen!Y130,3),WaterUseH2[Key],0)),0)</f>
        <v>2.8</v>
      </c>
      <c r="AO130" s="13">
        <f t="shared" si="73"/>
        <v>0</v>
      </c>
      <c r="AP130" s="13">
        <f>IF(Y130=$Y$3,AD130*Assumptions!$C$8*1000/1000,0)</f>
        <v>0</v>
      </c>
      <c r="AQ130" s="30">
        <f t="shared" si="79"/>
        <v>0</v>
      </c>
      <c r="AR130" s="30">
        <f>$AQ130*Assumptions!B$76</f>
        <v>0</v>
      </c>
      <c r="AS130" s="30">
        <f>$AQ130*Assumptions!C$76</f>
        <v>0</v>
      </c>
      <c r="AT130" s="30">
        <f>$AQ130*Assumptions!D$76</f>
        <v>0</v>
      </c>
      <c r="BC130" t="s">
        <v>188</v>
      </c>
      <c r="BD130" t="s">
        <v>107</v>
      </c>
      <c r="BE130">
        <v>2045</v>
      </c>
      <c r="BF130" s="21">
        <v>0</v>
      </c>
      <c r="BG130" t="s">
        <v>181</v>
      </c>
      <c r="BH130" s="118">
        <f>Assumptions!E105*-1</f>
        <v>1.6543009238729828E-5</v>
      </c>
      <c r="BI130" s="118">
        <f>Assumptions!F105*-1</f>
        <v>8.0267256105782254E-6</v>
      </c>
      <c r="BJ130" s="118">
        <f>Assumptions!G105*-1</f>
        <v>2.5059292589090046E-5</v>
      </c>
      <c r="BK130" t="s">
        <v>189</v>
      </c>
    </row>
    <row r="131" spans="25:63" x14ac:dyDescent="0.35">
      <c r="Y131" t="s">
        <v>178</v>
      </c>
      <c r="Z131" t="s">
        <v>179</v>
      </c>
      <c r="AA131" t="s">
        <v>107</v>
      </c>
      <c r="AB131">
        <v>2027</v>
      </c>
      <c r="AC131">
        <v>0</v>
      </c>
      <c r="AD131" s="23">
        <f>AC131*1000000000000/Assumptions!$B$17/1000</f>
        <v>0</v>
      </c>
      <c r="AE131" s="9">
        <f t="shared" si="74"/>
        <v>5.2549999999999999</v>
      </c>
      <c r="AF131">
        <f>IF(LEFT(Z131,4)="Blue",Assumptions!$G$57,0)</f>
        <v>0</v>
      </c>
      <c r="AG131">
        <f>IF(LEFT(Z131,4)="Blue",Assumptions!$G$59,IF(LEFT(Z131,4)="Gree",Assumptions!$G$60,0))</f>
        <v>10.51</v>
      </c>
      <c r="AH131" s="6">
        <f t="shared" ref="AH131:AJ131" si="146">AH110</f>
        <v>98.562436921360089</v>
      </c>
      <c r="AI131" s="6">
        <f t="shared" si="146"/>
        <v>96.674873842720174</v>
      </c>
      <c r="AJ131" s="6">
        <f t="shared" si="146"/>
        <v>100.45</v>
      </c>
      <c r="AK131" s="51">
        <f t="shared" si="76"/>
        <v>-88.052436921360083</v>
      </c>
      <c r="AL131" s="51">
        <f t="shared" si="77"/>
        <v>-86.164873842720169</v>
      </c>
      <c r="AM131" s="51">
        <f t="shared" si="78"/>
        <v>-89.94</v>
      </c>
      <c r="AN131">
        <f>IFERROR(INDEX(WaterUseH2[Average Direct Water Consumption (Gal/ kg h2)],MATCH(LEFT(Hydrogen!Y131,3),WaterUseH2[Key],0)),0)</f>
        <v>2.8</v>
      </c>
      <c r="AO131" s="13">
        <f t="shared" ref="AO131:AO194" si="147">AD131*AN131*1000/1000000</f>
        <v>0</v>
      </c>
      <c r="AP131" s="13">
        <f>IF(Y131=$Y$3,AD131*Assumptions!$C$8*1000/1000,0)</f>
        <v>0</v>
      </c>
      <c r="AQ131" s="30">
        <f t="shared" si="79"/>
        <v>0</v>
      </c>
      <c r="AR131" s="30">
        <f>$AQ131*Assumptions!B$76</f>
        <v>0</v>
      </c>
      <c r="AS131" s="30">
        <f>$AQ131*Assumptions!C$76</f>
        <v>0</v>
      </c>
      <c r="AT131" s="30">
        <f>$AQ131*Assumptions!D$76</f>
        <v>0</v>
      </c>
    </row>
    <row r="132" spans="25:63" x14ac:dyDescent="0.35">
      <c r="Y132" t="s">
        <v>178</v>
      </c>
      <c r="Z132" t="s">
        <v>179</v>
      </c>
      <c r="AA132" t="s">
        <v>107</v>
      </c>
      <c r="AB132">
        <v>2028</v>
      </c>
      <c r="AC132">
        <v>0</v>
      </c>
      <c r="AD132" s="23">
        <f>AC132*1000000000000/Assumptions!$B$17/1000</f>
        <v>0</v>
      </c>
      <c r="AE132" s="9">
        <f t="shared" ref="AE132:AE195" si="148">AVERAGE(AF132:AG132)</f>
        <v>5.2549999999999999</v>
      </c>
      <c r="AF132">
        <f>IF(LEFT(Z132,4)="Blue",Assumptions!$G$57,0)</f>
        <v>0</v>
      </c>
      <c r="AG132">
        <f>IF(LEFT(Z132,4)="Blue",Assumptions!$G$59,IF(LEFT(Z132,4)="Gree",Assumptions!$G$60,0))</f>
        <v>10.51</v>
      </c>
      <c r="AH132" s="6">
        <f t="shared" ref="AH132:AJ132" si="149">AH111</f>
        <v>98.088874094271858</v>
      </c>
      <c r="AI132" s="6">
        <f t="shared" si="149"/>
        <v>95.7277481885437</v>
      </c>
      <c r="AJ132" s="6">
        <f t="shared" si="149"/>
        <v>100.45</v>
      </c>
      <c r="AK132" s="51">
        <f t="shared" ref="AK132:AK195" si="150">AVERAGE(AL132:AM132)</f>
        <v>-87.578874094271839</v>
      </c>
      <c r="AL132" s="51">
        <f t="shared" ref="AL132:AL195" si="151">IF(AG132-AI132&gt;0,0,AG132-AI132)</f>
        <v>-85.217748188543695</v>
      </c>
      <c r="AM132" s="51">
        <f t="shared" ref="AM132:AM195" si="152">AG132-AJ132</f>
        <v>-89.94</v>
      </c>
      <c r="AN132">
        <f>IFERROR(INDEX(WaterUseH2[Average Direct Water Consumption (Gal/ kg h2)],MATCH(LEFT(Hydrogen!Y132,3),WaterUseH2[Key],0)),0)</f>
        <v>2.8</v>
      </c>
      <c r="AO132" s="13">
        <f t="shared" si="147"/>
        <v>0</v>
      </c>
      <c r="AP132" s="13">
        <f>IF(Y132=$Y$3,AD132*Assumptions!$C$8*1000/1000,0)</f>
        <v>0</v>
      </c>
      <c r="AQ132" s="30">
        <f t="shared" ref="AQ132:AQ195" si="153">AP132/8760/30%</f>
        <v>0</v>
      </c>
      <c r="AR132" s="30">
        <f>$AQ132*Assumptions!B$76</f>
        <v>0</v>
      </c>
      <c r="AS132" s="30">
        <f>$AQ132*Assumptions!C$76</f>
        <v>0</v>
      </c>
      <c r="AT132" s="30">
        <f>$AQ132*Assumptions!D$76</f>
        <v>0</v>
      </c>
    </row>
    <row r="133" spans="25:63" x14ac:dyDescent="0.35">
      <c r="Y133" t="s">
        <v>178</v>
      </c>
      <c r="Z133" t="s">
        <v>179</v>
      </c>
      <c r="AA133" t="s">
        <v>107</v>
      </c>
      <c r="AB133">
        <v>2029</v>
      </c>
      <c r="AC133">
        <v>0</v>
      </c>
      <c r="AD133" s="23">
        <f>AC133*1000000000000/Assumptions!$B$17/1000</f>
        <v>0</v>
      </c>
      <c r="AE133" s="9">
        <f t="shared" si="148"/>
        <v>5.2549999999999999</v>
      </c>
      <c r="AF133">
        <f>IF(LEFT(Z133,4)="Blue",Assumptions!$G$57,0)</f>
        <v>0</v>
      </c>
      <c r="AG133">
        <f>IF(LEFT(Z133,4)="Blue",Assumptions!$G$59,IF(LEFT(Z133,4)="Gree",Assumptions!$G$60,0))</f>
        <v>10.51</v>
      </c>
      <c r="AH133" s="6">
        <f t="shared" ref="AH133:AJ133" si="154">AH112</f>
        <v>97.544867879479852</v>
      </c>
      <c r="AI133" s="6">
        <f t="shared" si="154"/>
        <v>94.639735758959688</v>
      </c>
      <c r="AJ133" s="6">
        <f t="shared" si="154"/>
        <v>100.45</v>
      </c>
      <c r="AK133" s="51">
        <f t="shared" si="150"/>
        <v>-87.034867879479833</v>
      </c>
      <c r="AL133" s="51">
        <f t="shared" si="151"/>
        <v>-84.129735758959683</v>
      </c>
      <c r="AM133" s="51">
        <f t="shared" si="152"/>
        <v>-89.94</v>
      </c>
      <c r="AN133">
        <f>IFERROR(INDEX(WaterUseH2[Average Direct Water Consumption (Gal/ kg h2)],MATCH(LEFT(Hydrogen!Y133,3),WaterUseH2[Key],0)),0)</f>
        <v>2.8</v>
      </c>
      <c r="AO133" s="13">
        <f t="shared" si="147"/>
        <v>0</v>
      </c>
      <c r="AP133" s="13">
        <f>IF(Y133=$Y$3,AD133*Assumptions!$C$8*1000/1000,0)</f>
        <v>0</v>
      </c>
      <c r="AQ133" s="30">
        <f t="shared" si="153"/>
        <v>0</v>
      </c>
      <c r="AR133" s="30">
        <f>$AQ133*Assumptions!B$76</f>
        <v>0</v>
      </c>
      <c r="AS133" s="30">
        <f>$AQ133*Assumptions!C$76</f>
        <v>0</v>
      </c>
      <c r="AT133" s="30">
        <f>$AQ133*Assumptions!D$76</f>
        <v>0</v>
      </c>
    </row>
    <row r="134" spans="25:63" x14ac:dyDescent="0.35">
      <c r="Y134" t="s">
        <v>178</v>
      </c>
      <c r="Z134" t="s">
        <v>179</v>
      </c>
      <c r="AA134" t="s">
        <v>107</v>
      </c>
      <c r="AB134">
        <v>2030</v>
      </c>
      <c r="AC134">
        <v>0</v>
      </c>
      <c r="AD134" s="23">
        <f>AC134*1000000000000/Assumptions!$B$17/1000</f>
        <v>0</v>
      </c>
      <c r="AE134" s="9">
        <f t="shared" si="148"/>
        <v>5.2549999999999999</v>
      </c>
      <c r="AF134">
        <f>IF(LEFT(Z134,4)="Blue",Assumptions!$G$57,0)</f>
        <v>0</v>
      </c>
      <c r="AG134">
        <f>IF(LEFT(Z134,4)="Blue",Assumptions!$G$59,IF(LEFT(Z134,4)="Gree",Assumptions!$G$60,0))</f>
        <v>10.51</v>
      </c>
      <c r="AH134" s="6">
        <f t="shared" ref="AH134:AJ134" si="155">AH113</f>
        <v>96.924614347496885</v>
      </c>
      <c r="AI134" s="6">
        <f t="shared" si="155"/>
        <v>93.399228694993766</v>
      </c>
      <c r="AJ134" s="6">
        <f t="shared" si="155"/>
        <v>100.45</v>
      </c>
      <c r="AK134" s="51">
        <f t="shared" si="150"/>
        <v>-86.41461434749688</v>
      </c>
      <c r="AL134" s="51">
        <f t="shared" si="151"/>
        <v>-82.889228694993761</v>
      </c>
      <c r="AM134" s="51">
        <f t="shared" si="152"/>
        <v>-89.94</v>
      </c>
      <c r="AN134">
        <f>IFERROR(INDEX(WaterUseH2[Average Direct Water Consumption (Gal/ kg h2)],MATCH(LEFT(Hydrogen!Y134,3),WaterUseH2[Key],0)),0)</f>
        <v>2.8</v>
      </c>
      <c r="AO134" s="13">
        <f t="shared" si="147"/>
        <v>0</v>
      </c>
      <c r="AP134" s="13">
        <f>IF(Y134=$Y$3,AD134*Assumptions!$C$8*1000/1000,0)</f>
        <v>0</v>
      </c>
      <c r="AQ134" s="30">
        <f t="shared" si="153"/>
        <v>0</v>
      </c>
      <c r="AR134" s="30">
        <f>$AQ134*Assumptions!B$76</f>
        <v>0</v>
      </c>
      <c r="AS134" s="30">
        <f>$AQ134*Assumptions!C$76</f>
        <v>0</v>
      </c>
      <c r="AT134" s="30">
        <f>$AQ134*Assumptions!D$76</f>
        <v>0</v>
      </c>
    </row>
    <row r="135" spans="25:63" x14ac:dyDescent="0.35">
      <c r="Y135" t="s">
        <v>178</v>
      </c>
      <c r="Z135" t="s">
        <v>179</v>
      </c>
      <c r="AA135" t="s">
        <v>107</v>
      </c>
      <c r="AB135">
        <v>2031</v>
      </c>
      <c r="AC135">
        <v>0</v>
      </c>
      <c r="AD135" s="23">
        <f>AC135*1000000000000/Assumptions!$B$17/1000</f>
        <v>0</v>
      </c>
      <c r="AE135" s="9">
        <f t="shared" si="148"/>
        <v>5.2549999999999999</v>
      </c>
      <c r="AF135">
        <f>IF(LEFT(Z135,4)="Blue",Assumptions!$G$57,0)</f>
        <v>0</v>
      </c>
      <c r="AG135">
        <f>IF(LEFT(Z135,4)="Blue",Assumptions!$G$59,IF(LEFT(Z135,4)="Gree",Assumptions!$G$60,0))</f>
        <v>10.51</v>
      </c>
      <c r="AH135" s="6">
        <f t="shared" ref="AH135:AJ135" si="156">AH114</f>
        <v>96.219877469537067</v>
      </c>
      <c r="AI135" s="6">
        <f t="shared" si="156"/>
        <v>91.989754939074118</v>
      </c>
      <c r="AJ135" s="6">
        <f t="shared" si="156"/>
        <v>100.45</v>
      </c>
      <c r="AK135" s="51">
        <f t="shared" si="150"/>
        <v>-85.709877469537048</v>
      </c>
      <c r="AL135" s="51">
        <f t="shared" si="151"/>
        <v>-81.479754939074112</v>
      </c>
      <c r="AM135" s="51">
        <f t="shared" si="152"/>
        <v>-89.94</v>
      </c>
      <c r="AN135">
        <f>IFERROR(INDEX(WaterUseH2[Average Direct Water Consumption (Gal/ kg h2)],MATCH(LEFT(Hydrogen!Y135,3),WaterUseH2[Key],0)),0)</f>
        <v>2.8</v>
      </c>
      <c r="AO135" s="13">
        <f t="shared" si="147"/>
        <v>0</v>
      </c>
      <c r="AP135" s="13">
        <f>IF(Y135=$Y$3,AD135*Assumptions!$C$8*1000/1000,0)</f>
        <v>0</v>
      </c>
      <c r="AQ135" s="30">
        <f t="shared" si="153"/>
        <v>0</v>
      </c>
      <c r="AR135" s="30">
        <f>$AQ135*Assumptions!B$76</f>
        <v>0</v>
      </c>
      <c r="AS135" s="30">
        <f>$AQ135*Assumptions!C$76</f>
        <v>0</v>
      </c>
      <c r="AT135" s="30">
        <f>$AQ135*Assumptions!D$76</f>
        <v>0</v>
      </c>
    </row>
    <row r="136" spans="25:63" x14ac:dyDescent="0.35">
      <c r="Y136" t="s">
        <v>178</v>
      </c>
      <c r="Z136" t="s">
        <v>179</v>
      </c>
      <c r="AA136" t="s">
        <v>107</v>
      </c>
      <c r="AB136">
        <v>2032</v>
      </c>
      <c r="AC136">
        <v>0</v>
      </c>
      <c r="AD136" s="23">
        <f>AC136*1000000000000/Assumptions!$B$17/1000</f>
        <v>0</v>
      </c>
      <c r="AE136" s="9">
        <f t="shared" si="148"/>
        <v>5.2549999999999999</v>
      </c>
      <c r="AF136">
        <f>IF(LEFT(Z136,4)="Blue",Assumptions!$G$57,0)</f>
        <v>0</v>
      </c>
      <c r="AG136">
        <f>IF(LEFT(Z136,4)="Blue",Assumptions!$G$59,IF(LEFT(Z136,4)="Gree",Assumptions!$G$60,0))</f>
        <v>10.51</v>
      </c>
      <c r="AH136" s="6">
        <f t="shared" ref="AH136:AJ136" si="157">AH115</f>
        <v>95.431212950513526</v>
      </c>
      <c r="AI136" s="6">
        <f t="shared" si="157"/>
        <v>90.412425901027063</v>
      </c>
      <c r="AJ136" s="6">
        <f t="shared" si="157"/>
        <v>100.45</v>
      </c>
      <c r="AK136" s="51">
        <f t="shared" si="150"/>
        <v>-84.921212950513535</v>
      </c>
      <c r="AL136" s="51">
        <f t="shared" si="151"/>
        <v>-79.902425901027058</v>
      </c>
      <c r="AM136" s="51">
        <f t="shared" si="152"/>
        <v>-89.94</v>
      </c>
      <c r="AN136">
        <f>IFERROR(INDEX(WaterUseH2[Average Direct Water Consumption (Gal/ kg h2)],MATCH(LEFT(Hydrogen!Y136,3),WaterUseH2[Key],0)),0)</f>
        <v>2.8</v>
      </c>
      <c r="AO136" s="13">
        <f t="shared" si="147"/>
        <v>0</v>
      </c>
      <c r="AP136" s="13">
        <f>IF(Y136=$Y$3,AD136*Assumptions!$C$8*1000/1000,0)</f>
        <v>0</v>
      </c>
      <c r="AQ136" s="30">
        <f t="shared" si="153"/>
        <v>0</v>
      </c>
      <c r="AR136" s="30">
        <f>$AQ136*Assumptions!B$76</f>
        <v>0</v>
      </c>
      <c r="AS136" s="30">
        <f>$AQ136*Assumptions!C$76</f>
        <v>0</v>
      </c>
      <c r="AT136" s="30">
        <f>$AQ136*Assumptions!D$76</f>
        <v>0</v>
      </c>
    </row>
    <row r="137" spans="25:63" x14ac:dyDescent="0.35">
      <c r="Y137" t="s">
        <v>178</v>
      </c>
      <c r="Z137" t="s">
        <v>179</v>
      </c>
      <c r="AA137" t="s">
        <v>107</v>
      </c>
      <c r="AB137">
        <v>2033</v>
      </c>
      <c r="AC137">
        <v>0</v>
      </c>
      <c r="AD137" s="23">
        <f>AC137*1000000000000/Assumptions!$B$17/1000</f>
        <v>0</v>
      </c>
      <c r="AE137" s="9">
        <f t="shared" si="148"/>
        <v>5.2549999999999999</v>
      </c>
      <c r="AF137">
        <f>IF(LEFT(Z137,4)="Blue",Assumptions!$G$57,0)</f>
        <v>0</v>
      </c>
      <c r="AG137">
        <f>IF(LEFT(Z137,4)="Blue",Assumptions!$G$59,IF(LEFT(Z137,4)="Gree",Assumptions!$G$60,0))</f>
        <v>10.51</v>
      </c>
      <c r="AH137" s="6">
        <f t="shared" ref="AH137:AJ137" si="158">AH116</f>
        <v>94.525495952097856</v>
      </c>
      <c r="AI137" s="6">
        <f t="shared" si="158"/>
        <v>88.600991904195695</v>
      </c>
      <c r="AJ137" s="6">
        <f t="shared" si="158"/>
        <v>100.45</v>
      </c>
      <c r="AK137" s="51">
        <f t="shared" si="150"/>
        <v>-84.015495952097837</v>
      </c>
      <c r="AL137" s="51">
        <f t="shared" si="151"/>
        <v>-78.09099190419569</v>
      </c>
      <c r="AM137" s="51">
        <f t="shared" si="152"/>
        <v>-89.94</v>
      </c>
      <c r="AN137">
        <f>IFERROR(INDEX(WaterUseH2[Average Direct Water Consumption (Gal/ kg h2)],MATCH(LEFT(Hydrogen!Y137,3),WaterUseH2[Key],0)),0)</f>
        <v>2.8</v>
      </c>
      <c r="AO137" s="13">
        <f t="shared" si="147"/>
        <v>0</v>
      </c>
      <c r="AP137" s="13">
        <f>IF(Y137=$Y$3,AD137*Assumptions!$C$8*1000/1000,0)</f>
        <v>0</v>
      </c>
      <c r="AQ137" s="30">
        <f t="shared" si="153"/>
        <v>0</v>
      </c>
      <c r="AR137" s="30">
        <f>$AQ137*Assumptions!B$76</f>
        <v>0</v>
      </c>
      <c r="AS137" s="30">
        <f>$AQ137*Assumptions!C$76</f>
        <v>0</v>
      </c>
      <c r="AT137" s="30">
        <f>$AQ137*Assumptions!D$76</f>
        <v>0</v>
      </c>
    </row>
    <row r="138" spans="25:63" x14ac:dyDescent="0.35">
      <c r="Y138" t="s">
        <v>178</v>
      </c>
      <c r="Z138" t="s">
        <v>179</v>
      </c>
      <c r="AA138" t="s">
        <v>107</v>
      </c>
      <c r="AB138">
        <v>2034</v>
      </c>
      <c r="AC138">
        <v>0</v>
      </c>
      <c r="AD138" s="23">
        <f>AC138*1000000000000/Assumptions!$B$17/1000</f>
        <v>0</v>
      </c>
      <c r="AE138" s="9">
        <f t="shared" si="148"/>
        <v>5.2549999999999999</v>
      </c>
      <c r="AF138">
        <f>IF(LEFT(Z138,4)="Blue",Assumptions!$G$57,0)</f>
        <v>0</v>
      </c>
      <c r="AG138">
        <f>IF(LEFT(Z138,4)="Blue",Assumptions!$G$59,IF(LEFT(Z138,4)="Gree",Assumptions!$G$60,0))</f>
        <v>10.51</v>
      </c>
      <c r="AH138" s="6">
        <f t="shared" ref="AH138:AJ138" si="159">AH117</f>
        <v>93.515198320512312</v>
      </c>
      <c r="AI138" s="6">
        <f t="shared" si="159"/>
        <v>86.58039664102462</v>
      </c>
      <c r="AJ138" s="6">
        <f t="shared" si="159"/>
        <v>100.45</v>
      </c>
      <c r="AK138" s="51">
        <f t="shared" si="150"/>
        <v>-83.005198320512307</v>
      </c>
      <c r="AL138" s="51">
        <f t="shared" si="151"/>
        <v>-76.070396641024615</v>
      </c>
      <c r="AM138" s="51">
        <f t="shared" si="152"/>
        <v>-89.94</v>
      </c>
      <c r="AN138">
        <f>IFERROR(INDEX(WaterUseH2[Average Direct Water Consumption (Gal/ kg h2)],MATCH(LEFT(Hydrogen!Y138,3),WaterUseH2[Key],0)),0)</f>
        <v>2.8</v>
      </c>
      <c r="AO138" s="13">
        <f t="shared" si="147"/>
        <v>0</v>
      </c>
      <c r="AP138" s="13">
        <f>IF(Y138=$Y$3,AD138*Assumptions!$C$8*1000/1000,0)</f>
        <v>0</v>
      </c>
      <c r="AQ138" s="30">
        <f t="shared" si="153"/>
        <v>0</v>
      </c>
      <c r="AR138" s="30">
        <f>$AQ138*Assumptions!B$76</f>
        <v>0</v>
      </c>
      <c r="AS138" s="30">
        <f>$AQ138*Assumptions!C$76</f>
        <v>0</v>
      </c>
      <c r="AT138" s="30">
        <f>$AQ138*Assumptions!D$76</f>
        <v>0</v>
      </c>
    </row>
    <row r="139" spans="25:63" x14ac:dyDescent="0.35">
      <c r="Y139" t="s">
        <v>178</v>
      </c>
      <c r="Z139" t="s">
        <v>179</v>
      </c>
      <c r="AA139" t="s">
        <v>107</v>
      </c>
      <c r="AB139">
        <v>2035</v>
      </c>
      <c r="AC139">
        <v>0</v>
      </c>
      <c r="AD139" s="23">
        <f>AC139*1000000000000/Assumptions!$B$17/1000</f>
        <v>0</v>
      </c>
      <c r="AE139" s="9">
        <f t="shared" si="148"/>
        <v>5.2549999999999999</v>
      </c>
      <c r="AF139">
        <f>IF(LEFT(Z139,4)="Blue",Assumptions!$G$57,0)</f>
        <v>0</v>
      </c>
      <c r="AG139">
        <f>IF(LEFT(Z139,4)="Blue",Assumptions!$G$59,IF(LEFT(Z139,4)="Gree",Assumptions!$G$60,0))</f>
        <v>10.51</v>
      </c>
      <c r="AH139" s="6">
        <f t="shared" ref="AH139:AJ139" si="160">AH118</f>
        <v>92.361658919879176</v>
      </c>
      <c r="AI139" s="6">
        <f t="shared" si="160"/>
        <v>84.273317839758363</v>
      </c>
      <c r="AJ139" s="6">
        <f t="shared" si="160"/>
        <v>100.45</v>
      </c>
      <c r="AK139" s="51">
        <f t="shared" si="150"/>
        <v>-81.851658919879185</v>
      </c>
      <c r="AL139" s="51">
        <f t="shared" si="151"/>
        <v>-73.763317839758358</v>
      </c>
      <c r="AM139" s="51">
        <f t="shared" si="152"/>
        <v>-89.94</v>
      </c>
      <c r="AN139">
        <f>IFERROR(INDEX(WaterUseH2[Average Direct Water Consumption (Gal/ kg h2)],MATCH(LEFT(Hydrogen!Y139,3),WaterUseH2[Key],0)),0)</f>
        <v>2.8</v>
      </c>
      <c r="AO139" s="13">
        <f t="shared" si="147"/>
        <v>0</v>
      </c>
      <c r="AP139" s="13">
        <f>IF(Y139=$Y$3,AD139*Assumptions!$C$8*1000/1000,0)</f>
        <v>0</v>
      </c>
      <c r="AQ139" s="30">
        <f t="shared" si="153"/>
        <v>0</v>
      </c>
      <c r="AR139" s="30">
        <f>$AQ139*Assumptions!B$76</f>
        <v>0</v>
      </c>
      <c r="AS139" s="30">
        <f>$AQ139*Assumptions!C$76</f>
        <v>0</v>
      </c>
      <c r="AT139" s="30">
        <f>$AQ139*Assumptions!D$76</f>
        <v>0</v>
      </c>
    </row>
    <row r="140" spans="25:63" x14ac:dyDescent="0.35">
      <c r="Y140" t="s">
        <v>178</v>
      </c>
      <c r="Z140" t="s">
        <v>179</v>
      </c>
      <c r="AA140" t="s">
        <v>107</v>
      </c>
      <c r="AB140">
        <v>2036</v>
      </c>
      <c r="AC140">
        <v>0</v>
      </c>
      <c r="AD140" s="23">
        <f>AC140*1000000000000/Assumptions!$B$17/1000</f>
        <v>0</v>
      </c>
      <c r="AE140" s="9">
        <f t="shared" si="148"/>
        <v>5.2549999999999999</v>
      </c>
      <c r="AF140">
        <f>IF(LEFT(Z140,4)="Blue",Assumptions!$G$57,0)</f>
        <v>0</v>
      </c>
      <c r="AG140">
        <f>IF(LEFT(Z140,4)="Blue",Assumptions!$G$59,IF(LEFT(Z140,4)="Gree",Assumptions!$G$60,0))</f>
        <v>10.51</v>
      </c>
      <c r="AH140" s="6">
        <f t="shared" ref="AH140:AJ140" si="161">AH119</f>
        <v>91.12437315283151</v>
      </c>
      <c r="AI140" s="6">
        <f t="shared" si="161"/>
        <v>81.798746305663002</v>
      </c>
      <c r="AJ140" s="6">
        <f t="shared" si="161"/>
        <v>100.45</v>
      </c>
      <c r="AK140" s="51">
        <f t="shared" si="150"/>
        <v>-80.61437315283149</v>
      </c>
      <c r="AL140" s="51">
        <f t="shared" si="151"/>
        <v>-71.288746305662997</v>
      </c>
      <c r="AM140" s="51">
        <f t="shared" si="152"/>
        <v>-89.94</v>
      </c>
      <c r="AN140">
        <f>IFERROR(INDEX(WaterUseH2[Average Direct Water Consumption (Gal/ kg h2)],MATCH(LEFT(Hydrogen!Y140,3),WaterUseH2[Key],0)),0)</f>
        <v>2.8</v>
      </c>
      <c r="AO140" s="13">
        <f t="shared" si="147"/>
        <v>0</v>
      </c>
      <c r="AP140" s="13">
        <f>IF(Y140=$Y$3,AD140*Assumptions!$C$8*1000/1000,0)</f>
        <v>0</v>
      </c>
      <c r="AQ140" s="30">
        <f t="shared" si="153"/>
        <v>0</v>
      </c>
      <c r="AR140" s="30">
        <f>$AQ140*Assumptions!B$76</f>
        <v>0</v>
      </c>
      <c r="AS140" s="30">
        <f>$AQ140*Assumptions!C$76</f>
        <v>0</v>
      </c>
      <c r="AT140" s="30">
        <f>$AQ140*Assumptions!D$76</f>
        <v>0</v>
      </c>
    </row>
    <row r="141" spans="25:63" x14ac:dyDescent="0.35">
      <c r="Y141" t="s">
        <v>178</v>
      </c>
      <c r="Z141" t="s">
        <v>179</v>
      </c>
      <c r="AA141" t="s">
        <v>107</v>
      </c>
      <c r="AB141">
        <v>2037</v>
      </c>
      <c r="AC141">
        <v>0</v>
      </c>
      <c r="AD141" s="23">
        <f>AC141*1000000000000/Assumptions!$B$17/1000</f>
        <v>0</v>
      </c>
      <c r="AE141" s="9">
        <f t="shared" si="148"/>
        <v>5.2549999999999999</v>
      </c>
      <c r="AF141">
        <f>IF(LEFT(Z141,4)="Blue",Assumptions!$G$57,0)</f>
        <v>0</v>
      </c>
      <c r="AG141">
        <f>IF(LEFT(Z141,4)="Blue",Assumptions!$G$59,IF(LEFT(Z141,4)="Gree",Assumptions!$G$60,0))</f>
        <v>10.51</v>
      </c>
      <c r="AH141" s="6">
        <f t="shared" ref="AH141:AJ141" si="162">AH120</f>
        <v>89.845883938555232</v>
      </c>
      <c r="AI141" s="6">
        <f t="shared" si="162"/>
        <v>79.241767877110448</v>
      </c>
      <c r="AJ141" s="6">
        <f t="shared" si="162"/>
        <v>100.45</v>
      </c>
      <c r="AK141" s="51">
        <f t="shared" si="150"/>
        <v>-79.335883938555213</v>
      </c>
      <c r="AL141" s="51">
        <f t="shared" si="151"/>
        <v>-68.731767877110443</v>
      </c>
      <c r="AM141" s="51">
        <f t="shared" si="152"/>
        <v>-89.94</v>
      </c>
      <c r="AN141">
        <f>IFERROR(INDEX(WaterUseH2[Average Direct Water Consumption (Gal/ kg h2)],MATCH(LEFT(Hydrogen!Y141,3),WaterUseH2[Key],0)),0)</f>
        <v>2.8</v>
      </c>
      <c r="AO141" s="13">
        <f t="shared" si="147"/>
        <v>0</v>
      </c>
      <c r="AP141" s="13">
        <f>IF(Y141=$Y$3,AD141*Assumptions!$C$8*1000/1000,0)</f>
        <v>0</v>
      </c>
      <c r="AQ141" s="30">
        <f t="shared" si="153"/>
        <v>0</v>
      </c>
      <c r="AR141" s="30">
        <f>$AQ141*Assumptions!B$76</f>
        <v>0</v>
      </c>
      <c r="AS141" s="30">
        <f>$AQ141*Assumptions!C$76</f>
        <v>0</v>
      </c>
      <c r="AT141" s="30">
        <f>$AQ141*Assumptions!D$76</f>
        <v>0</v>
      </c>
    </row>
    <row r="142" spans="25:63" x14ac:dyDescent="0.35">
      <c r="Y142" t="s">
        <v>178</v>
      </c>
      <c r="Z142" t="s">
        <v>179</v>
      </c>
      <c r="AA142" t="s">
        <v>107</v>
      </c>
      <c r="AB142">
        <v>2038</v>
      </c>
      <c r="AC142">
        <v>0</v>
      </c>
      <c r="AD142" s="23">
        <f>AC142*1000000000000/Assumptions!$B$17/1000</f>
        <v>0</v>
      </c>
      <c r="AE142" s="9">
        <f t="shared" si="148"/>
        <v>5.2549999999999999</v>
      </c>
      <c r="AF142">
        <f>IF(LEFT(Z142,4)="Blue",Assumptions!$G$57,0)</f>
        <v>0</v>
      </c>
      <c r="AG142">
        <f>IF(LEFT(Z142,4)="Blue",Assumptions!$G$59,IF(LEFT(Z142,4)="Gree",Assumptions!$G$60,0))</f>
        <v>10.51</v>
      </c>
      <c r="AH142" s="6">
        <f t="shared" ref="AH142:AJ142" si="163">AH121</f>
        <v>88.574547187599435</v>
      </c>
      <c r="AI142" s="6">
        <f t="shared" si="163"/>
        <v>76.699094375198868</v>
      </c>
      <c r="AJ142" s="6">
        <f t="shared" si="163"/>
        <v>100.45</v>
      </c>
      <c r="AK142" s="51">
        <f t="shared" si="150"/>
        <v>-78.06454718759943</v>
      </c>
      <c r="AL142" s="51">
        <f t="shared" si="151"/>
        <v>-66.189094375198863</v>
      </c>
      <c r="AM142" s="51">
        <f t="shared" si="152"/>
        <v>-89.94</v>
      </c>
      <c r="AN142">
        <f>IFERROR(INDEX(WaterUseH2[Average Direct Water Consumption (Gal/ kg h2)],MATCH(LEFT(Hydrogen!Y142,3),WaterUseH2[Key],0)),0)</f>
        <v>2.8</v>
      </c>
      <c r="AO142" s="13">
        <f t="shared" si="147"/>
        <v>0</v>
      </c>
      <c r="AP142" s="13">
        <f>IF(Y142=$Y$3,AD142*Assumptions!$C$8*1000/1000,0)</f>
        <v>0</v>
      </c>
      <c r="AQ142" s="30">
        <f t="shared" si="153"/>
        <v>0</v>
      </c>
      <c r="AR142" s="30">
        <f>$AQ142*Assumptions!B$76</f>
        <v>0</v>
      </c>
      <c r="AS142" s="30">
        <f>$AQ142*Assumptions!C$76</f>
        <v>0</v>
      </c>
      <c r="AT142" s="30">
        <f>$AQ142*Assumptions!D$76</f>
        <v>0</v>
      </c>
    </row>
    <row r="143" spans="25:63" x14ac:dyDescent="0.35">
      <c r="Y143" t="s">
        <v>178</v>
      </c>
      <c r="Z143" t="s">
        <v>179</v>
      </c>
      <c r="AA143" t="s">
        <v>107</v>
      </c>
      <c r="AB143">
        <v>2039</v>
      </c>
      <c r="AC143">
        <v>0</v>
      </c>
      <c r="AD143" s="23">
        <f>AC143*1000000000000/Assumptions!$B$17/1000</f>
        <v>0</v>
      </c>
      <c r="AE143" s="9">
        <f t="shared" si="148"/>
        <v>5.2549999999999999</v>
      </c>
      <c r="AF143">
        <f>IF(LEFT(Z143,4)="Blue",Assumptions!$G$57,0)</f>
        <v>0</v>
      </c>
      <c r="AG143">
        <f>IF(LEFT(Z143,4)="Blue",Assumptions!$G$59,IF(LEFT(Z143,4)="Gree",Assumptions!$G$60,0))</f>
        <v>10.51</v>
      </c>
      <c r="AH143" s="6">
        <f t="shared" ref="AH143:AJ143" si="164">AH122</f>
        <v>87.273478799936612</v>
      </c>
      <c r="AI143" s="6">
        <f t="shared" si="164"/>
        <v>74.096957599873221</v>
      </c>
      <c r="AJ143" s="6">
        <f t="shared" si="164"/>
        <v>100.45</v>
      </c>
      <c r="AK143" s="51">
        <f t="shared" si="150"/>
        <v>-76.763478799936607</v>
      </c>
      <c r="AL143" s="51">
        <f t="shared" si="151"/>
        <v>-63.586957599873223</v>
      </c>
      <c r="AM143" s="51">
        <f t="shared" si="152"/>
        <v>-89.94</v>
      </c>
      <c r="AN143">
        <f>IFERROR(INDEX(WaterUseH2[Average Direct Water Consumption (Gal/ kg h2)],MATCH(LEFT(Hydrogen!Y143,3),WaterUseH2[Key],0)),0)</f>
        <v>2.8</v>
      </c>
      <c r="AO143" s="13">
        <f t="shared" si="147"/>
        <v>0</v>
      </c>
      <c r="AP143" s="13">
        <f>IF(Y143=$Y$3,AD143*Assumptions!$C$8*1000/1000,0)</f>
        <v>0</v>
      </c>
      <c r="AQ143" s="30">
        <f t="shared" si="153"/>
        <v>0</v>
      </c>
      <c r="AR143" s="30">
        <f>$AQ143*Assumptions!B$76</f>
        <v>0</v>
      </c>
      <c r="AS143" s="30">
        <f>$AQ143*Assumptions!C$76</f>
        <v>0</v>
      </c>
      <c r="AT143" s="30">
        <f>$AQ143*Assumptions!D$76</f>
        <v>0</v>
      </c>
    </row>
    <row r="144" spans="25:63" x14ac:dyDescent="0.35">
      <c r="Y144" t="s">
        <v>178</v>
      </c>
      <c r="Z144" t="s">
        <v>179</v>
      </c>
      <c r="AA144" t="s">
        <v>107</v>
      </c>
      <c r="AB144">
        <v>2040</v>
      </c>
      <c r="AC144">
        <v>0</v>
      </c>
      <c r="AD144" s="23">
        <f>AC144*1000000000000/Assumptions!$B$17/1000</f>
        <v>0</v>
      </c>
      <c r="AE144" s="9">
        <f t="shared" si="148"/>
        <v>5.2549999999999999</v>
      </c>
      <c r="AF144">
        <f>IF(LEFT(Z144,4)="Blue",Assumptions!$G$57,0)</f>
        <v>0</v>
      </c>
      <c r="AG144">
        <f>IF(LEFT(Z144,4)="Blue",Assumptions!$G$59,IF(LEFT(Z144,4)="Gree",Assumptions!$G$60,0))</f>
        <v>10.51</v>
      </c>
      <c r="AH144" s="6">
        <f t="shared" ref="AH144:AJ144" si="165">AH123</f>
        <v>85.951275707781519</v>
      </c>
      <c r="AI144" s="6">
        <f t="shared" si="165"/>
        <v>71.452551415563036</v>
      </c>
      <c r="AJ144" s="6">
        <f t="shared" si="165"/>
        <v>100.45</v>
      </c>
      <c r="AK144" s="51">
        <f t="shared" si="150"/>
        <v>-75.441275707781514</v>
      </c>
      <c r="AL144" s="51">
        <f t="shared" si="151"/>
        <v>-60.942551415563038</v>
      </c>
      <c r="AM144" s="51">
        <f t="shared" si="152"/>
        <v>-89.94</v>
      </c>
      <c r="AN144">
        <f>IFERROR(INDEX(WaterUseH2[Average Direct Water Consumption (Gal/ kg h2)],MATCH(LEFT(Hydrogen!Y144,3),WaterUseH2[Key],0)),0)</f>
        <v>2.8</v>
      </c>
      <c r="AO144" s="13">
        <f t="shared" si="147"/>
        <v>0</v>
      </c>
      <c r="AP144" s="13">
        <f>IF(Y144=$Y$3,AD144*Assumptions!$C$8*1000/1000,0)</f>
        <v>0</v>
      </c>
      <c r="AQ144" s="30">
        <f t="shared" si="153"/>
        <v>0</v>
      </c>
      <c r="AR144" s="30">
        <f>$AQ144*Assumptions!B$76</f>
        <v>0</v>
      </c>
      <c r="AS144" s="30">
        <f>$AQ144*Assumptions!C$76</f>
        <v>0</v>
      </c>
      <c r="AT144" s="30">
        <f>$AQ144*Assumptions!D$76</f>
        <v>0</v>
      </c>
    </row>
    <row r="145" spans="25:46" x14ac:dyDescent="0.35">
      <c r="Y145" t="s">
        <v>178</v>
      </c>
      <c r="Z145" t="s">
        <v>179</v>
      </c>
      <c r="AA145" t="s">
        <v>107</v>
      </c>
      <c r="AB145">
        <v>2041</v>
      </c>
      <c r="AC145">
        <v>0</v>
      </c>
      <c r="AD145" s="23">
        <f>AC145*1000000000000/Assumptions!$B$17/1000</f>
        <v>0</v>
      </c>
      <c r="AE145" s="9">
        <f t="shared" si="148"/>
        <v>5.2549999999999999</v>
      </c>
      <c r="AF145">
        <f>IF(LEFT(Z145,4)="Blue",Assumptions!$G$57,0)</f>
        <v>0</v>
      </c>
      <c r="AG145">
        <f>IF(LEFT(Z145,4)="Blue",Assumptions!$G$59,IF(LEFT(Z145,4)="Gree",Assumptions!$G$60,0))</f>
        <v>10.51</v>
      </c>
      <c r="AH145" s="6">
        <f t="shared" ref="AH145:AJ145" si="166">AH124</f>
        <v>84.637245588482756</v>
      </c>
      <c r="AI145" s="6">
        <f t="shared" si="166"/>
        <v>68.824491176965509</v>
      </c>
      <c r="AJ145" s="6">
        <f t="shared" si="166"/>
        <v>100.45</v>
      </c>
      <c r="AK145" s="51">
        <f t="shared" si="150"/>
        <v>-74.127245588482751</v>
      </c>
      <c r="AL145" s="51">
        <f t="shared" si="151"/>
        <v>-58.314491176965511</v>
      </c>
      <c r="AM145" s="51">
        <f t="shared" si="152"/>
        <v>-89.94</v>
      </c>
      <c r="AN145">
        <f>IFERROR(INDEX(WaterUseH2[Average Direct Water Consumption (Gal/ kg h2)],MATCH(LEFT(Hydrogen!Y145,3),WaterUseH2[Key],0)),0)</f>
        <v>2.8</v>
      </c>
      <c r="AO145" s="13">
        <f t="shared" si="147"/>
        <v>0</v>
      </c>
      <c r="AP145" s="13">
        <f>IF(Y145=$Y$3,AD145*Assumptions!$C$8*1000/1000,0)</f>
        <v>0</v>
      </c>
      <c r="AQ145" s="30">
        <f t="shared" si="153"/>
        <v>0</v>
      </c>
      <c r="AR145" s="30">
        <f>$AQ145*Assumptions!B$76</f>
        <v>0</v>
      </c>
      <c r="AS145" s="30">
        <f>$AQ145*Assumptions!C$76</f>
        <v>0</v>
      </c>
      <c r="AT145" s="30">
        <f>$AQ145*Assumptions!D$76</f>
        <v>0</v>
      </c>
    </row>
    <row r="146" spans="25:46" x14ac:dyDescent="0.35">
      <c r="Y146" t="s">
        <v>178</v>
      </c>
      <c r="Z146" t="s">
        <v>179</v>
      </c>
      <c r="AA146" t="s">
        <v>107</v>
      </c>
      <c r="AB146">
        <v>2042</v>
      </c>
      <c r="AC146">
        <v>0</v>
      </c>
      <c r="AD146" s="23">
        <f>AC146*1000000000000/Assumptions!$B$17/1000</f>
        <v>0</v>
      </c>
      <c r="AE146" s="9">
        <f t="shared" si="148"/>
        <v>5.2549999999999999</v>
      </c>
      <c r="AF146">
        <f>IF(LEFT(Z146,4)="Blue",Assumptions!$G$57,0)</f>
        <v>0</v>
      </c>
      <c r="AG146">
        <f>IF(LEFT(Z146,4)="Blue",Assumptions!$G$59,IF(LEFT(Z146,4)="Gree",Assumptions!$G$60,0))</f>
        <v>10.51</v>
      </c>
      <c r="AH146" s="6">
        <f t="shared" ref="AH146:AJ146" si="167">AH125</f>
        <v>83.36430635778953</v>
      </c>
      <c r="AI146" s="6">
        <f t="shared" si="167"/>
        <v>66.278612715579072</v>
      </c>
      <c r="AJ146" s="6">
        <f t="shared" si="167"/>
        <v>100.45</v>
      </c>
      <c r="AK146" s="51">
        <f t="shared" si="150"/>
        <v>-72.85430635778954</v>
      </c>
      <c r="AL146" s="51">
        <f t="shared" si="151"/>
        <v>-55.768612715579074</v>
      </c>
      <c r="AM146" s="51">
        <f t="shared" si="152"/>
        <v>-89.94</v>
      </c>
      <c r="AN146">
        <f>IFERROR(INDEX(WaterUseH2[Average Direct Water Consumption (Gal/ kg h2)],MATCH(LEFT(Hydrogen!Y146,3),WaterUseH2[Key],0)),0)</f>
        <v>2.8</v>
      </c>
      <c r="AO146" s="13">
        <f t="shared" si="147"/>
        <v>0</v>
      </c>
      <c r="AP146" s="13">
        <f>IF(Y146=$Y$3,AD146*Assumptions!$C$8*1000/1000,0)</f>
        <v>0</v>
      </c>
      <c r="AQ146" s="30">
        <f t="shared" si="153"/>
        <v>0</v>
      </c>
      <c r="AR146" s="30">
        <f>$AQ146*Assumptions!B$76</f>
        <v>0</v>
      </c>
      <c r="AS146" s="30">
        <f>$AQ146*Assumptions!C$76</f>
        <v>0</v>
      </c>
      <c r="AT146" s="30">
        <f>$AQ146*Assumptions!D$76</f>
        <v>0</v>
      </c>
    </row>
    <row r="147" spans="25:46" x14ac:dyDescent="0.35">
      <c r="Y147" t="s">
        <v>178</v>
      </c>
      <c r="Z147" t="s">
        <v>179</v>
      </c>
      <c r="AA147" t="s">
        <v>107</v>
      </c>
      <c r="AB147">
        <v>2043</v>
      </c>
      <c r="AC147">
        <v>0</v>
      </c>
      <c r="AD147" s="23">
        <f>AC147*1000000000000/Assumptions!$B$17/1000</f>
        <v>0</v>
      </c>
      <c r="AE147" s="9">
        <f t="shared" si="148"/>
        <v>5.2549999999999999</v>
      </c>
      <c r="AF147">
        <f>IF(LEFT(Z147,4)="Blue",Assumptions!$G$57,0)</f>
        <v>0</v>
      </c>
      <c r="AG147">
        <f>IF(LEFT(Z147,4)="Blue",Assumptions!$G$59,IF(LEFT(Z147,4)="Gree",Assumptions!$G$60,0))</f>
        <v>10.51</v>
      </c>
      <c r="AH147" s="6">
        <f t="shared" ref="AH147:AJ147" si="168">AH126</f>
        <v>82.142704261559757</v>
      </c>
      <c r="AI147" s="6">
        <f t="shared" si="168"/>
        <v>63.835408523119504</v>
      </c>
      <c r="AJ147" s="6">
        <f t="shared" si="168"/>
        <v>100.45</v>
      </c>
      <c r="AK147" s="51">
        <f t="shared" si="150"/>
        <v>-71.632704261559752</v>
      </c>
      <c r="AL147" s="51">
        <f t="shared" si="151"/>
        <v>-53.325408523119506</v>
      </c>
      <c r="AM147" s="51">
        <f t="shared" si="152"/>
        <v>-89.94</v>
      </c>
      <c r="AN147">
        <f>IFERROR(INDEX(WaterUseH2[Average Direct Water Consumption (Gal/ kg h2)],MATCH(LEFT(Hydrogen!Y147,3),WaterUseH2[Key],0)),0)</f>
        <v>2.8</v>
      </c>
      <c r="AO147" s="13">
        <f t="shared" si="147"/>
        <v>0</v>
      </c>
      <c r="AP147" s="13">
        <f>IF(Y147=$Y$3,AD147*Assumptions!$C$8*1000/1000,0)</f>
        <v>0</v>
      </c>
      <c r="AQ147" s="30">
        <f t="shared" si="153"/>
        <v>0</v>
      </c>
      <c r="AR147" s="30">
        <f>$AQ147*Assumptions!B$76</f>
        <v>0</v>
      </c>
      <c r="AS147" s="30">
        <f>$AQ147*Assumptions!C$76</f>
        <v>0</v>
      </c>
      <c r="AT147" s="30">
        <f>$AQ147*Assumptions!D$76</f>
        <v>0</v>
      </c>
    </row>
    <row r="148" spans="25:46" x14ac:dyDescent="0.35">
      <c r="Y148" t="s">
        <v>178</v>
      </c>
      <c r="Z148" t="s">
        <v>179</v>
      </c>
      <c r="AA148" t="s">
        <v>107</v>
      </c>
      <c r="AB148">
        <v>2044</v>
      </c>
      <c r="AC148">
        <v>0</v>
      </c>
      <c r="AD148" s="23">
        <f>AC148*1000000000000/Assumptions!$B$17/1000</f>
        <v>0</v>
      </c>
      <c r="AE148" s="9">
        <f t="shared" si="148"/>
        <v>5.2549999999999999</v>
      </c>
      <c r="AF148">
        <f>IF(LEFT(Z148,4)="Blue",Assumptions!$G$57,0)</f>
        <v>0</v>
      </c>
      <c r="AG148">
        <f>IF(LEFT(Z148,4)="Blue",Assumptions!$G$59,IF(LEFT(Z148,4)="Gree",Assumptions!$G$60,0))</f>
        <v>10.51</v>
      </c>
      <c r="AH148" s="6">
        <f t="shared" ref="AH148:AJ148" si="169">AH127</f>
        <v>80.990181196488862</v>
      </c>
      <c r="AI148" s="6">
        <f t="shared" si="169"/>
        <v>61.530362392977736</v>
      </c>
      <c r="AJ148" s="6">
        <f t="shared" si="169"/>
        <v>100.45</v>
      </c>
      <c r="AK148" s="51">
        <f t="shared" si="150"/>
        <v>-70.480181196488871</v>
      </c>
      <c r="AL148" s="51">
        <f t="shared" si="151"/>
        <v>-51.020362392977738</v>
      </c>
      <c r="AM148" s="51">
        <f t="shared" si="152"/>
        <v>-89.94</v>
      </c>
      <c r="AN148">
        <f>IFERROR(INDEX(WaterUseH2[Average Direct Water Consumption (Gal/ kg h2)],MATCH(LEFT(Hydrogen!Y148,3),WaterUseH2[Key],0)),0)</f>
        <v>2.8</v>
      </c>
      <c r="AO148" s="13">
        <f t="shared" si="147"/>
        <v>0</v>
      </c>
      <c r="AP148" s="13">
        <f>IF(Y148=$Y$3,AD148*Assumptions!$C$8*1000/1000,0)</f>
        <v>0</v>
      </c>
      <c r="AQ148" s="30">
        <f t="shared" si="153"/>
        <v>0</v>
      </c>
      <c r="AR148" s="30">
        <f>$AQ148*Assumptions!B$76</f>
        <v>0</v>
      </c>
      <c r="AS148" s="30">
        <f>$AQ148*Assumptions!C$76</f>
        <v>0</v>
      </c>
      <c r="AT148" s="30">
        <f>$AQ148*Assumptions!D$76</f>
        <v>0</v>
      </c>
    </row>
    <row r="149" spans="25:46" x14ac:dyDescent="0.35">
      <c r="Y149" t="s">
        <v>178</v>
      </c>
      <c r="Z149" t="s">
        <v>179</v>
      </c>
      <c r="AA149" t="s">
        <v>107</v>
      </c>
      <c r="AB149">
        <v>2045</v>
      </c>
      <c r="AC149">
        <v>0</v>
      </c>
      <c r="AD149" s="23">
        <f>AC149*1000000000000/Assumptions!$B$17/1000</f>
        <v>0</v>
      </c>
      <c r="AE149" s="9">
        <f t="shared" si="148"/>
        <v>5.2549999999999999</v>
      </c>
      <c r="AF149">
        <f>IF(LEFT(Z149,4)="Blue",Assumptions!$G$57,0)</f>
        <v>0</v>
      </c>
      <c r="AG149">
        <f>IF(LEFT(Z149,4)="Blue",Assumptions!$G$59,IF(LEFT(Z149,4)="Gree",Assumptions!$G$60,0))</f>
        <v>10.51</v>
      </c>
      <c r="AH149" s="6">
        <f t="shared" ref="AH149:AJ149" si="170">AH128</f>
        <v>79.920544054153567</v>
      </c>
      <c r="AI149" s="6">
        <f t="shared" si="170"/>
        <v>59.391088108307123</v>
      </c>
      <c r="AJ149" s="6">
        <f t="shared" si="170"/>
        <v>100.45</v>
      </c>
      <c r="AK149" s="51">
        <f t="shared" si="150"/>
        <v>-69.410544054153561</v>
      </c>
      <c r="AL149" s="51">
        <f t="shared" si="151"/>
        <v>-48.881088108307125</v>
      </c>
      <c r="AM149" s="51">
        <f t="shared" si="152"/>
        <v>-89.94</v>
      </c>
      <c r="AN149">
        <f>IFERROR(INDEX(WaterUseH2[Average Direct Water Consumption (Gal/ kg h2)],MATCH(LEFT(Hydrogen!Y149,3),WaterUseH2[Key],0)),0)</f>
        <v>2.8</v>
      </c>
      <c r="AO149" s="13">
        <f t="shared" si="147"/>
        <v>0</v>
      </c>
      <c r="AP149" s="13">
        <f>IF(Y149=$Y$3,AD149*Assumptions!$C$8*1000/1000,0)</f>
        <v>0</v>
      </c>
      <c r="AQ149" s="30">
        <f t="shared" si="153"/>
        <v>0</v>
      </c>
      <c r="AR149" s="30">
        <f>$AQ149*Assumptions!B$76</f>
        <v>0</v>
      </c>
      <c r="AS149" s="30">
        <f>$AQ149*Assumptions!C$76</f>
        <v>0</v>
      </c>
      <c r="AT149" s="30">
        <f>$AQ149*Assumptions!D$76</f>
        <v>0</v>
      </c>
    </row>
    <row r="150" spans="25:46" x14ac:dyDescent="0.35">
      <c r="Y150" t="s">
        <v>74</v>
      </c>
      <c r="Z150" t="s">
        <v>73</v>
      </c>
      <c r="AA150" t="s">
        <v>107</v>
      </c>
      <c r="AB150">
        <v>2025</v>
      </c>
      <c r="AC150">
        <v>0</v>
      </c>
      <c r="AD150" s="23">
        <f>AC150*1000000000000/Assumptions!$B$17/1000</f>
        <v>0</v>
      </c>
      <c r="AE150" s="9">
        <f t="shared" si="148"/>
        <v>58.623645092460876</v>
      </c>
      <c r="AF150">
        <f>IF(LEFT(Z150,4)="Blue",Assumptions!$G$57,0)</f>
        <v>43.849999999999994</v>
      </c>
      <c r="AG150">
        <f>IF(LEFT(Z150,4)="Blue",Assumptions!$G$59,IF(LEFT(Z150,4)="Gree",Assumptions!$G$60,0))</f>
        <v>73.397290184921758</v>
      </c>
      <c r="AH150" s="6">
        <f t="shared" ref="AH150:AJ150" si="171">AH129</f>
        <v>99.359553682832001</v>
      </c>
      <c r="AI150" s="6">
        <f t="shared" si="171"/>
        <v>98.269107365663999</v>
      </c>
      <c r="AJ150" s="6">
        <f t="shared" si="171"/>
        <v>100.45</v>
      </c>
      <c r="AK150" s="51">
        <f t="shared" si="150"/>
        <v>-25.962263497910243</v>
      </c>
      <c r="AL150" s="51">
        <f t="shared" si="151"/>
        <v>-24.871817180742241</v>
      </c>
      <c r="AM150" s="51">
        <f t="shared" si="152"/>
        <v>-27.052709815078245</v>
      </c>
      <c r="AN150">
        <f>IFERROR(INDEX(WaterUseH2[Average Direct Water Consumption (Gal/ kg h2)],MATCH(LEFT(Hydrogen!Y150,3),WaterUseH2[Key],0)),0)</f>
        <v>2.8</v>
      </c>
      <c r="AO150" s="13">
        <f t="shared" si="147"/>
        <v>0</v>
      </c>
      <c r="AP150" s="13">
        <f>IF(Y150=$Y$3,AD150*Assumptions!$C$8*1000/1000,0)</f>
        <v>0</v>
      </c>
      <c r="AQ150" s="30">
        <f t="shared" si="153"/>
        <v>0</v>
      </c>
      <c r="AR150" s="30">
        <f>$AQ150*Assumptions!B$76</f>
        <v>0</v>
      </c>
      <c r="AS150" s="30">
        <f>$AQ150*Assumptions!C$76</f>
        <v>0</v>
      </c>
      <c r="AT150" s="30">
        <f>$AQ150*Assumptions!D$76</f>
        <v>0</v>
      </c>
    </row>
    <row r="151" spans="25:46" x14ac:dyDescent="0.35">
      <c r="Y151" t="s">
        <v>74</v>
      </c>
      <c r="Z151" t="s">
        <v>73</v>
      </c>
      <c r="AA151" t="s">
        <v>107</v>
      </c>
      <c r="AB151">
        <v>2026</v>
      </c>
      <c r="AC151">
        <f>AC46</f>
        <v>1.3140000000000001E-3</v>
      </c>
      <c r="AD151" s="23">
        <f>AC151*1000000000000/Assumptions!$B$17/1000</f>
        <v>10950</v>
      </c>
      <c r="AE151" s="9">
        <f t="shared" si="148"/>
        <v>58.623645092460876</v>
      </c>
      <c r="AF151">
        <f>IF(LEFT(Z151,4)="Blue",Assumptions!$G$57,0)</f>
        <v>43.849999999999994</v>
      </c>
      <c r="AG151">
        <f>IF(LEFT(Z151,4)="Blue",Assumptions!$G$59,IF(LEFT(Z151,4)="Gree",Assumptions!$G$60,0))</f>
        <v>73.397290184921758</v>
      </c>
      <c r="AH151" s="6">
        <f t="shared" ref="AH151:AJ151" si="172">AH130</f>
        <v>99.000787443158117</v>
      </c>
      <c r="AI151" s="6">
        <f t="shared" si="172"/>
        <v>97.551574886316232</v>
      </c>
      <c r="AJ151" s="6">
        <f t="shared" si="172"/>
        <v>100.45</v>
      </c>
      <c r="AK151" s="51">
        <f t="shared" si="150"/>
        <v>-25.603497258236359</v>
      </c>
      <c r="AL151" s="51">
        <f t="shared" si="151"/>
        <v>-24.154284701394474</v>
      </c>
      <c r="AM151" s="51">
        <f t="shared" si="152"/>
        <v>-27.052709815078245</v>
      </c>
      <c r="AN151">
        <f>IFERROR(INDEX(WaterUseH2[Average Direct Water Consumption (Gal/ kg h2)],MATCH(LEFT(Hydrogen!Y151,3),WaterUseH2[Key],0)),0)</f>
        <v>2.8</v>
      </c>
      <c r="AO151" s="13">
        <f t="shared" si="147"/>
        <v>30.659999999999997</v>
      </c>
      <c r="AP151" s="13">
        <f>IF(Y151=$Y$3,AD151*Assumptions!$C$8*1000/1000,0)</f>
        <v>0</v>
      </c>
      <c r="AQ151" s="30">
        <f t="shared" si="153"/>
        <v>0</v>
      </c>
      <c r="AR151" s="30">
        <f>$AQ151*Assumptions!B$76</f>
        <v>0</v>
      </c>
      <c r="AS151" s="30">
        <f>$AQ151*Assumptions!C$76</f>
        <v>0</v>
      </c>
      <c r="AT151" s="30">
        <f>$AQ151*Assumptions!D$76</f>
        <v>0</v>
      </c>
    </row>
    <row r="152" spans="25:46" x14ac:dyDescent="0.35">
      <c r="Y152" t="s">
        <v>74</v>
      </c>
      <c r="Z152" t="s">
        <v>73</v>
      </c>
      <c r="AA152" t="s">
        <v>107</v>
      </c>
      <c r="AB152">
        <v>2027</v>
      </c>
      <c r="AC152">
        <f t="shared" ref="AC152:AC155" si="173">AC47</f>
        <v>1.3140000000000001E-3</v>
      </c>
      <c r="AD152" s="23">
        <f>AC152*1000000000000/Assumptions!$B$17/1000</f>
        <v>10950</v>
      </c>
      <c r="AE152" s="9">
        <f t="shared" si="148"/>
        <v>58.623645092460876</v>
      </c>
      <c r="AF152">
        <f>IF(LEFT(Z152,4)="Blue",Assumptions!$G$57,0)</f>
        <v>43.849999999999994</v>
      </c>
      <c r="AG152">
        <f>IF(LEFT(Z152,4)="Blue",Assumptions!$G$59,IF(LEFT(Z152,4)="Gree",Assumptions!$G$60,0))</f>
        <v>73.397290184921758</v>
      </c>
      <c r="AH152" s="6">
        <f t="shared" ref="AH152:AJ152" si="174">AH131</f>
        <v>98.562436921360089</v>
      </c>
      <c r="AI152" s="6">
        <f t="shared" si="174"/>
        <v>96.674873842720174</v>
      </c>
      <c r="AJ152" s="6">
        <f t="shared" si="174"/>
        <v>100.45</v>
      </c>
      <c r="AK152" s="51">
        <f t="shared" si="150"/>
        <v>-25.165146736438331</v>
      </c>
      <c r="AL152" s="51">
        <f t="shared" si="151"/>
        <v>-23.277583657798417</v>
      </c>
      <c r="AM152" s="51">
        <f t="shared" si="152"/>
        <v>-27.052709815078245</v>
      </c>
      <c r="AN152">
        <f>IFERROR(INDEX(WaterUseH2[Average Direct Water Consumption (Gal/ kg h2)],MATCH(LEFT(Hydrogen!Y152,3),WaterUseH2[Key],0)),0)</f>
        <v>2.8</v>
      </c>
      <c r="AO152" s="13">
        <f t="shared" si="147"/>
        <v>30.659999999999997</v>
      </c>
      <c r="AP152" s="13">
        <f>IF(Y152=$Y$3,AD152*Assumptions!$C$8*1000/1000,0)</f>
        <v>0</v>
      </c>
      <c r="AQ152" s="30">
        <f t="shared" si="153"/>
        <v>0</v>
      </c>
      <c r="AR152" s="30">
        <f>$AQ152*Assumptions!B$76</f>
        <v>0</v>
      </c>
      <c r="AS152" s="30">
        <f>$AQ152*Assumptions!C$76</f>
        <v>0</v>
      </c>
      <c r="AT152" s="30">
        <f>$AQ152*Assumptions!D$76</f>
        <v>0</v>
      </c>
    </row>
    <row r="153" spans="25:46" x14ac:dyDescent="0.35">
      <c r="Y153" t="s">
        <v>74</v>
      </c>
      <c r="Z153" t="s">
        <v>73</v>
      </c>
      <c r="AA153" t="s">
        <v>107</v>
      </c>
      <c r="AB153">
        <v>2028</v>
      </c>
      <c r="AC153">
        <f t="shared" si="173"/>
        <v>1.3140000000000001E-3</v>
      </c>
      <c r="AD153" s="23">
        <f>AC153*1000000000000/Assumptions!$B$17/1000</f>
        <v>10950</v>
      </c>
      <c r="AE153" s="9">
        <f t="shared" si="148"/>
        <v>58.623645092460876</v>
      </c>
      <c r="AF153">
        <f>IF(LEFT(Z153,4)="Blue",Assumptions!$G$57,0)</f>
        <v>43.849999999999994</v>
      </c>
      <c r="AG153">
        <f>IF(LEFT(Z153,4)="Blue",Assumptions!$G$59,IF(LEFT(Z153,4)="Gree",Assumptions!$G$60,0))</f>
        <v>73.397290184921758</v>
      </c>
      <c r="AH153" s="6">
        <f t="shared" ref="AH153:AJ153" si="175">AH132</f>
        <v>98.088874094271858</v>
      </c>
      <c r="AI153" s="6">
        <f t="shared" si="175"/>
        <v>95.7277481885437</v>
      </c>
      <c r="AJ153" s="6">
        <f t="shared" si="175"/>
        <v>100.45</v>
      </c>
      <c r="AK153" s="51">
        <f t="shared" si="150"/>
        <v>-24.691583909350094</v>
      </c>
      <c r="AL153" s="51">
        <f t="shared" si="151"/>
        <v>-22.330458003621942</v>
      </c>
      <c r="AM153" s="51">
        <f t="shared" si="152"/>
        <v>-27.052709815078245</v>
      </c>
      <c r="AN153">
        <f>IFERROR(INDEX(WaterUseH2[Average Direct Water Consumption (Gal/ kg h2)],MATCH(LEFT(Hydrogen!Y153,3),WaterUseH2[Key],0)),0)</f>
        <v>2.8</v>
      </c>
      <c r="AO153" s="13">
        <f t="shared" si="147"/>
        <v>30.659999999999997</v>
      </c>
      <c r="AP153" s="13">
        <f>IF(Y153=$Y$3,AD153*Assumptions!$C$8*1000/1000,0)</f>
        <v>0</v>
      </c>
      <c r="AQ153" s="30">
        <f t="shared" si="153"/>
        <v>0</v>
      </c>
      <c r="AR153" s="30">
        <f>$AQ153*Assumptions!B$76</f>
        <v>0</v>
      </c>
      <c r="AS153" s="30">
        <f>$AQ153*Assumptions!C$76</f>
        <v>0</v>
      </c>
      <c r="AT153" s="30">
        <f>$AQ153*Assumptions!D$76</f>
        <v>0</v>
      </c>
    </row>
    <row r="154" spans="25:46" x14ac:dyDescent="0.35">
      <c r="Y154" t="s">
        <v>74</v>
      </c>
      <c r="Z154" t="s">
        <v>73</v>
      </c>
      <c r="AA154" t="s">
        <v>107</v>
      </c>
      <c r="AB154">
        <v>2029</v>
      </c>
      <c r="AC154">
        <f t="shared" si="173"/>
        <v>1.3140000000000001E-3</v>
      </c>
      <c r="AD154" s="23">
        <f>AC154*1000000000000/Assumptions!$B$17/1000</f>
        <v>10950</v>
      </c>
      <c r="AE154" s="9">
        <f t="shared" si="148"/>
        <v>58.623645092460876</v>
      </c>
      <c r="AF154">
        <f>IF(LEFT(Z154,4)="Blue",Assumptions!$G$57,0)</f>
        <v>43.849999999999994</v>
      </c>
      <c r="AG154">
        <f>IF(LEFT(Z154,4)="Blue",Assumptions!$G$59,IF(LEFT(Z154,4)="Gree",Assumptions!$G$60,0))</f>
        <v>73.397290184921758</v>
      </c>
      <c r="AH154" s="6">
        <f t="shared" ref="AH154:AJ154" si="176">AH133</f>
        <v>97.544867879479852</v>
      </c>
      <c r="AI154" s="6">
        <f t="shared" si="176"/>
        <v>94.639735758959688</v>
      </c>
      <c r="AJ154" s="6">
        <f t="shared" si="176"/>
        <v>100.45</v>
      </c>
      <c r="AK154" s="51">
        <f t="shared" si="150"/>
        <v>-24.147577694558088</v>
      </c>
      <c r="AL154" s="51">
        <f t="shared" si="151"/>
        <v>-21.24244557403793</v>
      </c>
      <c r="AM154" s="51">
        <f t="shared" si="152"/>
        <v>-27.052709815078245</v>
      </c>
      <c r="AN154">
        <f>IFERROR(INDEX(WaterUseH2[Average Direct Water Consumption (Gal/ kg h2)],MATCH(LEFT(Hydrogen!Y154,3),WaterUseH2[Key],0)),0)</f>
        <v>2.8</v>
      </c>
      <c r="AO154" s="13">
        <f t="shared" si="147"/>
        <v>30.659999999999997</v>
      </c>
      <c r="AP154" s="13">
        <f>IF(Y154=$Y$3,AD154*Assumptions!$C$8*1000/1000,0)</f>
        <v>0</v>
      </c>
      <c r="AQ154" s="30">
        <f t="shared" si="153"/>
        <v>0</v>
      </c>
      <c r="AR154" s="30">
        <f>$AQ154*Assumptions!B$76</f>
        <v>0</v>
      </c>
      <c r="AS154" s="30">
        <f>$AQ154*Assumptions!C$76</f>
        <v>0</v>
      </c>
      <c r="AT154" s="30">
        <f>$AQ154*Assumptions!D$76</f>
        <v>0</v>
      </c>
    </row>
    <row r="155" spans="25:46" x14ac:dyDescent="0.35">
      <c r="Y155" t="s">
        <v>74</v>
      </c>
      <c r="Z155" t="s">
        <v>73</v>
      </c>
      <c r="AA155" t="s">
        <v>107</v>
      </c>
      <c r="AB155">
        <v>2030</v>
      </c>
      <c r="AC155">
        <f t="shared" si="173"/>
        <v>1.3140000000000001E-3</v>
      </c>
      <c r="AD155" s="23">
        <f>AC155*1000000000000/Assumptions!$B$17/1000</f>
        <v>10950</v>
      </c>
      <c r="AE155" s="9">
        <f t="shared" si="148"/>
        <v>58.623645092460876</v>
      </c>
      <c r="AF155">
        <f>IF(LEFT(Z155,4)="Blue",Assumptions!$G$57,0)</f>
        <v>43.849999999999994</v>
      </c>
      <c r="AG155">
        <f>IF(LEFT(Z155,4)="Blue",Assumptions!$G$59,IF(LEFT(Z155,4)="Gree",Assumptions!$G$60,0))</f>
        <v>73.397290184921758</v>
      </c>
      <c r="AH155" s="6">
        <f t="shared" ref="AH155:AJ155" si="177">AH134</f>
        <v>96.924614347496885</v>
      </c>
      <c r="AI155" s="6">
        <f t="shared" si="177"/>
        <v>93.399228694993766</v>
      </c>
      <c r="AJ155" s="6">
        <f t="shared" si="177"/>
        <v>100.45</v>
      </c>
      <c r="AK155" s="51">
        <f t="shared" si="150"/>
        <v>-23.527324162575127</v>
      </c>
      <c r="AL155" s="51">
        <f t="shared" si="151"/>
        <v>-20.001938510072009</v>
      </c>
      <c r="AM155" s="51">
        <f t="shared" si="152"/>
        <v>-27.052709815078245</v>
      </c>
      <c r="AN155">
        <f>IFERROR(INDEX(WaterUseH2[Average Direct Water Consumption (Gal/ kg h2)],MATCH(LEFT(Hydrogen!Y155,3),WaterUseH2[Key],0)),0)</f>
        <v>2.8</v>
      </c>
      <c r="AO155" s="13">
        <f t="shared" si="147"/>
        <v>30.659999999999997</v>
      </c>
      <c r="AP155" s="13">
        <f>IF(Y155=$Y$3,AD155*Assumptions!$C$8*1000/1000,0)</f>
        <v>0</v>
      </c>
      <c r="AQ155" s="30">
        <f t="shared" si="153"/>
        <v>0</v>
      </c>
      <c r="AR155" s="30">
        <f>$AQ155*Assumptions!B$76</f>
        <v>0</v>
      </c>
      <c r="AS155" s="30">
        <f>$AQ155*Assumptions!C$76</f>
        <v>0</v>
      </c>
      <c r="AT155" s="30">
        <f>$AQ155*Assumptions!D$76</f>
        <v>0</v>
      </c>
    </row>
    <row r="156" spans="25:46" x14ac:dyDescent="0.35">
      <c r="Y156" t="s">
        <v>74</v>
      </c>
      <c r="Z156" t="s">
        <v>73</v>
      </c>
      <c r="AA156" t="s">
        <v>107</v>
      </c>
      <c r="AB156">
        <v>2031</v>
      </c>
      <c r="AC156">
        <f>AC151*2</f>
        <v>2.6280000000000001E-3</v>
      </c>
      <c r="AD156" s="23">
        <f>AC156*1000000000000/Assumptions!$B$17/1000</f>
        <v>21900</v>
      </c>
      <c r="AE156" s="9">
        <f t="shared" si="148"/>
        <v>58.623645092460876</v>
      </c>
      <c r="AF156">
        <f>IF(LEFT(Z156,4)="Blue",Assumptions!$G$57,0)</f>
        <v>43.849999999999994</v>
      </c>
      <c r="AG156">
        <f>IF(LEFT(Z156,4)="Blue",Assumptions!$G$59,IF(LEFT(Z156,4)="Gree",Assumptions!$G$60,0))</f>
        <v>73.397290184921758</v>
      </c>
      <c r="AH156" s="6">
        <f t="shared" ref="AH156:AJ156" si="178">AH135</f>
        <v>96.219877469537067</v>
      </c>
      <c r="AI156" s="6">
        <f t="shared" si="178"/>
        <v>91.989754939074118</v>
      </c>
      <c r="AJ156" s="6">
        <f t="shared" si="178"/>
        <v>100.45</v>
      </c>
      <c r="AK156" s="51">
        <f t="shared" si="150"/>
        <v>-22.822587284615302</v>
      </c>
      <c r="AL156" s="51">
        <f t="shared" si="151"/>
        <v>-18.59246475415236</v>
      </c>
      <c r="AM156" s="51">
        <f t="shared" si="152"/>
        <v>-27.052709815078245</v>
      </c>
      <c r="AN156">
        <f>IFERROR(INDEX(WaterUseH2[Average Direct Water Consumption (Gal/ kg h2)],MATCH(LEFT(Hydrogen!Y156,3),WaterUseH2[Key],0)),0)</f>
        <v>2.8</v>
      </c>
      <c r="AO156" s="13">
        <f t="shared" si="147"/>
        <v>61.319999999999993</v>
      </c>
      <c r="AP156" s="13">
        <f>IF(Y156=$Y$3,AD156*Assumptions!$C$8*1000/1000,0)</f>
        <v>0</v>
      </c>
      <c r="AQ156" s="30">
        <f t="shared" si="153"/>
        <v>0</v>
      </c>
      <c r="AR156" s="30">
        <f>$AQ156*Assumptions!B$76</f>
        <v>0</v>
      </c>
      <c r="AS156" s="30">
        <f>$AQ156*Assumptions!C$76</f>
        <v>0</v>
      </c>
      <c r="AT156" s="30">
        <f>$AQ156*Assumptions!D$76</f>
        <v>0</v>
      </c>
    </row>
    <row r="157" spans="25:46" x14ac:dyDescent="0.35">
      <c r="Y157" t="s">
        <v>74</v>
      </c>
      <c r="Z157" t="s">
        <v>73</v>
      </c>
      <c r="AA157" t="s">
        <v>107</v>
      </c>
      <c r="AB157">
        <v>2032</v>
      </c>
      <c r="AC157">
        <f t="shared" ref="AC157:AC160" si="179">AC152*2</f>
        <v>2.6280000000000001E-3</v>
      </c>
      <c r="AD157" s="23">
        <f>AC157*1000000000000/Assumptions!$B$17/1000</f>
        <v>21900</v>
      </c>
      <c r="AE157" s="9">
        <f t="shared" si="148"/>
        <v>58.623645092460876</v>
      </c>
      <c r="AF157">
        <f>IF(LEFT(Z157,4)="Blue",Assumptions!$G$57,0)</f>
        <v>43.849999999999994</v>
      </c>
      <c r="AG157">
        <f>IF(LEFT(Z157,4)="Blue",Assumptions!$G$59,IF(LEFT(Z157,4)="Gree",Assumptions!$G$60,0))</f>
        <v>73.397290184921758</v>
      </c>
      <c r="AH157" s="6">
        <f t="shared" ref="AH157:AJ157" si="180">AH136</f>
        <v>95.431212950513526</v>
      </c>
      <c r="AI157" s="6">
        <f t="shared" si="180"/>
        <v>90.412425901027063</v>
      </c>
      <c r="AJ157" s="6">
        <f t="shared" si="180"/>
        <v>100.45</v>
      </c>
      <c r="AK157" s="51">
        <f t="shared" si="150"/>
        <v>-22.033922765591775</v>
      </c>
      <c r="AL157" s="51">
        <f t="shared" si="151"/>
        <v>-17.015135716105306</v>
      </c>
      <c r="AM157" s="51">
        <f t="shared" si="152"/>
        <v>-27.052709815078245</v>
      </c>
      <c r="AN157">
        <f>IFERROR(INDEX(WaterUseH2[Average Direct Water Consumption (Gal/ kg h2)],MATCH(LEFT(Hydrogen!Y157,3),WaterUseH2[Key],0)),0)</f>
        <v>2.8</v>
      </c>
      <c r="AO157" s="13">
        <f t="shared" si="147"/>
        <v>61.319999999999993</v>
      </c>
      <c r="AP157" s="13">
        <f>IF(Y157=$Y$3,AD157*Assumptions!$C$8*1000/1000,0)</f>
        <v>0</v>
      </c>
      <c r="AQ157" s="30">
        <f t="shared" si="153"/>
        <v>0</v>
      </c>
      <c r="AR157" s="30">
        <f>$AQ157*Assumptions!B$76</f>
        <v>0</v>
      </c>
      <c r="AS157" s="30">
        <f>$AQ157*Assumptions!C$76</f>
        <v>0</v>
      </c>
      <c r="AT157" s="30">
        <f>$AQ157*Assumptions!D$76</f>
        <v>0</v>
      </c>
    </row>
    <row r="158" spans="25:46" x14ac:dyDescent="0.35">
      <c r="Y158" t="s">
        <v>74</v>
      </c>
      <c r="Z158" t="s">
        <v>73</v>
      </c>
      <c r="AA158" t="s">
        <v>107</v>
      </c>
      <c r="AB158">
        <v>2033</v>
      </c>
      <c r="AC158">
        <f t="shared" si="179"/>
        <v>2.6280000000000001E-3</v>
      </c>
      <c r="AD158" s="23">
        <f>AC158*1000000000000/Assumptions!$B$17/1000</f>
        <v>21900</v>
      </c>
      <c r="AE158" s="9">
        <f t="shared" si="148"/>
        <v>58.623645092460876</v>
      </c>
      <c r="AF158">
        <f>IF(LEFT(Z158,4)="Blue",Assumptions!$G$57,0)</f>
        <v>43.849999999999994</v>
      </c>
      <c r="AG158">
        <f>IF(LEFT(Z158,4)="Blue",Assumptions!$G$59,IF(LEFT(Z158,4)="Gree",Assumptions!$G$60,0))</f>
        <v>73.397290184921758</v>
      </c>
      <c r="AH158" s="6">
        <f t="shared" ref="AH158:AJ158" si="181">AH137</f>
        <v>94.525495952097856</v>
      </c>
      <c r="AI158" s="6">
        <f t="shared" si="181"/>
        <v>88.600991904195695</v>
      </c>
      <c r="AJ158" s="6">
        <f t="shared" si="181"/>
        <v>100.45</v>
      </c>
      <c r="AK158" s="51">
        <f t="shared" si="150"/>
        <v>-21.128205767176091</v>
      </c>
      <c r="AL158" s="51">
        <f t="shared" si="151"/>
        <v>-15.203701719273937</v>
      </c>
      <c r="AM158" s="51">
        <f t="shared" si="152"/>
        <v>-27.052709815078245</v>
      </c>
      <c r="AN158">
        <f>IFERROR(INDEX(WaterUseH2[Average Direct Water Consumption (Gal/ kg h2)],MATCH(LEFT(Hydrogen!Y158,3),WaterUseH2[Key],0)),0)</f>
        <v>2.8</v>
      </c>
      <c r="AO158" s="13">
        <f t="shared" si="147"/>
        <v>61.319999999999993</v>
      </c>
      <c r="AP158" s="13">
        <f>IF(Y158=$Y$3,AD158*Assumptions!$C$8*1000/1000,0)</f>
        <v>0</v>
      </c>
      <c r="AQ158" s="30">
        <f t="shared" si="153"/>
        <v>0</v>
      </c>
      <c r="AR158" s="30">
        <f>$AQ158*Assumptions!B$76</f>
        <v>0</v>
      </c>
      <c r="AS158" s="30">
        <f>$AQ158*Assumptions!C$76</f>
        <v>0</v>
      </c>
      <c r="AT158" s="30">
        <f>$AQ158*Assumptions!D$76</f>
        <v>0</v>
      </c>
    </row>
    <row r="159" spans="25:46" x14ac:dyDescent="0.35">
      <c r="Y159" t="s">
        <v>74</v>
      </c>
      <c r="Z159" t="s">
        <v>73</v>
      </c>
      <c r="AA159" t="s">
        <v>107</v>
      </c>
      <c r="AB159">
        <v>2034</v>
      </c>
      <c r="AC159">
        <f t="shared" si="179"/>
        <v>2.6280000000000001E-3</v>
      </c>
      <c r="AD159" s="23">
        <f>AC159*1000000000000/Assumptions!$B$17/1000</f>
        <v>21900</v>
      </c>
      <c r="AE159" s="9">
        <f t="shared" si="148"/>
        <v>58.623645092460876</v>
      </c>
      <c r="AF159">
        <f>IF(LEFT(Z159,4)="Blue",Assumptions!$G$57,0)</f>
        <v>43.849999999999994</v>
      </c>
      <c r="AG159">
        <f>IF(LEFT(Z159,4)="Blue",Assumptions!$G$59,IF(LEFT(Z159,4)="Gree",Assumptions!$G$60,0))</f>
        <v>73.397290184921758</v>
      </c>
      <c r="AH159" s="6">
        <f t="shared" ref="AH159:AJ159" si="182">AH138</f>
        <v>93.515198320512312</v>
      </c>
      <c r="AI159" s="6">
        <f t="shared" si="182"/>
        <v>86.58039664102462</v>
      </c>
      <c r="AJ159" s="6">
        <f t="shared" si="182"/>
        <v>100.45</v>
      </c>
      <c r="AK159" s="51">
        <f t="shared" si="150"/>
        <v>-20.117908135590554</v>
      </c>
      <c r="AL159" s="51">
        <f t="shared" si="151"/>
        <v>-13.183106456102863</v>
      </c>
      <c r="AM159" s="51">
        <f t="shared" si="152"/>
        <v>-27.052709815078245</v>
      </c>
      <c r="AN159">
        <f>IFERROR(INDEX(WaterUseH2[Average Direct Water Consumption (Gal/ kg h2)],MATCH(LEFT(Hydrogen!Y159,3),WaterUseH2[Key],0)),0)</f>
        <v>2.8</v>
      </c>
      <c r="AO159" s="13">
        <f t="shared" si="147"/>
        <v>61.319999999999993</v>
      </c>
      <c r="AP159" s="13">
        <f>IF(Y159=$Y$3,AD159*Assumptions!$C$8*1000/1000,0)</f>
        <v>0</v>
      </c>
      <c r="AQ159" s="30">
        <f t="shared" si="153"/>
        <v>0</v>
      </c>
      <c r="AR159" s="30">
        <f>$AQ159*Assumptions!B$76</f>
        <v>0</v>
      </c>
      <c r="AS159" s="30">
        <f>$AQ159*Assumptions!C$76</f>
        <v>0</v>
      </c>
      <c r="AT159" s="30">
        <f>$AQ159*Assumptions!D$76</f>
        <v>0</v>
      </c>
    </row>
    <row r="160" spans="25:46" x14ac:dyDescent="0.35">
      <c r="Y160" t="s">
        <v>74</v>
      </c>
      <c r="Z160" t="s">
        <v>73</v>
      </c>
      <c r="AA160" t="s">
        <v>107</v>
      </c>
      <c r="AB160">
        <v>2035</v>
      </c>
      <c r="AC160">
        <f t="shared" si="179"/>
        <v>2.6280000000000001E-3</v>
      </c>
      <c r="AD160" s="23">
        <f>AC160*1000000000000/Assumptions!$B$17/1000</f>
        <v>21900</v>
      </c>
      <c r="AE160" s="9">
        <f t="shared" si="148"/>
        <v>58.623645092460876</v>
      </c>
      <c r="AF160">
        <f>IF(LEFT(Z160,4)="Blue",Assumptions!$G$57,0)</f>
        <v>43.849999999999994</v>
      </c>
      <c r="AG160">
        <f>IF(LEFT(Z160,4)="Blue",Assumptions!$G$59,IF(LEFT(Z160,4)="Gree",Assumptions!$G$60,0))</f>
        <v>73.397290184921758</v>
      </c>
      <c r="AH160" s="6">
        <f t="shared" ref="AH160:AJ160" si="183">AH139</f>
        <v>92.361658919879176</v>
      </c>
      <c r="AI160" s="6">
        <f t="shared" si="183"/>
        <v>84.273317839758363</v>
      </c>
      <c r="AJ160" s="6">
        <f t="shared" si="183"/>
        <v>100.45</v>
      </c>
      <c r="AK160" s="51">
        <f t="shared" si="150"/>
        <v>-18.964368734957425</v>
      </c>
      <c r="AL160" s="51">
        <f t="shared" si="151"/>
        <v>-10.876027654836605</v>
      </c>
      <c r="AM160" s="51">
        <f t="shared" si="152"/>
        <v>-27.052709815078245</v>
      </c>
      <c r="AN160">
        <f>IFERROR(INDEX(WaterUseH2[Average Direct Water Consumption (Gal/ kg h2)],MATCH(LEFT(Hydrogen!Y160,3),WaterUseH2[Key],0)),0)</f>
        <v>2.8</v>
      </c>
      <c r="AO160" s="13">
        <f t="shared" si="147"/>
        <v>61.319999999999993</v>
      </c>
      <c r="AP160" s="13">
        <f>IF(Y160=$Y$3,AD160*Assumptions!$C$8*1000/1000,0)</f>
        <v>0</v>
      </c>
      <c r="AQ160" s="30">
        <f t="shared" si="153"/>
        <v>0</v>
      </c>
      <c r="AR160" s="30">
        <f>$AQ160*Assumptions!B$76</f>
        <v>0</v>
      </c>
      <c r="AS160" s="30">
        <f>$AQ160*Assumptions!C$76</f>
        <v>0</v>
      </c>
      <c r="AT160" s="30">
        <f>$AQ160*Assumptions!D$76</f>
        <v>0</v>
      </c>
    </row>
    <row r="161" spans="25:46" x14ac:dyDescent="0.35">
      <c r="Y161" t="s">
        <v>74</v>
      </c>
      <c r="Z161" t="s">
        <v>73</v>
      </c>
      <c r="AA161" t="s">
        <v>107</v>
      </c>
      <c r="AB161">
        <v>2036</v>
      </c>
      <c r="AC161">
        <f t="shared" ref="AC161:AC170" si="184">AC156*2</f>
        <v>5.2560000000000003E-3</v>
      </c>
      <c r="AD161" s="23">
        <f>AC161*1000000000000/Assumptions!$B$17/1000</f>
        <v>43800</v>
      </c>
      <c r="AE161" s="9">
        <f t="shared" si="148"/>
        <v>58.623645092460876</v>
      </c>
      <c r="AF161">
        <f>IF(LEFT(Z161,4)="Blue",Assumptions!$G$57,0)</f>
        <v>43.849999999999994</v>
      </c>
      <c r="AG161">
        <f>IF(LEFT(Z161,4)="Blue",Assumptions!$G$59,IF(LEFT(Z161,4)="Gree",Assumptions!$G$60,0))</f>
        <v>73.397290184921758</v>
      </c>
      <c r="AH161" s="6">
        <f t="shared" ref="AH161:AJ161" si="185">AH140</f>
        <v>91.12437315283151</v>
      </c>
      <c r="AI161" s="6">
        <f t="shared" si="185"/>
        <v>81.798746305663002</v>
      </c>
      <c r="AJ161" s="6">
        <f t="shared" si="185"/>
        <v>100.45</v>
      </c>
      <c r="AK161" s="51">
        <f t="shared" si="150"/>
        <v>-17.727082967909745</v>
      </c>
      <c r="AL161" s="51">
        <f t="shared" si="151"/>
        <v>-8.4014561207412441</v>
      </c>
      <c r="AM161" s="51">
        <f t="shared" si="152"/>
        <v>-27.052709815078245</v>
      </c>
      <c r="AN161">
        <f>IFERROR(INDEX(WaterUseH2[Average Direct Water Consumption (Gal/ kg h2)],MATCH(LEFT(Hydrogen!Y161,3),WaterUseH2[Key],0)),0)</f>
        <v>2.8</v>
      </c>
      <c r="AO161" s="13">
        <f t="shared" si="147"/>
        <v>122.63999999999999</v>
      </c>
      <c r="AP161" s="13">
        <f>IF(Y161=$Y$3,AD161*Assumptions!$C$8*1000/1000,0)</f>
        <v>0</v>
      </c>
      <c r="AQ161" s="30">
        <f t="shared" si="153"/>
        <v>0</v>
      </c>
      <c r="AR161" s="30">
        <f>$AQ161*Assumptions!B$76</f>
        <v>0</v>
      </c>
      <c r="AS161" s="30">
        <f>$AQ161*Assumptions!C$76</f>
        <v>0</v>
      </c>
      <c r="AT161" s="30">
        <f>$AQ161*Assumptions!D$76</f>
        <v>0</v>
      </c>
    </row>
    <row r="162" spans="25:46" x14ac:dyDescent="0.35">
      <c r="Y162" t="s">
        <v>74</v>
      </c>
      <c r="Z162" t="s">
        <v>73</v>
      </c>
      <c r="AA162" t="s">
        <v>107</v>
      </c>
      <c r="AB162">
        <v>2037</v>
      </c>
      <c r="AC162">
        <f t="shared" si="184"/>
        <v>5.2560000000000003E-3</v>
      </c>
      <c r="AD162" s="23">
        <f>AC162*1000000000000/Assumptions!$B$17/1000</f>
        <v>43800</v>
      </c>
      <c r="AE162" s="9">
        <f t="shared" si="148"/>
        <v>58.623645092460876</v>
      </c>
      <c r="AF162">
        <f>IF(LEFT(Z162,4)="Blue",Assumptions!$G$57,0)</f>
        <v>43.849999999999994</v>
      </c>
      <c r="AG162">
        <f>IF(LEFT(Z162,4)="Blue",Assumptions!$G$59,IF(LEFT(Z162,4)="Gree",Assumptions!$G$60,0))</f>
        <v>73.397290184921758</v>
      </c>
      <c r="AH162" s="6">
        <f t="shared" ref="AH162:AJ162" si="186">AH141</f>
        <v>89.845883938555232</v>
      </c>
      <c r="AI162" s="6">
        <f t="shared" si="186"/>
        <v>79.241767877110448</v>
      </c>
      <c r="AJ162" s="6">
        <f t="shared" si="186"/>
        <v>100.45</v>
      </c>
      <c r="AK162" s="51">
        <f t="shared" si="150"/>
        <v>-16.448593753633467</v>
      </c>
      <c r="AL162" s="51">
        <f t="shared" si="151"/>
        <v>-5.8444776921886898</v>
      </c>
      <c r="AM162" s="51">
        <f t="shared" si="152"/>
        <v>-27.052709815078245</v>
      </c>
      <c r="AN162">
        <f>IFERROR(INDEX(WaterUseH2[Average Direct Water Consumption (Gal/ kg h2)],MATCH(LEFT(Hydrogen!Y162,3),WaterUseH2[Key],0)),0)</f>
        <v>2.8</v>
      </c>
      <c r="AO162" s="13">
        <f t="shared" si="147"/>
        <v>122.63999999999999</v>
      </c>
      <c r="AP162" s="13">
        <f>IF(Y162=$Y$3,AD162*Assumptions!$C$8*1000/1000,0)</f>
        <v>0</v>
      </c>
      <c r="AQ162" s="30">
        <f t="shared" si="153"/>
        <v>0</v>
      </c>
      <c r="AR162" s="30">
        <f>$AQ162*Assumptions!B$76</f>
        <v>0</v>
      </c>
      <c r="AS162" s="30">
        <f>$AQ162*Assumptions!C$76</f>
        <v>0</v>
      </c>
      <c r="AT162" s="30">
        <f>$AQ162*Assumptions!D$76</f>
        <v>0</v>
      </c>
    </row>
    <row r="163" spans="25:46" x14ac:dyDescent="0.35">
      <c r="Y163" t="s">
        <v>74</v>
      </c>
      <c r="Z163" t="s">
        <v>73</v>
      </c>
      <c r="AA163" t="s">
        <v>107</v>
      </c>
      <c r="AB163">
        <v>2038</v>
      </c>
      <c r="AC163">
        <f t="shared" si="184"/>
        <v>5.2560000000000003E-3</v>
      </c>
      <c r="AD163" s="23">
        <f>AC163*1000000000000/Assumptions!$B$17/1000</f>
        <v>43800</v>
      </c>
      <c r="AE163" s="9">
        <f t="shared" si="148"/>
        <v>58.623645092460876</v>
      </c>
      <c r="AF163">
        <f>IF(LEFT(Z163,4)="Blue",Assumptions!$G$57,0)</f>
        <v>43.849999999999994</v>
      </c>
      <c r="AG163">
        <f>IF(LEFT(Z163,4)="Blue",Assumptions!$G$59,IF(LEFT(Z163,4)="Gree",Assumptions!$G$60,0))</f>
        <v>73.397290184921758</v>
      </c>
      <c r="AH163" s="6">
        <f t="shared" ref="AH163:AJ163" si="187">AH142</f>
        <v>88.574547187599435</v>
      </c>
      <c r="AI163" s="6">
        <f t="shared" si="187"/>
        <v>76.699094375198868</v>
      </c>
      <c r="AJ163" s="6">
        <f t="shared" si="187"/>
        <v>100.45</v>
      </c>
      <c r="AK163" s="51">
        <f t="shared" si="150"/>
        <v>-15.177257002677678</v>
      </c>
      <c r="AL163" s="51">
        <f t="shared" si="151"/>
        <v>-3.3018041902771103</v>
      </c>
      <c r="AM163" s="51">
        <f t="shared" si="152"/>
        <v>-27.052709815078245</v>
      </c>
      <c r="AN163">
        <f>IFERROR(INDEX(WaterUseH2[Average Direct Water Consumption (Gal/ kg h2)],MATCH(LEFT(Hydrogen!Y163,3),WaterUseH2[Key],0)),0)</f>
        <v>2.8</v>
      </c>
      <c r="AO163" s="13">
        <f t="shared" si="147"/>
        <v>122.63999999999999</v>
      </c>
      <c r="AP163" s="13">
        <f>IF(Y163=$Y$3,AD163*Assumptions!$C$8*1000/1000,0)</f>
        <v>0</v>
      </c>
      <c r="AQ163" s="30">
        <f t="shared" si="153"/>
        <v>0</v>
      </c>
      <c r="AR163" s="30">
        <f>$AQ163*Assumptions!B$76</f>
        <v>0</v>
      </c>
      <c r="AS163" s="30">
        <f>$AQ163*Assumptions!C$76</f>
        <v>0</v>
      </c>
      <c r="AT163" s="30">
        <f>$AQ163*Assumptions!D$76</f>
        <v>0</v>
      </c>
    </row>
    <row r="164" spans="25:46" x14ac:dyDescent="0.35">
      <c r="Y164" t="s">
        <v>74</v>
      </c>
      <c r="Z164" t="s">
        <v>73</v>
      </c>
      <c r="AA164" t="s">
        <v>107</v>
      </c>
      <c r="AB164">
        <v>2039</v>
      </c>
      <c r="AC164">
        <f t="shared" si="184"/>
        <v>5.2560000000000003E-3</v>
      </c>
      <c r="AD164" s="23">
        <f>AC164*1000000000000/Assumptions!$B$17/1000</f>
        <v>43800</v>
      </c>
      <c r="AE164" s="9">
        <f t="shared" si="148"/>
        <v>58.623645092460876</v>
      </c>
      <c r="AF164">
        <f>IF(LEFT(Z164,4)="Blue",Assumptions!$G$57,0)</f>
        <v>43.849999999999994</v>
      </c>
      <c r="AG164">
        <f>IF(LEFT(Z164,4)="Blue",Assumptions!$G$59,IF(LEFT(Z164,4)="Gree",Assumptions!$G$60,0))</f>
        <v>73.397290184921758</v>
      </c>
      <c r="AH164" s="6">
        <f t="shared" ref="AH164:AJ164" si="188">AH143</f>
        <v>87.273478799936612</v>
      </c>
      <c r="AI164" s="6">
        <f t="shared" si="188"/>
        <v>74.096957599873221</v>
      </c>
      <c r="AJ164" s="6">
        <f t="shared" si="188"/>
        <v>100.45</v>
      </c>
      <c r="AK164" s="51">
        <f t="shared" si="150"/>
        <v>-13.876188615014854</v>
      </c>
      <c r="AL164" s="51">
        <f t="shared" si="151"/>
        <v>-0.69966741495146323</v>
      </c>
      <c r="AM164" s="51">
        <f t="shared" si="152"/>
        <v>-27.052709815078245</v>
      </c>
      <c r="AN164">
        <f>IFERROR(INDEX(WaterUseH2[Average Direct Water Consumption (Gal/ kg h2)],MATCH(LEFT(Hydrogen!Y164,3),WaterUseH2[Key],0)),0)</f>
        <v>2.8</v>
      </c>
      <c r="AO164" s="13">
        <f t="shared" si="147"/>
        <v>122.63999999999999</v>
      </c>
      <c r="AP164" s="13">
        <f>IF(Y164=$Y$3,AD164*Assumptions!$C$8*1000/1000,0)</f>
        <v>0</v>
      </c>
      <c r="AQ164" s="30">
        <f t="shared" si="153"/>
        <v>0</v>
      </c>
      <c r="AR164" s="30">
        <f>$AQ164*Assumptions!B$76</f>
        <v>0</v>
      </c>
      <c r="AS164" s="30">
        <f>$AQ164*Assumptions!C$76</f>
        <v>0</v>
      </c>
      <c r="AT164" s="30">
        <f>$AQ164*Assumptions!D$76</f>
        <v>0</v>
      </c>
    </row>
    <row r="165" spans="25:46" x14ac:dyDescent="0.35">
      <c r="Y165" t="s">
        <v>74</v>
      </c>
      <c r="Z165" t="s">
        <v>73</v>
      </c>
      <c r="AA165" t="s">
        <v>107</v>
      </c>
      <c r="AB165">
        <v>2040</v>
      </c>
      <c r="AC165">
        <f t="shared" si="184"/>
        <v>5.2560000000000003E-3</v>
      </c>
      <c r="AD165" s="23">
        <f>AC165*1000000000000/Assumptions!$B$17/1000</f>
        <v>43800</v>
      </c>
      <c r="AE165" s="9">
        <f t="shared" si="148"/>
        <v>58.623645092460876</v>
      </c>
      <c r="AF165">
        <f>IF(LEFT(Z165,4)="Blue",Assumptions!$G$57,0)</f>
        <v>43.849999999999994</v>
      </c>
      <c r="AG165">
        <f>IF(LEFT(Z165,4)="Blue",Assumptions!$G$59,IF(LEFT(Z165,4)="Gree",Assumptions!$G$60,0))</f>
        <v>73.397290184921758</v>
      </c>
      <c r="AH165" s="6">
        <f t="shared" ref="AH165:AJ165" si="189">AH144</f>
        <v>85.951275707781519</v>
      </c>
      <c r="AI165" s="6">
        <f t="shared" si="189"/>
        <v>71.452551415563036</v>
      </c>
      <c r="AJ165" s="6">
        <f t="shared" si="189"/>
        <v>100.45</v>
      </c>
      <c r="AK165" s="51">
        <f t="shared" si="150"/>
        <v>-13.526354907539123</v>
      </c>
      <c r="AL165" s="51">
        <f t="shared" si="151"/>
        <v>0</v>
      </c>
      <c r="AM165" s="51">
        <f t="shared" si="152"/>
        <v>-27.052709815078245</v>
      </c>
      <c r="AN165">
        <f>IFERROR(INDEX(WaterUseH2[Average Direct Water Consumption (Gal/ kg h2)],MATCH(LEFT(Hydrogen!Y165,3),WaterUseH2[Key],0)),0)</f>
        <v>2.8</v>
      </c>
      <c r="AO165" s="13">
        <f t="shared" si="147"/>
        <v>122.63999999999999</v>
      </c>
      <c r="AP165" s="13">
        <f>IF(Y165=$Y$3,AD165*Assumptions!$C$8*1000/1000,0)</f>
        <v>0</v>
      </c>
      <c r="AQ165" s="30">
        <f t="shared" si="153"/>
        <v>0</v>
      </c>
      <c r="AR165" s="30">
        <f>$AQ165*Assumptions!B$76</f>
        <v>0</v>
      </c>
      <c r="AS165" s="30">
        <f>$AQ165*Assumptions!C$76</f>
        <v>0</v>
      </c>
      <c r="AT165" s="30">
        <f>$AQ165*Assumptions!D$76</f>
        <v>0</v>
      </c>
    </row>
    <row r="166" spans="25:46" x14ac:dyDescent="0.35">
      <c r="Y166" t="s">
        <v>74</v>
      </c>
      <c r="Z166" t="s">
        <v>73</v>
      </c>
      <c r="AA166" t="s">
        <v>107</v>
      </c>
      <c r="AB166">
        <v>2041</v>
      </c>
      <c r="AC166">
        <f t="shared" si="184"/>
        <v>1.0512000000000001E-2</v>
      </c>
      <c r="AD166" s="23">
        <f>AC166*1000000000000/Assumptions!$B$17/1000</f>
        <v>87600</v>
      </c>
      <c r="AE166" s="9">
        <f t="shared" si="148"/>
        <v>58.623645092460876</v>
      </c>
      <c r="AF166">
        <f>IF(LEFT(Z166,4)="Blue",Assumptions!$G$57,0)</f>
        <v>43.849999999999994</v>
      </c>
      <c r="AG166">
        <f>IF(LEFT(Z166,4)="Blue",Assumptions!$G$59,IF(LEFT(Z166,4)="Gree",Assumptions!$G$60,0))</f>
        <v>73.397290184921758</v>
      </c>
      <c r="AH166" s="6">
        <f t="shared" ref="AH166:AJ166" si="190">AH145</f>
        <v>84.637245588482756</v>
      </c>
      <c r="AI166" s="6">
        <f t="shared" si="190"/>
        <v>68.824491176965509</v>
      </c>
      <c r="AJ166" s="6">
        <f t="shared" si="190"/>
        <v>100.45</v>
      </c>
      <c r="AK166" s="51">
        <f t="shared" si="150"/>
        <v>-13.526354907539123</v>
      </c>
      <c r="AL166" s="51">
        <f t="shared" si="151"/>
        <v>0</v>
      </c>
      <c r="AM166" s="51">
        <f t="shared" si="152"/>
        <v>-27.052709815078245</v>
      </c>
      <c r="AN166">
        <f>IFERROR(INDEX(WaterUseH2[Average Direct Water Consumption (Gal/ kg h2)],MATCH(LEFT(Hydrogen!Y166,3),WaterUseH2[Key],0)),0)</f>
        <v>2.8</v>
      </c>
      <c r="AO166" s="13">
        <f t="shared" si="147"/>
        <v>245.27999999999997</v>
      </c>
      <c r="AP166" s="13">
        <f>IF(Y166=$Y$3,AD166*Assumptions!$C$8*1000/1000,0)</f>
        <v>0</v>
      </c>
      <c r="AQ166" s="30">
        <f t="shared" si="153"/>
        <v>0</v>
      </c>
      <c r="AR166" s="30">
        <f>$AQ166*Assumptions!B$76</f>
        <v>0</v>
      </c>
      <c r="AS166" s="30">
        <f>$AQ166*Assumptions!C$76</f>
        <v>0</v>
      </c>
      <c r="AT166" s="30">
        <f>$AQ166*Assumptions!D$76</f>
        <v>0</v>
      </c>
    </row>
    <row r="167" spans="25:46" x14ac:dyDescent="0.35">
      <c r="Y167" t="s">
        <v>74</v>
      </c>
      <c r="Z167" t="s">
        <v>73</v>
      </c>
      <c r="AA167" t="s">
        <v>107</v>
      </c>
      <c r="AB167">
        <v>2042</v>
      </c>
      <c r="AC167">
        <f t="shared" si="184"/>
        <v>1.0512000000000001E-2</v>
      </c>
      <c r="AD167" s="23">
        <f>AC167*1000000000000/Assumptions!$B$17/1000</f>
        <v>87600</v>
      </c>
      <c r="AE167" s="9">
        <f t="shared" si="148"/>
        <v>58.623645092460876</v>
      </c>
      <c r="AF167">
        <f>IF(LEFT(Z167,4)="Blue",Assumptions!$G$57,0)</f>
        <v>43.849999999999994</v>
      </c>
      <c r="AG167">
        <f>IF(LEFT(Z167,4)="Blue",Assumptions!$G$59,IF(LEFT(Z167,4)="Gree",Assumptions!$G$60,0))</f>
        <v>73.397290184921758</v>
      </c>
      <c r="AH167" s="6">
        <f t="shared" ref="AH167:AJ167" si="191">AH146</f>
        <v>83.36430635778953</v>
      </c>
      <c r="AI167" s="6">
        <f t="shared" si="191"/>
        <v>66.278612715579072</v>
      </c>
      <c r="AJ167" s="6">
        <f t="shared" si="191"/>
        <v>100.45</v>
      </c>
      <c r="AK167" s="51">
        <f t="shared" si="150"/>
        <v>-13.526354907539123</v>
      </c>
      <c r="AL167" s="51">
        <f t="shared" si="151"/>
        <v>0</v>
      </c>
      <c r="AM167" s="51">
        <f t="shared" si="152"/>
        <v>-27.052709815078245</v>
      </c>
      <c r="AN167">
        <f>IFERROR(INDEX(WaterUseH2[Average Direct Water Consumption (Gal/ kg h2)],MATCH(LEFT(Hydrogen!Y167,3),WaterUseH2[Key],0)),0)</f>
        <v>2.8</v>
      </c>
      <c r="AO167" s="13">
        <f t="shared" si="147"/>
        <v>245.27999999999997</v>
      </c>
      <c r="AP167" s="13">
        <f>IF(Y167=$Y$3,AD167*Assumptions!$C$8*1000/1000,0)</f>
        <v>0</v>
      </c>
      <c r="AQ167" s="30">
        <f t="shared" si="153"/>
        <v>0</v>
      </c>
      <c r="AR167" s="30">
        <f>$AQ167*Assumptions!B$76</f>
        <v>0</v>
      </c>
      <c r="AS167" s="30">
        <f>$AQ167*Assumptions!C$76</f>
        <v>0</v>
      </c>
      <c r="AT167" s="30">
        <f>$AQ167*Assumptions!D$76</f>
        <v>0</v>
      </c>
    </row>
    <row r="168" spans="25:46" x14ac:dyDescent="0.35">
      <c r="Y168" t="s">
        <v>74</v>
      </c>
      <c r="Z168" t="s">
        <v>73</v>
      </c>
      <c r="AA168" t="s">
        <v>107</v>
      </c>
      <c r="AB168">
        <v>2043</v>
      </c>
      <c r="AC168">
        <f t="shared" si="184"/>
        <v>1.0512000000000001E-2</v>
      </c>
      <c r="AD168" s="23">
        <f>AC168*1000000000000/Assumptions!$B$17/1000</f>
        <v>87600</v>
      </c>
      <c r="AE168" s="9">
        <f t="shared" si="148"/>
        <v>58.623645092460876</v>
      </c>
      <c r="AF168">
        <f>IF(LEFT(Z168,4)="Blue",Assumptions!$G$57,0)</f>
        <v>43.849999999999994</v>
      </c>
      <c r="AG168">
        <f>IF(LEFT(Z168,4)="Blue",Assumptions!$G$59,IF(LEFT(Z168,4)="Gree",Assumptions!$G$60,0))</f>
        <v>73.397290184921758</v>
      </c>
      <c r="AH168" s="6">
        <f t="shared" ref="AH168:AJ168" si="192">AH147</f>
        <v>82.142704261559757</v>
      </c>
      <c r="AI168" s="6">
        <f t="shared" si="192"/>
        <v>63.835408523119504</v>
      </c>
      <c r="AJ168" s="6">
        <f t="shared" si="192"/>
        <v>100.45</v>
      </c>
      <c r="AK168" s="51">
        <f t="shared" si="150"/>
        <v>-13.526354907539123</v>
      </c>
      <c r="AL168" s="51">
        <f t="shared" si="151"/>
        <v>0</v>
      </c>
      <c r="AM168" s="51">
        <f t="shared" si="152"/>
        <v>-27.052709815078245</v>
      </c>
      <c r="AN168">
        <f>IFERROR(INDEX(WaterUseH2[Average Direct Water Consumption (Gal/ kg h2)],MATCH(LEFT(Hydrogen!Y168,3),WaterUseH2[Key],0)),0)</f>
        <v>2.8</v>
      </c>
      <c r="AO168" s="13">
        <f t="shared" si="147"/>
        <v>245.27999999999997</v>
      </c>
      <c r="AP168" s="13">
        <f>IF(Y168=$Y$3,AD168*Assumptions!$C$8*1000/1000,0)</f>
        <v>0</v>
      </c>
      <c r="AQ168" s="30">
        <f t="shared" si="153"/>
        <v>0</v>
      </c>
      <c r="AR168" s="30">
        <f>$AQ168*Assumptions!B$76</f>
        <v>0</v>
      </c>
      <c r="AS168" s="30">
        <f>$AQ168*Assumptions!C$76</f>
        <v>0</v>
      </c>
      <c r="AT168" s="30">
        <f>$AQ168*Assumptions!D$76</f>
        <v>0</v>
      </c>
    </row>
    <row r="169" spans="25:46" x14ac:dyDescent="0.35">
      <c r="Y169" t="s">
        <v>74</v>
      </c>
      <c r="Z169" t="s">
        <v>73</v>
      </c>
      <c r="AA169" t="s">
        <v>107</v>
      </c>
      <c r="AB169">
        <v>2044</v>
      </c>
      <c r="AC169">
        <f t="shared" si="184"/>
        <v>1.0512000000000001E-2</v>
      </c>
      <c r="AD169" s="23">
        <f>AC169*1000000000000/Assumptions!$B$17/1000</f>
        <v>87600</v>
      </c>
      <c r="AE169" s="9">
        <f t="shared" si="148"/>
        <v>58.623645092460876</v>
      </c>
      <c r="AF169">
        <f>IF(LEFT(Z169,4)="Blue",Assumptions!$G$57,0)</f>
        <v>43.849999999999994</v>
      </c>
      <c r="AG169">
        <f>IF(LEFT(Z169,4)="Blue",Assumptions!$G$59,IF(LEFT(Z169,4)="Gree",Assumptions!$G$60,0))</f>
        <v>73.397290184921758</v>
      </c>
      <c r="AH169" s="6">
        <f t="shared" ref="AH169:AJ169" si="193">AH148</f>
        <v>80.990181196488862</v>
      </c>
      <c r="AI169" s="6">
        <f t="shared" si="193"/>
        <v>61.530362392977736</v>
      </c>
      <c r="AJ169" s="6">
        <f t="shared" si="193"/>
        <v>100.45</v>
      </c>
      <c r="AK169" s="51">
        <f t="shared" si="150"/>
        <v>-13.526354907539123</v>
      </c>
      <c r="AL169" s="51">
        <f t="shared" si="151"/>
        <v>0</v>
      </c>
      <c r="AM169" s="51">
        <f t="shared" si="152"/>
        <v>-27.052709815078245</v>
      </c>
      <c r="AN169">
        <f>IFERROR(INDEX(WaterUseH2[Average Direct Water Consumption (Gal/ kg h2)],MATCH(LEFT(Hydrogen!Y169,3),WaterUseH2[Key],0)),0)</f>
        <v>2.8</v>
      </c>
      <c r="AO169" s="13">
        <f t="shared" si="147"/>
        <v>245.27999999999997</v>
      </c>
      <c r="AP169" s="13">
        <f>IF(Y169=$Y$3,AD169*Assumptions!$C$8*1000/1000,0)</f>
        <v>0</v>
      </c>
      <c r="AQ169" s="30">
        <f t="shared" si="153"/>
        <v>0</v>
      </c>
      <c r="AR169" s="30">
        <f>$AQ169*Assumptions!B$76</f>
        <v>0</v>
      </c>
      <c r="AS169" s="30">
        <f>$AQ169*Assumptions!C$76</f>
        <v>0</v>
      </c>
      <c r="AT169" s="30">
        <f>$AQ169*Assumptions!D$76</f>
        <v>0</v>
      </c>
    </row>
    <row r="170" spans="25:46" x14ac:dyDescent="0.35">
      <c r="Y170" t="s">
        <v>74</v>
      </c>
      <c r="Z170" t="s">
        <v>73</v>
      </c>
      <c r="AA170" t="s">
        <v>107</v>
      </c>
      <c r="AB170">
        <v>2045</v>
      </c>
      <c r="AC170">
        <f t="shared" si="184"/>
        <v>1.0512000000000001E-2</v>
      </c>
      <c r="AD170" s="23">
        <f>AC170*1000000000000/Assumptions!$B$17/1000</f>
        <v>87600</v>
      </c>
      <c r="AE170" s="9">
        <f t="shared" si="148"/>
        <v>58.623645092460876</v>
      </c>
      <c r="AF170">
        <f>IF(LEFT(Z170,4)="Blue",Assumptions!$G$57,0)</f>
        <v>43.849999999999994</v>
      </c>
      <c r="AG170">
        <f>IF(LEFT(Z170,4)="Blue",Assumptions!$G$59,IF(LEFT(Z170,4)="Gree",Assumptions!$G$60,0))</f>
        <v>73.397290184921758</v>
      </c>
      <c r="AH170" s="6">
        <f t="shared" ref="AH170:AJ170" si="194">AH149</f>
        <v>79.920544054153567</v>
      </c>
      <c r="AI170" s="6">
        <f t="shared" si="194"/>
        <v>59.391088108307123</v>
      </c>
      <c r="AJ170" s="6">
        <f t="shared" si="194"/>
        <v>100.45</v>
      </c>
      <c r="AK170" s="51">
        <f t="shared" si="150"/>
        <v>-13.526354907539123</v>
      </c>
      <c r="AL170" s="51">
        <f t="shared" si="151"/>
        <v>0</v>
      </c>
      <c r="AM170" s="51">
        <f t="shared" si="152"/>
        <v>-27.052709815078245</v>
      </c>
      <c r="AN170">
        <f>IFERROR(INDEX(WaterUseH2[Average Direct Water Consumption (Gal/ kg h2)],MATCH(LEFT(Hydrogen!Y170,3),WaterUseH2[Key],0)),0)</f>
        <v>2.8</v>
      </c>
      <c r="AO170" s="13">
        <f t="shared" si="147"/>
        <v>245.27999999999997</v>
      </c>
      <c r="AP170" s="13">
        <f>IF(Y170=$Y$3,AD170*Assumptions!$C$8*1000/1000,0)</f>
        <v>0</v>
      </c>
      <c r="AQ170" s="30">
        <f t="shared" si="153"/>
        <v>0</v>
      </c>
      <c r="AR170" s="30">
        <f>$AQ170*Assumptions!B$76</f>
        <v>0</v>
      </c>
      <c r="AS170" s="30">
        <f>$AQ170*Assumptions!C$76</f>
        <v>0</v>
      </c>
      <c r="AT170" s="30">
        <f>$AQ170*Assumptions!D$76</f>
        <v>0</v>
      </c>
    </row>
    <row r="171" spans="25:46" x14ac:dyDescent="0.35">
      <c r="Y171" t="s">
        <v>190</v>
      </c>
      <c r="AA171" t="s">
        <v>107</v>
      </c>
      <c r="AB171">
        <v>2025</v>
      </c>
      <c r="AC171">
        <v>0</v>
      </c>
      <c r="AD171" s="23">
        <f>AC171*1000000000000/Assumptions!$B$17/1000</f>
        <v>0</v>
      </c>
      <c r="AE171" s="9">
        <f t="shared" si="148"/>
        <v>0</v>
      </c>
      <c r="AF171">
        <f>IF(LEFT(Z171,4)="Blue",Assumptions!$G$57,0)</f>
        <v>0</v>
      </c>
      <c r="AG171">
        <f>IF(LEFT(Z171,4)="Blue",Assumptions!$G$59,IF(LEFT(Z171,4)="Gree",Assumptions!$G$60,0))</f>
        <v>0</v>
      </c>
      <c r="AH171" s="6">
        <f t="shared" ref="AH171:AJ171" si="195">AH150</f>
        <v>99.359553682832001</v>
      </c>
      <c r="AI171" s="6">
        <f t="shared" si="195"/>
        <v>98.269107365663999</v>
      </c>
      <c r="AJ171" s="6">
        <f t="shared" si="195"/>
        <v>100.45</v>
      </c>
      <c r="AK171" s="51">
        <f t="shared" si="150"/>
        <v>-99.359553682832001</v>
      </c>
      <c r="AL171" s="51">
        <f t="shared" si="151"/>
        <v>-98.269107365663999</v>
      </c>
      <c r="AM171" s="51">
        <f t="shared" si="152"/>
        <v>-100.45</v>
      </c>
      <c r="AN171">
        <f>IFERROR(INDEX(WaterUseH2[Average Direct Water Consumption (Gal/ kg h2)],MATCH(LEFT(Hydrogen!Y171,3),WaterUseH2[Key],0)),0)</f>
        <v>4.0999999999999996</v>
      </c>
      <c r="AO171" s="13">
        <f t="shared" si="147"/>
        <v>0</v>
      </c>
      <c r="AP171" s="13">
        <f>IF(Y171=$Y$3,AD171*Assumptions!$C$8*1000/1000,0)</f>
        <v>0</v>
      </c>
      <c r="AQ171" s="30">
        <f t="shared" si="153"/>
        <v>0</v>
      </c>
      <c r="AR171" s="30">
        <f>$AQ171*Assumptions!B$76</f>
        <v>0</v>
      </c>
      <c r="AS171" s="30">
        <f>$AQ171*Assumptions!C$76</f>
        <v>0</v>
      </c>
      <c r="AT171" s="30">
        <f>$AQ171*Assumptions!D$76</f>
        <v>0</v>
      </c>
    </row>
    <row r="172" spans="25:46" x14ac:dyDescent="0.35">
      <c r="Y172" t="s">
        <v>190</v>
      </c>
      <c r="AA172" t="s">
        <v>107</v>
      </c>
      <c r="AB172">
        <v>2026</v>
      </c>
      <c r="AC172">
        <v>0</v>
      </c>
      <c r="AD172" s="23">
        <f>AC172*1000000000000/Assumptions!$B$17/1000</f>
        <v>0</v>
      </c>
      <c r="AE172" s="9">
        <f t="shared" si="148"/>
        <v>0</v>
      </c>
      <c r="AF172">
        <f>IF(LEFT(Z172,4)="Blue",Assumptions!$G$57,0)</f>
        <v>0</v>
      </c>
      <c r="AG172">
        <f>IF(LEFT(Z172,4)="Blue",Assumptions!$G$59,IF(LEFT(Z172,4)="Gree",Assumptions!$G$60,0))</f>
        <v>0</v>
      </c>
      <c r="AH172" s="6">
        <f t="shared" ref="AH172:AJ172" si="196">AH151</f>
        <v>99.000787443158117</v>
      </c>
      <c r="AI172" s="6">
        <f t="shared" si="196"/>
        <v>97.551574886316232</v>
      </c>
      <c r="AJ172" s="6">
        <f t="shared" si="196"/>
        <v>100.45</v>
      </c>
      <c r="AK172" s="51">
        <f t="shared" si="150"/>
        <v>-99.000787443158117</v>
      </c>
      <c r="AL172" s="51">
        <f t="shared" si="151"/>
        <v>-97.551574886316232</v>
      </c>
      <c r="AM172" s="51">
        <f t="shared" si="152"/>
        <v>-100.45</v>
      </c>
      <c r="AN172">
        <f>IFERROR(INDEX(WaterUseH2[Average Direct Water Consumption (Gal/ kg h2)],MATCH(LEFT(Hydrogen!Y172,3),WaterUseH2[Key],0)),0)</f>
        <v>4.0999999999999996</v>
      </c>
      <c r="AO172" s="13">
        <f t="shared" si="147"/>
        <v>0</v>
      </c>
      <c r="AP172" s="13">
        <f>IF(Y172=$Y$3,AD172*Assumptions!$C$8*1000/1000,0)</f>
        <v>0</v>
      </c>
      <c r="AQ172" s="30">
        <f t="shared" si="153"/>
        <v>0</v>
      </c>
      <c r="AR172" s="30">
        <f>$AQ172*Assumptions!B$76</f>
        <v>0</v>
      </c>
      <c r="AS172" s="30">
        <f>$AQ172*Assumptions!C$76</f>
        <v>0</v>
      </c>
      <c r="AT172" s="30">
        <f>$AQ172*Assumptions!D$76</f>
        <v>0</v>
      </c>
    </row>
    <row r="173" spans="25:46" x14ac:dyDescent="0.35">
      <c r="Y173" t="s">
        <v>190</v>
      </c>
      <c r="AA173" t="s">
        <v>107</v>
      </c>
      <c r="AB173">
        <v>2027</v>
      </c>
      <c r="AC173">
        <v>0</v>
      </c>
      <c r="AD173" s="23">
        <f>AC173*1000000000000/Assumptions!$B$17/1000</f>
        <v>0</v>
      </c>
      <c r="AE173" s="9">
        <f t="shared" si="148"/>
        <v>0</v>
      </c>
      <c r="AF173">
        <f>IF(LEFT(Z173,4)="Blue",Assumptions!$G$57,0)</f>
        <v>0</v>
      </c>
      <c r="AG173">
        <f>IF(LEFT(Z173,4)="Blue",Assumptions!$G$59,IF(LEFT(Z173,4)="Gree",Assumptions!$G$60,0))</f>
        <v>0</v>
      </c>
      <c r="AH173" s="6">
        <f t="shared" ref="AH173:AJ173" si="197">AH152</f>
        <v>98.562436921360089</v>
      </c>
      <c r="AI173" s="6">
        <f t="shared" si="197"/>
        <v>96.674873842720174</v>
      </c>
      <c r="AJ173" s="6">
        <f t="shared" si="197"/>
        <v>100.45</v>
      </c>
      <c r="AK173" s="51">
        <f t="shared" si="150"/>
        <v>-98.562436921360089</v>
      </c>
      <c r="AL173" s="51">
        <f t="shared" si="151"/>
        <v>-96.674873842720174</v>
      </c>
      <c r="AM173" s="51">
        <f t="shared" si="152"/>
        <v>-100.45</v>
      </c>
      <c r="AN173">
        <f>IFERROR(INDEX(WaterUseH2[Average Direct Water Consumption (Gal/ kg h2)],MATCH(LEFT(Hydrogen!Y173,3),WaterUseH2[Key],0)),0)</f>
        <v>4.0999999999999996</v>
      </c>
      <c r="AO173" s="13">
        <f t="shared" si="147"/>
        <v>0</v>
      </c>
      <c r="AP173" s="13">
        <f>IF(Y173=$Y$3,AD173*Assumptions!$C$8*1000/1000,0)</f>
        <v>0</v>
      </c>
      <c r="AQ173" s="30">
        <f t="shared" si="153"/>
        <v>0</v>
      </c>
      <c r="AR173" s="30">
        <f>$AQ173*Assumptions!B$76</f>
        <v>0</v>
      </c>
      <c r="AS173" s="30">
        <f>$AQ173*Assumptions!C$76</f>
        <v>0</v>
      </c>
      <c r="AT173" s="30">
        <f>$AQ173*Assumptions!D$76</f>
        <v>0</v>
      </c>
    </row>
    <row r="174" spans="25:46" x14ac:dyDescent="0.35">
      <c r="Y174" t="s">
        <v>190</v>
      </c>
      <c r="AA174" t="s">
        <v>107</v>
      </c>
      <c r="AB174">
        <v>2028</v>
      </c>
      <c r="AC174">
        <v>0</v>
      </c>
      <c r="AD174" s="23">
        <f>AC174*1000000000000/Assumptions!$B$17/1000</f>
        <v>0</v>
      </c>
      <c r="AE174" s="9">
        <f t="shared" si="148"/>
        <v>0</v>
      </c>
      <c r="AF174">
        <f>IF(LEFT(Z174,4)="Blue",Assumptions!$G$57,0)</f>
        <v>0</v>
      </c>
      <c r="AG174">
        <f>IF(LEFT(Z174,4)="Blue",Assumptions!$G$59,IF(LEFT(Z174,4)="Gree",Assumptions!$G$60,0))</f>
        <v>0</v>
      </c>
      <c r="AH174" s="6">
        <f t="shared" ref="AH174:AJ174" si="198">AH153</f>
        <v>98.088874094271858</v>
      </c>
      <c r="AI174" s="6">
        <f t="shared" si="198"/>
        <v>95.7277481885437</v>
      </c>
      <c r="AJ174" s="6">
        <f t="shared" si="198"/>
        <v>100.45</v>
      </c>
      <c r="AK174" s="51">
        <f t="shared" si="150"/>
        <v>-98.088874094271858</v>
      </c>
      <c r="AL174" s="51">
        <f t="shared" si="151"/>
        <v>-95.7277481885437</v>
      </c>
      <c r="AM174" s="51">
        <f t="shared" si="152"/>
        <v>-100.45</v>
      </c>
      <c r="AN174">
        <f>IFERROR(INDEX(WaterUseH2[Average Direct Water Consumption (Gal/ kg h2)],MATCH(LEFT(Hydrogen!Y174,3),WaterUseH2[Key],0)),0)</f>
        <v>4.0999999999999996</v>
      </c>
      <c r="AO174" s="13">
        <f t="shared" si="147"/>
        <v>0</v>
      </c>
      <c r="AP174" s="13">
        <f>IF(Y174=$Y$3,AD174*Assumptions!$C$8*1000/1000,0)</f>
        <v>0</v>
      </c>
      <c r="AQ174" s="30">
        <f t="shared" si="153"/>
        <v>0</v>
      </c>
      <c r="AR174" s="30">
        <f>$AQ174*Assumptions!B$76</f>
        <v>0</v>
      </c>
      <c r="AS174" s="30">
        <f>$AQ174*Assumptions!C$76</f>
        <v>0</v>
      </c>
      <c r="AT174" s="30">
        <f>$AQ174*Assumptions!D$76</f>
        <v>0</v>
      </c>
    </row>
    <row r="175" spans="25:46" x14ac:dyDescent="0.35">
      <c r="Y175" t="s">
        <v>190</v>
      </c>
      <c r="AA175" t="s">
        <v>107</v>
      </c>
      <c r="AB175">
        <v>2029</v>
      </c>
      <c r="AC175">
        <v>0</v>
      </c>
      <c r="AD175" s="23">
        <f>AC175*1000000000000/Assumptions!$B$17/1000</f>
        <v>0</v>
      </c>
      <c r="AE175" s="9">
        <f t="shared" si="148"/>
        <v>0</v>
      </c>
      <c r="AF175">
        <f>IF(LEFT(Z175,4)="Blue",Assumptions!$G$57,0)</f>
        <v>0</v>
      </c>
      <c r="AG175">
        <f>IF(LEFT(Z175,4)="Blue",Assumptions!$G$59,IF(LEFT(Z175,4)="Gree",Assumptions!$G$60,0))</f>
        <v>0</v>
      </c>
      <c r="AH175" s="6">
        <f t="shared" ref="AH175:AJ175" si="199">AH154</f>
        <v>97.544867879479852</v>
      </c>
      <c r="AI175" s="6">
        <f t="shared" si="199"/>
        <v>94.639735758959688</v>
      </c>
      <c r="AJ175" s="6">
        <f t="shared" si="199"/>
        <v>100.45</v>
      </c>
      <c r="AK175" s="51">
        <f t="shared" si="150"/>
        <v>-97.544867879479852</v>
      </c>
      <c r="AL175" s="51">
        <f t="shared" si="151"/>
        <v>-94.639735758959688</v>
      </c>
      <c r="AM175" s="51">
        <f t="shared" si="152"/>
        <v>-100.45</v>
      </c>
      <c r="AN175">
        <f>IFERROR(INDEX(WaterUseH2[Average Direct Water Consumption (Gal/ kg h2)],MATCH(LEFT(Hydrogen!Y175,3),WaterUseH2[Key],0)),0)</f>
        <v>4.0999999999999996</v>
      </c>
      <c r="AO175" s="13">
        <f t="shared" si="147"/>
        <v>0</v>
      </c>
      <c r="AP175" s="13">
        <f>IF(Y175=$Y$3,AD175*Assumptions!$C$8*1000/1000,0)</f>
        <v>0</v>
      </c>
      <c r="AQ175" s="30">
        <f t="shared" si="153"/>
        <v>0</v>
      </c>
      <c r="AR175" s="30">
        <f>$AQ175*Assumptions!B$76</f>
        <v>0</v>
      </c>
      <c r="AS175" s="30">
        <f>$AQ175*Assumptions!C$76</f>
        <v>0</v>
      </c>
      <c r="AT175" s="30">
        <f>$AQ175*Assumptions!D$76</f>
        <v>0</v>
      </c>
    </row>
    <row r="176" spans="25:46" x14ac:dyDescent="0.35">
      <c r="Y176" t="s">
        <v>190</v>
      </c>
      <c r="AA176" t="s">
        <v>107</v>
      </c>
      <c r="AB176">
        <v>2030</v>
      </c>
      <c r="AC176">
        <v>0</v>
      </c>
      <c r="AD176" s="23">
        <f>AC176*1000000000000/Assumptions!$B$17/1000</f>
        <v>0</v>
      </c>
      <c r="AE176" s="9">
        <f t="shared" si="148"/>
        <v>0</v>
      </c>
      <c r="AF176">
        <f>IF(LEFT(Z176,4)="Blue",Assumptions!$G$57,0)</f>
        <v>0</v>
      </c>
      <c r="AG176">
        <f>IF(LEFT(Z176,4)="Blue",Assumptions!$G$59,IF(LEFT(Z176,4)="Gree",Assumptions!$G$60,0))</f>
        <v>0</v>
      </c>
      <c r="AH176" s="6">
        <f t="shared" ref="AH176:AJ176" si="200">AH155</f>
        <v>96.924614347496885</v>
      </c>
      <c r="AI176" s="6">
        <f t="shared" si="200"/>
        <v>93.399228694993766</v>
      </c>
      <c r="AJ176" s="6">
        <f t="shared" si="200"/>
        <v>100.45</v>
      </c>
      <c r="AK176" s="51">
        <f t="shared" si="150"/>
        <v>-96.924614347496885</v>
      </c>
      <c r="AL176" s="51">
        <f t="shared" si="151"/>
        <v>-93.399228694993766</v>
      </c>
      <c r="AM176" s="51">
        <f t="shared" si="152"/>
        <v>-100.45</v>
      </c>
      <c r="AN176">
        <f>IFERROR(INDEX(WaterUseH2[Average Direct Water Consumption (Gal/ kg h2)],MATCH(LEFT(Hydrogen!Y176,3),WaterUseH2[Key],0)),0)</f>
        <v>4.0999999999999996</v>
      </c>
      <c r="AO176" s="13">
        <f t="shared" si="147"/>
        <v>0</v>
      </c>
      <c r="AP176" s="13">
        <f>IF(Y176=$Y$3,AD176*Assumptions!$C$8*1000/1000,0)</f>
        <v>0</v>
      </c>
      <c r="AQ176" s="30">
        <f t="shared" si="153"/>
        <v>0</v>
      </c>
      <c r="AR176" s="30">
        <f>$AQ176*Assumptions!B$76</f>
        <v>0</v>
      </c>
      <c r="AS176" s="30">
        <f>$AQ176*Assumptions!C$76</f>
        <v>0</v>
      </c>
      <c r="AT176" s="30">
        <f>$AQ176*Assumptions!D$76</f>
        <v>0</v>
      </c>
    </row>
    <row r="177" spans="25:46" x14ac:dyDescent="0.35">
      <c r="Y177" t="s">
        <v>190</v>
      </c>
      <c r="AA177" t="s">
        <v>107</v>
      </c>
      <c r="AB177">
        <v>2031</v>
      </c>
      <c r="AC177">
        <v>0</v>
      </c>
      <c r="AD177" s="23">
        <f>AC177*1000000000000/Assumptions!$B$17/1000</f>
        <v>0</v>
      </c>
      <c r="AE177" s="9">
        <f t="shared" si="148"/>
        <v>0</v>
      </c>
      <c r="AF177">
        <f>IF(LEFT(Z177,4)="Blue",Assumptions!$G$57,0)</f>
        <v>0</v>
      </c>
      <c r="AG177">
        <f>IF(LEFT(Z177,4)="Blue",Assumptions!$G$59,IF(LEFT(Z177,4)="Gree",Assumptions!$G$60,0))</f>
        <v>0</v>
      </c>
      <c r="AH177" s="6">
        <f t="shared" ref="AH177:AJ177" si="201">AH156</f>
        <v>96.219877469537067</v>
      </c>
      <c r="AI177" s="6">
        <f t="shared" si="201"/>
        <v>91.989754939074118</v>
      </c>
      <c r="AJ177" s="6">
        <f t="shared" si="201"/>
        <v>100.45</v>
      </c>
      <c r="AK177" s="51">
        <f t="shared" si="150"/>
        <v>-96.219877469537067</v>
      </c>
      <c r="AL177" s="51">
        <f t="shared" si="151"/>
        <v>-91.989754939074118</v>
      </c>
      <c r="AM177" s="51">
        <f t="shared" si="152"/>
        <v>-100.45</v>
      </c>
      <c r="AN177">
        <f>IFERROR(INDEX(WaterUseH2[Average Direct Water Consumption (Gal/ kg h2)],MATCH(LEFT(Hydrogen!Y177,3),WaterUseH2[Key],0)),0)</f>
        <v>4.0999999999999996</v>
      </c>
      <c r="AO177" s="13">
        <f t="shared" si="147"/>
        <v>0</v>
      </c>
      <c r="AP177" s="13">
        <f>IF(Y177=$Y$3,AD177*Assumptions!$C$8*1000/1000,0)</f>
        <v>0</v>
      </c>
      <c r="AQ177" s="30">
        <f t="shared" si="153"/>
        <v>0</v>
      </c>
      <c r="AR177" s="30">
        <f>$AQ177*Assumptions!B$76</f>
        <v>0</v>
      </c>
      <c r="AS177" s="30">
        <f>$AQ177*Assumptions!C$76</f>
        <v>0</v>
      </c>
      <c r="AT177" s="30">
        <f>$AQ177*Assumptions!D$76</f>
        <v>0</v>
      </c>
    </row>
    <row r="178" spans="25:46" x14ac:dyDescent="0.35">
      <c r="Y178" t="s">
        <v>190</v>
      </c>
      <c r="AA178" t="s">
        <v>107</v>
      </c>
      <c r="AB178">
        <v>2032</v>
      </c>
      <c r="AC178">
        <v>0</v>
      </c>
      <c r="AD178" s="23">
        <f>AC178*1000000000000/Assumptions!$B$17/1000</f>
        <v>0</v>
      </c>
      <c r="AE178" s="9">
        <f t="shared" si="148"/>
        <v>0</v>
      </c>
      <c r="AF178">
        <f>IF(LEFT(Z178,4)="Blue",Assumptions!$G$57,0)</f>
        <v>0</v>
      </c>
      <c r="AG178">
        <f>IF(LEFT(Z178,4)="Blue",Assumptions!$G$59,IF(LEFT(Z178,4)="Gree",Assumptions!$G$60,0))</f>
        <v>0</v>
      </c>
      <c r="AH178" s="6">
        <f t="shared" ref="AH178:AJ178" si="202">AH157</f>
        <v>95.431212950513526</v>
      </c>
      <c r="AI178" s="6">
        <f t="shared" si="202"/>
        <v>90.412425901027063</v>
      </c>
      <c r="AJ178" s="6">
        <f t="shared" si="202"/>
        <v>100.45</v>
      </c>
      <c r="AK178" s="51">
        <f t="shared" si="150"/>
        <v>-95.431212950513526</v>
      </c>
      <c r="AL178" s="51">
        <f t="shared" si="151"/>
        <v>-90.412425901027063</v>
      </c>
      <c r="AM178" s="51">
        <f t="shared" si="152"/>
        <v>-100.45</v>
      </c>
      <c r="AN178">
        <f>IFERROR(INDEX(WaterUseH2[Average Direct Water Consumption (Gal/ kg h2)],MATCH(LEFT(Hydrogen!Y178,3),WaterUseH2[Key],0)),0)</f>
        <v>4.0999999999999996</v>
      </c>
      <c r="AO178" s="13">
        <f t="shared" si="147"/>
        <v>0</v>
      </c>
      <c r="AP178" s="13">
        <f>IF(Y178=$Y$3,AD178*Assumptions!$C$8*1000/1000,0)</f>
        <v>0</v>
      </c>
      <c r="AQ178" s="30">
        <f t="shared" si="153"/>
        <v>0</v>
      </c>
      <c r="AR178" s="30">
        <f>$AQ178*Assumptions!B$76</f>
        <v>0</v>
      </c>
      <c r="AS178" s="30">
        <f>$AQ178*Assumptions!C$76</f>
        <v>0</v>
      </c>
      <c r="AT178" s="30">
        <f>$AQ178*Assumptions!D$76</f>
        <v>0</v>
      </c>
    </row>
    <row r="179" spans="25:46" x14ac:dyDescent="0.35">
      <c r="Y179" t="s">
        <v>190</v>
      </c>
      <c r="AA179" t="s">
        <v>107</v>
      </c>
      <c r="AB179">
        <v>2033</v>
      </c>
      <c r="AC179">
        <v>0</v>
      </c>
      <c r="AD179" s="23">
        <f>AC179*1000000000000/Assumptions!$B$17/1000</f>
        <v>0</v>
      </c>
      <c r="AE179" s="9">
        <f t="shared" si="148"/>
        <v>0</v>
      </c>
      <c r="AF179">
        <f>IF(LEFT(Z179,4)="Blue",Assumptions!$G$57,0)</f>
        <v>0</v>
      </c>
      <c r="AG179">
        <f>IF(LEFT(Z179,4)="Blue",Assumptions!$G$59,IF(LEFT(Z179,4)="Gree",Assumptions!$G$60,0))</f>
        <v>0</v>
      </c>
      <c r="AH179" s="6">
        <f t="shared" ref="AH179:AJ179" si="203">AH158</f>
        <v>94.525495952097856</v>
      </c>
      <c r="AI179" s="6">
        <f t="shared" si="203"/>
        <v>88.600991904195695</v>
      </c>
      <c r="AJ179" s="6">
        <f t="shared" si="203"/>
        <v>100.45</v>
      </c>
      <c r="AK179" s="51">
        <f t="shared" si="150"/>
        <v>-94.525495952097856</v>
      </c>
      <c r="AL179" s="51">
        <f t="shared" si="151"/>
        <v>-88.600991904195695</v>
      </c>
      <c r="AM179" s="51">
        <f t="shared" si="152"/>
        <v>-100.45</v>
      </c>
      <c r="AN179">
        <f>IFERROR(INDEX(WaterUseH2[Average Direct Water Consumption (Gal/ kg h2)],MATCH(LEFT(Hydrogen!Y179,3),WaterUseH2[Key],0)),0)</f>
        <v>4.0999999999999996</v>
      </c>
      <c r="AO179" s="13">
        <f t="shared" si="147"/>
        <v>0</v>
      </c>
      <c r="AP179" s="13">
        <f>IF(Y179=$Y$3,AD179*Assumptions!$C$8*1000/1000,0)</f>
        <v>0</v>
      </c>
      <c r="AQ179" s="30">
        <f t="shared" si="153"/>
        <v>0</v>
      </c>
      <c r="AR179" s="30">
        <f>$AQ179*Assumptions!B$76</f>
        <v>0</v>
      </c>
      <c r="AS179" s="30">
        <f>$AQ179*Assumptions!C$76</f>
        <v>0</v>
      </c>
      <c r="AT179" s="30">
        <f>$AQ179*Assumptions!D$76</f>
        <v>0</v>
      </c>
    </row>
    <row r="180" spans="25:46" x14ac:dyDescent="0.35">
      <c r="Y180" t="s">
        <v>190</v>
      </c>
      <c r="AA180" t="s">
        <v>107</v>
      </c>
      <c r="AB180">
        <v>2034</v>
      </c>
      <c r="AC180">
        <v>0</v>
      </c>
      <c r="AD180" s="23">
        <f>AC180*1000000000000/Assumptions!$B$17/1000</f>
        <v>0</v>
      </c>
      <c r="AE180" s="9">
        <f t="shared" si="148"/>
        <v>0</v>
      </c>
      <c r="AF180">
        <f>IF(LEFT(Z180,4)="Blue",Assumptions!$G$57,0)</f>
        <v>0</v>
      </c>
      <c r="AG180">
        <f>IF(LEFT(Z180,4)="Blue",Assumptions!$G$59,IF(LEFT(Z180,4)="Gree",Assumptions!$G$60,0))</f>
        <v>0</v>
      </c>
      <c r="AH180" s="6">
        <f t="shared" ref="AH180:AJ180" si="204">AH159</f>
        <v>93.515198320512312</v>
      </c>
      <c r="AI180" s="6">
        <f t="shared" si="204"/>
        <v>86.58039664102462</v>
      </c>
      <c r="AJ180" s="6">
        <f t="shared" si="204"/>
        <v>100.45</v>
      </c>
      <c r="AK180" s="51">
        <f t="shared" si="150"/>
        <v>-93.515198320512312</v>
      </c>
      <c r="AL180" s="51">
        <f t="shared" si="151"/>
        <v>-86.58039664102462</v>
      </c>
      <c r="AM180" s="51">
        <f t="shared" si="152"/>
        <v>-100.45</v>
      </c>
      <c r="AN180">
        <f>IFERROR(INDEX(WaterUseH2[Average Direct Water Consumption (Gal/ kg h2)],MATCH(LEFT(Hydrogen!Y180,3),WaterUseH2[Key],0)),0)</f>
        <v>4.0999999999999996</v>
      </c>
      <c r="AO180" s="13">
        <f t="shared" si="147"/>
        <v>0</v>
      </c>
      <c r="AP180" s="13">
        <f>IF(Y180=$Y$3,AD180*Assumptions!$C$8*1000/1000,0)</f>
        <v>0</v>
      </c>
      <c r="AQ180" s="30">
        <f t="shared" si="153"/>
        <v>0</v>
      </c>
      <c r="AR180" s="30">
        <f>$AQ180*Assumptions!B$76</f>
        <v>0</v>
      </c>
      <c r="AS180" s="30">
        <f>$AQ180*Assumptions!C$76</f>
        <v>0</v>
      </c>
      <c r="AT180" s="30">
        <f>$AQ180*Assumptions!D$76</f>
        <v>0</v>
      </c>
    </row>
    <row r="181" spans="25:46" x14ac:dyDescent="0.35">
      <c r="Y181" t="s">
        <v>190</v>
      </c>
      <c r="AA181" t="s">
        <v>107</v>
      </c>
      <c r="AB181">
        <v>2035</v>
      </c>
      <c r="AC181">
        <v>0</v>
      </c>
      <c r="AD181" s="23">
        <f>AC181*1000000000000/Assumptions!$B$17/1000</f>
        <v>0</v>
      </c>
      <c r="AE181" s="9">
        <f t="shared" si="148"/>
        <v>0</v>
      </c>
      <c r="AF181">
        <f>IF(LEFT(Z181,4)="Blue",Assumptions!$G$57,0)</f>
        <v>0</v>
      </c>
      <c r="AG181">
        <f>IF(LEFT(Z181,4)="Blue",Assumptions!$G$59,IF(LEFT(Z181,4)="Gree",Assumptions!$G$60,0))</f>
        <v>0</v>
      </c>
      <c r="AH181" s="6">
        <f t="shared" ref="AH181:AJ181" si="205">AH160</f>
        <v>92.361658919879176</v>
      </c>
      <c r="AI181" s="6">
        <f t="shared" si="205"/>
        <v>84.273317839758363</v>
      </c>
      <c r="AJ181" s="6">
        <f t="shared" si="205"/>
        <v>100.45</v>
      </c>
      <c r="AK181" s="51">
        <f t="shared" si="150"/>
        <v>-92.361658919879176</v>
      </c>
      <c r="AL181" s="51">
        <f t="shared" si="151"/>
        <v>-84.273317839758363</v>
      </c>
      <c r="AM181" s="51">
        <f t="shared" si="152"/>
        <v>-100.45</v>
      </c>
      <c r="AN181">
        <f>IFERROR(INDEX(WaterUseH2[Average Direct Water Consumption (Gal/ kg h2)],MATCH(LEFT(Hydrogen!Y181,3),WaterUseH2[Key],0)),0)</f>
        <v>4.0999999999999996</v>
      </c>
      <c r="AO181" s="13">
        <f t="shared" si="147"/>
        <v>0</v>
      </c>
      <c r="AP181" s="13">
        <f>IF(Y181=$Y$3,AD181*Assumptions!$C$8*1000/1000,0)</f>
        <v>0</v>
      </c>
      <c r="AQ181" s="30">
        <f t="shared" si="153"/>
        <v>0</v>
      </c>
      <c r="AR181" s="30">
        <f>$AQ181*Assumptions!B$76</f>
        <v>0</v>
      </c>
      <c r="AS181" s="30">
        <f>$AQ181*Assumptions!C$76</f>
        <v>0</v>
      </c>
      <c r="AT181" s="30">
        <f>$AQ181*Assumptions!D$76</f>
        <v>0</v>
      </c>
    </row>
    <row r="182" spans="25:46" x14ac:dyDescent="0.35">
      <c r="Y182" t="s">
        <v>190</v>
      </c>
      <c r="AA182" t="s">
        <v>107</v>
      </c>
      <c r="AB182">
        <v>2036</v>
      </c>
      <c r="AC182">
        <v>0</v>
      </c>
      <c r="AD182" s="23">
        <f>AC182*1000000000000/Assumptions!$B$17/1000</f>
        <v>0</v>
      </c>
      <c r="AE182" s="9">
        <f t="shared" si="148"/>
        <v>0</v>
      </c>
      <c r="AF182">
        <f>IF(LEFT(Z182,4)="Blue",Assumptions!$G$57,0)</f>
        <v>0</v>
      </c>
      <c r="AG182">
        <f>IF(LEFT(Z182,4)="Blue",Assumptions!$G$59,IF(LEFT(Z182,4)="Gree",Assumptions!$G$60,0))</f>
        <v>0</v>
      </c>
      <c r="AH182" s="6">
        <f t="shared" ref="AH182:AJ182" si="206">AH161</f>
        <v>91.12437315283151</v>
      </c>
      <c r="AI182" s="6">
        <f t="shared" si="206"/>
        <v>81.798746305663002</v>
      </c>
      <c r="AJ182" s="6">
        <f t="shared" si="206"/>
        <v>100.45</v>
      </c>
      <c r="AK182" s="51">
        <f t="shared" si="150"/>
        <v>-91.12437315283151</v>
      </c>
      <c r="AL182" s="51">
        <f t="shared" si="151"/>
        <v>-81.798746305663002</v>
      </c>
      <c r="AM182" s="51">
        <f t="shared" si="152"/>
        <v>-100.45</v>
      </c>
      <c r="AN182">
        <f>IFERROR(INDEX(WaterUseH2[Average Direct Water Consumption (Gal/ kg h2)],MATCH(LEFT(Hydrogen!Y182,3),WaterUseH2[Key],0)),0)</f>
        <v>4.0999999999999996</v>
      </c>
      <c r="AO182" s="13">
        <f t="shared" si="147"/>
        <v>0</v>
      </c>
      <c r="AP182" s="13">
        <f>IF(Y182=$Y$3,AD182*Assumptions!$C$8*1000/1000,0)</f>
        <v>0</v>
      </c>
      <c r="AQ182" s="30">
        <f t="shared" si="153"/>
        <v>0</v>
      </c>
      <c r="AR182" s="30">
        <f>$AQ182*Assumptions!B$76</f>
        <v>0</v>
      </c>
      <c r="AS182" s="30">
        <f>$AQ182*Assumptions!C$76</f>
        <v>0</v>
      </c>
      <c r="AT182" s="30">
        <f>$AQ182*Assumptions!D$76</f>
        <v>0</v>
      </c>
    </row>
    <row r="183" spans="25:46" x14ac:dyDescent="0.35">
      <c r="Y183" t="s">
        <v>190</v>
      </c>
      <c r="AA183" t="s">
        <v>107</v>
      </c>
      <c r="AB183">
        <v>2037</v>
      </c>
      <c r="AC183">
        <v>0</v>
      </c>
      <c r="AD183" s="23">
        <f>AC183*1000000000000/Assumptions!$B$17/1000</f>
        <v>0</v>
      </c>
      <c r="AE183" s="9">
        <f t="shared" si="148"/>
        <v>0</v>
      </c>
      <c r="AF183">
        <f>IF(LEFT(Z183,4)="Blue",Assumptions!$G$57,0)</f>
        <v>0</v>
      </c>
      <c r="AG183">
        <f>IF(LEFT(Z183,4)="Blue",Assumptions!$G$59,IF(LEFT(Z183,4)="Gree",Assumptions!$G$60,0))</f>
        <v>0</v>
      </c>
      <c r="AH183" s="6">
        <f t="shared" ref="AH183:AJ183" si="207">AH162</f>
        <v>89.845883938555232</v>
      </c>
      <c r="AI183" s="6">
        <f t="shared" si="207"/>
        <v>79.241767877110448</v>
      </c>
      <c r="AJ183" s="6">
        <f t="shared" si="207"/>
        <v>100.45</v>
      </c>
      <c r="AK183" s="51">
        <f t="shared" si="150"/>
        <v>-89.845883938555232</v>
      </c>
      <c r="AL183" s="51">
        <f t="shared" si="151"/>
        <v>-79.241767877110448</v>
      </c>
      <c r="AM183" s="51">
        <f t="shared" si="152"/>
        <v>-100.45</v>
      </c>
      <c r="AN183">
        <f>IFERROR(INDEX(WaterUseH2[Average Direct Water Consumption (Gal/ kg h2)],MATCH(LEFT(Hydrogen!Y183,3),WaterUseH2[Key],0)),0)</f>
        <v>4.0999999999999996</v>
      </c>
      <c r="AO183" s="13">
        <f t="shared" si="147"/>
        <v>0</v>
      </c>
      <c r="AP183" s="13">
        <f>IF(Y183=$Y$3,AD183*Assumptions!$C$8*1000/1000,0)</f>
        <v>0</v>
      </c>
      <c r="AQ183" s="30">
        <f t="shared" si="153"/>
        <v>0</v>
      </c>
      <c r="AR183" s="30">
        <f>$AQ183*Assumptions!B$76</f>
        <v>0</v>
      </c>
      <c r="AS183" s="30">
        <f>$AQ183*Assumptions!C$76</f>
        <v>0</v>
      </c>
      <c r="AT183" s="30">
        <f>$AQ183*Assumptions!D$76</f>
        <v>0</v>
      </c>
    </row>
    <row r="184" spans="25:46" x14ac:dyDescent="0.35">
      <c r="Y184" t="s">
        <v>190</v>
      </c>
      <c r="AA184" t="s">
        <v>107</v>
      </c>
      <c r="AB184">
        <v>2038</v>
      </c>
      <c r="AC184">
        <v>0</v>
      </c>
      <c r="AD184" s="23">
        <f>AC184*1000000000000/Assumptions!$B$17/1000</f>
        <v>0</v>
      </c>
      <c r="AE184" s="9">
        <f t="shared" si="148"/>
        <v>0</v>
      </c>
      <c r="AF184">
        <f>IF(LEFT(Z184,4)="Blue",Assumptions!$G$57,0)</f>
        <v>0</v>
      </c>
      <c r="AG184">
        <f>IF(LEFT(Z184,4)="Blue",Assumptions!$G$59,IF(LEFT(Z184,4)="Gree",Assumptions!$G$60,0))</f>
        <v>0</v>
      </c>
      <c r="AH184" s="6">
        <f t="shared" ref="AH184:AJ184" si="208">AH163</f>
        <v>88.574547187599435</v>
      </c>
      <c r="AI184" s="6">
        <f t="shared" si="208"/>
        <v>76.699094375198868</v>
      </c>
      <c r="AJ184" s="6">
        <f t="shared" si="208"/>
        <v>100.45</v>
      </c>
      <c r="AK184" s="51">
        <f t="shared" si="150"/>
        <v>-88.574547187599435</v>
      </c>
      <c r="AL184" s="51">
        <f t="shared" si="151"/>
        <v>-76.699094375198868</v>
      </c>
      <c r="AM184" s="51">
        <f t="shared" si="152"/>
        <v>-100.45</v>
      </c>
      <c r="AN184">
        <f>IFERROR(INDEX(WaterUseH2[Average Direct Water Consumption (Gal/ kg h2)],MATCH(LEFT(Hydrogen!Y184,3),WaterUseH2[Key],0)),0)</f>
        <v>4.0999999999999996</v>
      </c>
      <c r="AO184" s="13">
        <f t="shared" si="147"/>
        <v>0</v>
      </c>
      <c r="AP184" s="13">
        <f>IF(Y184=$Y$3,AD184*Assumptions!$C$8*1000/1000,0)</f>
        <v>0</v>
      </c>
      <c r="AQ184" s="30">
        <f t="shared" si="153"/>
        <v>0</v>
      </c>
      <c r="AR184" s="30">
        <f>$AQ184*Assumptions!B$76</f>
        <v>0</v>
      </c>
      <c r="AS184" s="30">
        <f>$AQ184*Assumptions!C$76</f>
        <v>0</v>
      </c>
      <c r="AT184" s="30">
        <f>$AQ184*Assumptions!D$76</f>
        <v>0</v>
      </c>
    </row>
    <row r="185" spans="25:46" x14ac:dyDescent="0.35">
      <c r="Y185" t="s">
        <v>190</v>
      </c>
      <c r="AA185" t="s">
        <v>107</v>
      </c>
      <c r="AB185">
        <v>2039</v>
      </c>
      <c r="AC185">
        <v>0</v>
      </c>
      <c r="AD185" s="23">
        <f>AC185*1000000000000/Assumptions!$B$17/1000</f>
        <v>0</v>
      </c>
      <c r="AE185" s="9">
        <f t="shared" si="148"/>
        <v>0</v>
      </c>
      <c r="AF185">
        <f>IF(LEFT(Z185,4)="Blue",Assumptions!$G$57,0)</f>
        <v>0</v>
      </c>
      <c r="AG185">
        <f>IF(LEFT(Z185,4)="Blue",Assumptions!$G$59,IF(LEFT(Z185,4)="Gree",Assumptions!$G$60,0))</f>
        <v>0</v>
      </c>
      <c r="AH185" s="6">
        <f t="shared" ref="AH185:AJ185" si="209">AH164</f>
        <v>87.273478799936612</v>
      </c>
      <c r="AI185" s="6">
        <f t="shared" si="209"/>
        <v>74.096957599873221</v>
      </c>
      <c r="AJ185" s="6">
        <f t="shared" si="209"/>
        <v>100.45</v>
      </c>
      <c r="AK185" s="51">
        <f t="shared" si="150"/>
        <v>-87.273478799936612</v>
      </c>
      <c r="AL185" s="51">
        <f t="shared" si="151"/>
        <v>-74.096957599873221</v>
      </c>
      <c r="AM185" s="51">
        <f t="shared" si="152"/>
        <v>-100.45</v>
      </c>
      <c r="AN185">
        <f>IFERROR(INDEX(WaterUseH2[Average Direct Water Consumption (Gal/ kg h2)],MATCH(LEFT(Hydrogen!Y185,3),WaterUseH2[Key],0)),0)</f>
        <v>4.0999999999999996</v>
      </c>
      <c r="AO185" s="13">
        <f t="shared" si="147"/>
        <v>0</v>
      </c>
      <c r="AP185" s="13">
        <f>IF(Y185=$Y$3,AD185*Assumptions!$C$8*1000/1000,0)</f>
        <v>0</v>
      </c>
      <c r="AQ185" s="30">
        <f t="shared" si="153"/>
        <v>0</v>
      </c>
      <c r="AR185" s="30">
        <f>$AQ185*Assumptions!B$76</f>
        <v>0</v>
      </c>
      <c r="AS185" s="30">
        <f>$AQ185*Assumptions!C$76</f>
        <v>0</v>
      </c>
      <c r="AT185" s="30">
        <f>$AQ185*Assumptions!D$76</f>
        <v>0</v>
      </c>
    </row>
    <row r="186" spans="25:46" x14ac:dyDescent="0.35">
      <c r="Y186" t="s">
        <v>190</v>
      </c>
      <c r="AA186" t="s">
        <v>107</v>
      </c>
      <c r="AB186">
        <v>2040</v>
      </c>
      <c r="AC186">
        <v>0</v>
      </c>
      <c r="AD186" s="23">
        <f>AC186*1000000000000/Assumptions!$B$17/1000</f>
        <v>0</v>
      </c>
      <c r="AE186" s="9">
        <f t="shared" si="148"/>
        <v>0</v>
      </c>
      <c r="AF186">
        <f>IF(LEFT(Z186,4)="Blue",Assumptions!$G$57,0)</f>
        <v>0</v>
      </c>
      <c r="AG186">
        <f>IF(LEFT(Z186,4)="Blue",Assumptions!$G$59,IF(LEFT(Z186,4)="Gree",Assumptions!$G$60,0))</f>
        <v>0</v>
      </c>
      <c r="AH186" s="6">
        <f t="shared" ref="AH186:AJ186" si="210">AH165</f>
        <v>85.951275707781519</v>
      </c>
      <c r="AI186" s="6">
        <f t="shared" si="210"/>
        <v>71.452551415563036</v>
      </c>
      <c r="AJ186" s="6">
        <f t="shared" si="210"/>
        <v>100.45</v>
      </c>
      <c r="AK186" s="51">
        <f t="shared" si="150"/>
        <v>-85.951275707781519</v>
      </c>
      <c r="AL186" s="51">
        <f t="shared" si="151"/>
        <v>-71.452551415563036</v>
      </c>
      <c r="AM186" s="51">
        <f t="shared" si="152"/>
        <v>-100.45</v>
      </c>
      <c r="AN186">
        <f>IFERROR(INDEX(WaterUseH2[Average Direct Water Consumption (Gal/ kg h2)],MATCH(LEFT(Hydrogen!Y186,3),WaterUseH2[Key],0)),0)</f>
        <v>4.0999999999999996</v>
      </c>
      <c r="AO186" s="13">
        <f t="shared" si="147"/>
        <v>0</v>
      </c>
      <c r="AP186" s="13">
        <f>IF(Y186=$Y$3,AD186*Assumptions!$C$8*1000/1000,0)</f>
        <v>0</v>
      </c>
      <c r="AQ186" s="30">
        <f t="shared" si="153"/>
        <v>0</v>
      </c>
      <c r="AR186" s="30">
        <f>$AQ186*Assumptions!B$76</f>
        <v>0</v>
      </c>
      <c r="AS186" s="30">
        <f>$AQ186*Assumptions!C$76</f>
        <v>0</v>
      </c>
      <c r="AT186" s="30">
        <f>$AQ186*Assumptions!D$76</f>
        <v>0</v>
      </c>
    </row>
    <row r="187" spans="25:46" x14ac:dyDescent="0.35">
      <c r="Y187" t="s">
        <v>190</v>
      </c>
      <c r="AA187" t="s">
        <v>107</v>
      </c>
      <c r="AB187">
        <v>2041</v>
      </c>
      <c r="AC187">
        <v>0</v>
      </c>
      <c r="AD187" s="23">
        <f>AC187*1000000000000/Assumptions!$B$17/1000</f>
        <v>0</v>
      </c>
      <c r="AE187" s="9">
        <f t="shared" si="148"/>
        <v>0</v>
      </c>
      <c r="AF187">
        <f>IF(LEFT(Z187,4)="Blue",Assumptions!$G$57,0)</f>
        <v>0</v>
      </c>
      <c r="AG187">
        <f>IF(LEFT(Z187,4)="Blue",Assumptions!$G$59,IF(LEFT(Z187,4)="Gree",Assumptions!$G$60,0))</f>
        <v>0</v>
      </c>
      <c r="AH187" s="6">
        <f t="shared" ref="AH187:AJ187" si="211">AH166</f>
        <v>84.637245588482756</v>
      </c>
      <c r="AI187" s="6">
        <f t="shared" si="211"/>
        <v>68.824491176965509</v>
      </c>
      <c r="AJ187" s="6">
        <f t="shared" si="211"/>
        <v>100.45</v>
      </c>
      <c r="AK187" s="51">
        <f t="shared" si="150"/>
        <v>-84.637245588482756</v>
      </c>
      <c r="AL187" s="51">
        <f t="shared" si="151"/>
        <v>-68.824491176965509</v>
      </c>
      <c r="AM187" s="51">
        <f t="shared" si="152"/>
        <v>-100.45</v>
      </c>
      <c r="AN187">
        <f>IFERROR(INDEX(WaterUseH2[Average Direct Water Consumption (Gal/ kg h2)],MATCH(LEFT(Hydrogen!Y187,3),WaterUseH2[Key],0)),0)</f>
        <v>4.0999999999999996</v>
      </c>
      <c r="AO187" s="13">
        <f t="shared" si="147"/>
        <v>0</v>
      </c>
      <c r="AP187" s="13">
        <f>IF(Y187=$Y$3,AD187*Assumptions!$C$8*1000/1000,0)</f>
        <v>0</v>
      </c>
      <c r="AQ187" s="30">
        <f t="shared" si="153"/>
        <v>0</v>
      </c>
      <c r="AR187" s="30">
        <f>$AQ187*Assumptions!B$76</f>
        <v>0</v>
      </c>
      <c r="AS187" s="30">
        <f>$AQ187*Assumptions!C$76</f>
        <v>0</v>
      </c>
      <c r="AT187" s="30">
        <f>$AQ187*Assumptions!D$76</f>
        <v>0</v>
      </c>
    </row>
    <row r="188" spans="25:46" x14ac:dyDescent="0.35">
      <c r="Y188" t="s">
        <v>190</v>
      </c>
      <c r="AA188" t="s">
        <v>107</v>
      </c>
      <c r="AB188">
        <v>2042</v>
      </c>
      <c r="AC188">
        <v>0</v>
      </c>
      <c r="AD188" s="23">
        <f>AC188*1000000000000/Assumptions!$B$17/1000</f>
        <v>0</v>
      </c>
      <c r="AE188" s="9">
        <f t="shared" si="148"/>
        <v>0</v>
      </c>
      <c r="AF188">
        <f>IF(LEFT(Z188,4)="Blue",Assumptions!$G$57,0)</f>
        <v>0</v>
      </c>
      <c r="AG188">
        <f>IF(LEFT(Z188,4)="Blue",Assumptions!$G$59,IF(LEFT(Z188,4)="Gree",Assumptions!$G$60,0))</f>
        <v>0</v>
      </c>
      <c r="AH188" s="6">
        <f t="shared" ref="AH188:AJ188" si="212">AH167</f>
        <v>83.36430635778953</v>
      </c>
      <c r="AI188" s="6">
        <f t="shared" si="212"/>
        <v>66.278612715579072</v>
      </c>
      <c r="AJ188" s="6">
        <f t="shared" si="212"/>
        <v>100.45</v>
      </c>
      <c r="AK188" s="51">
        <f t="shared" si="150"/>
        <v>-83.36430635778953</v>
      </c>
      <c r="AL188" s="51">
        <f t="shared" si="151"/>
        <v>-66.278612715579072</v>
      </c>
      <c r="AM188" s="51">
        <f t="shared" si="152"/>
        <v>-100.45</v>
      </c>
      <c r="AN188">
        <f>IFERROR(INDEX(WaterUseH2[Average Direct Water Consumption (Gal/ kg h2)],MATCH(LEFT(Hydrogen!Y188,3),WaterUseH2[Key],0)),0)</f>
        <v>4.0999999999999996</v>
      </c>
      <c r="AO188" s="13">
        <f t="shared" si="147"/>
        <v>0</v>
      </c>
      <c r="AP188" s="13">
        <f>IF(Y188=$Y$3,AD188*Assumptions!$C$8*1000/1000,0)</f>
        <v>0</v>
      </c>
      <c r="AQ188" s="30">
        <f t="shared" si="153"/>
        <v>0</v>
      </c>
      <c r="AR188" s="30">
        <f>$AQ188*Assumptions!B$76</f>
        <v>0</v>
      </c>
      <c r="AS188" s="30">
        <f>$AQ188*Assumptions!C$76</f>
        <v>0</v>
      </c>
      <c r="AT188" s="30">
        <f>$AQ188*Assumptions!D$76</f>
        <v>0</v>
      </c>
    </row>
    <row r="189" spans="25:46" x14ac:dyDescent="0.35">
      <c r="Y189" t="s">
        <v>190</v>
      </c>
      <c r="AA189" t="s">
        <v>107</v>
      </c>
      <c r="AB189">
        <v>2043</v>
      </c>
      <c r="AC189">
        <v>0</v>
      </c>
      <c r="AD189" s="23">
        <f>AC189*1000000000000/Assumptions!$B$17/1000</f>
        <v>0</v>
      </c>
      <c r="AE189" s="9">
        <f t="shared" si="148"/>
        <v>0</v>
      </c>
      <c r="AF189">
        <f>IF(LEFT(Z189,4)="Blue",Assumptions!$G$57,0)</f>
        <v>0</v>
      </c>
      <c r="AG189">
        <f>IF(LEFT(Z189,4)="Blue",Assumptions!$G$59,IF(LEFT(Z189,4)="Gree",Assumptions!$G$60,0))</f>
        <v>0</v>
      </c>
      <c r="AH189" s="6">
        <f t="shared" ref="AH189:AJ189" si="213">AH168</f>
        <v>82.142704261559757</v>
      </c>
      <c r="AI189" s="6">
        <f t="shared" si="213"/>
        <v>63.835408523119504</v>
      </c>
      <c r="AJ189" s="6">
        <f t="shared" si="213"/>
        <v>100.45</v>
      </c>
      <c r="AK189" s="51">
        <f t="shared" si="150"/>
        <v>-82.142704261559757</v>
      </c>
      <c r="AL189" s="51">
        <f t="shared" si="151"/>
        <v>-63.835408523119504</v>
      </c>
      <c r="AM189" s="51">
        <f t="shared" si="152"/>
        <v>-100.45</v>
      </c>
      <c r="AN189">
        <f>IFERROR(INDEX(WaterUseH2[Average Direct Water Consumption (Gal/ kg h2)],MATCH(LEFT(Hydrogen!Y189,3),WaterUseH2[Key],0)),0)</f>
        <v>4.0999999999999996</v>
      </c>
      <c r="AO189" s="13">
        <f t="shared" si="147"/>
        <v>0</v>
      </c>
      <c r="AP189" s="13">
        <f>IF(Y189=$Y$3,AD189*Assumptions!$C$8*1000/1000,0)</f>
        <v>0</v>
      </c>
      <c r="AQ189" s="30">
        <f t="shared" si="153"/>
        <v>0</v>
      </c>
      <c r="AR189" s="30">
        <f>$AQ189*Assumptions!B$76</f>
        <v>0</v>
      </c>
      <c r="AS189" s="30">
        <f>$AQ189*Assumptions!C$76</f>
        <v>0</v>
      </c>
      <c r="AT189" s="30">
        <f>$AQ189*Assumptions!D$76</f>
        <v>0</v>
      </c>
    </row>
    <row r="190" spans="25:46" x14ac:dyDescent="0.35">
      <c r="Y190" t="s">
        <v>191</v>
      </c>
      <c r="AA190" t="s">
        <v>107</v>
      </c>
      <c r="AB190">
        <v>2044</v>
      </c>
      <c r="AC190">
        <v>0</v>
      </c>
      <c r="AD190" s="23">
        <f>AC190*1000000000000/Assumptions!$B$17/1000</f>
        <v>0</v>
      </c>
      <c r="AE190" s="9">
        <f t="shared" si="148"/>
        <v>0</v>
      </c>
      <c r="AF190">
        <f>IF(LEFT(Z190,4)="Blue",Assumptions!$G$57,0)</f>
        <v>0</v>
      </c>
      <c r="AG190">
        <f>IF(LEFT(Z190,4)="Blue",Assumptions!$G$59,IF(LEFT(Z190,4)="Gree",Assumptions!$G$60,0))</f>
        <v>0</v>
      </c>
      <c r="AH190" s="6">
        <f t="shared" ref="AH190:AJ190" si="214">AH169</f>
        <v>80.990181196488862</v>
      </c>
      <c r="AI190" s="6">
        <f t="shared" si="214"/>
        <v>61.530362392977736</v>
      </c>
      <c r="AJ190" s="6">
        <f t="shared" si="214"/>
        <v>100.45</v>
      </c>
      <c r="AK190" s="51">
        <f t="shared" si="150"/>
        <v>-80.990181196488862</v>
      </c>
      <c r="AL190" s="51">
        <f t="shared" si="151"/>
        <v>-61.530362392977736</v>
      </c>
      <c r="AM190" s="51">
        <f t="shared" si="152"/>
        <v>-100.45</v>
      </c>
      <c r="AN190">
        <f>IFERROR(INDEX(WaterUseH2[Average Direct Water Consumption (Gal/ kg h2)],MATCH(LEFT(Hydrogen!Y190,3),WaterUseH2[Key],0)),0)</f>
        <v>4.0999999999999996</v>
      </c>
      <c r="AO190" s="13">
        <f t="shared" si="147"/>
        <v>0</v>
      </c>
      <c r="AP190" s="13">
        <f>IF(Y190=$Y$3,AD190*Assumptions!$C$8*1000/1000,0)</f>
        <v>0</v>
      </c>
      <c r="AQ190" s="30">
        <f t="shared" si="153"/>
        <v>0</v>
      </c>
      <c r="AR190" s="30">
        <f>$AQ190*Assumptions!B$76</f>
        <v>0</v>
      </c>
      <c r="AS190" s="30">
        <f>$AQ190*Assumptions!C$76</f>
        <v>0</v>
      </c>
      <c r="AT190" s="30">
        <f>$AQ190*Assumptions!D$76</f>
        <v>0</v>
      </c>
    </row>
    <row r="191" spans="25:46" x14ac:dyDescent="0.35">
      <c r="Y191" t="s">
        <v>191</v>
      </c>
      <c r="AA191" t="s">
        <v>107</v>
      </c>
      <c r="AB191">
        <v>2045</v>
      </c>
      <c r="AC191">
        <v>0</v>
      </c>
      <c r="AD191" s="23">
        <f>AC191*1000000000000/Assumptions!$B$17/1000</f>
        <v>0</v>
      </c>
      <c r="AE191" s="9">
        <f t="shared" si="148"/>
        <v>0</v>
      </c>
      <c r="AF191">
        <f>IF(LEFT(Z191,4)="Blue",Assumptions!$G$57,0)</f>
        <v>0</v>
      </c>
      <c r="AG191">
        <f>IF(LEFT(Z191,4)="Blue",Assumptions!$G$59,IF(LEFT(Z191,4)="Gree",Assumptions!$G$60,0))</f>
        <v>0</v>
      </c>
      <c r="AH191" s="6">
        <f t="shared" ref="AH191:AJ191" si="215">AH170</f>
        <v>79.920544054153567</v>
      </c>
      <c r="AI191" s="6">
        <f t="shared" si="215"/>
        <v>59.391088108307123</v>
      </c>
      <c r="AJ191" s="6">
        <f t="shared" si="215"/>
        <v>100.45</v>
      </c>
      <c r="AK191" s="51">
        <f t="shared" si="150"/>
        <v>-79.920544054153567</v>
      </c>
      <c r="AL191" s="51">
        <f t="shared" si="151"/>
        <v>-59.391088108307123</v>
      </c>
      <c r="AM191" s="51">
        <f t="shared" si="152"/>
        <v>-100.45</v>
      </c>
      <c r="AN191">
        <f>IFERROR(INDEX(WaterUseH2[Average Direct Water Consumption (Gal/ kg h2)],MATCH(LEFT(Hydrogen!Y191,3),WaterUseH2[Key],0)),0)</f>
        <v>4.0999999999999996</v>
      </c>
      <c r="AO191" s="13">
        <f t="shared" si="147"/>
        <v>0</v>
      </c>
      <c r="AP191" s="13">
        <f>IF(Y191=$Y$3,AD191*Assumptions!$C$8*1000/1000,0)</f>
        <v>0</v>
      </c>
      <c r="AQ191" s="30">
        <f t="shared" si="153"/>
        <v>0</v>
      </c>
      <c r="AR191" s="30">
        <f>$AQ191*Assumptions!B$76</f>
        <v>0</v>
      </c>
      <c r="AS191" s="30">
        <f>$AQ191*Assumptions!C$76</f>
        <v>0</v>
      </c>
      <c r="AT191" s="30">
        <f>$AQ191*Assumptions!D$76</f>
        <v>0</v>
      </c>
    </row>
    <row r="192" spans="25:46" x14ac:dyDescent="0.35">
      <c r="Y192" t="s">
        <v>191</v>
      </c>
      <c r="AA192" t="s">
        <v>107</v>
      </c>
      <c r="AB192">
        <v>2025</v>
      </c>
      <c r="AC192">
        <v>0</v>
      </c>
      <c r="AD192" s="23">
        <f>AC192*1000000000000/Assumptions!$B$17/1000</f>
        <v>0</v>
      </c>
      <c r="AE192" s="9">
        <f t="shared" si="148"/>
        <v>0</v>
      </c>
      <c r="AF192">
        <f>IF(LEFT(Z192,4)="Blue",Assumptions!$G$57,0)</f>
        <v>0</v>
      </c>
      <c r="AG192">
        <f>IF(LEFT(Z192,4)="Blue",Assumptions!$G$59,IF(LEFT(Z192,4)="Gree",Assumptions!$G$60,0))</f>
        <v>0</v>
      </c>
      <c r="AH192" s="6">
        <f t="shared" ref="AH192:AJ192" si="216">AH171</f>
        <v>99.359553682832001</v>
      </c>
      <c r="AI192" s="6">
        <f t="shared" si="216"/>
        <v>98.269107365663999</v>
      </c>
      <c r="AJ192" s="6">
        <f t="shared" si="216"/>
        <v>100.45</v>
      </c>
      <c r="AK192" s="51">
        <f t="shared" si="150"/>
        <v>-99.359553682832001</v>
      </c>
      <c r="AL192" s="51">
        <f t="shared" si="151"/>
        <v>-98.269107365663999</v>
      </c>
      <c r="AM192" s="51">
        <f t="shared" si="152"/>
        <v>-100.45</v>
      </c>
      <c r="AN192">
        <f>IFERROR(INDEX(WaterUseH2[Average Direct Water Consumption (Gal/ kg h2)],MATCH(LEFT(Hydrogen!Y192,3),WaterUseH2[Key],0)),0)</f>
        <v>4.0999999999999996</v>
      </c>
      <c r="AO192" s="13">
        <f t="shared" si="147"/>
        <v>0</v>
      </c>
      <c r="AP192" s="13">
        <f>IF(Y192=$Y$3,AD192*Assumptions!$C$8*1000/1000,0)</f>
        <v>0</v>
      </c>
      <c r="AQ192" s="30">
        <f t="shared" si="153"/>
        <v>0</v>
      </c>
      <c r="AR192" s="30">
        <f>$AQ192*Assumptions!B$76</f>
        <v>0</v>
      </c>
      <c r="AS192" s="30">
        <f>$AQ192*Assumptions!C$76</f>
        <v>0</v>
      </c>
      <c r="AT192" s="30">
        <f>$AQ192*Assumptions!D$76</f>
        <v>0</v>
      </c>
    </row>
    <row r="193" spans="25:46" x14ac:dyDescent="0.35">
      <c r="Y193" t="s">
        <v>191</v>
      </c>
      <c r="AA193" t="s">
        <v>107</v>
      </c>
      <c r="AB193">
        <v>2026</v>
      </c>
      <c r="AC193">
        <v>0</v>
      </c>
      <c r="AD193" s="23">
        <f>AC193*1000000000000/Assumptions!$B$17/1000</f>
        <v>0</v>
      </c>
      <c r="AE193" s="9">
        <f t="shared" si="148"/>
        <v>0</v>
      </c>
      <c r="AF193">
        <f>IF(LEFT(Z193,4)="Blue",Assumptions!$G$57,0)</f>
        <v>0</v>
      </c>
      <c r="AG193">
        <f>IF(LEFT(Z193,4)="Blue",Assumptions!$G$59,IF(LEFT(Z193,4)="Gree",Assumptions!$G$60,0))</f>
        <v>0</v>
      </c>
      <c r="AH193" s="6">
        <f t="shared" ref="AH193:AJ193" si="217">AH172</f>
        <v>99.000787443158117</v>
      </c>
      <c r="AI193" s="6">
        <f t="shared" si="217"/>
        <v>97.551574886316232</v>
      </c>
      <c r="AJ193" s="6">
        <f t="shared" si="217"/>
        <v>100.45</v>
      </c>
      <c r="AK193" s="51">
        <f t="shared" si="150"/>
        <v>-99.000787443158117</v>
      </c>
      <c r="AL193" s="51">
        <f t="shared" si="151"/>
        <v>-97.551574886316232</v>
      </c>
      <c r="AM193" s="51">
        <f t="shared" si="152"/>
        <v>-100.45</v>
      </c>
      <c r="AN193">
        <f>IFERROR(INDEX(WaterUseH2[Average Direct Water Consumption (Gal/ kg h2)],MATCH(LEFT(Hydrogen!Y193,3),WaterUseH2[Key],0)),0)</f>
        <v>4.0999999999999996</v>
      </c>
      <c r="AO193" s="13">
        <f t="shared" si="147"/>
        <v>0</v>
      </c>
      <c r="AP193" s="13">
        <f>IF(Y193=$Y$3,AD193*Assumptions!$C$8*1000/1000,0)</f>
        <v>0</v>
      </c>
      <c r="AQ193" s="30">
        <f t="shared" si="153"/>
        <v>0</v>
      </c>
      <c r="AR193" s="30">
        <f>$AQ193*Assumptions!B$76</f>
        <v>0</v>
      </c>
      <c r="AS193" s="30">
        <f>$AQ193*Assumptions!C$76</f>
        <v>0</v>
      </c>
      <c r="AT193" s="30">
        <f>$AQ193*Assumptions!D$76</f>
        <v>0</v>
      </c>
    </row>
    <row r="194" spans="25:46" x14ac:dyDescent="0.35">
      <c r="Y194" t="s">
        <v>191</v>
      </c>
      <c r="AA194" t="s">
        <v>107</v>
      </c>
      <c r="AB194">
        <v>2027</v>
      </c>
      <c r="AC194">
        <v>0</v>
      </c>
      <c r="AD194" s="23">
        <f>AC194*1000000000000/Assumptions!$B$17/1000</f>
        <v>0</v>
      </c>
      <c r="AE194" s="9">
        <f t="shared" si="148"/>
        <v>0</v>
      </c>
      <c r="AF194">
        <f>IF(LEFT(Z194,4)="Blue",Assumptions!$G$57,0)</f>
        <v>0</v>
      </c>
      <c r="AG194">
        <f>IF(LEFT(Z194,4)="Blue",Assumptions!$G$59,IF(LEFT(Z194,4)="Gree",Assumptions!$G$60,0))</f>
        <v>0</v>
      </c>
      <c r="AH194" s="6">
        <f t="shared" ref="AH194:AJ194" si="218">AH173</f>
        <v>98.562436921360089</v>
      </c>
      <c r="AI194" s="6">
        <f t="shared" si="218"/>
        <v>96.674873842720174</v>
      </c>
      <c r="AJ194" s="6">
        <f t="shared" si="218"/>
        <v>100.45</v>
      </c>
      <c r="AK194" s="51">
        <f t="shared" si="150"/>
        <v>-98.562436921360089</v>
      </c>
      <c r="AL194" s="51">
        <f t="shared" si="151"/>
        <v>-96.674873842720174</v>
      </c>
      <c r="AM194" s="51">
        <f t="shared" si="152"/>
        <v>-100.45</v>
      </c>
      <c r="AN194">
        <f>IFERROR(INDEX(WaterUseH2[Average Direct Water Consumption (Gal/ kg h2)],MATCH(LEFT(Hydrogen!Y194,3),WaterUseH2[Key],0)),0)</f>
        <v>4.0999999999999996</v>
      </c>
      <c r="AO194" s="13">
        <f t="shared" si="147"/>
        <v>0</v>
      </c>
      <c r="AP194" s="13">
        <f>IF(Y194=$Y$3,AD194*Assumptions!$C$8*1000/1000,0)</f>
        <v>0</v>
      </c>
      <c r="AQ194" s="30">
        <f t="shared" si="153"/>
        <v>0</v>
      </c>
      <c r="AR194" s="30">
        <f>$AQ194*Assumptions!B$76</f>
        <v>0</v>
      </c>
      <c r="AS194" s="30">
        <f>$AQ194*Assumptions!C$76</f>
        <v>0</v>
      </c>
      <c r="AT194" s="30">
        <f>$AQ194*Assumptions!D$76</f>
        <v>0</v>
      </c>
    </row>
    <row r="195" spans="25:46" x14ac:dyDescent="0.35">
      <c r="Y195" t="s">
        <v>191</v>
      </c>
      <c r="AA195" t="s">
        <v>107</v>
      </c>
      <c r="AB195">
        <v>2028</v>
      </c>
      <c r="AC195">
        <v>0</v>
      </c>
      <c r="AD195" s="23">
        <f>AC195*1000000000000/Assumptions!$B$17/1000</f>
        <v>0</v>
      </c>
      <c r="AE195" s="9">
        <f t="shared" si="148"/>
        <v>0</v>
      </c>
      <c r="AF195">
        <f>IF(LEFT(Z195,4)="Blue",Assumptions!$G$57,0)</f>
        <v>0</v>
      </c>
      <c r="AG195">
        <f>IF(LEFT(Z195,4)="Blue",Assumptions!$G$59,IF(LEFT(Z195,4)="Gree",Assumptions!$G$60,0))</f>
        <v>0</v>
      </c>
      <c r="AH195" s="6">
        <f t="shared" ref="AH195:AJ195" si="219">AH174</f>
        <v>98.088874094271858</v>
      </c>
      <c r="AI195" s="6">
        <f t="shared" si="219"/>
        <v>95.7277481885437</v>
      </c>
      <c r="AJ195" s="6">
        <f t="shared" si="219"/>
        <v>100.45</v>
      </c>
      <c r="AK195" s="51">
        <f t="shared" si="150"/>
        <v>-98.088874094271858</v>
      </c>
      <c r="AL195" s="51">
        <f t="shared" si="151"/>
        <v>-95.7277481885437</v>
      </c>
      <c r="AM195" s="51">
        <f t="shared" si="152"/>
        <v>-100.45</v>
      </c>
      <c r="AN195">
        <f>IFERROR(INDEX(WaterUseH2[Average Direct Water Consumption (Gal/ kg h2)],MATCH(LEFT(Hydrogen!Y195,3),WaterUseH2[Key],0)),0)</f>
        <v>4.0999999999999996</v>
      </c>
      <c r="AO195" s="13">
        <f t="shared" ref="AO195:AO212" si="220">AD195*AN195*1000/1000000</f>
        <v>0</v>
      </c>
      <c r="AP195" s="13">
        <f>IF(Y195=$Y$3,AD195*Assumptions!$C$8*1000/1000,0)</f>
        <v>0</v>
      </c>
      <c r="AQ195" s="30">
        <f t="shared" si="153"/>
        <v>0</v>
      </c>
      <c r="AR195" s="30">
        <f>$AQ195*Assumptions!B$76</f>
        <v>0</v>
      </c>
      <c r="AS195" s="30">
        <f>$AQ195*Assumptions!C$76</f>
        <v>0</v>
      </c>
      <c r="AT195" s="30">
        <f>$AQ195*Assumptions!D$76</f>
        <v>0</v>
      </c>
    </row>
    <row r="196" spans="25:46" x14ac:dyDescent="0.35">
      <c r="Y196" t="s">
        <v>191</v>
      </c>
      <c r="AA196" t="s">
        <v>107</v>
      </c>
      <c r="AB196">
        <v>2029</v>
      </c>
      <c r="AC196">
        <v>0</v>
      </c>
      <c r="AD196" s="23">
        <f>AC196*1000000000000/Assumptions!$B$17/1000</f>
        <v>0</v>
      </c>
      <c r="AE196" s="9">
        <f t="shared" ref="AE196:AE212" si="221">AVERAGE(AF196:AG196)</f>
        <v>0</v>
      </c>
      <c r="AF196">
        <f>IF(LEFT(Z196,4)="Blue",Assumptions!$G$57,0)</f>
        <v>0</v>
      </c>
      <c r="AG196">
        <f>IF(LEFT(Z196,4)="Blue",Assumptions!$G$59,IF(LEFT(Z196,4)="Gree",Assumptions!$G$60,0))</f>
        <v>0</v>
      </c>
      <c r="AH196" s="6">
        <f t="shared" ref="AH196:AJ196" si="222">AH175</f>
        <v>97.544867879479852</v>
      </c>
      <c r="AI196" s="6">
        <f t="shared" si="222"/>
        <v>94.639735758959688</v>
      </c>
      <c r="AJ196" s="6">
        <f t="shared" si="222"/>
        <v>100.45</v>
      </c>
      <c r="AK196" s="51">
        <f t="shared" ref="AK196:AK212" si="223">AVERAGE(AL196:AM196)</f>
        <v>-97.544867879479852</v>
      </c>
      <c r="AL196" s="51">
        <f t="shared" ref="AL196:AL212" si="224">IF(AG196-AI196&gt;0,0,AG196-AI196)</f>
        <v>-94.639735758959688</v>
      </c>
      <c r="AM196" s="51">
        <f t="shared" ref="AM196:AM212" si="225">AG196-AJ196</f>
        <v>-100.45</v>
      </c>
      <c r="AN196">
        <f>IFERROR(INDEX(WaterUseH2[Average Direct Water Consumption (Gal/ kg h2)],MATCH(LEFT(Hydrogen!Y196,3),WaterUseH2[Key],0)),0)</f>
        <v>4.0999999999999996</v>
      </c>
      <c r="AO196" s="13">
        <f t="shared" si="220"/>
        <v>0</v>
      </c>
      <c r="AP196" s="13">
        <f>IF(Y196=$Y$3,AD196*Assumptions!$C$8*1000/1000,0)</f>
        <v>0</v>
      </c>
      <c r="AQ196" s="30">
        <f t="shared" ref="AQ196:AQ212" si="226">AP196/8760/30%</f>
        <v>0</v>
      </c>
      <c r="AR196" s="30">
        <f>$AQ196*Assumptions!B$76</f>
        <v>0</v>
      </c>
      <c r="AS196" s="30">
        <f>$AQ196*Assumptions!C$76</f>
        <v>0</v>
      </c>
      <c r="AT196" s="30">
        <f>$AQ196*Assumptions!D$76</f>
        <v>0</v>
      </c>
    </row>
    <row r="197" spans="25:46" x14ac:dyDescent="0.35">
      <c r="Y197" t="s">
        <v>191</v>
      </c>
      <c r="AA197" t="s">
        <v>107</v>
      </c>
      <c r="AB197">
        <v>2030</v>
      </c>
      <c r="AC197">
        <v>0</v>
      </c>
      <c r="AD197" s="23">
        <f>AC197*1000000000000/Assumptions!$B$17/1000</f>
        <v>0</v>
      </c>
      <c r="AE197" s="9">
        <f t="shared" si="221"/>
        <v>0</v>
      </c>
      <c r="AF197">
        <f>IF(LEFT(Z197,4)="Blue",Assumptions!$G$57,0)</f>
        <v>0</v>
      </c>
      <c r="AG197">
        <f>IF(LEFT(Z197,4)="Blue",Assumptions!$G$59,IF(LEFT(Z197,4)="Gree",Assumptions!$G$60,0))</f>
        <v>0</v>
      </c>
      <c r="AH197" s="6">
        <f t="shared" ref="AH197:AJ197" si="227">AH176</f>
        <v>96.924614347496885</v>
      </c>
      <c r="AI197" s="6">
        <f t="shared" si="227"/>
        <v>93.399228694993766</v>
      </c>
      <c r="AJ197" s="6">
        <f t="shared" si="227"/>
        <v>100.45</v>
      </c>
      <c r="AK197" s="51">
        <f t="shared" si="223"/>
        <v>-96.924614347496885</v>
      </c>
      <c r="AL197" s="51">
        <f t="shared" si="224"/>
        <v>-93.399228694993766</v>
      </c>
      <c r="AM197" s="51">
        <f t="shared" si="225"/>
        <v>-100.45</v>
      </c>
      <c r="AN197">
        <f>IFERROR(INDEX(WaterUseH2[Average Direct Water Consumption (Gal/ kg h2)],MATCH(LEFT(Hydrogen!Y197,3),WaterUseH2[Key],0)),0)</f>
        <v>4.0999999999999996</v>
      </c>
      <c r="AO197" s="13">
        <f t="shared" si="220"/>
        <v>0</v>
      </c>
      <c r="AP197" s="13">
        <f>IF(Y197=$Y$3,AD197*Assumptions!$C$8*1000/1000,0)</f>
        <v>0</v>
      </c>
      <c r="AQ197" s="30">
        <f t="shared" si="226"/>
        <v>0</v>
      </c>
      <c r="AR197" s="30">
        <f>$AQ197*Assumptions!B$76</f>
        <v>0</v>
      </c>
      <c r="AS197" s="30">
        <f>$AQ197*Assumptions!C$76</f>
        <v>0</v>
      </c>
      <c r="AT197" s="30">
        <f>$AQ197*Assumptions!D$76</f>
        <v>0</v>
      </c>
    </row>
    <row r="198" spans="25:46" x14ac:dyDescent="0.35">
      <c r="Y198" t="s">
        <v>191</v>
      </c>
      <c r="AA198" t="s">
        <v>107</v>
      </c>
      <c r="AB198">
        <v>2031</v>
      </c>
      <c r="AC198">
        <v>0</v>
      </c>
      <c r="AD198" s="23">
        <f>AC198*1000000000000/Assumptions!$B$17/1000</f>
        <v>0</v>
      </c>
      <c r="AE198" s="9">
        <f t="shared" si="221"/>
        <v>0</v>
      </c>
      <c r="AF198">
        <f>IF(LEFT(Z198,4)="Blue",Assumptions!$G$57,0)</f>
        <v>0</v>
      </c>
      <c r="AG198">
        <f>IF(LEFT(Z198,4)="Blue",Assumptions!$G$59,IF(LEFT(Z198,4)="Gree",Assumptions!$G$60,0))</f>
        <v>0</v>
      </c>
      <c r="AH198" s="6">
        <f t="shared" ref="AH198:AJ198" si="228">AH177</f>
        <v>96.219877469537067</v>
      </c>
      <c r="AI198" s="6">
        <f t="shared" si="228"/>
        <v>91.989754939074118</v>
      </c>
      <c r="AJ198" s="6">
        <f t="shared" si="228"/>
        <v>100.45</v>
      </c>
      <c r="AK198" s="51">
        <f t="shared" si="223"/>
        <v>-96.219877469537067</v>
      </c>
      <c r="AL198" s="51">
        <f t="shared" si="224"/>
        <v>-91.989754939074118</v>
      </c>
      <c r="AM198" s="51">
        <f t="shared" si="225"/>
        <v>-100.45</v>
      </c>
      <c r="AN198">
        <f>IFERROR(INDEX(WaterUseH2[Average Direct Water Consumption (Gal/ kg h2)],MATCH(LEFT(Hydrogen!Y198,3),WaterUseH2[Key],0)),0)</f>
        <v>4.0999999999999996</v>
      </c>
      <c r="AO198" s="13">
        <f t="shared" si="220"/>
        <v>0</v>
      </c>
      <c r="AP198" s="13">
        <f>IF(Y198=$Y$3,AD198*Assumptions!$C$8*1000/1000,0)</f>
        <v>0</v>
      </c>
      <c r="AQ198" s="30">
        <f t="shared" si="226"/>
        <v>0</v>
      </c>
      <c r="AR198" s="30">
        <f>$AQ198*Assumptions!B$76</f>
        <v>0</v>
      </c>
      <c r="AS198" s="30">
        <f>$AQ198*Assumptions!C$76</f>
        <v>0</v>
      </c>
      <c r="AT198" s="30">
        <f>$AQ198*Assumptions!D$76</f>
        <v>0</v>
      </c>
    </row>
    <row r="199" spans="25:46" x14ac:dyDescent="0.35">
      <c r="Y199" t="s">
        <v>191</v>
      </c>
      <c r="AA199" t="s">
        <v>107</v>
      </c>
      <c r="AB199">
        <v>2032</v>
      </c>
      <c r="AC199">
        <v>0</v>
      </c>
      <c r="AD199" s="23">
        <f>AC199*1000000000000/Assumptions!$B$17/1000</f>
        <v>0</v>
      </c>
      <c r="AE199" s="9">
        <f t="shared" si="221"/>
        <v>0</v>
      </c>
      <c r="AF199">
        <f>IF(LEFT(Z199,4)="Blue",Assumptions!$G$57,0)</f>
        <v>0</v>
      </c>
      <c r="AG199">
        <f>IF(LEFT(Z199,4)="Blue",Assumptions!$G$59,IF(LEFT(Z199,4)="Gree",Assumptions!$G$60,0))</f>
        <v>0</v>
      </c>
      <c r="AH199" s="6">
        <f t="shared" ref="AH199:AJ199" si="229">AH178</f>
        <v>95.431212950513526</v>
      </c>
      <c r="AI199" s="6">
        <f t="shared" si="229"/>
        <v>90.412425901027063</v>
      </c>
      <c r="AJ199" s="6">
        <f t="shared" si="229"/>
        <v>100.45</v>
      </c>
      <c r="AK199" s="51">
        <f t="shared" si="223"/>
        <v>-95.431212950513526</v>
      </c>
      <c r="AL199" s="51">
        <f t="shared" si="224"/>
        <v>-90.412425901027063</v>
      </c>
      <c r="AM199" s="51">
        <f t="shared" si="225"/>
        <v>-100.45</v>
      </c>
      <c r="AN199">
        <f>IFERROR(INDEX(WaterUseH2[Average Direct Water Consumption (Gal/ kg h2)],MATCH(LEFT(Hydrogen!Y199,3),WaterUseH2[Key],0)),0)</f>
        <v>4.0999999999999996</v>
      </c>
      <c r="AO199" s="13">
        <f t="shared" si="220"/>
        <v>0</v>
      </c>
      <c r="AP199" s="13">
        <f>IF(Y199=$Y$3,AD199*Assumptions!$C$8*1000/1000,0)</f>
        <v>0</v>
      </c>
      <c r="AQ199" s="30">
        <f t="shared" si="226"/>
        <v>0</v>
      </c>
      <c r="AR199" s="30">
        <f>$AQ199*Assumptions!B$76</f>
        <v>0</v>
      </c>
      <c r="AS199" s="30">
        <f>$AQ199*Assumptions!C$76</f>
        <v>0</v>
      </c>
      <c r="AT199" s="30">
        <f>$AQ199*Assumptions!D$76</f>
        <v>0</v>
      </c>
    </row>
    <row r="200" spans="25:46" x14ac:dyDescent="0.35">
      <c r="Y200" t="s">
        <v>191</v>
      </c>
      <c r="AA200" t="s">
        <v>107</v>
      </c>
      <c r="AB200">
        <v>2033</v>
      </c>
      <c r="AC200">
        <v>0</v>
      </c>
      <c r="AD200" s="23">
        <f>AC200*1000000000000/Assumptions!$B$17/1000</f>
        <v>0</v>
      </c>
      <c r="AE200" s="9">
        <f t="shared" si="221"/>
        <v>0</v>
      </c>
      <c r="AF200">
        <f>IF(LEFT(Z200,4)="Blue",Assumptions!$G$57,0)</f>
        <v>0</v>
      </c>
      <c r="AG200">
        <f>IF(LEFT(Z200,4)="Blue",Assumptions!$G$59,IF(LEFT(Z200,4)="Gree",Assumptions!$G$60,0))</f>
        <v>0</v>
      </c>
      <c r="AH200" s="6">
        <f t="shared" ref="AH200:AJ200" si="230">AH179</f>
        <v>94.525495952097856</v>
      </c>
      <c r="AI200" s="6">
        <f t="shared" si="230"/>
        <v>88.600991904195695</v>
      </c>
      <c r="AJ200" s="6">
        <f t="shared" si="230"/>
        <v>100.45</v>
      </c>
      <c r="AK200" s="51">
        <f t="shared" si="223"/>
        <v>-94.525495952097856</v>
      </c>
      <c r="AL200" s="51">
        <f t="shared" si="224"/>
        <v>-88.600991904195695</v>
      </c>
      <c r="AM200" s="51">
        <f t="shared" si="225"/>
        <v>-100.45</v>
      </c>
      <c r="AN200">
        <f>IFERROR(INDEX(WaterUseH2[Average Direct Water Consumption (Gal/ kg h2)],MATCH(LEFT(Hydrogen!Y200,3),WaterUseH2[Key],0)),0)</f>
        <v>4.0999999999999996</v>
      </c>
      <c r="AO200" s="13">
        <f t="shared" si="220"/>
        <v>0</v>
      </c>
      <c r="AP200" s="13">
        <f>IF(Y200=$Y$3,AD200*Assumptions!$C$8*1000/1000,0)</f>
        <v>0</v>
      </c>
      <c r="AQ200" s="30">
        <f t="shared" si="226"/>
        <v>0</v>
      </c>
      <c r="AR200" s="30">
        <f>$AQ200*Assumptions!B$76</f>
        <v>0</v>
      </c>
      <c r="AS200" s="30">
        <f>$AQ200*Assumptions!C$76</f>
        <v>0</v>
      </c>
      <c r="AT200" s="30">
        <f>$AQ200*Assumptions!D$76</f>
        <v>0</v>
      </c>
    </row>
    <row r="201" spans="25:46" x14ac:dyDescent="0.35">
      <c r="Y201" t="s">
        <v>191</v>
      </c>
      <c r="AA201" t="s">
        <v>107</v>
      </c>
      <c r="AB201">
        <v>2034</v>
      </c>
      <c r="AC201">
        <v>0</v>
      </c>
      <c r="AD201" s="23">
        <f>AC201*1000000000000/Assumptions!$B$17/1000</f>
        <v>0</v>
      </c>
      <c r="AE201" s="9">
        <f t="shared" si="221"/>
        <v>0</v>
      </c>
      <c r="AF201">
        <f>IF(LEFT(Z201,4)="Blue",Assumptions!$G$57,0)</f>
        <v>0</v>
      </c>
      <c r="AG201">
        <f>IF(LEFT(Z201,4)="Blue",Assumptions!$G$59,IF(LEFT(Z201,4)="Gree",Assumptions!$G$60,0))</f>
        <v>0</v>
      </c>
      <c r="AH201" s="6">
        <f t="shared" ref="AH201:AJ201" si="231">AH180</f>
        <v>93.515198320512312</v>
      </c>
      <c r="AI201" s="6">
        <f t="shared" si="231"/>
        <v>86.58039664102462</v>
      </c>
      <c r="AJ201" s="6">
        <f t="shared" si="231"/>
        <v>100.45</v>
      </c>
      <c r="AK201" s="51">
        <f t="shared" si="223"/>
        <v>-93.515198320512312</v>
      </c>
      <c r="AL201" s="51">
        <f t="shared" si="224"/>
        <v>-86.58039664102462</v>
      </c>
      <c r="AM201" s="51">
        <f t="shared" si="225"/>
        <v>-100.45</v>
      </c>
      <c r="AN201">
        <f>IFERROR(INDEX(WaterUseH2[Average Direct Water Consumption (Gal/ kg h2)],MATCH(LEFT(Hydrogen!Y201,3),WaterUseH2[Key],0)),0)</f>
        <v>4.0999999999999996</v>
      </c>
      <c r="AO201" s="13">
        <f t="shared" si="220"/>
        <v>0</v>
      </c>
      <c r="AP201" s="13">
        <f>IF(Y201=$Y$3,AD201*Assumptions!$C$8*1000/1000,0)</f>
        <v>0</v>
      </c>
      <c r="AQ201" s="30">
        <f t="shared" si="226"/>
        <v>0</v>
      </c>
      <c r="AR201" s="30">
        <f>$AQ201*Assumptions!B$76</f>
        <v>0</v>
      </c>
      <c r="AS201" s="30">
        <f>$AQ201*Assumptions!C$76</f>
        <v>0</v>
      </c>
      <c r="AT201" s="30">
        <f>$AQ201*Assumptions!D$76</f>
        <v>0</v>
      </c>
    </row>
    <row r="202" spans="25:46" x14ac:dyDescent="0.35">
      <c r="Y202" t="s">
        <v>191</v>
      </c>
      <c r="AA202" t="s">
        <v>107</v>
      </c>
      <c r="AB202">
        <v>2035</v>
      </c>
      <c r="AC202">
        <v>0</v>
      </c>
      <c r="AD202" s="23">
        <f>AC202*1000000000000/Assumptions!$B$17/1000</f>
        <v>0</v>
      </c>
      <c r="AE202" s="9">
        <f t="shared" si="221"/>
        <v>0</v>
      </c>
      <c r="AF202">
        <f>IF(LEFT(Z202,4)="Blue",Assumptions!$G$57,0)</f>
        <v>0</v>
      </c>
      <c r="AG202">
        <f>IF(LEFT(Z202,4)="Blue",Assumptions!$G$59,IF(LEFT(Z202,4)="Gree",Assumptions!$G$60,0))</f>
        <v>0</v>
      </c>
      <c r="AH202" s="6">
        <f t="shared" ref="AH202:AJ202" si="232">AH181</f>
        <v>92.361658919879176</v>
      </c>
      <c r="AI202" s="6">
        <f t="shared" si="232"/>
        <v>84.273317839758363</v>
      </c>
      <c r="AJ202" s="6">
        <f t="shared" si="232"/>
        <v>100.45</v>
      </c>
      <c r="AK202" s="51">
        <f t="shared" si="223"/>
        <v>-92.361658919879176</v>
      </c>
      <c r="AL202" s="51">
        <f t="shared" si="224"/>
        <v>-84.273317839758363</v>
      </c>
      <c r="AM202" s="51">
        <f t="shared" si="225"/>
        <v>-100.45</v>
      </c>
      <c r="AN202">
        <f>IFERROR(INDEX(WaterUseH2[Average Direct Water Consumption (Gal/ kg h2)],MATCH(LEFT(Hydrogen!Y202,3),WaterUseH2[Key],0)),0)</f>
        <v>4.0999999999999996</v>
      </c>
      <c r="AO202" s="13">
        <f t="shared" si="220"/>
        <v>0</v>
      </c>
      <c r="AP202" s="13">
        <f>IF(Y202=$Y$3,AD202*Assumptions!$C$8*1000/1000,0)</f>
        <v>0</v>
      </c>
      <c r="AQ202" s="30">
        <f t="shared" si="226"/>
        <v>0</v>
      </c>
      <c r="AR202" s="30">
        <f>$AQ202*Assumptions!B$76</f>
        <v>0</v>
      </c>
      <c r="AS202" s="30">
        <f>$AQ202*Assumptions!C$76</f>
        <v>0</v>
      </c>
      <c r="AT202" s="30">
        <f>$AQ202*Assumptions!D$76</f>
        <v>0</v>
      </c>
    </row>
    <row r="203" spans="25:46" x14ac:dyDescent="0.35">
      <c r="Y203" t="s">
        <v>191</v>
      </c>
      <c r="AA203" t="s">
        <v>107</v>
      </c>
      <c r="AB203">
        <v>2036</v>
      </c>
      <c r="AC203">
        <v>0</v>
      </c>
      <c r="AD203" s="23">
        <f>AC203*1000000000000/Assumptions!$B$17/1000</f>
        <v>0</v>
      </c>
      <c r="AE203" s="9">
        <f t="shared" si="221"/>
        <v>0</v>
      </c>
      <c r="AF203">
        <f>IF(LEFT(Z203,4)="Blue",Assumptions!$G$57,0)</f>
        <v>0</v>
      </c>
      <c r="AG203">
        <f>IF(LEFT(Z203,4)="Blue",Assumptions!$G$59,IF(LEFT(Z203,4)="Gree",Assumptions!$G$60,0))</f>
        <v>0</v>
      </c>
      <c r="AH203" s="6">
        <f t="shared" ref="AH203:AJ203" si="233">AH182</f>
        <v>91.12437315283151</v>
      </c>
      <c r="AI203" s="6">
        <f t="shared" si="233"/>
        <v>81.798746305663002</v>
      </c>
      <c r="AJ203" s="6">
        <f t="shared" si="233"/>
        <v>100.45</v>
      </c>
      <c r="AK203" s="51">
        <f t="shared" si="223"/>
        <v>-91.12437315283151</v>
      </c>
      <c r="AL203" s="51">
        <f t="shared" si="224"/>
        <v>-81.798746305663002</v>
      </c>
      <c r="AM203" s="51">
        <f t="shared" si="225"/>
        <v>-100.45</v>
      </c>
      <c r="AN203">
        <f>IFERROR(INDEX(WaterUseH2[Average Direct Water Consumption (Gal/ kg h2)],MATCH(LEFT(Hydrogen!Y203,3),WaterUseH2[Key],0)),0)</f>
        <v>4.0999999999999996</v>
      </c>
      <c r="AO203" s="13">
        <f t="shared" si="220"/>
        <v>0</v>
      </c>
      <c r="AP203" s="13">
        <f>IF(Y203=$Y$3,AD203*Assumptions!$C$8*1000/1000,0)</f>
        <v>0</v>
      </c>
      <c r="AQ203" s="30">
        <f t="shared" si="226"/>
        <v>0</v>
      </c>
      <c r="AR203" s="30">
        <f>$AQ203*Assumptions!B$76</f>
        <v>0</v>
      </c>
      <c r="AS203" s="30">
        <f>$AQ203*Assumptions!C$76</f>
        <v>0</v>
      </c>
      <c r="AT203" s="30">
        <f>$AQ203*Assumptions!D$76</f>
        <v>0</v>
      </c>
    </row>
    <row r="204" spans="25:46" x14ac:dyDescent="0.35">
      <c r="Y204" t="s">
        <v>191</v>
      </c>
      <c r="AA204" t="s">
        <v>107</v>
      </c>
      <c r="AB204">
        <v>2037</v>
      </c>
      <c r="AC204">
        <v>0</v>
      </c>
      <c r="AD204" s="23">
        <f>AC204*1000000000000/Assumptions!$B$17/1000</f>
        <v>0</v>
      </c>
      <c r="AE204" s="9">
        <f t="shared" si="221"/>
        <v>0</v>
      </c>
      <c r="AF204">
        <f>IF(LEFT(Z204,4)="Blue",Assumptions!$G$57,0)</f>
        <v>0</v>
      </c>
      <c r="AG204">
        <f>IF(LEFT(Z204,4)="Blue",Assumptions!$G$59,IF(LEFT(Z204,4)="Gree",Assumptions!$G$60,0))</f>
        <v>0</v>
      </c>
      <c r="AH204" s="6">
        <f t="shared" ref="AH204:AJ204" si="234">AH183</f>
        <v>89.845883938555232</v>
      </c>
      <c r="AI204" s="6">
        <f t="shared" si="234"/>
        <v>79.241767877110448</v>
      </c>
      <c r="AJ204" s="6">
        <f t="shared" si="234"/>
        <v>100.45</v>
      </c>
      <c r="AK204" s="51">
        <f t="shared" si="223"/>
        <v>-89.845883938555232</v>
      </c>
      <c r="AL204" s="51">
        <f t="shared" si="224"/>
        <v>-79.241767877110448</v>
      </c>
      <c r="AM204" s="51">
        <f t="shared" si="225"/>
        <v>-100.45</v>
      </c>
      <c r="AN204">
        <f>IFERROR(INDEX(WaterUseH2[Average Direct Water Consumption (Gal/ kg h2)],MATCH(LEFT(Hydrogen!Y204,3),WaterUseH2[Key],0)),0)</f>
        <v>4.0999999999999996</v>
      </c>
      <c r="AO204" s="13">
        <f t="shared" si="220"/>
        <v>0</v>
      </c>
      <c r="AP204" s="13">
        <f>IF(Y204=$Y$3,AD204*Assumptions!$C$8*1000/1000,0)</f>
        <v>0</v>
      </c>
      <c r="AQ204" s="30">
        <f t="shared" si="226"/>
        <v>0</v>
      </c>
      <c r="AR204" s="30">
        <f>$AQ204*Assumptions!B$76</f>
        <v>0</v>
      </c>
      <c r="AS204" s="30">
        <f>$AQ204*Assumptions!C$76</f>
        <v>0</v>
      </c>
      <c r="AT204" s="30">
        <f>$AQ204*Assumptions!D$76</f>
        <v>0</v>
      </c>
    </row>
    <row r="205" spans="25:46" x14ac:dyDescent="0.35">
      <c r="Y205" t="s">
        <v>191</v>
      </c>
      <c r="AA205" t="s">
        <v>107</v>
      </c>
      <c r="AB205">
        <v>2038</v>
      </c>
      <c r="AC205">
        <v>0</v>
      </c>
      <c r="AD205" s="23">
        <f>AC205*1000000000000/Assumptions!$B$17/1000</f>
        <v>0</v>
      </c>
      <c r="AE205" s="9">
        <f t="shared" si="221"/>
        <v>0</v>
      </c>
      <c r="AF205">
        <f>IF(LEFT(Z205,4)="Blue",Assumptions!$G$57,0)</f>
        <v>0</v>
      </c>
      <c r="AG205">
        <f>IF(LEFT(Z205,4)="Blue",Assumptions!$G$59,IF(LEFT(Z205,4)="Gree",Assumptions!$G$60,0))</f>
        <v>0</v>
      </c>
      <c r="AH205" s="6">
        <f t="shared" ref="AH205:AJ205" si="235">AH184</f>
        <v>88.574547187599435</v>
      </c>
      <c r="AI205" s="6">
        <f t="shared" si="235"/>
        <v>76.699094375198868</v>
      </c>
      <c r="AJ205" s="6">
        <f t="shared" si="235"/>
        <v>100.45</v>
      </c>
      <c r="AK205" s="51">
        <f t="shared" si="223"/>
        <v>-88.574547187599435</v>
      </c>
      <c r="AL205" s="51">
        <f t="shared" si="224"/>
        <v>-76.699094375198868</v>
      </c>
      <c r="AM205" s="51">
        <f t="shared" si="225"/>
        <v>-100.45</v>
      </c>
      <c r="AN205">
        <f>IFERROR(INDEX(WaterUseH2[Average Direct Water Consumption (Gal/ kg h2)],MATCH(LEFT(Hydrogen!Y205,3),WaterUseH2[Key],0)),0)</f>
        <v>4.0999999999999996</v>
      </c>
      <c r="AO205" s="13">
        <f t="shared" si="220"/>
        <v>0</v>
      </c>
      <c r="AP205" s="13">
        <f>IF(Y205=$Y$3,AD205*Assumptions!$C$8*1000/1000,0)</f>
        <v>0</v>
      </c>
      <c r="AQ205" s="30">
        <f t="shared" si="226"/>
        <v>0</v>
      </c>
      <c r="AR205" s="30">
        <f>$AQ205*Assumptions!B$76</f>
        <v>0</v>
      </c>
      <c r="AS205" s="30">
        <f>$AQ205*Assumptions!C$76</f>
        <v>0</v>
      </c>
      <c r="AT205" s="30">
        <f>$AQ205*Assumptions!D$76</f>
        <v>0</v>
      </c>
    </row>
    <row r="206" spans="25:46" x14ac:dyDescent="0.35">
      <c r="Y206" t="s">
        <v>191</v>
      </c>
      <c r="AA206" t="s">
        <v>107</v>
      </c>
      <c r="AB206">
        <v>2039</v>
      </c>
      <c r="AC206">
        <v>0</v>
      </c>
      <c r="AD206" s="23">
        <f>AC206*1000000000000/Assumptions!$B$17/1000</f>
        <v>0</v>
      </c>
      <c r="AE206" s="9">
        <f t="shared" si="221"/>
        <v>0</v>
      </c>
      <c r="AF206">
        <f>IF(LEFT(Z206,4)="Blue",Assumptions!$G$57,0)</f>
        <v>0</v>
      </c>
      <c r="AG206">
        <f>IF(LEFT(Z206,4)="Blue",Assumptions!$G$59,IF(LEFT(Z206,4)="Gree",Assumptions!$G$60,0))</f>
        <v>0</v>
      </c>
      <c r="AH206" s="6">
        <f t="shared" ref="AH206:AJ206" si="236">AH185</f>
        <v>87.273478799936612</v>
      </c>
      <c r="AI206" s="6">
        <f t="shared" si="236"/>
        <v>74.096957599873221</v>
      </c>
      <c r="AJ206" s="6">
        <f t="shared" si="236"/>
        <v>100.45</v>
      </c>
      <c r="AK206" s="51">
        <f t="shared" si="223"/>
        <v>-87.273478799936612</v>
      </c>
      <c r="AL206" s="51">
        <f t="shared" si="224"/>
        <v>-74.096957599873221</v>
      </c>
      <c r="AM206" s="51">
        <f t="shared" si="225"/>
        <v>-100.45</v>
      </c>
      <c r="AN206">
        <f>IFERROR(INDEX(WaterUseH2[Average Direct Water Consumption (Gal/ kg h2)],MATCH(LEFT(Hydrogen!Y206,3),WaterUseH2[Key],0)),0)</f>
        <v>4.0999999999999996</v>
      </c>
      <c r="AO206" s="13">
        <f t="shared" si="220"/>
        <v>0</v>
      </c>
      <c r="AP206" s="13">
        <f>IF(Y206=$Y$3,AD206*Assumptions!$C$8*1000/1000,0)</f>
        <v>0</v>
      </c>
      <c r="AQ206" s="30">
        <f t="shared" si="226"/>
        <v>0</v>
      </c>
      <c r="AR206" s="30">
        <f>$AQ206*Assumptions!B$76</f>
        <v>0</v>
      </c>
      <c r="AS206" s="30">
        <f>$AQ206*Assumptions!C$76</f>
        <v>0</v>
      </c>
      <c r="AT206" s="30">
        <f>$AQ206*Assumptions!D$76</f>
        <v>0</v>
      </c>
    </row>
    <row r="207" spans="25:46" x14ac:dyDescent="0.35">
      <c r="Y207" t="s">
        <v>191</v>
      </c>
      <c r="AA207" t="s">
        <v>107</v>
      </c>
      <c r="AB207">
        <v>2040</v>
      </c>
      <c r="AC207">
        <v>0</v>
      </c>
      <c r="AD207" s="23">
        <f>AC207*1000000000000/Assumptions!$B$17/1000</f>
        <v>0</v>
      </c>
      <c r="AE207" s="9">
        <f t="shared" si="221"/>
        <v>0</v>
      </c>
      <c r="AF207">
        <f>IF(LEFT(Z207,4)="Blue",Assumptions!$G$57,0)</f>
        <v>0</v>
      </c>
      <c r="AG207">
        <f>IF(LEFT(Z207,4)="Blue",Assumptions!$G$59,IF(LEFT(Z207,4)="Gree",Assumptions!$G$60,0))</f>
        <v>0</v>
      </c>
      <c r="AH207" s="6">
        <f t="shared" ref="AH207:AJ207" si="237">AH186</f>
        <v>85.951275707781519</v>
      </c>
      <c r="AI207" s="6">
        <f t="shared" si="237"/>
        <v>71.452551415563036</v>
      </c>
      <c r="AJ207" s="6">
        <f t="shared" si="237"/>
        <v>100.45</v>
      </c>
      <c r="AK207" s="51">
        <f t="shared" si="223"/>
        <v>-85.951275707781519</v>
      </c>
      <c r="AL207" s="51">
        <f t="shared" si="224"/>
        <v>-71.452551415563036</v>
      </c>
      <c r="AM207" s="51">
        <f t="shared" si="225"/>
        <v>-100.45</v>
      </c>
      <c r="AN207">
        <f>IFERROR(INDEX(WaterUseH2[Average Direct Water Consumption (Gal/ kg h2)],MATCH(LEFT(Hydrogen!Y207,3),WaterUseH2[Key],0)),0)</f>
        <v>4.0999999999999996</v>
      </c>
      <c r="AO207" s="13">
        <f t="shared" si="220"/>
        <v>0</v>
      </c>
      <c r="AP207" s="13">
        <f>IF(Y207=$Y$3,AD207*Assumptions!$C$8*1000/1000,0)</f>
        <v>0</v>
      </c>
      <c r="AQ207" s="30">
        <f t="shared" si="226"/>
        <v>0</v>
      </c>
      <c r="AR207" s="30">
        <f>$AQ207*Assumptions!B$76</f>
        <v>0</v>
      </c>
      <c r="AS207" s="30">
        <f>$AQ207*Assumptions!C$76</f>
        <v>0</v>
      </c>
      <c r="AT207" s="30">
        <f>$AQ207*Assumptions!D$76</f>
        <v>0</v>
      </c>
    </row>
    <row r="208" spans="25:46" x14ac:dyDescent="0.35">
      <c r="Y208" t="s">
        <v>191</v>
      </c>
      <c r="AA208" t="s">
        <v>107</v>
      </c>
      <c r="AB208">
        <v>2041</v>
      </c>
      <c r="AC208">
        <v>0</v>
      </c>
      <c r="AD208" s="23">
        <f>AC208*1000000000000/Assumptions!$B$17/1000</f>
        <v>0</v>
      </c>
      <c r="AE208" s="9">
        <f t="shared" si="221"/>
        <v>0</v>
      </c>
      <c r="AF208">
        <f>IF(LEFT(Z208,4)="Blue",Assumptions!$G$57,0)</f>
        <v>0</v>
      </c>
      <c r="AG208">
        <f>IF(LEFT(Z208,4)="Blue",Assumptions!$G$59,IF(LEFT(Z208,4)="Gree",Assumptions!$G$60,0))</f>
        <v>0</v>
      </c>
      <c r="AH208" s="6">
        <f t="shared" ref="AH208:AJ208" si="238">AH187</f>
        <v>84.637245588482756</v>
      </c>
      <c r="AI208" s="6">
        <f t="shared" si="238"/>
        <v>68.824491176965509</v>
      </c>
      <c r="AJ208" s="6">
        <f t="shared" si="238"/>
        <v>100.45</v>
      </c>
      <c r="AK208" s="51">
        <f t="shared" si="223"/>
        <v>-84.637245588482756</v>
      </c>
      <c r="AL208" s="51">
        <f t="shared" si="224"/>
        <v>-68.824491176965509</v>
      </c>
      <c r="AM208" s="51">
        <f t="shared" si="225"/>
        <v>-100.45</v>
      </c>
      <c r="AN208">
        <f>IFERROR(INDEX(WaterUseH2[Average Direct Water Consumption (Gal/ kg h2)],MATCH(LEFT(Hydrogen!Y208,3),WaterUseH2[Key],0)),0)</f>
        <v>4.0999999999999996</v>
      </c>
      <c r="AO208" s="13">
        <f t="shared" si="220"/>
        <v>0</v>
      </c>
      <c r="AP208" s="13">
        <f>IF(Y208=$Y$3,AD208*Assumptions!$C$8*1000/1000,0)</f>
        <v>0</v>
      </c>
      <c r="AQ208" s="30">
        <f t="shared" si="226"/>
        <v>0</v>
      </c>
      <c r="AR208" s="30">
        <f>$AQ208*Assumptions!B$76</f>
        <v>0</v>
      </c>
      <c r="AS208" s="30">
        <f>$AQ208*Assumptions!C$76</f>
        <v>0</v>
      </c>
      <c r="AT208" s="30">
        <f>$AQ208*Assumptions!D$76</f>
        <v>0</v>
      </c>
    </row>
    <row r="209" spans="25:46" x14ac:dyDescent="0.35">
      <c r="Y209" t="s">
        <v>191</v>
      </c>
      <c r="AA209" t="s">
        <v>107</v>
      </c>
      <c r="AB209">
        <v>2042</v>
      </c>
      <c r="AC209">
        <v>0</v>
      </c>
      <c r="AD209" s="23">
        <f>AC209*1000000000000/Assumptions!$B$17/1000</f>
        <v>0</v>
      </c>
      <c r="AE209" s="9">
        <f t="shared" si="221"/>
        <v>0</v>
      </c>
      <c r="AF209">
        <f>IF(LEFT(Z209,4)="Blue",Assumptions!$G$57,0)</f>
        <v>0</v>
      </c>
      <c r="AG209">
        <f>IF(LEFT(Z209,4)="Blue",Assumptions!$G$59,IF(LEFT(Z209,4)="Gree",Assumptions!$G$60,0))</f>
        <v>0</v>
      </c>
      <c r="AH209" s="6">
        <f t="shared" ref="AH209:AJ209" si="239">AH188</f>
        <v>83.36430635778953</v>
      </c>
      <c r="AI209" s="6">
        <f t="shared" si="239"/>
        <v>66.278612715579072</v>
      </c>
      <c r="AJ209" s="6">
        <f t="shared" si="239"/>
        <v>100.45</v>
      </c>
      <c r="AK209" s="51">
        <f t="shared" si="223"/>
        <v>-83.36430635778953</v>
      </c>
      <c r="AL209" s="51">
        <f t="shared" si="224"/>
        <v>-66.278612715579072</v>
      </c>
      <c r="AM209" s="51">
        <f t="shared" si="225"/>
        <v>-100.45</v>
      </c>
      <c r="AN209">
        <f>IFERROR(INDEX(WaterUseH2[Average Direct Water Consumption (Gal/ kg h2)],MATCH(LEFT(Hydrogen!Y209,3),WaterUseH2[Key],0)),0)</f>
        <v>4.0999999999999996</v>
      </c>
      <c r="AO209" s="13">
        <f t="shared" si="220"/>
        <v>0</v>
      </c>
      <c r="AP209" s="13">
        <f>IF(Y209=$Y$3,AD209*Assumptions!$C$8*1000/1000,0)</f>
        <v>0</v>
      </c>
      <c r="AQ209" s="30">
        <f t="shared" si="226"/>
        <v>0</v>
      </c>
      <c r="AR209" s="30">
        <f>$AQ209*Assumptions!B$76</f>
        <v>0</v>
      </c>
      <c r="AS209" s="30">
        <f>$AQ209*Assumptions!C$76</f>
        <v>0</v>
      </c>
      <c r="AT209" s="30">
        <f>$AQ209*Assumptions!D$76</f>
        <v>0</v>
      </c>
    </row>
    <row r="210" spans="25:46" x14ac:dyDescent="0.35">
      <c r="Y210" t="s">
        <v>191</v>
      </c>
      <c r="AA210" t="s">
        <v>107</v>
      </c>
      <c r="AB210">
        <v>2043</v>
      </c>
      <c r="AC210">
        <v>0</v>
      </c>
      <c r="AD210" s="23">
        <f>AC210*1000000000000/Assumptions!$B$17/1000</f>
        <v>0</v>
      </c>
      <c r="AE210" s="9">
        <f t="shared" si="221"/>
        <v>0</v>
      </c>
      <c r="AF210">
        <f>IF(LEFT(Z210,4)="Blue",Assumptions!$G$57,0)</f>
        <v>0</v>
      </c>
      <c r="AG210">
        <f>IF(LEFT(Z210,4)="Blue",Assumptions!$G$59,IF(LEFT(Z210,4)="Gree",Assumptions!$G$60,0))</f>
        <v>0</v>
      </c>
      <c r="AH210" s="6">
        <f t="shared" ref="AH210:AJ210" si="240">AH189</f>
        <v>82.142704261559757</v>
      </c>
      <c r="AI210" s="6">
        <f t="shared" si="240"/>
        <v>63.835408523119504</v>
      </c>
      <c r="AJ210" s="6">
        <f t="shared" si="240"/>
        <v>100.45</v>
      </c>
      <c r="AK210" s="51">
        <f t="shared" si="223"/>
        <v>-82.142704261559757</v>
      </c>
      <c r="AL210" s="51">
        <f t="shared" si="224"/>
        <v>-63.835408523119504</v>
      </c>
      <c r="AM210" s="51">
        <f t="shared" si="225"/>
        <v>-100.45</v>
      </c>
      <c r="AN210">
        <f>IFERROR(INDEX(WaterUseH2[Average Direct Water Consumption (Gal/ kg h2)],MATCH(LEFT(Hydrogen!Y210,3),WaterUseH2[Key],0)),0)</f>
        <v>4.0999999999999996</v>
      </c>
      <c r="AO210" s="13">
        <f t="shared" si="220"/>
        <v>0</v>
      </c>
      <c r="AP210" s="13">
        <f>IF(Y210=$Y$3,AD210*Assumptions!$C$8*1000/1000,0)</f>
        <v>0</v>
      </c>
      <c r="AQ210" s="30">
        <f t="shared" si="226"/>
        <v>0</v>
      </c>
      <c r="AR210" s="30">
        <f>$AQ210*Assumptions!B$76</f>
        <v>0</v>
      </c>
      <c r="AS210" s="30">
        <f>$AQ210*Assumptions!C$76</f>
        <v>0</v>
      </c>
      <c r="AT210" s="30">
        <f>$AQ210*Assumptions!D$76</f>
        <v>0</v>
      </c>
    </row>
    <row r="211" spans="25:46" x14ac:dyDescent="0.35">
      <c r="Y211" t="s">
        <v>191</v>
      </c>
      <c r="AA211" t="s">
        <v>107</v>
      </c>
      <c r="AB211">
        <v>2044</v>
      </c>
      <c r="AC211">
        <v>0</v>
      </c>
      <c r="AD211" s="23">
        <f>AC211*1000000000000/Assumptions!$B$17/1000</f>
        <v>0</v>
      </c>
      <c r="AE211" s="9">
        <f t="shared" si="221"/>
        <v>0</v>
      </c>
      <c r="AF211">
        <f>IF(LEFT(Z211,4)="Blue",Assumptions!$G$57,0)</f>
        <v>0</v>
      </c>
      <c r="AG211">
        <f>IF(LEFT(Z211,4)="Blue",Assumptions!$G$59,IF(LEFT(Z211,4)="Gree",Assumptions!$G$60,0))</f>
        <v>0</v>
      </c>
      <c r="AH211" s="6">
        <f t="shared" ref="AH211:AJ211" si="241">AH190</f>
        <v>80.990181196488862</v>
      </c>
      <c r="AI211" s="6">
        <f t="shared" si="241"/>
        <v>61.530362392977736</v>
      </c>
      <c r="AJ211" s="6">
        <f t="shared" si="241"/>
        <v>100.45</v>
      </c>
      <c r="AK211" s="51">
        <f t="shared" si="223"/>
        <v>-80.990181196488862</v>
      </c>
      <c r="AL211" s="51">
        <f t="shared" si="224"/>
        <v>-61.530362392977736</v>
      </c>
      <c r="AM211" s="51">
        <f t="shared" si="225"/>
        <v>-100.45</v>
      </c>
      <c r="AN211">
        <f>IFERROR(INDEX(WaterUseH2[Average Direct Water Consumption (Gal/ kg h2)],MATCH(LEFT(Hydrogen!Y211,3),WaterUseH2[Key],0)),0)</f>
        <v>4.0999999999999996</v>
      </c>
      <c r="AO211" s="13">
        <f t="shared" si="220"/>
        <v>0</v>
      </c>
      <c r="AP211" s="13">
        <f>IF(Y211=$Y$3,AD211*Assumptions!$C$8*1000/1000,0)</f>
        <v>0</v>
      </c>
      <c r="AQ211" s="30">
        <f t="shared" si="226"/>
        <v>0</v>
      </c>
      <c r="AR211" s="30">
        <f>$AQ211*Assumptions!B$76</f>
        <v>0</v>
      </c>
      <c r="AS211" s="30">
        <f>$AQ211*Assumptions!C$76</f>
        <v>0</v>
      </c>
      <c r="AT211" s="30">
        <f>$AQ211*Assumptions!D$76</f>
        <v>0</v>
      </c>
    </row>
    <row r="212" spans="25:46" x14ac:dyDescent="0.35">
      <c r="Y212" t="s">
        <v>191</v>
      </c>
      <c r="AA212" t="s">
        <v>107</v>
      </c>
      <c r="AB212">
        <v>2045</v>
      </c>
      <c r="AC212">
        <v>0</v>
      </c>
      <c r="AD212" s="23">
        <f>AC212*1000000000000/Assumptions!$B$17/1000</f>
        <v>0</v>
      </c>
      <c r="AE212" s="9">
        <f t="shared" si="221"/>
        <v>0</v>
      </c>
      <c r="AF212">
        <f>IF(LEFT(Z212,4)="Blue",Assumptions!$G$57,0)</f>
        <v>0</v>
      </c>
      <c r="AG212">
        <f>IF(LEFT(Z212,4)="Blue",Assumptions!$G$59,IF(LEFT(Z212,4)="Gree",Assumptions!$G$60,0))</f>
        <v>0</v>
      </c>
      <c r="AH212" s="6">
        <f t="shared" ref="AH212:AJ212" si="242">AH191</f>
        <v>79.920544054153567</v>
      </c>
      <c r="AI212" s="6">
        <f t="shared" si="242"/>
        <v>59.391088108307123</v>
      </c>
      <c r="AJ212" s="6">
        <f t="shared" si="242"/>
        <v>100.45</v>
      </c>
      <c r="AK212" s="51">
        <f t="shared" si="223"/>
        <v>-79.920544054153567</v>
      </c>
      <c r="AL212" s="51">
        <f t="shared" si="224"/>
        <v>-59.391088108307123</v>
      </c>
      <c r="AM212" s="51">
        <f t="shared" si="225"/>
        <v>-100.45</v>
      </c>
      <c r="AN212">
        <f>IFERROR(INDEX(WaterUseH2[Average Direct Water Consumption (Gal/ kg h2)],MATCH(LEFT(Hydrogen!Y212,3),WaterUseH2[Key],0)),0)</f>
        <v>4.0999999999999996</v>
      </c>
      <c r="AO212" s="13">
        <f t="shared" si="220"/>
        <v>0</v>
      </c>
      <c r="AP212" s="13">
        <f>IF(Y212=$Y$3,AD212*Assumptions!$C$8*1000/1000,0)</f>
        <v>0</v>
      </c>
      <c r="AQ212" s="30">
        <f t="shared" si="226"/>
        <v>0</v>
      </c>
      <c r="AR212" s="30">
        <f>$AQ212*Assumptions!B$76</f>
        <v>0</v>
      </c>
      <c r="AS212" s="30">
        <f>$AQ212*Assumptions!C$76</f>
        <v>0</v>
      </c>
      <c r="AT212" s="30">
        <f>$AQ212*Assumptions!D$76</f>
        <v>0</v>
      </c>
    </row>
  </sheetData>
  <autoFilter ref="Y2:AT212" xr:uid="{C018DB3F-26CC-40C3-8D74-44AE2132063F}"/>
  <phoneticPr fontId="5" type="noConversion"/>
  <hyperlinks>
    <hyperlink ref="BR3" r:id="rId1" location=":~:text=This%20blue%20hydrogen%20plant%20is,in%20an%20underground%20storage%20vault." xr:uid="{ACAE743D-4E02-4E7B-9833-1DCBB18F2CE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81BEF-7A1F-494D-8F7A-F95BE9DBC1F1}">
  <dimension ref="A1:BF128"/>
  <sheetViews>
    <sheetView topLeftCell="AN9" workbookViewId="0">
      <selection activeCell="AN42" sqref="AN42"/>
    </sheetView>
  </sheetViews>
  <sheetFormatPr defaultColWidth="8.83203125" defaultRowHeight="15.5" x14ac:dyDescent="0.35"/>
  <cols>
    <col min="1" max="1" width="12.5" customWidth="1"/>
    <col min="3" max="3" width="9.08203125" bestFit="1" customWidth="1"/>
    <col min="4" max="4" width="10.08203125" bestFit="1" customWidth="1"/>
    <col min="8" max="8" width="9" customWidth="1"/>
    <col min="14" max="14" width="1.83203125" style="34" customWidth="1"/>
    <col min="16" max="16" width="19.83203125" customWidth="1"/>
    <col min="17" max="17" width="10.5" customWidth="1"/>
    <col min="18" max="18" width="7.08203125" customWidth="1"/>
    <col min="20" max="20" width="11.5" customWidth="1"/>
    <col min="21" max="21" width="12.08203125" customWidth="1"/>
    <col min="22" max="22" width="14" customWidth="1"/>
    <col min="27" max="27" width="3" style="26" customWidth="1"/>
    <col min="31" max="31" width="13.58203125" customWidth="1"/>
    <col min="33" max="33" width="10.58203125" customWidth="1"/>
    <col min="38" max="38" width="3.08203125" customWidth="1"/>
    <col min="39" max="39" width="15.08203125" customWidth="1"/>
    <col min="40" max="40" width="53.58203125" customWidth="1"/>
    <col min="44" max="44" width="2.5" customWidth="1"/>
    <col min="48" max="48" width="13.83203125" bestFit="1" customWidth="1"/>
    <col min="54" max="54" width="8" customWidth="1"/>
  </cols>
  <sheetData>
    <row r="1" spans="1:58" x14ac:dyDescent="0.35">
      <c r="A1" s="5" t="s">
        <v>110</v>
      </c>
      <c r="O1" s="5" t="s">
        <v>111</v>
      </c>
      <c r="AB1" s="17" t="s">
        <v>139</v>
      </c>
      <c r="AL1" s="35"/>
      <c r="AM1" s="5" t="s">
        <v>62</v>
      </c>
      <c r="AN1" s="5"/>
      <c r="AO1" s="5"/>
      <c r="AR1" s="29"/>
      <c r="AS1" s="17" t="s">
        <v>194</v>
      </c>
    </row>
    <row r="2" spans="1:58" ht="124" x14ac:dyDescent="0.35">
      <c r="A2" s="16" t="s">
        <v>140</v>
      </c>
      <c r="B2" s="16" t="s">
        <v>0</v>
      </c>
      <c r="C2" s="16" t="s">
        <v>195</v>
      </c>
      <c r="D2" s="16" t="s">
        <v>196</v>
      </c>
      <c r="E2" s="28" t="s">
        <v>149</v>
      </c>
      <c r="F2" s="28" t="s">
        <v>150</v>
      </c>
      <c r="G2" s="28" t="s">
        <v>151</v>
      </c>
      <c r="H2" s="16" t="s">
        <v>152</v>
      </c>
      <c r="I2" s="16" t="s">
        <v>153</v>
      </c>
      <c r="J2" s="16" t="s">
        <v>154</v>
      </c>
      <c r="O2" t="s">
        <v>133</v>
      </c>
      <c r="P2" t="s">
        <v>197</v>
      </c>
      <c r="Q2" t="s">
        <v>198</v>
      </c>
      <c r="R2" t="s">
        <v>158</v>
      </c>
      <c r="S2" t="s">
        <v>0</v>
      </c>
      <c r="T2" s="16" t="s">
        <v>195</v>
      </c>
      <c r="U2" s="16" t="s">
        <v>199</v>
      </c>
      <c r="V2" s="16" t="s">
        <v>200</v>
      </c>
      <c r="W2" s="16" t="s">
        <v>201</v>
      </c>
      <c r="X2" s="16" t="s">
        <v>202</v>
      </c>
      <c r="AB2" t="s">
        <v>203</v>
      </c>
      <c r="AC2" t="s">
        <v>204</v>
      </c>
      <c r="AD2" t="s">
        <v>198</v>
      </c>
      <c r="AE2" t="s">
        <v>158</v>
      </c>
      <c r="AF2" t="s">
        <v>0</v>
      </c>
      <c r="AG2" s="16" t="s">
        <v>195</v>
      </c>
      <c r="AH2" s="16" t="s">
        <v>146</v>
      </c>
      <c r="AI2" s="16"/>
      <c r="AJ2" s="16"/>
      <c r="AK2" s="16"/>
      <c r="AL2" s="36"/>
      <c r="AM2" s="16" t="s">
        <v>133</v>
      </c>
      <c r="AN2" s="16" t="s">
        <v>134</v>
      </c>
      <c r="AO2" s="16" t="s">
        <v>205</v>
      </c>
      <c r="AP2" s="53" t="s">
        <v>206</v>
      </c>
      <c r="AQ2" s="54" t="s">
        <v>207</v>
      </c>
      <c r="AR2" s="29"/>
      <c r="AS2" t="s">
        <v>197</v>
      </c>
      <c r="AT2" t="s">
        <v>198</v>
      </c>
      <c r="AU2" t="s">
        <v>158</v>
      </c>
      <c r="AV2" t="s">
        <v>208</v>
      </c>
      <c r="AW2" t="s">
        <v>0</v>
      </c>
      <c r="AX2" t="s">
        <v>209</v>
      </c>
      <c r="AY2" t="s">
        <v>210</v>
      </c>
      <c r="AZ2" s="16" t="s">
        <v>211</v>
      </c>
      <c r="BA2" s="16" t="s">
        <v>212</v>
      </c>
      <c r="BB2" s="16" t="s">
        <v>213</v>
      </c>
      <c r="BC2" s="16" t="s">
        <v>214</v>
      </c>
      <c r="BD2" s="16" t="s">
        <v>64</v>
      </c>
      <c r="BF2" t="s">
        <v>215</v>
      </c>
    </row>
    <row r="3" spans="1:58" x14ac:dyDescent="0.35">
      <c r="A3" t="s">
        <v>76</v>
      </c>
      <c r="B3">
        <v>2025</v>
      </c>
      <c r="C3" s="11">
        <f t="shared" ref="C3:C44" si="0">SUMIFS(T:T,$S:$S,$B3,$O:$O,$A3)</f>
        <v>8.2749815555555554E-3</v>
      </c>
      <c r="D3" s="13">
        <f t="shared" ref="D3:D44" si="1">SUMIFS(U:U,$S:$S,$B3,$O:$O,$A3)</f>
        <v>7570.8888888888896</v>
      </c>
      <c r="E3" s="51" cm="1">
        <f t="array" ref="E3">IF($C3=0,0,SUMPRODUCT(IF($O$3:$O$212=$A3,1,0),IF($S$3:$S$212=$B3,1,0),$T$3:$T$212,V$3:V$212)/$C3)</f>
        <v>-189.46477707006366</v>
      </c>
      <c r="F3" s="51" cm="1">
        <f t="array" ref="F3">IF($C3=0,0,SUMPRODUCT(IF($O$3:$O$212=$A3,1,0),IF($S$3:$S$212=$B3,1,0),$T$3:$T$212,W$3:W$212)/$C3)</f>
        <v>-175.53961783439487</v>
      </c>
      <c r="G3" s="51" cm="1">
        <f t="array" ref="G3">IF($C3=0,0,SUMPRODUCT(IF($O$3:$O$212=$A3,1,0),IF($S$3:$S$212=$B3,1,0),$T$3:$T$212,X$3:X$212)/$C3)</f>
        <v>-352.02453406840431</v>
      </c>
      <c r="H3" s="31">
        <f>$C3*E3*-1</f>
        <v>1.5678175356822219</v>
      </c>
      <c r="I3" s="31">
        <f t="shared" ref="I3:J3" si="2">$C3*F3*-1</f>
        <v>1.4525870998488886</v>
      </c>
      <c r="J3" s="31">
        <f t="shared" si="2"/>
        <v>2.912996526519084</v>
      </c>
      <c r="O3" t="s">
        <v>76</v>
      </c>
      <c r="P3" t="s">
        <v>216</v>
      </c>
      <c r="Q3" t="s">
        <v>217</v>
      </c>
      <c r="R3" t="s">
        <v>87</v>
      </c>
      <c r="S3">
        <v>2025</v>
      </c>
      <c r="T3">
        <v>0</v>
      </c>
      <c r="U3" s="12">
        <f>T3*10000000000000/Assumptions!$B$16/10000000</f>
        <v>0</v>
      </c>
      <c r="V3" s="13">
        <f>IFERROR(INDEX(Assumptions!C$112:C$113,MATCH(LEFT(Biogas!$P3,2),Assumptions!$B$112:$B$113,0))-SUMIFS($AH:$AH,$AE:$AE,"Total",$AB:$AB,$O3,$AF:$AF,$S3),0)</f>
        <v>0</v>
      </c>
      <c r="W3" s="13">
        <f>IFERROR(INDEX(Assumptions!D$112:D$113,MATCH(LEFT(Biogas!$P3,2),Assumptions!$B$112:$B$113,0))-SUMIFS($AH:$AH,$AE:$AE,"Total",$AB:$AB,$O3,$AF:$AF,$S3),0)</f>
        <v>0</v>
      </c>
      <c r="X3" s="13">
        <f>IFERROR(INDEX(Assumptions!E$112:E$113,MATCH(LEFT(Biogas!$P3,2),Assumptions!$B$112:$B$113,0))-SUMIFS($AH:$AH,$AE:$AE,"Total",$AB:$AB,$O3,$AF:$AF,$S3),0)</f>
        <v>0</v>
      </c>
      <c r="AB3" t="s">
        <v>76</v>
      </c>
      <c r="AC3" t="s">
        <v>87</v>
      </c>
      <c r="AD3" t="s">
        <v>170</v>
      </c>
      <c r="AE3" t="s">
        <v>170</v>
      </c>
      <c r="AF3">
        <v>2025</v>
      </c>
      <c r="AG3">
        <f>SUMIFS(T:T,O:O,AB3,S:S,AF3)</f>
        <v>8.2749815555555554E-3</v>
      </c>
      <c r="AH3" s="8">
        <f>GREET3.0!$K$58</f>
        <v>79.209999999999994</v>
      </c>
      <c r="AI3" s="8"/>
      <c r="AJ3" s="8"/>
      <c r="AL3" s="36"/>
      <c r="AM3" t="s">
        <v>76</v>
      </c>
      <c r="AN3" t="s">
        <v>218</v>
      </c>
      <c r="AO3" s="2">
        <v>0.31</v>
      </c>
      <c r="AP3" s="31">
        <f>$BB$8*$AO3</f>
        <v>1.1384687999999999E-2</v>
      </c>
      <c r="AQ3" s="31">
        <f>$BB$9*$AO3</f>
        <v>5.6923439999999994E-3</v>
      </c>
      <c r="AR3" s="29"/>
      <c r="AS3" t="s">
        <v>216</v>
      </c>
      <c r="AT3" t="s">
        <v>217</v>
      </c>
      <c r="AU3" t="s">
        <v>87</v>
      </c>
      <c r="AV3">
        <v>12</v>
      </c>
      <c r="AW3">
        <v>2025</v>
      </c>
      <c r="AX3" s="2">
        <v>0.65</v>
      </c>
      <c r="AY3">
        <v>0.4</v>
      </c>
      <c r="AZ3" s="1">
        <v>1100000000000</v>
      </c>
      <c r="BA3" t="s">
        <v>219</v>
      </c>
      <c r="BB3" s="11">
        <f>Assumptions!$B$16*AV3*1000000000/1000000000000*AX3</f>
        <v>8.525399999999999E-3</v>
      </c>
      <c r="BC3" t="s">
        <v>220</v>
      </c>
      <c r="BF3" t="s">
        <v>221</v>
      </c>
    </row>
    <row r="4" spans="1:58" x14ac:dyDescent="0.35">
      <c r="A4" t="s">
        <v>76</v>
      </c>
      <c r="B4">
        <v>2026</v>
      </c>
      <c r="C4" s="11">
        <f t="shared" si="0"/>
        <v>8.2749815555555554E-3</v>
      </c>
      <c r="D4" s="13">
        <f t="shared" si="1"/>
        <v>7570.8888888888896</v>
      </c>
      <c r="E4" s="51" cm="1">
        <f t="array" ref="E4">IF($C4=0,0,SUMPRODUCT(IF($O$3:$O$212=$A4,1,0),IF($S$3:$S$212=$B4,1,0),$T$3:$T$212,V$3:V$212)/$C4)</f>
        <v>-189.46477707006366</v>
      </c>
      <c r="F4" s="51" cm="1">
        <f t="array" ref="F4">IF($C4=0,0,SUMPRODUCT(IF($O$3:$O$212=$A4,1,0),IF($S$3:$S$212=$B4,1,0),$T$3:$T$212,W$3:W$212)/$C4)</f>
        <v>-175.53961783439487</v>
      </c>
      <c r="G4" s="51" cm="1">
        <f t="array" ref="G4">IF($C4=0,0,SUMPRODUCT(IF($O$3:$O$212=$A4,1,0),IF($S$3:$S$212=$B4,1,0),$T$3:$T$212,X$3:X$212)/$C4)</f>
        <v>-352.02453406840431</v>
      </c>
      <c r="H4" s="31">
        <f t="shared" ref="H4:H44" si="3">$C4*E4*-1</f>
        <v>1.5678175356822219</v>
      </c>
      <c r="I4" s="31">
        <f t="shared" ref="I4:I44" si="4">$C4*F4*-1</f>
        <v>1.4525870998488886</v>
      </c>
      <c r="J4" s="31">
        <f t="shared" ref="J4:J44" si="5">$C4*G4*-1</f>
        <v>2.912996526519084</v>
      </c>
      <c r="O4" t="s">
        <v>76</v>
      </c>
      <c r="P4" t="s">
        <v>216</v>
      </c>
      <c r="Q4" t="s">
        <v>217</v>
      </c>
      <c r="R4" t="s">
        <v>87</v>
      </c>
      <c r="S4">
        <v>2026</v>
      </c>
      <c r="T4">
        <v>0</v>
      </c>
      <c r="U4" s="12">
        <f>T4*10000000000000/Assumptions!$B$16/10000000</f>
        <v>0</v>
      </c>
      <c r="V4" s="13">
        <f>IFERROR(INDEX(Assumptions!C$112:C$113,MATCH(LEFT(Biogas!$P4,2),Assumptions!$B$112:$B$113,0))-SUMIFS($AH:$AH,$AE:$AE,"Total",$AB:$AB,$O4,$AF:$AF,$S4),0)</f>
        <v>0</v>
      </c>
      <c r="W4" s="13">
        <f>IFERROR(INDEX(Assumptions!D$112:D$113,MATCH(LEFT(Biogas!$P4,2),Assumptions!$B$112:$B$113,0))-SUMIFS($AH:$AH,$AE:$AE,"Total",$AB:$AB,$O4,$AF:$AF,$S4),0)</f>
        <v>0</v>
      </c>
      <c r="X4" s="13">
        <f>IFERROR(INDEX(Assumptions!E$112:E$113,MATCH(LEFT(Biogas!$P4,2),Assumptions!$B$112:$B$113,0))-SUMIFS($AH:$AH,$AE:$AE,"Total",$AB:$AB,$O4,$AF:$AF,$S4),0)</f>
        <v>0</v>
      </c>
      <c r="AB4" t="s">
        <v>76</v>
      </c>
      <c r="AC4" t="s">
        <v>87</v>
      </c>
      <c r="AD4" t="s">
        <v>170</v>
      </c>
      <c r="AE4" t="s">
        <v>170</v>
      </c>
      <c r="AF4">
        <v>2026</v>
      </c>
      <c r="AG4">
        <f t="shared" ref="AG4:AG23" si="6">SUMIFS(T:T,O:O,AB4,S:S,AF4)</f>
        <v>8.2749815555555554E-3</v>
      </c>
      <c r="AH4" s="8">
        <f>GREET3.0!$K$58</f>
        <v>79.209999999999994</v>
      </c>
      <c r="AI4" s="8"/>
      <c r="AJ4" s="8"/>
      <c r="AL4" s="36"/>
      <c r="AM4" t="s">
        <v>107</v>
      </c>
      <c r="AN4" t="s">
        <v>222</v>
      </c>
      <c r="AO4" s="2">
        <v>0.62</v>
      </c>
      <c r="AP4" s="31">
        <f>$BB$8*$AO4</f>
        <v>2.2769375999999997E-2</v>
      </c>
      <c r="AQ4" s="31">
        <f>$BB$9*$AO4</f>
        <v>1.1384687999999999E-2</v>
      </c>
      <c r="AR4" s="29"/>
      <c r="AS4" t="s">
        <v>223</v>
      </c>
      <c r="AT4" t="s">
        <v>217</v>
      </c>
      <c r="AU4" t="s">
        <v>87</v>
      </c>
      <c r="AV4">
        <v>50</v>
      </c>
      <c r="AW4">
        <v>2025</v>
      </c>
      <c r="AX4" s="2">
        <v>0.6</v>
      </c>
      <c r="AY4">
        <v>1.7</v>
      </c>
      <c r="AZ4">
        <v>1.5</v>
      </c>
      <c r="BA4" t="s">
        <v>224</v>
      </c>
      <c r="BB4" s="11">
        <f>Assumptions!$B$16*AV4*1000000000/1000000000000*AX4</f>
        <v>3.279E-2</v>
      </c>
      <c r="BC4" t="s">
        <v>220</v>
      </c>
      <c r="BD4">
        <v>85.5</v>
      </c>
      <c r="BE4" t="s">
        <v>225</v>
      </c>
      <c r="BF4" t="s">
        <v>226</v>
      </c>
    </row>
    <row r="5" spans="1:58" x14ac:dyDescent="0.35">
      <c r="A5" t="s">
        <v>76</v>
      </c>
      <c r="B5">
        <v>2027</v>
      </c>
      <c r="C5" s="11">
        <f t="shared" si="0"/>
        <v>8.2749815555555554E-3</v>
      </c>
      <c r="D5" s="13">
        <f t="shared" si="1"/>
        <v>7570.8888888888896</v>
      </c>
      <c r="E5" s="51" cm="1">
        <f t="array" ref="E5">IF($C5=0,0,SUMPRODUCT(IF($O$3:$O$212=$A5,1,0),IF($S$3:$S$212=$B5,1,0),$T$3:$T$212,V$3:V$212)/$C5)</f>
        <v>-189.46477707006366</v>
      </c>
      <c r="F5" s="51" cm="1">
        <f t="array" ref="F5">IF($C5=0,0,SUMPRODUCT(IF($O$3:$O$212=$A5,1,0),IF($S$3:$S$212=$B5,1,0),$T$3:$T$212,W$3:W$212)/$C5)</f>
        <v>-175.53961783439487</v>
      </c>
      <c r="G5" s="51" cm="1">
        <f t="array" ref="G5">IF($C5=0,0,SUMPRODUCT(IF($O$3:$O$212=$A5,1,0),IF($S$3:$S$212=$B5,1,0),$T$3:$T$212,X$3:X$212)/$C5)</f>
        <v>-352.02453406840431</v>
      </c>
      <c r="H5" s="31">
        <f t="shared" si="3"/>
        <v>1.5678175356822219</v>
      </c>
      <c r="I5" s="31">
        <f t="shared" si="4"/>
        <v>1.4525870998488886</v>
      </c>
      <c r="J5" s="31">
        <f t="shared" si="5"/>
        <v>2.912996526519084</v>
      </c>
      <c r="O5" t="s">
        <v>76</v>
      </c>
      <c r="P5" t="s">
        <v>216</v>
      </c>
      <c r="Q5" t="s">
        <v>217</v>
      </c>
      <c r="R5" t="s">
        <v>87</v>
      </c>
      <c r="S5">
        <v>2027</v>
      </c>
      <c r="T5">
        <v>0</v>
      </c>
      <c r="U5" s="12">
        <f>T5*10000000000000/Assumptions!$B$16/10000000</f>
        <v>0</v>
      </c>
      <c r="V5" s="13">
        <f>IFERROR(INDEX(Assumptions!C$112:C$113,MATCH(LEFT(Biogas!$P5,2),Assumptions!$B$112:$B$113,0))-SUMIFS($AH:$AH,$AE:$AE,"Total",$AB:$AB,$O5,$AF:$AF,$S5),0)</f>
        <v>0</v>
      </c>
      <c r="W5" s="13">
        <f>IFERROR(INDEX(Assumptions!D$112:D$113,MATCH(LEFT(Biogas!$P5,2),Assumptions!$B$112:$B$113,0))-SUMIFS($AH:$AH,$AE:$AE,"Total",$AB:$AB,$O5,$AF:$AF,$S5),0)</f>
        <v>0</v>
      </c>
      <c r="X5" s="13">
        <f>IFERROR(INDEX(Assumptions!E$112:E$113,MATCH(LEFT(Biogas!$P5,2),Assumptions!$B$112:$B$113,0))-SUMIFS($AH:$AH,$AE:$AE,"Total",$AB:$AB,$O5,$AF:$AF,$S5),0)</f>
        <v>0</v>
      </c>
      <c r="AB5" t="s">
        <v>76</v>
      </c>
      <c r="AC5" t="s">
        <v>87</v>
      </c>
      <c r="AD5" t="s">
        <v>170</v>
      </c>
      <c r="AE5" t="s">
        <v>170</v>
      </c>
      <c r="AF5">
        <v>2027</v>
      </c>
      <c r="AG5">
        <f t="shared" si="6"/>
        <v>8.2749815555555554E-3</v>
      </c>
      <c r="AH5" s="8">
        <f>GREET3.0!$K$58</f>
        <v>79.209999999999994</v>
      </c>
      <c r="AI5" s="8"/>
      <c r="AJ5" s="8"/>
      <c r="AL5" s="36"/>
      <c r="AR5" s="29"/>
      <c r="AS5" t="s">
        <v>91</v>
      </c>
      <c r="AT5" t="s">
        <v>217</v>
      </c>
      <c r="AU5" t="s">
        <v>87</v>
      </c>
      <c r="AV5">
        <v>25</v>
      </c>
      <c r="AW5">
        <v>2025</v>
      </c>
      <c r="AX5" s="2">
        <v>0.6</v>
      </c>
      <c r="AY5">
        <v>0.9</v>
      </c>
      <c r="AZ5">
        <v>1.2</v>
      </c>
      <c r="BA5" t="s">
        <v>227</v>
      </c>
      <c r="BB5" s="11">
        <f>Assumptions!$B$16*AV5*1000000000/1000000000000*AX5</f>
        <v>1.6395E-2</v>
      </c>
      <c r="BC5" t="s">
        <v>220</v>
      </c>
    </row>
    <row r="6" spans="1:58" x14ac:dyDescent="0.35">
      <c r="A6" t="s">
        <v>76</v>
      </c>
      <c r="B6">
        <v>2028</v>
      </c>
      <c r="C6" s="11">
        <f t="shared" si="0"/>
        <v>1.0435963999999999E-2</v>
      </c>
      <c r="D6" s="13">
        <f t="shared" si="1"/>
        <v>9548</v>
      </c>
      <c r="E6" s="51" cm="1">
        <f t="array" ref="E6">IF($C6=0,0,SUMPRODUCT(IF($O$3:$O$212=$A6,1,0),IF($S$3:$S$212=$B6,1,0),$T$3:$T$212,V$3:V$212)/$C6)</f>
        <v>-181.93727272727273</v>
      </c>
      <c r="F6" s="51" cm="1">
        <f t="array" ref="F6">IF($C6=0,0,SUMPRODUCT(IF($O$3:$O$212=$A6,1,0),IF($S$3:$S$212=$B6,1,0),$T$3:$T$212,W$3:W$212)/$C6)</f>
        <v>-168.6872727272727</v>
      </c>
      <c r="G6" s="51" cm="1">
        <f t="array" ref="G6">IF($C6=0,0,SUMPRODUCT(IF($O$3:$O$212=$A6,1,0),IF($S$3:$S$212=$B6,1,0),$T$3:$T$212,X$3:X$212)/$C6)</f>
        <v>-341.41801120448173</v>
      </c>
      <c r="H6" s="31">
        <f t="shared" si="3"/>
        <v>1.8986908284399999</v>
      </c>
      <c r="I6" s="31">
        <f t="shared" si="4"/>
        <v>1.7604143054399994</v>
      </c>
      <c r="J6" s="31">
        <f t="shared" si="5"/>
        <v>3.5630260738815678</v>
      </c>
      <c r="O6" t="s">
        <v>76</v>
      </c>
      <c r="P6" t="s">
        <v>216</v>
      </c>
      <c r="Q6" t="s">
        <v>217</v>
      </c>
      <c r="R6" t="s">
        <v>87</v>
      </c>
      <c r="S6">
        <v>2028</v>
      </c>
      <c r="T6">
        <v>0</v>
      </c>
      <c r="U6" s="12">
        <f>T6*10000000000000/Assumptions!$B$16/10000000</f>
        <v>0</v>
      </c>
      <c r="V6" s="13">
        <f>IFERROR(INDEX(Assumptions!C$112:C$113,MATCH(LEFT(Biogas!$P6,2),Assumptions!$B$112:$B$113,0))-SUMIFS($AH:$AH,$AE:$AE,"Total",$AB:$AB,$O6,$AF:$AF,$S6),0)</f>
        <v>0</v>
      </c>
      <c r="W6" s="13">
        <f>IFERROR(INDEX(Assumptions!D$112:D$113,MATCH(LEFT(Biogas!$P6,2),Assumptions!$B$112:$B$113,0))-SUMIFS($AH:$AH,$AE:$AE,"Total",$AB:$AB,$O6,$AF:$AF,$S6),0)</f>
        <v>0</v>
      </c>
      <c r="X6" s="13">
        <f>IFERROR(INDEX(Assumptions!E$112:E$113,MATCH(LEFT(Biogas!$P6,2),Assumptions!$B$112:$B$113,0))-SUMIFS($AH:$AH,$AE:$AE,"Total",$AB:$AB,$O6,$AF:$AF,$S6),0)</f>
        <v>0</v>
      </c>
      <c r="AB6" t="s">
        <v>76</v>
      </c>
      <c r="AC6" t="s">
        <v>87</v>
      </c>
      <c r="AD6" t="s">
        <v>170</v>
      </c>
      <c r="AE6" t="s">
        <v>170</v>
      </c>
      <c r="AF6">
        <v>2028</v>
      </c>
      <c r="AG6">
        <f t="shared" si="6"/>
        <v>1.0435963999999999E-2</v>
      </c>
      <c r="AH6" s="8">
        <f>GREET3.0!$K$58</f>
        <v>79.209999999999994</v>
      </c>
      <c r="AI6" s="8"/>
      <c r="AJ6" s="8"/>
      <c r="AL6" s="36"/>
      <c r="AR6" s="29"/>
      <c r="AS6" t="s">
        <v>228</v>
      </c>
      <c r="AT6" t="s">
        <v>229</v>
      </c>
      <c r="AU6" t="s">
        <v>87</v>
      </c>
      <c r="AV6">
        <v>109</v>
      </c>
      <c r="AW6">
        <v>2025</v>
      </c>
      <c r="AX6" s="2">
        <v>0.5</v>
      </c>
      <c r="AY6">
        <v>6.2</v>
      </c>
      <c r="AZ6">
        <v>143</v>
      </c>
      <c r="BA6" t="s">
        <v>230</v>
      </c>
      <c r="BB6" s="11">
        <f>Assumptions!$B$16*AV6*1000000000/1000000000000*AX6</f>
        <v>5.9568500000000003E-2</v>
      </c>
      <c r="BC6" t="s">
        <v>220</v>
      </c>
      <c r="BF6" t="s">
        <v>221</v>
      </c>
    </row>
    <row r="7" spans="1:58" x14ac:dyDescent="0.35">
      <c r="A7" t="s">
        <v>76</v>
      </c>
      <c r="B7">
        <v>2029</v>
      </c>
      <c r="C7" s="11">
        <f t="shared" si="0"/>
        <v>1.0435963999999999E-2</v>
      </c>
      <c r="D7" s="13">
        <f t="shared" si="1"/>
        <v>9548</v>
      </c>
      <c r="E7" s="51" cm="1">
        <f t="array" ref="E7">IF($C7=0,0,SUMPRODUCT(IF($O$3:$O$212=$A7,1,0),IF($S$3:$S$212=$B7,1,0),$T$3:$T$212,V$3:V$212)/$C7)</f>
        <v>-181.93727272727273</v>
      </c>
      <c r="F7" s="51" cm="1">
        <f t="array" ref="F7">IF($C7=0,0,SUMPRODUCT(IF($O$3:$O$212=$A7,1,0),IF($S$3:$S$212=$B7,1,0),$T$3:$T$212,W$3:W$212)/$C7)</f>
        <v>-168.6872727272727</v>
      </c>
      <c r="G7" s="51" cm="1">
        <f t="array" ref="G7">IF($C7=0,0,SUMPRODUCT(IF($O$3:$O$212=$A7,1,0),IF($S$3:$S$212=$B7,1,0),$T$3:$T$212,X$3:X$212)/$C7)</f>
        <v>-341.41801120448173</v>
      </c>
      <c r="H7" s="31">
        <f t="shared" si="3"/>
        <v>1.8986908284399999</v>
      </c>
      <c r="I7" s="31">
        <f t="shared" si="4"/>
        <v>1.7604143054399994</v>
      </c>
      <c r="J7" s="31">
        <f t="shared" si="5"/>
        <v>3.5630260738815678</v>
      </c>
      <c r="O7" t="s">
        <v>76</v>
      </c>
      <c r="P7" t="s">
        <v>216</v>
      </c>
      <c r="Q7" t="s">
        <v>217</v>
      </c>
      <c r="R7" t="s">
        <v>87</v>
      </c>
      <c r="S7">
        <v>2029</v>
      </c>
      <c r="T7">
        <v>0</v>
      </c>
      <c r="U7" s="12">
        <f>T7*10000000000000/Assumptions!$B$16/10000000</f>
        <v>0</v>
      </c>
      <c r="V7" s="13">
        <f>IFERROR(INDEX(Assumptions!C$112:C$113,MATCH(LEFT(Biogas!$P7,2),Assumptions!$B$112:$B$113,0))-SUMIFS($AH:$AH,$AE:$AE,"Total",$AB:$AB,$O7,$AF:$AF,$S7),0)</f>
        <v>0</v>
      </c>
      <c r="W7" s="13">
        <f>IFERROR(INDEX(Assumptions!D$112:D$113,MATCH(LEFT(Biogas!$P7,2),Assumptions!$B$112:$B$113,0))-SUMIFS($AH:$AH,$AE:$AE,"Total",$AB:$AB,$O7,$AF:$AF,$S7),0)</f>
        <v>0</v>
      </c>
      <c r="X7" s="13">
        <f>IFERROR(INDEX(Assumptions!E$112:E$113,MATCH(LEFT(Biogas!$P7,2),Assumptions!$B$112:$B$113,0))-SUMIFS($AH:$AH,$AE:$AE,"Total",$AB:$AB,$O7,$AF:$AF,$S7),0)</f>
        <v>0</v>
      </c>
      <c r="AB7" t="s">
        <v>76</v>
      </c>
      <c r="AC7" t="s">
        <v>87</v>
      </c>
      <c r="AD7" t="s">
        <v>170</v>
      </c>
      <c r="AE7" t="s">
        <v>170</v>
      </c>
      <c r="AF7">
        <v>2029</v>
      </c>
      <c r="AG7">
        <f t="shared" si="6"/>
        <v>1.0435963999999999E-2</v>
      </c>
      <c r="AH7" s="8">
        <f>GREET3.0!$K$58</f>
        <v>79.209999999999994</v>
      </c>
      <c r="AI7" s="8"/>
      <c r="AJ7" s="8"/>
      <c r="AL7" s="36"/>
      <c r="AR7" s="29"/>
      <c r="AS7" t="s">
        <v>216</v>
      </c>
      <c r="AT7" t="s">
        <v>217</v>
      </c>
      <c r="AU7" t="s">
        <v>87</v>
      </c>
      <c r="AV7">
        <v>13</v>
      </c>
      <c r="AW7">
        <v>2045</v>
      </c>
      <c r="AX7" s="2">
        <v>0.65</v>
      </c>
      <c r="AY7">
        <v>0.4</v>
      </c>
      <c r="AZ7" s="1">
        <v>1200000000000</v>
      </c>
      <c r="BA7" t="s">
        <v>219</v>
      </c>
      <c r="BB7" s="11">
        <f>Assumptions!$B$16*AV7*1000000000/1000000000000*AX7</f>
        <v>9.2358500000000003E-3</v>
      </c>
      <c r="BC7" t="s">
        <v>220</v>
      </c>
    </row>
    <row r="8" spans="1:58" x14ac:dyDescent="0.35">
      <c r="A8" t="s">
        <v>76</v>
      </c>
      <c r="B8">
        <v>2030</v>
      </c>
      <c r="C8" s="11">
        <f t="shared" si="0"/>
        <v>1.0435963999999999E-2</v>
      </c>
      <c r="D8" s="13">
        <f t="shared" si="1"/>
        <v>9548</v>
      </c>
      <c r="E8" s="51" cm="1">
        <f t="array" ref="E8">IF($C8=0,0,SUMPRODUCT(IF($O$3:$O$212=$A8,1,0),IF($S$3:$S$212=$B8,1,0),$T$3:$T$212,V$3:V$212)/$C8)</f>
        <v>-181.93727272727273</v>
      </c>
      <c r="F8" s="51" cm="1">
        <f t="array" ref="F8">IF($C8=0,0,SUMPRODUCT(IF($O$3:$O$212=$A8,1,0),IF($S$3:$S$212=$B8,1,0),$T$3:$T$212,W$3:W$212)/$C8)</f>
        <v>-168.6872727272727</v>
      </c>
      <c r="G8" s="51" cm="1">
        <f t="array" ref="G8">IF($C8=0,0,SUMPRODUCT(IF($O$3:$O$212=$A8,1,0),IF($S$3:$S$212=$B8,1,0),$T$3:$T$212,X$3:X$212)/$C8)</f>
        <v>-341.41801120448173</v>
      </c>
      <c r="H8" s="31">
        <f t="shared" si="3"/>
        <v>1.8986908284399999</v>
      </c>
      <c r="I8" s="31">
        <f t="shared" si="4"/>
        <v>1.7604143054399994</v>
      </c>
      <c r="J8" s="31">
        <f t="shared" si="5"/>
        <v>3.5630260738815678</v>
      </c>
      <c r="O8" t="s">
        <v>76</v>
      </c>
      <c r="P8" t="s">
        <v>216</v>
      </c>
      <c r="Q8" t="s">
        <v>217</v>
      </c>
      <c r="R8" t="s">
        <v>87</v>
      </c>
      <c r="S8">
        <v>2030</v>
      </c>
      <c r="T8">
        <v>0</v>
      </c>
      <c r="U8" s="12">
        <f>T8*10000000000000/Assumptions!$B$16/10000000</f>
        <v>0</v>
      </c>
      <c r="V8" s="13">
        <f>IFERROR(INDEX(Assumptions!C$112:C$113,MATCH(LEFT(Biogas!$P8,2),Assumptions!$B$112:$B$113,0))-SUMIFS($AH:$AH,$AE:$AE,"Total",$AB:$AB,$O8,$AF:$AF,$S8),0)</f>
        <v>0</v>
      </c>
      <c r="W8" s="13">
        <f>IFERROR(INDEX(Assumptions!D$112:D$113,MATCH(LEFT(Biogas!$P8,2),Assumptions!$B$112:$B$113,0))-SUMIFS($AH:$AH,$AE:$AE,"Total",$AB:$AB,$O8,$AF:$AF,$S8),0)</f>
        <v>0</v>
      </c>
      <c r="X8" s="13">
        <f>IFERROR(INDEX(Assumptions!E$112:E$113,MATCH(LEFT(Biogas!$P8,2),Assumptions!$B$112:$B$113,0))-SUMIFS($AH:$AH,$AE:$AE,"Total",$AB:$AB,$O8,$AF:$AF,$S8),0)</f>
        <v>0</v>
      </c>
      <c r="AB8" t="s">
        <v>76</v>
      </c>
      <c r="AC8" t="s">
        <v>87</v>
      </c>
      <c r="AD8" t="s">
        <v>170</v>
      </c>
      <c r="AE8" t="s">
        <v>170</v>
      </c>
      <c r="AF8">
        <v>2030</v>
      </c>
      <c r="AG8">
        <f t="shared" si="6"/>
        <v>1.0435963999999999E-2</v>
      </c>
      <c r="AH8" s="8">
        <f>GREET3.0!$K$58</f>
        <v>79.209999999999994</v>
      </c>
      <c r="AI8" s="8"/>
      <c r="AJ8" s="8"/>
      <c r="AL8" s="36"/>
      <c r="AN8">
        <f>BD20/5200000</f>
        <v>0</v>
      </c>
      <c r="AR8" s="29"/>
      <c r="AS8" s="29" t="s">
        <v>223</v>
      </c>
      <c r="AT8" s="29" t="s">
        <v>217</v>
      </c>
      <c r="AU8" s="29" t="s">
        <v>87</v>
      </c>
      <c r="AV8" s="29">
        <v>56</v>
      </c>
      <c r="AW8" s="29">
        <v>2045</v>
      </c>
      <c r="AX8" s="45">
        <v>0.6</v>
      </c>
      <c r="AY8" s="29">
        <v>1.9</v>
      </c>
      <c r="AZ8" s="29">
        <v>1.7</v>
      </c>
      <c r="BA8" s="29" t="s">
        <v>224</v>
      </c>
      <c r="BB8" s="11">
        <f>Assumptions!$B$16*AV8*1000000000/1000000000000*AX8</f>
        <v>3.6724799999999995E-2</v>
      </c>
      <c r="BC8" t="s">
        <v>220</v>
      </c>
    </row>
    <row r="9" spans="1:58" x14ac:dyDescent="0.35">
      <c r="A9" t="s">
        <v>76</v>
      </c>
      <c r="B9">
        <v>2031</v>
      </c>
      <c r="C9" s="11">
        <f t="shared" si="0"/>
        <v>1.0435963999999999E-2</v>
      </c>
      <c r="D9" s="13">
        <f t="shared" si="1"/>
        <v>9548</v>
      </c>
      <c r="E9" s="51" cm="1">
        <f t="array" ref="E9">IF($C9=0,0,SUMPRODUCT(IF($O$3:$O$212=$A9,1,0),IF($S$3:$S$212=$B9,1,0),$T$3:$T$212,V$3:V$212)/$C9)</f>
        <v>-181.93727272727273</v>
      </c>
      <c r="F9" s="51" cm="1">
        <f t="array" ref="F9">IF($C9=0,0,SUMPRODUCT(IF($O$3:$O$212=$A9,1,0),IF($S$3:$S$212=$B9,1,0),$T$3:$T$212,W$3:W$212)/$C9)</f>
        <v>-168.6872727272727</v>
      </c>
      <c r="G9" s="51" cm="1">
        <f t="array" ref="G9">IF($C9=0,0,SUMPRODUCT(IF($O$3:$O$212=$A9,1,0),IF($S$3:$S$212=$B9,1,0),$T$3:$T$212,X$3:X$212)/$C9)</f>
        <v>-341.41801120448173</v>
      </c>
      <c r="H9" s="31">
        <f t="shared" si="3"/>
        <v>1.8986908284399999</v>
      </c>
      <c r="I9" s="31">
        <f t="shared" si="4"/>
        <v>1.7604143054399994</v>
      </c>
      <c r="J9" s="31">
        <f t="shared" si="5"/>
        <v>3.5630260738815678</v>
      </c>
      <c r="O9" t="s">
        <v>76</v>
      </c>
      <c r="P9" t="s">
        <v>216</v>
      </c>
      <c r="Q9" t="s">
        <v>217</v>
      </c>
      <c r="R9" t="s">
        <v>87</v>
      </c>
      <c r="S9">
        <v>2031</v>
      </c>
      <c r="T9">
        <v>0</v>
      </c>
      <c r="U9" s="12">
        <f>T9*10000000000000/Assumptions!$B$16/10000000</f>
        <v>0</v>
      </c>
      <c r="V9" s="13">
        <f>IFERROR(INDEX(Assumptions!C$112:C$113,MATCH(LEFT(Biogas!$P9,2),Assumptions!$B$112:$B$113,0))-SUMIFS($AH:$AH,$AE:$AE,"Total",$AB:$AB,$O9,$AF:$AF,$S9),0)</f>
        <v>0</v>
      </c>
      <c r="W9" s="13">
        <f>IFERROR(INDEX(Assumptions!D$112:D$113,MATCH(LEFT(Biogas!$P9,2),Assumptions!$B$112:$B$113,0))-SUMIFS($AH:$AH,$AE:$AE,"Total",$AB:$AB,$O9,$AF:$AF,$S9),0)</f>
        <v>0</v>
      </c>
      <c r="X9" s="13">
        <f>IFERROR(INDEX(Assumptions!E$112:E$113,MATCH(LEFT(Biogas!$P9,2),Assumptions!$B$112:$B$113,0))-SUMIFS($AH:$AH,$AE:$AE,"Total",$AB:$AB,$O9,$AF:$AF,$S9),0)</f>
        <v>0</v>
      </c>
      <c r="AB9" t="s">
        <v>76</v>
      </c>
      <c r="AC9" t="s">
        <v>87</v>
      </c>
      <c r="AD9" t="s">
        <v>170</v>
      </c>
      <c r="AE9" t="s">
        <v>170</v>
      </c>
      <c r="AF9">
        <v>2031</v>
      </c>
      <c r="AG9">
        <f t="shared" si="6"/>
        <v>1.0435963999999999E-2</v>
      </c>
      <c r="AH9" s="8">
        <f>GREET3.0!$K$58</f>
        <v>79.209999999999994</v>
      </c>
      <c r="AI9" s="8"/>
      <c r="AJ9" s="8"/>
      <c r="AL9" s="36"/>
      <c r="AR9" s="29"/>
      <c r="AS9" s="20" t="s">
        <v>91</v>
      </c>
      <c r="AT9" s="20" t="s">
        <v>217</v>
      </c>
      <c r="AU9" s="20" t="s">
        <v>87</v>
      </c>
      <c r="AV9" s="20">
        <v>28</v>
      </c>
      <c r="AW9" s="20">
        <v>2045</v>
      </c>
      <c r="AX9" s="21">
        <v>0.6</v>
      </c>
      <c r="AY9" s="20">
        <v>1</v>
      </c>
      <c r="AZ9" s="20">
        <v>1.5</v>
      </c>
      <c r="BA9" s="20" t="s">
        <v>227</v>
      </c>
      <c r="BB9" s="11">
        <f>Assumptions!$B$16*AV9*1000000000/1000000000000*AX9</f>
        <v>1.8362399999999997E-2</v>
      </c>
      <c r="BC9" t="s">
        <v>220</v>
      </c>
    </row>
    <row r="10" spans="1:58" x14ac:dyDescent="0.35">
      <c r="A10" t="s">
        <v>76</v>
      </c>
      <c r="B10">
        <v>2032</v>
      </c>
      <c r="C10" s="11">
        <f t="shared" si="0"/>
        <v>1.0435963999999999E-2</v>
      </c>
      <c r="D10" s="13">
        <f t="shared" si="1"/>
        <v>9548</v>
      </c>
      <c r="E10" s="51" cm="1">
        <f t="array" ref="E10">IF($C10=0,0,SUMPRODUCT(IF($O$3:$O$212=$A10,1,0),IF($S$3:$S$212=$B10,1,0),$T$3:$T$212,V$3:V$212)/$C10)</f>
        <v>-181.93727272727273</v>
      </c>
      <c r="F10" s="51" cm="1">
        <f t="array" ref="F10">IF($C10=0,0,SUMPRODUCT(IF($O$3:$O$212=$A10,1,0),IF($S$3:$S$212=$B10,1,0),$T$3:$T$212,W$3:W$212)/$C10)</f>
        <v>-168.6872727272727</v>
      </c>
      <c r="G10" s="51" cm="1">
        <f t="array" ref="G10">IF($C10=0,0,SUMPRODUCT(IF($O$3:$O$212=$A10,1,0),IF($S$3:$S$212=$B10,1,0),$T$3:$T$212,X$3:X$212)/$C10)</f>
        <v>-341.41801120448173</v>
      </c>
      <c r="H10" s="31">
        <f t="shared" si="3"/>
        <v>1.8986908284399999</v>
      </c>
      <c r="I10" s="31">
        <f t="shared" si="4"/>
        <v>1.7604143054399994</v>
      </c>
      <c r="J10" s="31">
        <f t="shared" si="5"/>
        <v>3.5630260738815678</v>
      </c>
      <c r="O10" t="s">
        <v>76</v>
      </c>
      <c r="P10" t="s">
        <v>216</v>
      </c>
      <c r="Q10" t="s">
        <v>217</v>
      </c>
      <c r="R10" t="s">
        <v>87</v>
      </c>
      <c r="S10">
        <v>2032</v>
      </c>
      <c r="T10">
        <v>0</v>
      </c>
      <c r="U10" s="12">
        <f>T10*10000000000000/Assumptions!$B$16/10000000</f>
        <v>0</v>
      </c>
      <c r="V10" s="13">
        <f>IFERROR(INDEX(Assumptions!C$112:C$113,MATCH(LEFT(Biogas!$P10,2),Assumptions!$B$112:$B$113,0))-SUMIFS($AH:$AH,$AE:$AE,"Total",$AB:$AB,$O10,$AF:$AF,$S10),0)</f>
        <v>0</v>
      </c>
      <c r="W10" s="13">
        <f>IFERROR(INDEX(Assumptions!D$112:D$113,MATCH(LEFT(Biogas!$P10,2),Assumptions!$B$112:$B$113,0))-SUMIFS($AH:$AH,$AE:$AE,"Total",$AB:$AB,$O10,$AF:$AF,$S10),0)</f>
        <v>0</v>
      </c>
      <c r="X10" s="13">
        <f>IFERROR(INDEX(Assumptions!E$112:E$113,MATCH(LEFT(Biogas!$P10,2),Assumptions!$B$112:$B$113,0))-SUMIFS($AH:$AH,$AE:$AE,"Total",$AB:$AB,$O10,$AF:$AF,$S10),0)</f>
        <v>0</v>
      </c>
      <c r="AB10" t="s">
        <v>76</v>
      </c>
      <c r="AC10" t="s">
        <v>87</v>
      </c>
      <c r="AD10" t="s">
        <v>170</v>
      </c>
      <c r="AE10" t="s">
        <v>170</v>
      </c>
      <c r="AF10">
        <v>2032</v>
      </c>
      <c r="AG10">
        <f t="shared" si="6"/>
        <v>1.0435963999999999E-2</v>
      </c>
      <c r="AH10" s="8">
        <f>GREET3.0!$K$58</f>
        <v>79.209999999999994</v>
      </c>
      <c r="AI10" s="8"/>
      <c r="AJ10" s="8"/>
      <c r="AL10" s="36"/>
      <c r="AR10" s="29"/>
      <c r="AS10" t="s">
        <v>228</v>
      </c>
      <c r="AT10" t="s">
        <v>229</v>
      </c>
      <c r="AU10" t="s">
        <v>87</v>
      </c>
      <c r="AV10">
        <v>73</v>
      </c>
      <c r="AW10">
        <v>2045</v>
      </c>
      <c r="AX10" s="2">
        <v>0.5</v>
      </c>
      <c r="AY10">
        <v>4.0999999999999996</v>
      </c>
      <c r="AZ10">
        <v>143</v>
      </c>
      <c r="BA10" t="s">
        <v>230</v>
      </c>
      <c r="BB10" s="11">
        <f>Assumptions!$B$16*AV10*1000000000/1000000000000*AX10</f>
        <v>3.9894499999999999E-2</v>
      </c>
      <c r="BC10" t="s">
        <v>220</v>
      </c>
    </row>
    <row r="11" spans="1:58" x14ac:dyDescent="0.35">
      <c r="A11" t="s">
        <v>76</v>
      </c>
      <c r="B11">
        <v>2033</v>
      </c>
      <c r="C11" s="11">
        <f t="shared" si="0"/>
        <v>1.0435963999999999E-2</v>
      </c>
      <c r="D11" s="13">
        <f t="shared" si="1"/>
        <v>9548</v>
      </c>
      <c r="E11" s="51" cm="1">
        <f t="array" ref="E11">IF($C11=0,0,SUMPRODUCT(IF($O$3:$O$212=$A11,1,0),IF($S$3:$S$212=$B11,1,0),$T$3:$T$212,V$3:V$212)/$C11)</f>
        <v>-181.93727272727273</v>
      </c>
      <c r="F11" s="51" cm="1">
        <f t="array" ref="F11">IF($C11=0,0,SUMPRODUCT(IF($O$3:$O$212=$A11,1,0),IF($S$3:$S$212=$B11,1,0),$T$3:$T$212,W$3:W$212)/$C11)</f>
        <v>-168.6872727272727</v>
      </c>
      <c r="G11" s="51" cm="1">
        <f t="array" ref="G11">IF($C11=0,0,SUMPRODUCT(IF($O$3:$O$212=$A11,1,0),IF($S$3:$S$212=$B11,1,0),$T$3:$T$212,X$3:X$212)/$C11)</f>
        <v>-341.41801120448173</v>
      </c>
      <c r="H11" s="31">
        <f t="shared" si="3"/>
        <v>1.8986908284399999</v>
      </c>
      <c r="I11" s="31">
        <f t="shared" si="4"/>
        <v>1.7604143054399994</v>
      </c>
      <c r="J11" s="31">
        <f t="shared" si="5"/>
        <v>3.5630260738815678</v>
      </c>
      <c r="O11" t="s">
        <v>76</v>
      </c>
      <c r="P11" t="s">
        <v>216</v>
      </c>
      <c r="Q11" t="s">
        <v>217</v>
      </c>
      <c r="R11" t="s">
        <v>87</v>
      </c>
      <c r="S11">
        <v>2033</v>
      </c>
      <c r="T11">
        <v>0</v>
      </c>
      <c r="U11" s="12">
        <f>T11*10000000000000/Assumptions!$B$16/10000000</f>
        <v>0</v>
      </c>
      <c r="V11" s="13">
        <f>IFERROR(INDEX(Assumptions!C$112:C$113,MATCH(LEFT(Biogas!$P11,2),Assumptions!$B$112:$B$113,0))-SUMIFS($AH:$AH,$AE:$AE,"Total",$AB:$AB,$O11,$AF:$AF,$S11),0)</f>
        <v>0</v>
      </c>
      <c r="W11" s="13">
        <f>IFERROR(INDEX(Assumptions!D$112:D$113,MATCH(LEFT(Biogas!$P11,2),Assumptions!$B$112:$B$113,0))-SUMIFS($AH:$AH,$AE:$AE,"Total",$AB:$AB,$O11,$AF:$AF,$S11),0)</f>
        <v>0</v>
      </c>
      <c r="X11" s="13">
        <f>IFERROR(INDEX(Assumptions!E$112:E$113,MATCH(LEFT(Biogas!$P11,2),Assumptions!$B$112:$B$113,0))-SUMIFS($AH:$AH,$AE:$AE,"Total",$AB:$AB,$O11,$AF:$AF,$S11),0)</f>
        <v>0</v>
      </c>
      <c r="AB11" t="s">
        <v>76</v>
      </c>
      <c r="AC11" t="s">
        <v>87</v>
      </c>
      <c r="AD11" t="s">
        <v>170</v>
      </c>
      <c r="AE11" t="s">
        <v>170</v>
      </c>
      <c r="AF11">
        <v>2033</v>
      </c>
      <c r="AG11">
        <f t="shared" si="6"/>
        <v>1.0435963999999999E-2</v>
      </c>
      <c r="AH11" s="8">
        <f>GREET3.0!$K$58</f>
        <v>79.209999999999994</v>
      </c>
      <c r="AI11" s="8"/>
      <c r="AJ11" s="8"/>
      <c r="AL11" s="36"/>
      <c r="AR11" s="29"/>
    </row>
    <row r="12" spans="1:58" x14ac:dyDescent="0.35">
      <c r="A12" t="s">
        <v>76</v>
      </c>
      <c r="B12">
        <v>2034</v>
      </c>
      <c r="C12" s="11">
        <f t="shared" si="0"/>
        <v>1.3282135999999998E-2</v>
      </c>
      <c r="D12" s="13">
        <f t="shared" si="1"/>
        <v>12151.999999999996</v>
      </c>
      <c r="E12" s="51" cm="1">
        <f t="array" ref="E12">IF($C12=0,0,SUMPRODUCT(IF($O$3:$O$212=$A12,1,0),IF($S$3:$S$212=$B12,1,0),$T$3:$T$212,V$3:V$212)/$C12)</f>
        <v>-173.49571428571429</v>
      </c>
      <c r="F12" s="51" cm="1">
        <f t="array" ref="F12">IF($C12=0,0,SUMPRODUCT(IF($O$3:$O$212=$A12,1,0),IF($S$3:$S$212=$B12,1,0),$T$3:$T$212,W$3:W$212)/$C12)</f>
        <v>-161.00285714285715</v>
      </c>
      <c r="G12" s="51" cm="1">
        <f t="array" ref="G12">IF($C12=0,0,SUMPRODUCT(IF($O$3:$O$212=$A12,1,0),IF($S$3:$S$212=$B12,1,0),$T$3:$T$212,X$3:X$212)/$C12)</f>
        <v>-329.52355342136849</v>
      </c>
      <c r="H12" s="31">
        <f t="shared" si="3"/>
        <v>2.3043936725599998</v>
      </c>
      <c r="I12" s="31">
        <f t="shared" si="4"/>
        <v>2.1384618449599997</v>
      </c>
      <c r="J12" s="31">
        <f t="shared" si="5"/>
        <v>4.3767766517458808</v>
      </c>
      <c r="O12" t="s">
        <v>76</v>
      </c>
      <c r="P12" t="s">
        <v>216</v>
      </c>
      <c r="Q12" t="s">
        <v>217</v>
      </c>
      <c r="R12" t="s">
        <v>87</v>
      </c>
      <c r="S12">
        <v>2034</v>
      </c>
      <c r="T12">
        <v>0</v>
      </c>
      <c r="U12" s="12">
        <f>T12*10000000000000/Assumptions!$B$16/10000000</f>
        <v>0</v>
      </c>
      <c r="V12" s="13">
        <f>IFERROR(INDEX(Assumptions!C$112:C$113,MATCH(LEFT(Biogas!$P12,2),Assumptions!$B$112:$B$113,0))-SUMIFS($AH:$AH,$AE:$AE,"Total",$AB:$AB,$O12,$AF:$AF,$S12),0)</f>
        <v>0</v>
      </c>
      <c r="W12" s="13">
        <f>IFERROR(INDEX(Assumptions!D$112:D$113,MATCH(LEFT(Biogas!$P12,2),Assumptions!$B$112:$B$113,0))-SUMIFS($AH:$AH,$AE:$AE,"Total",$AB:$AB,$O12,$AF:$AF,$S12),0)</f>
        <v>0</v>
      </c>
      <c r="X12" s="13">
        <f>IFERROR(INDEX(Assumptions!E$112:E$113,MATCH(LEFT(Biogas!$P12,2),Assumptions!$B$112:$B$113,0))-SUMIFS($AH:$AH,$AE:$AE,"Total",$AB:$AB,$O12,$AF:$AF,$S12),0)</f>
        <v>0</v>
      </c>
      <c r="AB12" t="s">
        <v>76</v>
      </c>
      <c r="AC12" t="s">
        <v>87</v>
      </c>
      <c r="AD12" t="s">
        <v>170</v>
      </c>
      <c r="AE12" t="s">
        <v>170</v>
      </c>
      <c r="AF12">
        <v>2034</v>
      </c>
      <c r="AG12">
        <f t="shared" si="6"/>
        <v>1.3282135999999998E-2</v>
      </c>
      <c r="AH12" s="8">
        <f>GREET3.0!$K$58</f>
        <v>79.209999999999994</v>
      </c>
      <c r="AI12" s="8"/>
      <c r="AJ12" s="8"/>
      <c r="AL12" s="36"/>
      <c r="AR12" s="29"/>
    </row>
    <row r="13" spans="1:58" x14ac:dyDescent="0.35">
      <c r="A13" t="s">
        <v>76</v>
      </c>
      <c r="B13">
        <v>2035</v>
      </c>
      <c r="C13" s="11">
        <f t="shared" si="0"/>
        <v>1.3282135999999998E-2</v>
      </c>
      <c r="D13" s="13">
        <f t="shared" si="1"/>
        <v>12151.999999999996</v>
      </c>
      <c r="E13" s="51" cm="1">
        <f t="array" ref="E13">IF($C13=0,0,SUMPRODUCT(IF($O$3:$O$212=$A13,1,0),IF($S$3:$S$212=$B13,1,0),$T$3:$T$212,V$3:V$212)/$C13)</f>
        <v>-173.49571428571429</v>
      </c>
      <c r="F13" s="51" cm="1">
        <f t="array" ref="F13">IF($C13=0,0,SUMPRODUCT(IF($O$3:$O$212=$A13,1,0),IF($S$3:$S$212=$B13,1,0),$T$3:$T$212,W$3:W$212)/$C13)</f>
        <v>-161.00285714285715</v>
      </c>
      <c r="G13" s="51" cm="1">
        <f t="array" ref="G13">IF($C13=0,0,SUMPRODUCT(IF($O$3:$O$212=$A13,1,0),IF($S$3:$S$212=$B13,1,0),$T$3:$T$212,X$3:X$212)/$C13)</f>
        <v>-329.52355342136849</v>
      </c>
      <c r="H13" s="31">
        <f t="shared" si="3"/>
        <v>2.3043936725599998</v>
      </c>
      <c r="I13" s="31">
        <f t="shared" si="4"/>
        <v>2.1384618449599997</v>
      </c>
      <c r="J13" s="31">
        <f t="shared" si="5"/>
        <v>4.3767766517458808</v>
      </c>
      <c r="O13" t="s">
        <v>76</v>
      </c>
      <c r="P13" t="s">
        <v>216</v>
      </c>
      <c r="Q13" t="s">
        <v>217</v>
      </c>
      <c r="R13" t="s">
        <v>87</v>
      </c>
      <c r="S13">
        <v>2035</v>
      </c>
      <c r="T13">
        <v>0</v>
      </c>
      <c r="U13" s="12">
        <f>T13*10000000000000/Assumptions!$B$16/10000000</f>
        <v>0</v>
      </c>
      <c r="V13" s="13">
        <f>IFERROR(INDEX(Assumptions!C$112:C$113,MATCH(LEFT(Biogas!$P13,2),Assumptions!$B$112:$B$113,0))-SUMIFS($AH:$AH,$AE:$AE,"Total",$AB:$AB,$O13,$AF:$AF,$S13),0)</f>
        <v>0</v>
      </c>
      <c r="W13" s="13">
        <f>IFERROR(INDEX(Assumptions!D$112:D$113,MATCH(LEFT(Biogas!$P13,2),Assumptions!$B$112:$B$113,0))-SUMIFS($AH:$AH,$AE:$AE,"Total",$AB:$AB,$O13,$AF:$AF,$S13),0)</f>
        <v>0</v>
      </c>
      <c r="X13" s="13">
        <f>IFERROR(INDEX(Assumptions!E$112:E$113,MATCH(LEFT(Biogas!$P13,2),Assumptions!$B$112:$B$113,0))-SUMIFS($AH:$AH,$AE:$AE,"Total",$AB:$AB,$O13,$AF:$AF,$S13),0)</f>
        <v>0</v>
      </c>
      <c r="AB13" t="s">
        <v>76</v>
      </c>
      <c r="AC13" t="s">
        <v>87</v>
      </c>
      <c r="AD13" t="s">
        <v>170</v>
      </c>
      <c r="AE13" t="s">
        <v>170</v>
      </c>
      <c r="AF13">
        <v>2035</v>
      </c>
      <c r="AG13">
        <f t="shared" si="6"/>
        <v>1.3282135999999998E-2</v>
      </c>
      <c r="AH13" s="8">
        <f>GREET3.0!$K$58</f>
        <v>79.209999999999994</v>
      </c>
      <c r="AI13" s="8"/>
      <c r="AJ13" s="8"/>
      <c r="AL13" s="36"/>
      <c r="AR13" s="29"/>
    </row>
    <row r="14" spans="1:58" x14ac:dyDescent="0.35">
      <c r="A14" t="s">
        <v>76</v>
      </c>
      <c r="B14">
        <v>2036</v>
      </c>
      <c r="C14" s="11">
        <f t="shared" si="0"/>
        <v>1.3282135999999998E-2</v>
      </c>
      <c r="D14" s="13">
        <f t="shared" si="1"/>
        <v>12151.999999999996</v>
      </c>
      <c r="E14" s="51" cm="1">
        <f t="array" ref="E14">IF($C14=0,0,SUMPRODUCT(IF($O$3:$O$212=$A14,1,0),IF($S$3:$S$212=$B14,1,0),$T$3:$T$212,V$3:V$212)/$C14)</f>
        <v>-173.49571428571429</v>
      </c>
      <c r="F14" s="51" cm="1">
        <f t="array" ref="F14">IF($C14=0,0,SUMPRODUCT(IF($O$3:$O$212=$A14,1,0),IF($S$3:$S$212=$B14,1,0),$T$3:$T$212,W$3:W$212)/$C14)</f>
        <v>-161.00285714285715</v>
      </c>
      <c r="G14" s="51" cm="1">
        <f t="array" ref="G14">IF($C14=0,0,SUMPRODUCT(IF($O$3:$O$212=$A14,1,0),IF($S$3:$S$212=$B14,1,0),$T$3:$T$212,X$3:X$212)/$C14)</f>
        <v>-329.52355342136849</v>
      </c>
      <c r="H14" s="31">
        <f t="shared" si="3"/>
        <v>2.3043936725599998</v>
      </c>
      <c r="I14" s="31">
        <f t="shared" si="4"/>
        <v>2.1384618449599997</v>
      </c>
      <c r="J14" s="31">
        <f t="shared" si="5"/>
        <v>4.3767766517458808</v>
      </c>
      <c r="O14" t="s">
        <v>76</v>
      </c>
      <c r="P14" t="s">
        <v>216</v>
      </c>
      <c r="Q14" t="s">
        <v>217</v>
      </c>
      <c r="R14" t="s">
        <v>87</v>
      </c>
      <c r="S14">
        <v>2036</v>
      </c>
      <c r="T14">
        <v>0</v>
      </c>
      <c r="U14" s="12">
        <f>T14*10000000000000/Assumptions!$B$16/10000000</f>
        <v>0</v>
      </c>
      <c r="V14" s="13">
        <f>IFERROR(INDEX(Assumptions!C$112:C$113,MATCH(LEFT(Biogas!$P14,2),Assumptions!$B$112:$B$113,0))-SUMIFS($AH:$AH,$AE:$AE,"Total",$AB:$AB,$O14,$AF:$AF,$S14),0)</f>
        <v>0</v>
      </c>
      <c r="W14" s="13">
        <f>IFERROR(INDEX(Assumptions!D$112:D$113,MATCH(LEFT(Biogas!$P14,2),Assumptions!$B$112:$B$113,0))-SUMIFS($AH:$AH,$AE:$AE,"Total",$AB:$AB,$O14,$AF:$AF,$S14),0)</f>
        <v>0</v>
      </c>
      <c r="X14" s="13">
        <f>IFERROR(INDEX(Assumptions!E$112:E$113,MATCH(LEFT(Biogas!$P14,2),Assumptions!$B$112:$B$113,0))-SUMIFS($AH:$AH,$AE:$AE,"Total",$AB:$AB,$O14,$AF:$AF,$S14),0)</f>
        <v>0</v>
      </c>
      <c r="AB14" t="s">
        <v>76</v>
      </c>
      <c r="AC14" t="s">
        <v>87</v>
      </c>
      <c r="AD14" t="s">
        <v>170</v>
      </c>
      <c r="AE14" t="s">
        <v>170</v>
      </c>
      <c r="AF14">
        <v>2036</v>
      </c>
      <c r="AG14">
        <f t="shared" si="6"/>
        <v>1.3282135999999998E-2</v>
      </c>
      <c r="AH14" s="8">
        <f>GREET3.0!$K$58</f>
        <v>79.209999999999994</v>
      </c>
      <c r="AI14" s="8"/>
      <c r="AJ14" s="8"/>
      <c r="AL14" s="36"/>
      <c r="AR14" s="29"/>
      <c r="AV14">
        <f>AV8*AX8</f>
        <v>33.6</v>
      </c>
    </row>
    <row r="15" spans="1:58" x14ac:dyDescent="0.35">
      <c r="A15" t="s">
        <v>76</v>
      </c>
      <c r="B15">
        <v>2037</v>
      </c>
      <c r="C15" s="11">
        <f t="shared" si="0"/>
        <v>1.3282135999999998E-2</v>
      </c>
      <c r="D15" s="13">
        <f t="shared" si="1"/>
        <v>12151.999999999996</v>
      </c>
      <c r="E15" s="51" cm="1">
        <f t="array" ref="E15">IF($C15=0,0,SUMPRODUCT(IF($O$3:$O$212=$A15,1,0),IF($S$3:$S$212=$B15,1,0),$T$3:$T$212,V$3:V$212)/$C15)</f>
        <v>-173.49571428571429</v>
      </c>
      <c r="F15" s="51" cm="1">
        <f t="array" ref="F15">IF($C15=0,0,SUMPRODUCT(IF($O$3:$O$212=$A15,1,0),IF($S$3:$S$212=$B15,1,0),$T$3:$T$212,W$3:W$212)/$C15)</f>
        <v>-161.00285714285715</v>
      </c>
      <c r="G15" s="51" cm="1">
        <f t="array" ref="G15">IF($C15=0,0,SUMPRODUCT(IF($O$3:$O$212=$A15,1,0),IF($S$3:$S$212=$B15,1,0),$T$3:$T$212,X$3:X$212)/$C15)</f>
        <v>-329.52355342136849</v>
      </c>
      <c r="H15" s="31">
        <f t="shared" si="3"/>
        <v>2.3043936725599998</v>
      </c>
      <c r="I15" s="31">
        <f t="shared" si="4"/>
        <v>2.1384618449599997</v>
      </c>
      <c r="J15" s="31">
        <f t="shared" si="5"/>
        <v>4.3767766517458808</v>
      </c>
      <c r="O15" t="s">
        <v>76</v>
      </c>
      <c r="P15" t="s">
        <v>216</v>
      </c>
      <c r="Q15" t="s">
        <v>217</v>
      </c>
      <c r="R15" t="s">
        <v>87</v>
      </c>
      <c r="S15">
        <v>2037</v>
      </c>
      <c r="T15">
        <v>0</v>
      </c>
      <c r="U15" s="12">
        <f>T15*10000000000000/Assumptions!$B$16/10000000</f>
        <v>0</v>
      </c>
      <c r="V15" s="13">
        <f>IFERROR(INDEX(Assumptions!C$112:C$113,MATCH(LEFT(Biogas!$P15,2),Assumptions!$B$112:$B$113,0))-SUMIFS($AH:$AH,$AE:$AE,"Total",$AB:$AB,$O15,$AF:$AF,$S15),0)</f>
        <v>0</v>
      </c>
      <c r="W15" s="13">
        <f>IFERROR(INDEX(Assumptions!D$112:D$113,MATCH(LEFT(Biogas!$P15,2),Assumptions!$B$112:$B$113,0))-SUMIFS($AH:$AH,$AE:$AE,"Total",$AB:$AB,$O15,$AF:$AF,$S15),0)</f>
        <v>0</v>
      </c>
      <c r="X15" s="13">
        <f>IFERROR(INDEX(Assumptions!E$112:E$113,MATCH(LEFT(Biogas!$P15,2),Assumptions!$B$112:$B$113,0))-SUMIFS($AH:$AH,$AE:$AE,"Total",$AB:$AB,$O15,$AF:$AF,$S15),0)</f>
        <v>0</v>
      </c>
      <c r="AB15" t="s">
        <v>76</v>
      </c>
      <c r="AC15" t="s">
        <v>87</v>
      </c>
      <c r="AD15" t="s">
        <v>170</v>
      </c>
      <c r="AE15" t="s">
        <v>170</v>
      </c>
      <c r="AF15">
        <v>2037</v>
      </c>
      <c r="AG15">
        <f t="shared" si="6"/>
        <v>1.3282135999999998E-2</v>
      </c>
      <c r="AH15" s="8">
        <f>GREET3.0!$K$58</f>
        <v>79.209999999999994</v>
      </c>
      <c r="AI15" s="8"/>
      <c r="AJ15" s="8"/>
      <c r="AL15" s="36"/>
      <c r="AR15" s="29"/>
      <c r="AV15">
        <f>AV9*AX9</f>
        <v>16.8</v>
      </c>
    </row>
    <row r="16" spans="1:58" x14ac:dyDescent="0.35">
      <c r="A16" t="s">
        <v>76</v>
      </c>
      <c r="B16">
        <v>2038</v>
      </c>
      <c r="C16" s="11">
        <f t="shared" si="0"/>
        <v>1.3282135999999998E-2</v>
      </c>
      <c r="D16" s="13">
        <f t="shared" si="1"/>
        <v>12151.999999999996</v>
      </c>
      <c r="E16" s="51" cm="1">
        <f t="array" ref="E16">IF($C16=0,0,SUMPRODUCT(IF($O$3:$O$212=$A16,1,0),IF($S$3:$S$212=$B16,1,0),$T$3:$T$212,V$3:V$212)/$C16)</f>
        <v>-173.49571428571429</v>
      </c>
      <c r="F16" s="51" cm="1">
        <f t="array" ref="F16">IF($C16=0,0,SUMPRODUCT(IF($O$3:$O$212=$A16,1,0),IF($S$3:$S$212=$B16,1,0),$T$3:$T$212,W$3:W$212)/$C16)</f>
        <v>-161.00285714285715</v>
      </c>
      <c r="G16" s="51" cm="1">
        <f t="array" ref="G16">IF($C16=0,0,SUMPRODUCT(IF($O$3:$O$212=$A16,1,0),IF($S$3:$S$212=$B16,1,0),$T$3:$T$212,X$3:X$212)/$C16)</f>
        <v>-329.52355342136849</v>
      </c>
      <c r="H16" s="31">
        <f t="shared" si="3"/>
        <v>2.3043936725599998</v>
      </c>
      <c r="I16" s="31">
        <f t="shared" si="4"/>
        <v>2.1384618449599997</v>
      </c>
      <c r="J16" s="31">
        <f t="shared" si="5"/>
        <v>4.3767766517458808</v>
      </c>
      <c r="O16" t="s">
        <v>76</v>
      </c>
      <c r="P16" t="s">
        <v>216</v>
      </c>
      <c r="Q16" t="s">
        <v>217</v>
      </c>
      <c r="R16" t="s">
        <v>87</v>
      </c>
      <c r="S16">
        <v>2038</v>
      </c>
      <c r="T16">
        <v>0</v>
      </c>
      <c r="U16" s="12">
        <f>T16*10000000000000/Assumptions!$B$16/10000000</f>
        <v>0</v>
      </c>
      <c r="V16" s="13">
        <f>IFERROR(INDEX(Assumptions!C$112:C$113,MATCH(LEFT(Biogas!$P16,2),Assumptions!$B$112:$B$113,0))-SUMIFS($AH:$AH,$AE:$AE,"Total",$AB:$AB,$O16,$AF:$AF,$S16),0)</f>
        <v>0</v>
      </c>
      <c r="W16" s="13">
        <f>IFERROR(INDEX(Assumptions!D$112:D$113,MATCH(LEFT(Biogas!$P16,2),Assumptions!$B$112:$B$113,0))-SUMIFS($AH:$AH,$AE:$AE,"Total",$AB:$AB,$O16,$AF:$AF,$S16),0)</f>
        <v>0</v>
      </c>
      <c r="X16" s="13">
        <f>IFERROR(INDEX(Assumptions!E$112:E$113,MATCH(LEFT(Biogas!$P16,2),Assumptions!$B$112:$B$113,0))-SUMIFS($AH:$AH,$AE:$AE,"Total",$AB:$AB,$O16,$AF:$AF,$S16),0)</f>
        <v>0</v>
      </c>
      <c r="AB16" t="s">
        <v>76</v>
      </c>
      <c r="AC16" t="s">
        <v>87</v>
      </c>
      <c r="AD16" t="s">
        <v>170</v>
      </c>
      <c r="AE16" t="s">
        <v>170</v>
      </c>
      <c r="AF16">
        <v>2038</v>
      </c>
      <c r="AG16">
        <f t="shared" si="6"/>
        <v>1.3282135999999998E-2</v>
      </c>
      <c r="AH16" s="8">
        <f>GREET3.0!$K$58</f>
        <v>79.209999999999994</v>
      </c>
      <c r="AI16" s="8"/>
      <c r="AJ16" s="8"/>
      <c r="AL16" s="36"/>
      <c r="AR16" s="29"/>
    </row>
    <row r="17" spans="1:56" x14ac:dyDescent="0.35">
      <c r="A17" t="s">
        <v>76</v>
      </c>
      <c r="B17">
        <v>2039</v>
      </c>
      <c r="C17" s="11">
        <f t="shared" si="0"/>
        <v>1.3282135999999998E-2</v>
      </c>
      <c r="D17" s="13">
        <f t="shared" si="1"/>
        <v>12151.999999999996</v>
      </c>
      <c r="E17" s="51" cm="1">
        <f t="array" ref="E17">IF($C17=0,0,SUMPRODUCT(IF($O$3:$O$212=$A17,1,0),IF($S$3:$S$212=$B17,1,0),$T$3:$T$212,V$3:V$212)/$C17)</f>
        <v>-173.49571428571429</v>
      </c>
      <c r="F17" s="51" cm="1">
        <f t="array" ref="F17">IF($C17=0,0,SUMPRODUCT(IF($O$3:$O$212=$A17,1,0),IF($S$3:$S$212=$B17,1,0),$T$3:$T$212,W$3:W$212)/$C17)</f>
        <v>-161.00285714285715</v>
      </c>
      <c r="G17" s="51" cm="1">
        <f t="array" ref="G17">IF($C17=0,0,SUMPRODUCT(IF($O$3:$O$212=$A17,1,0),IF($S$3:$S$212=$B17,1,0),$T$3:$T$212,X$3:X$212)/$C17)</f>
        <v>-329.52355342136849</v>
      </c>
      <c r="H17" s="31">
        <f t="shared" si="3"/>
        <v>2.3043936725599998</v>
      </c>
      <c r="I17" s="31">
        <f t="shared" si="4"/>
        <v>2.1384618449599997</v>
      </c>
      <c r="J17" s="31">
        <f t="shared" si="5"/>
        <v>4.3767766517458808</v>
      </c>
      <c r="O17" t="s">
        <v>76</v>
      </c>
      <c r="P17" t="s">
        <v>216</v>
      </c>
      <c r="Q17" t="s">
        <v>217</v>
      </c>
      <c r="R17" t="s">
        <v>87</v>
      </c>
      <c r="S17">
        <v>2039</v>
      </c>
      <c r="T17">
        <v>0</v>
      </c>
      <c r="U17" s="12">
        <f>T17*10000000000000/Assumptions!$B$16/10000000</f>
        <v>0</v>
      </c>
      <c r="V17" s="13">
        <f>IFERROR(INDEX(Assumptions!C$112:C$113,MATCH(LEFT(Biogas!$P17,2),Assumptions!$B$112:$B$113,0))-SUMIFS($AH:$AH,$AE:$AE,"Total",$AB:$AB,$O17,$AF:$AF,$S17),0)</f>
        <v>0</v>
      </c>
      <c r="W17" s="13">
        <f>IFERROR(INDEX(Assumptions!D$112:D$113,MATCH(LEFT(Biogas!$P17,2),Assumptions!$B$112:$B$113,0))-SUMIFS($AH:$AH,$AE:$AE,"Total",$AB:$AB,$O17,$AF:$AF,$S17),0)</f>
        <v>0</v>
      </c>
      <c r="X17" s="13">
        <f>IFERROR(INDEX(Assumptions!E$112:E$113,MATCH(LEFT(Biogas!$P17,2),Assumptions!$B$112:$B$113,0))-SUMIFS($AH:$AH,$AE:$AE,"Total",$AB:$AB,$O17,$AF:$AF,$S17),0)</f>
        <v>0</v>
      </c>
      <c r="AB17" t="s">
        <v>76</v>
      </c>
      <c r="AC17" t="s">
        <v>87</v>
      </c>
      <c r="AD17" t="s">
        <v>170</v>
      </c>
      <c r="AE17" t="s">
        <v>170</v>
      </c>
      <c r="AF17">
        <v>2039</v>
      </c>
      <c r="AG17">
        <f t="shared" si="6"/>
        <v>1.3282135999999998E-2</v>
      </c>
      <c r="AH17" s="8">
        <f>GREET3.0!$K$58</f>
        <v>79.209999999999994</v>
      </c>
      <c r="AI17" s="8"/>
      <c r="AJ17" s="8"/>
      <c r="AL17" s="36"/>
      <c r="AR17" s="29"/>
    </row>
    <row r="18" spans="1:56" x14ac:dyDescent="0.35">
      <c r="A18" t="s">
        <v>76</v>
      </c>
      <c r="B18">
        <v>2040</v>
      </c>
      <c r="C18" s="11">
        <f t="shared" si="0"/>
        <v>1.7077031999999999E-2</v>
      </c>
      <c r="D18" s="13">
        <f t="shared" si="1"/>
        <v>15623.999999999996</v>
      </c>
      <c r="E18" s="51" cm="1">
        <f t="array" ref="E18">IF($C18=0,0,SUMPRODUCT(IF($O$3:$O$212=$A18,1,0),IF($S$3:$S$212=$B18,1,0),$T$3:$T$212,V$3:V$212)/$C18)</f>
        <v>-164.20999999999998</v>
      </c>
      <c r="F18" s="51" cm="1">
        <f t="array" ref="F18">IF($C18=0,0,SUMPRODUCT(IF($O$3:$O$212=$A18,1,0),IF($S$3:$S$212=$B18,1,0),$T$3:$T$212,W$3:W$212)/$C18)</f>
        <v>-152.54999999999995</v>
      </c>
      <c r="G18" s="51" cm="1">
        <f t="array" ref="G18">IF($C18=0,0,SUMPRODUCT(IF($O$3:$O$212=$A18,1,0),IF($S$3:$S$212=$B18,1,0),$T$3:$T$212,X$3:X$212)/$C18)</f>
        <v>-316.43964985994387</v>
      </c>
      <c r="H18" s="31">
        <f t="shared" si="3"/>
        <v>2.8042194247199994</v>
      </c>
      <c r="I18" s="31">
        <f t="shared" si="4"/>
        <v>2.6051012315999991</v>
      </c>
      <c r="J18" s="31">
        <f t="shared" si="5"/>
        <v>5.4038500267270564</v>
      </c>
      <c r="O18" t="s">
        <v>76</v>
      </c>
      <c r="P18" t="s">
        <v>216</v>
      </c>
      <c r="Q18" t="s">
        <v>217</v>
      </c>
      <c r="R18" t="s">
        <v>87</v>
      </c>
      <c r="S18">
        <v>2040</v>
      </c>
      <c r="T18">
        <v>0</v>
      </c>
      <c r="U18" s="12">
        <f>T18*10000000000000/Assumptions!$B$16/10000000</f>
        <v>0</v>
      </c>
      <c r="V18" s="13">
        <f>IFERROR(INDEX(Assumptions!C$112:C$113,MATCH(LEFT(Biogas!$P18,2),Assumptions!$B$112:$B$113,0))-SUMIFS($AH:$AH,$AE:$AE,"Total",$AB:$AB,$O18,$AF:$AF,$S18),0)</f>
        <v>0</v>
      </c>
      <c r="W18" s="13">
        <f>IFERROR(INDEX(Assumptions!D$112:D$113,MATCH(LEFT(Biogas!$P18,2),Assumptions!$B$112:$B$113,0))-SUMIFS($AH:$AH,$AE:$AE,"Total",$AB:$AB,$O18,$AF:$AF,$S18),0)</f>
        <v>0</v>
      </c>
      <c r="X18" s="13">
        <f>IFERROR(INDEX(Assumptions!E$112:E$113,MATCH(LEFT(Biogas!$P18,2),Assumptions!$B$112:$B$113,0))-SUMIFS($AH:$AH,$AE:$AE,"Total",$AB:$AB,$O18,$AF:$AF,$S18),0)</f>
        <v>0</v>
      </c>
      <c r="AB18" t="s">
        <v>76</v>
      </c>
      <c r="AC18" t="s">
        <v>87</v>
      </c>
      <c r="AD18" t="s">
        <v>170</v>
      </c>
      <c r="AE18" t="s">
        <v>170</v>
      </c>
      <c r="AF18">
        <v>2040</v>
      </c>
      <c r="AG18">
        <f t="shared" si="6"/>
        <v>1.7077031999999999E-2</v>
      </c>
      <c r="AH18" s="8">
        <f>GREET3.0!$K$58</f>
        <v>79.209999999999994</v>
      </c>
      <c r="AI18" s="8"/>
      <c r="AJ18" s="8"/>
      <c r="AL18" s="36"/>
      <c r="AR18" s="29"/>
    </row>
    <row r="19" spans="1:56" x14ac:dyDescent="0.35">
      <c r="A19" t="s">
        <v>76</v>
      </c>
      <c r="B19">
        <v>2041</v>
      </c>
      <c r="C19" s="11">
        <f t="shared" si="0"/>
        <v>1.7077031999999999E-2</v>
      </c>
      <c r="D19" s="13">
        <f t="shared" si="1"/>
        <v>15623.999999999996</v>
      </c>
      <c r="E19" s="51" cm="1">
        <f t="array" ref="E19">IF($C19=0,0,SUMPRODUCT(IF($O$3:$O$212=$A19,1,0),IF($S$3:$S$212=$B19,1,0),$T$3:$T$212,V$3:V$212)/$C19)</f>
        <v>-164.20999999999998</v>
      </c>
      <c r="F19" s="51" cm="1">
        <f t="array" ref="F19">IF($C19=0,0,SUMPRODUCT(IF($O$3:$O$212=$A19,1,0),IF($S$3:$S$212=$B19,1,0),$T$3:$T$212,W$3:W$212)/$C19)</f>
        <v>-152.54999999999995</v>
      </c>
      <c r="G19" s="51" cm="1">
        <f t="array" ref="G19">IF($C19=0,0,SUMPRODUCT(IF($O$3:$O$212=$A19,1,0),IF($S$3:$S$212=$B19,1,0),$T$3:$T$212,X$3:X$212)/$C19)</f>
        <v>-316.43964985994387</v>
      </c>
      <c r="H19" s="31">
        <f t="shared" si="3"/>
        <v>2.8042194247199994</v>
      </c>
      <c r="I19" s="31">
        <f t="shared" si="4"/>
        <v>2.6051012315999991</v>
      </c>
      <c r="J19" s="31">
        <f t="shared" si="5"/>
        <v>5.4038500267270564</v>
      </c>
      <c r="O19" t="s">
        <v>76</v>
      </c>
      <c r="P19" t="s">
        <v>216</v>
      </c>
      <c r="Q19" t="s">
        <v>217</v>
      </c>
      <c r="R19" t="s">
        <v>87</v>
      </c>
      <c r="S19">
        <v>2041</v>
      </c>
      <c r="T19">
        <v>0</v>
      </c>
      <c r="U19" s="12">
        <f>T19*10000000000000/Assumptions!$B$16/10000000</f>
        <v>0</v>
      </c>
      <c r="V19" s="13">
        <f>IFERROR(INDEX(Assumptions!C$112:C$113,MATCH(LEFT(Biogas!$P19,2),Assumptions!$B$112:$B$113,0))-SUMIFS($AH:$AH,$AE:$AE,"Total",$AB:$AB,$O19,$AF:$AF,$S19),0)</f>
        <v>0</v>
      </c>
      <c r="W19" s="13">
        <f>IFERROR(INDEX(Assumptions!D$112:D$113,MATCH(LEFT(Biogas!$P19,2),Assumptions!$B$112:$B$113,0))-SUMIFS($AH:$AH,$AE:$AE,"Total",$AB:$AB,$O19,$AF:$AF,$S19),0)</f>
        <v>0</v>
      </c>
      <c r="X19" s="13">
        <f>IFERROR(INDEX(Assumptions!E$112:E$113,MATCH(LEFT(Biogas!$P19,2),Assumptions!$B$112:$B$113,0))-SUMIFS($AH:$AH,$AE:$AE,"Total",$AB:$AB,$O19,$AF:$AF,$S19),0)</f>
        <v>0</v>
      </c>
      <c r="AB19" t="s">
        <v>76</v>
      </c>
      <c r="AC19" t="s">
        <v>87</v>
      </c>
      <c r="AD19" t="s">
        <v>170</v>
      </c>
      <c r="AE19" t="s">
        <v>170</v>
      </c>
      <c r="AF19">
        <v>2041</v>
      </c>
      <c r="AG19">
        <f t="shared" si="6"/>
        <v>1.7077031999999999E-2</v>
      </c>
      <c r="AH19" s="8">
        <f>GREET3.0!$K$58</f>
        <v>79.209999999999994</v>
      </c>
      <c r="AI19" s="8"/>
      <c r="AJ19" s="8"/>
      <c r="AL19" s="36"/>
      <c r="AR19" s="29"/>
    </row>
    <row r="20" spans="1:56" x14ac:dyDescent="0.35">
      <c r="A20" t="s">
        <v>76</v>
      </c>
      <c r="B20">
        <v>2042</v>
      </c>
      <c r="C20" s="11">
        <f t="shared" si="0"/>
        <v>1.7077031999999999E-2</v>
      </c>
      <c r="D20" s="13">
        <f t="shared" si="1"/>
        <v>15623.999999999996</v>
      </c>
      <c r="E20" s="51" cm="1">
        <f t="array" ref="E20">IF($C20=0,0,SUMPRODUCT(IF($O$3:$O$212=$A20,1,0),IF($S$3:$S$212=$B20,1,0),$T$3:$T$212,V$3:V$212)/$C20)</f>
        <v>-164.20999999999998</v>
      </c>
      <c r="F20" s="51" cm="1">
        <f t="array" ref="F20">IF($C20=0,0,SUMPRODUCT(IF($O$3:$O$212=$A20,1,0),IF($S$3:$S$212=$B20,1,0),$T$3:$T$212,W$3:W$212)/$C20)</f>
        <v>-152.54999999999995</v>
      </c>
      <c r="G20" s="51" cm="1">
        <f t="array" ref="G20">IF($C20=0,0,SUMPRODUCT(IF($O$3:$O$212=$A20,1,0),IF($S$3:$S$212=$B20,1,0),$T$3:$T$212,X$3:X$212)/$C20)</f>
        <v>-316.43964985994387</v>
      </c>
      <c r="H20" s="31">
        <f t="shared" si="3"/>
        <v>2.8042194247199994</v>
      </c>
      <c r="I20" s="31">
        <f t="shared" si="4"/>
        <v>2.6051012315999991</v>
      </c>
      <c r="J20" s="31">
        <f t="shared" si="5"/>
        <v>5.4038500267270564</v>
      </c>
      <c r="O20" t="s">
        <v>76</v>
      </c>
      <c r="P20" t="s">
        <v>216</v>
      </c>
      <c r="Q20" t="s">
        <v>217</v>
      </c>
      <c r="R20" t="s">
        <v>87</v>
      </c>
      <c r="S20">
        <v>2042</v>
      </c>
      <c r="T20">
        <v>0</v>
      </c>
      <c r="U20" s="12">
        <f>T20*10000000000000/Assumptions!$B$16/10000000</f>
        <v>0</v>
      </c>
      <c r="V20" s="13">
        <f>IFERROR(INDEX(Assumptions!C$112:C$113,MATCH(LEFT(Biogas!$P20,2),Assumptions!$B$112:$B$113,0))-SUMIFS($AH:$AH,$AE:$AE,"Total",$AB:$AB,$O20,$AF:$AF,$S20),0)</f>
        <v>0</v>
      </c>
      <c r="W20" s="13">
        <f>IFERROR(INDEX(Assumptions!D$112:D$113,MATCH(LEFT(Biogas!$P20,2),Assumptions!$B$112:$B$113,0))-SUMIFS($AH:$AH,$AE:$AE,"Total",$AB:$AB,$O20,$AF:$AF,$S20),0)</f>
        <v>0</v>
      </c>
      <c r="X20" s="13">
        <f>IFERROR(INDEX(Assumptions!E$112:E$113,MATCH(LEFT(Biogas!$P20,2),Assumptions!$B$112:$B$113,0))-SUMIFS($AH:$AH,$AE:$AE,"Total",$AB:$AB,$O20,$AF:$AF,$S20),0)</f>
        <v>0</v>
      </c>
      <c r="AB20" t="s">
        <v>76</v>
      </c>
      <c r="AC20" t="s">
        <v>87</v>
      </c>
      <c r="AD20" t="s">
        <v>170</v>
      </c>
      <c r="AE20" t="s">
        <v>170</v>
      </c>
      <c r="AF20">
        <v>2042</v>
      </c>
      <c r="AG20">
        <f t="shared" si="6"/>
        <v>1.7077031999999999E-2</v>
      </c>
      <c r="AH20" s="8">
        <f>GREET3.0!$K$58</f>
        <v>79.209999999999994</v>
      </c>
      <c r="AI20" s="8"/>
      <c r="AJ20" s="8"/>
      <c r="AL20" s="36"/>
      <c r="AR20" s="29"/>
      <c r="AV20" t="s">
        <v>491</v>
      </c>
      <c r="AW20" t="s">
        <v>490</v>
      </c>
      <c r="AX20" s="125"/>
      <c r="AY20" s="125"/>
      <c r="AZ20" s="125"/>
      <c r="BA20" s="125"/>
      <c r="BB20" s="125"/>
      <c r="BC20" s="125"/>
      <c r="BD20" s="125"/>
    </row>
    <row r="21" spans="1:56" x14ac:dyDescent="0.35">
      <c r="A21" t="s">
        <v>76</v>
      </c>
      <c r="B21">
        <v>2043</v>
      </c>
      <c r="C21" s="11">
        <f t="shared" si="0"/>
        <v>1.7077031999999999E-2</v>
      </c>
      <c r="D21" s="13">
        <f t="shared" si="1"/>
        <v>15623.999999999996</v>
      </c>
      <c r="E21" s="51" cm="1">
        <f t="array" ref="E21">IF($C21=0,0,SUMPRODUCT(IF($O$3:$O$212=$A21,1,0),IF($S$3:$S$212=$B21,1,0),$T$3:$T$212,V$3:V$212)/$C21)</f>
        <v>-164.20999999999998</v>
      </c>
      <c r="F21" s="51" cm="1">
        <f t="array" ref="F21">IF($C21=0,0,SUMPRODUCT(IF($O$3:$O$212=$A21,1,0),IF($S$3:$S$212=$B21,1,0),$T$3:$T$212,W$3:W$212)/$C21)</f>
        <v>-152.54999999999995</v>
      </c>
      <c r="G21" s="51" cm="1">
        <f t="array" ref="G21">IF($C21=0,0,SUMPRODUCT(IF($O$3:$O$212=$A21,1,0),IF($S$3:$S$212=$B21,1,0),$T$3:$T$212,X$3:X$212)/$C21)</f>
        <v>-316.43964985994387</v>
      </c>
      <c r="H21" s="31">
        <f t="shared" si="3"/>
        <v>2.8042194247199994</v>
      </c>
      <c r="I21" s="31">
        <f t="shared" si="4"/>
        <v>2.6051012315999991</v>
      </c>
      <c r="J21" s="31">
        <f t="shared" si="5"/>
        <v>5.4038500267270564</v>
      </c>
      <c r="O21" t="s">
        <v>76</v>
      </c>
      <c r="P21" t="s">
        <v>216</v>
      </c>
      <c r="Q21" t="s">
        <v>217</v>
      </c>
      <c r="R21" t="s">
        <v>87</v>
      </c>
      <c r="S21">
        <v>2043</v>
      </c>
      <c r="T21">
        <v>0</v>
      </c>
      <c r="U21" s="12">
        <f>T21*10000000000000/Assumptions!$B$16/10000000</f>
        <v>0</v>
      </c>
      <c r="V21" s="13">
        <f>IFERROR(INDEX(Assumptions!C$112:C$113,MATCH(LEFT(Biogas!$P21,2),Assumptions!$B$112:$B$113,0))-SUMIFS($AH:$AH,$AE:$AE,"Total",$AB:$AB,$O21,$AF:$AF,$S21),0)</f>
        <v>0</v>
      </c>
      <c r="W21" s="13">
        <f>IFERROR(INDEX(Assumptions!D$112:D$113,MATCH(LEFT(Biogas!$P21,2),Assumptions!$B$112:$B$113,0))-SUMIFS($AH:$AH,$AE:$AE,"Total",$AB:$AB,$O21,$AF:$AF,$S21),0)</f>
        <v>0</v>
      </c>
      <c r="X21" s="13">
        <f>IFERROR(INDEX(Assumptions!E$112:E$113,MATCH(LEFT(Biogas!$P21,2),Assumptions!$B$112:$B$113,0))-SUMIFS($AH:$AH,$AE:$AE,"Total",$AB:$AB,$O21,$AF:$AF,$S21),0)</f>
        <v>0</v>
      </c>
      <c r="AB21" t="s">
        <v>76</v>
      </c>
      <c r="AC21" t="s">
        <v>87</v>
      </c>
      <c r="AD21" t="s">
        <v>170</v>
      </c>
      <c r="AE21" t="s">
        <v>170</v>
      </c>
      <c r="AF21">
        <v>2043</v>
      </c>
      <c r="AG21">
        <f t="shared" si="6"/>
        <v>1.7077031999999999E-2</v>
      </c>
      <c r="AH21" s="8">
        <f>GREET3.0!$K$58</f>
        <v>79.209999999999994</v>
      </c>
      <c r="AI21" s="8"/>
      <c r="AJ21" s="8"/>
      <c r="AL21" s="36"/>
      <c r="AR21" s="29"/>
      <c r="AV21" t="s">
        <v>492</v>
      </c>
    </row>
    <row r="22" spans="1:56" x14ac:dyDescent="0.35">
      <c r="A22" t="s">
        <v>76</v>
      </c>
      <c r="B22">
        <v>2044</v>
      </c>
      <c r="C22" s="11">
        <f t="shared" si="0"/>
        <v>1.7077031999999999E-2</v>
      </c>
      <c r="D22" s="13">
        <f t="shared" si="1"/>
        <v>15623.999999999996</v>
      </c>
      <c r="E22" s="51" cm="1">
        <f t="array" ref="E22">IF($C22=0,0,SUMPRODUCT(IF($O$3:$O$212=$A22,1,0),IF($S$3:$S$212=$B22,1,0),$T$3:$T$212,V$3:V$212)/$C22)</f>
        <v>-164.20999999999998</v>
      </c>
      <c r="F22" s="51" cm="1">
        <f t="array" ref="F22">IF($C22=0,0,SUMPRODUCT(IF($O$3:$O$212=$A22,1,0),IF($S$3:$S$212=$B22,1,0),$T$3:$T$212,W$3:W$212)/$C22)</f>
        <v>-152.54999999999995</v>
      </c>
      <c r="G22" s="51" cm="1">
        <f t="array" ref="G22">IF($C22=0,0,SUMPRODUCT(IF($O$3:$O$212=$A22,1,0),IF($S$3:$S$212=$B22,1,0),$T$3:$T$212,X$3:X$212)/$C22)</f>
        <v>-316.43964985994387</v>
      </c>
      <c r="H22" s="31">
        <f t="shared" si="3"/>
        <v>2.8042194247199994</v>
      </c>
      <c r="I22" s="31">
        <f t="shared" si="4"/>
        <v>2.6051012315999991</v>
      </c>
      <c r="J22" s="31">
        <f t="shared" si="5"/>
        <v>5.4038500267270564</v>
      </c>
      <c r="O22" t="s">
        <v>76</v>
      </c>
      <c r="P22" t="s">
        <v>216</v>
      </c>
      <c r="Q22" t="s">
        <v>217</v>
      </c>
      <c r="R22" t="s">
        <v>87</v>
      </c>
      <c r="S22">
        <v>2044</v>
      </c>
      <c r="T22">
        <v>0</v>
      </c>
      <c r="U22" s="12">
        <f>T22*10000000000000/Assumptions!$B$16/10000000</f>
        <v>0</v>
      </c>
      <c r="V22" s="13">
        <f>IFERROR(INDEX(Assumptions!C$112:C$113,MATCH(LEFT(Biogas!$P22,2),Assumptions!$B$112:$B$113,0))-SUMIFS($AH:$AH,$AE:$AE,"Total",$AB:$AB,$O22,$AF:$AF,$S22),0)</f>
        <v>0</v>
      </c>
      <c r="W22" s="13">
        <f>IFERROR(INDEX(Assumptions!D$112:D$113,MATCH(LEFT(Biogas!$P22,2),Assumptions!$B$112:$B$113,0))-SUMIFS($AH:$AH,$AE:$AE,"Total",$AB:$AB,$O22,$AF:$AF,$S22),0)</f>
        <v>0</v>
      </c>
      <c r="X22" s="13">
        <f>IFERROR(INDEX(Assumptions!E$112:E$113,MATCH(LEFT(Biogas!$P22,2),Assumptions!$B$112:$B$113,0))-SUMIFS($AH:$AH,$AE:$AE,"Total",$AB:$AB,$O22,$AF:$AF,$S22),0)</f>
        <v>0</v>
      </c>
      <c r="AB22" t="s">
        <v>76</v>
      </c>
      <c r="AC22" t="s">
        <v>87</v>
      </c>
      <c r="AD22" t="s">
        <v>170</v>
      </c>
      <c r="AE22" t="s">
        <v>170</v>
      </c>
      <c r="AF22">
        <v>2044</v>
      </c>
      <c r="AG22">
        <f t="shared" si="6"/>
        <v>1.7077031999999999E-2</v>
      </c>
      <c r="AH22" s="8">
        <f>GREET3.0!$K$58</f>
        <v>79.209999999999994</v>
      </c>
      <c r="AI22" s="8"/>
      <c r="AJ22" s="8"/>
      <c r="AL22" s="36"/>
      <c r="AR22" s="29"/>
      <c r="AU22" t="s">
        <v>493</v>
      </c>
      <c r="AV22" s="125">
        <v>98000</v>
      </c>
    </row>
    <row r="23" spans="1:56" x14ac:dyDescent="0.35">
      <c r="A23" t="s">
        <v>76</v>
      </c>
      <c r="B23">
        <v>2045</v>
      </c>
      <c r="C23" s="11">
        <f t="shared" si="0"/>
        <v>1.7077031999999999E-2</v>
      </c>
      <c r="D23" s="13">
        <f t="shared" si="1"/>
        <v>15623.999999999996</v>
      </c>
      <c r="E23" s="51" cm="1">
        <f t="array" ref="E23">IF($C23=0,0,SUMPRODUCT(IF($O$3:$O$212=$A23,1,0),IF($S$3:$S$212=$B23,1,0),$T$3:$T$212,V$3:V$212)/$C23)</f>
        <v>-164.20999999999998</v>
      </c>
      <c r="F23" s="51" cm="1">
        <f t="array" ref="F23">IF($C23=0,0,SUMPRODUCT(IF($O$3:$O$212=$A23,1,0),IF($S$3:$S$212=$B23,1,0),$T$3:$T$212,W$3:W$212)/$C23)</f>
        <v>-152.54999999999995</v>
      </c>
      <c r="G23" s="51" cm="1">
        <f t="array" ref="G23">IF($C23=0,0,SUMPRODUCT(IF($O$3:$O$212=$A23,1,0),IF($S$3:$S$212=$B23,1,0),$T$3:$T$212,X$3:X$212)/$C23)</f>
        <v>-316.43964985994387</v>
      </c>
      <c r="H23" s="31">
        <f t="shared" si="3"/>
        <v>2.8042194247199994</v>
      </c>
      <c r="I23" s="31">
        <f t="shared" si="4"/>
        <v>2.6051012315999991</v>
      </c>
      <c r="J23" s="31">
        <f t="shared" si="5"/>
        <v>5.4038500267270564</v>
      </c>
      <c r="O23" t="s">
        <v>76</v>
      </c>
      <c r="P23" t="s">
        <v>216</v>
      </c>
      <c r="Q23" t="s">
        <v>217</v>
      </c>
      <c r="R23" t="s">
        <v>87</v>
      </c>
      <c r="S23">
        <v>2045</v>
      </c>
      <c r="T23">
        <v>0</v>
      </c>
      <c r="U23" s="12">
        <f>T23*10000000000000/Assumptions!$B$16/10000000</f>
        <v>0</v>
      </c>
      <c r="V23" s="13">
        <f>IFERROR(INDEX(Assumptions!C$112:C$113,MATCH(LEFT(Biogas!$P23,2),Assumptions!$B$112:$B$113,0))-SUMIFS($AH:$AH,$AE:$AE,"Total",$AB:$AB,$O23,$AF:$AF,$S23),0)</f>
        <v>0</v>
      </c>
      <c r="W23" s="13">
        <f>IFERROR(INDEX(Assumptions!D$112:D$113,MATCH(LEFT(Biogas!$P23,2),Assumptions!$B$112:$B$113,0))-SUMIFS($AH:$AH,$AE:$AE,"Total",$AB:$AB,$O23,$AF:$AF,$S23),0)</f>
        <v>0</v>
      </c>
      <c r="X23" s="13">
        <f>IFERROR(INDEX(Assumptions!E$112:E$113,MATCH(LEFT(Biogas!$P23,2),Assumptions!$B$112:$B$113,0))-SUMIFS($AH:$AH,$AE:$AE,"Total",$AB:$AB,$O23,$AF:$AF,$S23),0)</f>
        <v>0</v>
      </c>
      <c r="AB23" t="s">
        <v>76</v>
      </c>
      <c r="AC23" t="s">
        <v>87</v>
      </c>
      <c r="AD23" t="s">
        <v>170</v>
      </c>
      <c r="AE23" t="s">
        <v>170</v>
      </c>
      <c r="AF23">
        <v>2045</v>
      </c>
      <c r="AG23">
        <f t="shared" si="6"/>
        <v>1.7077031999999999E-2</v>
      </c>
      <c r="AH23" s="8">
        <f>GREET3.0!$K$58</f>
        <v>79.209999999999994</v>
      </c>
      <c r="AI23" s="8"/>
      <c r="AJ23" s="8"/>
      <c r="AL23" s="36"/>
      <c r="AR23" s="29"/>
      <c r="AU23" t="s">
        <v>499</v>
      </c>
      <c r="AV23" s="125">
        <v>115000</v>
      </c>
    </row>
    <row r="24" spans="1:56" x14ac:dyDescent="0.35">
      <c r="A24" t="s">
        <v>107</v>
      </c>
      <c r="B24">
        <v>2025</v>
      </c>
      <c r="C24" s="11">
        <f t="shared" si="0"/>
        <v>1.0119722666666666E-2</v>
      </c>
      <c r="D24" s="13">
        <f t="shared" si="1"/>
        <v>9258.6666666666661</v>
      </c>
      <c r="E24" s="51" cm="1">
        <f t="array" ref="E24">IF($C24=0,0,SUMPRODUCT(IF($O$3:$O$212=$A24,1,0),IF($S$3:$S$212=$B24,1,0),$T$3:$T$212,V$3:V$212)/$C24)</f>
        <v>-85</v>
      </c>
      <c r="F24" s="51" cm="1">
        <f t="array" ref="F24">IF($C24=0,0,SUMPRODUCT(IF($O$3:$O$212=$A24,1,0),IF($S$3:$S$212=$B24,1,0),$T$3:$T$212,W$3:W$212)/$C24)</f>
        <v>-73.339999999999989</v>
      </c>
      <c r="G24" s="51" cm="1">
        <f t="array" ref="G24">IF($C24=0,0,SUMPRODUCT(IF($O$3:$O$212=$A24,1,0),IF($S$3:$S$212=$B24,1,0),$T$3:$T$212,X$3:X$212)/$C24)</f>
        <v>-237.22964985994389</v>
      </c>
      <c r="H24" s="31">
        <f t="shared" si="3"/>
        <v>0.8601764266666666</v>
      </c>
      <c r="I24" s="31">
        <f t="shared" si="4"/>
        <v>0.74218046037333318</v>
      </c>
      <c r="J24" s="31">
        <f t="shared" si="5"/>
        <v>2.4006982648930708</v>
      </c>
      <c r="O24" t="s">
        <v>76</v>
      </c>
      <c r="P24" s="29" t="s">
        <v>88</v>
      </c>
      <c r="Q24" t="s">
        <v>217</v>
      </c>
      <c r="R24" t="s">
        <v>87</v>
      </c>
      <c r="S24">
        <v>2025</v>
      </c>
      <c r="T24" s="46">
        <f t="shared" ref="T24:T37" si="7">T30/1.2</f>
        <v>6.5883611111111108E-3</v>
      </c>
      <c r="U24" s="12">
        <f>T24*10000000000000/Assumptions!$B$16/10000000</f>
        <v>6027.7777777777783</v>
      </c>
      <c r="V24" s="13">
        <f>IFERROR(INDEX(Assumptions!C$112:C$113,MATCH(LEFT(Biogas!$P24,2),Assumptions!$B$112:$B$113,0))-SUMIFS($AH:$AH,$AE:$AE,"Total",$AB:$AB,$O24,$AF:$AF,$S24),0)</f>
        <v>-229.20999999999998</v>
      </c>
      <c r="W24" s="13">
        <f>IFERROR(INDEX(Assumptions!D$112:D$113,MATCH(LEFT(Biogas!$P24,2),Assumptions!$B$112:$B$113,0))-SUMIFS($AH:$AH,$AE:$AE,"Total",$AB:$AB,$O24,$AF:$AF,$S24),0)</f>
        <v>-211.71999999999997</v>
      </c>
      <c r="X24" s="13">
        <f>IFERROR(INDEX(Assumptions!E$112:E$113,MATCH(LEFT(Biogas!$P24,2),Assumptions!$B$112:$B$113,0))-SUMIFS($AH:$AH,$AE:$AE,"Total",$AB:$AB,$O24,$AF:$AF,$S24),0)</f>
        <v>-408.02697478991581</v>
      </c>
      <c r="AB24" t="s">
        <v>76</v>
      </c>
      <c r="AC24" t="s">
        <v>87</v>
      </c>
      <c r="AD24" t="s">
        <v>231</v>
      </c>
      <c r="AE24" t="s">
        <v>232</v>
      </c>
      <c r="AF24" t="s">
        <v>233</v>
      </c>
      <c r="AG24" s="47">
        <v>1</v>
      </c>
      <c r="AH24" s="8">
        <f>GREET3.0!$K$58</f>
        <v>79.209999999999994</v>
      </c>
      <c r="AI24" s="8"/>
      <c r="AJ24" s="8"/>
      <c r="AL24" s="36"/>
      <c r="AR24" s="29"/>
      <c r="AU24" t="s">
        <v>494</v>
      </c>
      <c r="AV24" s="125">
        <v>170000</v>
      </c>
    </row>
    <row r="25" spans="1:56" x14ac:dyDescent="0.35">
      <c r="A25" t="s">
        <v>107</v>
      </c>
      <c r="B25">
        <v>2026</v>
      </c>
      <c r="C25" s="11">
        <f t="shared" si="0"/>
        <v>1.0119722666666666E-2</v>
      </c>
      <c r="D25" s="13">
        <f t="shared" si="1"/>
        <v>9258.6666666666661</v>
      </c>
      <c r="E25" s="51" cm="1">
        <f t="array" ref="E25">IF($C25=0,0,SUMPRODUCT(IF($O$3:$O$212=$A25,1,0),IF($S$3:$S$212=$B25,1,0),$T$3:$T$212,V$3:V$212)/$C25)</f>
        <v>-85</v>
      </c>
      <c r="F25" s="51" cm="1">
        <f t="array" ref="F25">IF($C25=0,0,SUMPRODUCT(IF($O$3:$O$212=$A25,1,0),IF($S$3:$S$212=$B25,1,0),$T$3:$T$212,W$3:W$212)/$C25)</f>
        <v>-73.339999999999989</v>
      </c>
      <c r="G25" s="51" cm="1">
        <f t="array" ref="G25">IF($C25=0,0,SUMPRODUCT(IF($O$3:$O$212=$A25,1,0),IF($S$3:$S$212=$B25,1,0),$T$3:$T$212,X$3:X$212)/$C25)</f>
        <v>-237.22964985994389</v>
      </c>
      <c r="H25" s="31">
        <f t="shared" si="3"/>
        <v>0.8601764266666666</v>
      </c>
      <c r="I25" s="31">
        <f t="shared" si="4"/>
        <v>0.74218046037333318</v>
      </c>
      <c r="J25" s="31">
        <f t="shared" si="5"/>
        <v>2.4006982648930708</v>
      </c>
      <c r="O25" t="s">
        <v>76</v>
      </c>
      <c r="P25" s="29" t="s">
        <v>88</v>
      </c>
      <c r="Q25" t="s">
        <v>217</v>
      </c>
      <c r="R25" t="s">
        <v>87</v>
      </c>
      <c r="S25">
        <v>2026</v>
      </c>
      <c r="T25" s="46">
        <f t="shared" si="7"/>
        <v>6.5883611111111108E-3</v>
      </c>
      <c r="U25" s="12">
        <f>T25*10000000000000/Assumptions!$B$16/10000000</f>
        <v>6027.7777777777783</v>
      </c>
      <c r="V25" s="13">
        <f>IFERROR(INDEX(Assumptions!C$112:C$113,MATCH(LEFT(Biogas!$P25,2),Assumptions!$B$112:$B$113,0))-SUMIFS($AH:$AH,$AE:$AE,"Total",$AB:$AB,$O25,$AF:$AF,$S25),0)</f>
        <v>-229.20999999999998</v>
      </c>
      <c r="W25" s="13">
        <f>IFERROR(INDEX(Assumptions!D$112:D$113,MATCH(LEFT(Biogas!$P25,2),Assumptions!$B$112:$B$113,0))-SUMIFS($AH:$AH,$AE:$AE,"Total",$AB:$AB,$O25,$AF:$AF,$S25),0)</f>
        <v>-211.71999999999997</v>
      </c>
      <c r="X25" s="13">
        <f>IFERROR(INDEX(Assumptions!E$112:E$113,MATCH(LEFT(Biogas!$P25,2),Assumptions!$B$112:$B$113,0))-SUMIFS($AH:$AH,$AE:$AE,"Total",$AB:$AB,$O25,$AF:$AF,$S25),0)</f>
        <v>-408.02697478991581</v>
      </c>
      <c r="AB25" t="s">
        <v>76</v>
      </c>
      <c r="AC25" t="s">
        <v>87</v>
      </c>
      <c r="AD25" t="s">
        <v>234</v>
      </c>
      <c r="AE25" t="s">
        <v>179</v>
      </c>
      <c r="AF25" t="s">
        <v>235</v>
      </c>
      <c r="AG25" s="47">
        <v>0</v>
      </c>
      <c r="AH25" t="s">
        <v>236</v>
      </c>
      <c r="AL25" s="36"/>
      <c r="AR25" s="29"/>
      <c r="AU25" t="s">
        <v>495</v>
      </c>
      <c r="AV25" s="125">
        <v>65000</v>
      </c>
    </row>
    <row r="26" spans="1:56" x14ac:dyDescent="0.35">
      <c r="A26" t="s">
        <v>107</v>
      </c>
      <c r="B26">
        <v>2027</v>
      </c>
      <c r="C26" s="11">
        <f t="shared" si="0"/>
        <v>1.0119722666666666E-2</v>
      </c>
      <c r="D26" s="13">
        <f t="shared" si="1"/>
        <v>9258.6666666666661</v>
      </c>
      <c r="E26" s="51" cm="1">
        <f t="array" ref="E26">IF($C26=0,0,SUMPRODUCT(IF($O$3:$O$212=$A26,1,0),IF($S$3:$S$212=$B26,1,0),$T$3:$T$212,V$3:V$212)/$C26)</f>
        <v>-85</v>
      </c>
      <c r="F26" s="51" cm="1">
        <f t="array" ref="F26">IF($C26=0,0,SUMPRODUCT(IF($O$3:$O$212=$A26,1,0),IF($S$3:$S$212=$B26,1,0),$T$3:$T$212,W$3:W$212)/$C26)</f>
        <v>-73.339999999999989</v>
      </c>
      <c r="G26" s="51" cm="1">
        <f t="array" ref="G26">IF($C26=0,0,SUMPRODUCT(IF($O$3:$O$212=$A26,1,0),IF($S$3:$S$212=$B26,1,0),$T$3:$T$212,X$3:X$212)/$C26)</f>
        <v>-237.22964985994389</v>
      </c>
      <c r="H26" s="31">
        <f t="shared" si="3"/>
        <v>0.8601764266666666</v>
      </c>
      <c r="I26" s="31">
        <f t="shared" si="4"/>
        <v>0.74218046037333318</v>
      </c>
      <c r="J26" s="31">
        <f t="shared" si="5"/>
        <v>2.4006982648930708</v>
      </c>
      <c r="O26" t="s">
        <v>76</v>
      </c>
      <c r="P26" s="29" t="s">
        <v>88</v>
      </c>
      <c r="Q26" t="s">
        <v>217</v>
      </c>
      <c r="R26" t="s">
        <v>87</v>
      </c>
      <c r="S26">
        <v>2027</v>
      </c>
      <c r="T26" s="46">
        <f t="shared" si="7"/>
        <v>6.5883611111111108E-3</v>
      </c>
      <c r="U26" s="12">
        <f>T26*10000000000000/Assumptions!$B$16/10000000</f>
        <v>6027.7777777777783</v>
      </c>
      <c r="V26" s="13">
        <f>IFERROR(INDEX(Assumptions!C$112:C$113,MATCH(LEFT(Biogas!$P26,2),Assumptions!$B$112:$B$113,0))-SUMIFS($AH:$AH,$AE:$AE,"Total",$AB:$AB,$O26,$AF:$AF,$S26),0)</f>
        <v>-229.20999999999998</v>
      </c>
      <c r="W26" s="13">
        <f>IFERROR(INDEX(Assumptions!D$112:D$113,MATCH(LEFT(Biogas!$P26,2),Assumptions!$B$112:$B$113,0))-SUMIFS($AH:$AH,$AE:$AE,"Total",$AB:$AB,$O26,$AF:$AF,$S26),0)</f>
        <v>-211.71999999999997</v>
      </c>
      <c r="X26" s="13">
        <f>IFERROR(INDEX(Assumptions!E$112:E$113,MATCH(LEFT(Biogas!$P26,2),Assumptions!$B$112:$B$113,0))-SUMIFS($AH:$AH,$AE:$AE,"Total",$AB:$AB,$O26,$AF:$AF,$S26),0)</f>
        <v>-408.02697478991581</v>
      </c>
      <c r="AB26" t="s">
        <v>76</v>
      </c>
      <c r="AC26" t="s">
        <v>87</v>
      </c>
      <c r="AD26" t="s">
        <v>237</v>
      </c>
      <c r="AE26" t="s">
        <v>41</v>
      </c>
      <c r="AF26" t="s">
        <v>238</v>
      </c>
      <c r="AG26" s="47">
        <v>0</v>
      </c>
      <c r="AH26" t="s">
        <v>236</v>
      </c>
      <c r="AL26" s="36"/>
      <c r="AR26" s="29"/>
      <c r="AU26" t="s">
        <v>500</v>
      </c>
      <c r="AV26" s="125">
        <v>270000</v>
      </c>
    </row>
    <row r="27" spans="1:56" x14ac:dyDescent="0.35">
      <c r="A27" t="s">
        <v>107</v>
      </c>
      <c r="B27">
        <v>2028</v>
      </c>
      <c r="C27" s="11">
        <f t="shared" si="0"/>
        <v>1.5179583999999999E-2</v>
      </c>
      <c r="D27" s="13">
        <f t="shared" si="1"/>
        <v>13888</v>
      </c>
      <c r="E27" s="51" cm="1">
        <f t="array" ref="E27">IF($C27=0,0,SUMPRODUCT(IF($O$3:$O$212=$A27,1,0),IF($S$3:$S$212=$B27,1,0),$T$3:$T$212,V$3:V$212)/$C27)</f>
        <v>-85</v>
      </c>
      <c r="F27" s="51" cm="1">
        <f t="array" ref="F27">IF($C27=0,0,SUMPRODUCT(IF($O$3:$O$212=$A27,1,0),IF($S$3:$S$212=$B27,1,0),$T$3:$T$212,W$3:W$212)/$C27)</f>
        <v>-73.339999999999989</v>
      </c>
      <c r="G27" s="51" cm="1">
        <f t="array" ref="G27">IF($C27=0,0,SUMPRODUCT(IF($O$3:$O$212=$A27,1,0),IF($S$3:$S$212=$B27,1,0),$T$3:$T$212,X$3:X$212)/$C27)</f>
        <v>-237.22964985994386</v>
      </c>
      <c r="H27" s="31">
        <f t="shared" si="3"/>
        <v>1.29026464</v>
      </c>
      <c r="I27" s="31">
        <f t="shared" si="4"/>
        <v>1.1132706905599998</v>
      </c>
      <c r="J27" s="31">
        <f t="shared" si="5"/>
        <v>3.601047397339606</v>
      </c>
      <c r="O27" t="s">
        <v>76</v>
      </c>
      <c r="P27" s="29" t="s">
        <v>88</v>
      </c>
      <c r="Q27" t="s">
        <v>217</v>
      </c>
      <c r="R27" t="s">
        <v>87</v>
      </c>
      <c r="S27">
        <v>2028</v>
      </c>
      <c r="T27" s="46">
        <f t="shared" si="7"/>
        <v>7.906033333333333E-3</v>
      </c>
      <c r="U27" s="12">
        <f>T27*10000000000000/Assumptions!$B$16/10000000</f>
        <v>7233.333333333333</v>
      </c>
      <c r="V27" s="13">
        <f>IFERROR(INDEX(Assumptions!C$112:C$113,MATCH(LEFT(Biogas!$P27,2),Assumptions!$B$112:$B$113,0))-SUMIFS($AH:$AH,$AE:$AE,"Total",$AB:$AB,$O27,$AF:$AF,$S27),0)</f>
        <v>-229.20999999999998</v>
      </c>
      <c r="W27" s="13">
        <f>IFERROR(INDEX(Assumptions!D$112:D$113,MATCH(LEFT(Biogas!$P27,2),Assumptions!$B$112:$B$113,0))-SUMIFS($AH:$AH,$AE:$AE,"Total",$AB:$AB,$O27,$AF:$AF,$S27),0)</f>
        <v>-211.71999999999997</v>
      </c>
      <c r="X27" s="13">
        <f>IFERROR(INDEX(Assumptions!E$112:E$113,MATCH(LEFT(Biogas!$P27,2),Assumptions!$B$112:$B$113,0))-SUMIFS($AH:$AH,$AE:$AE,"Total",$AB:$AB,$O27,$AF:$AF,$S27),0)</f>
        <v>-408.02697478991581</v>
      </c>
      <c r="AB27" t="s">
        <v>76</v>
      </c>
      <c r="AC27" t="s">
        <v>87</v>
      </c>
      <c r="AD27" t="s">
        <v>239</v>
      </c>
      <c r="AE27" t="s">
        <v>240</v>
      </c>
      <c r="AF27" t="s">
        <v>186</v>
      </c>
      <c r="AG27" s="21">
        <v>0</v>
      </c>
      <c r="AH27" s="8">
        <v>50.0679245283022</v>
      </c>
      <c r="AI27" s="8"/>
      <c r="AJ27" s="8"/>
      <c r="AL27" s="36"/>
      <c r="AR27" s="29"/>
      <c r="AU27" t="s">
        <v>501</v>
      </c>
      <c r="AV27" s="125">
        <v>105000</v>
      </c>
    </row>
    <row r="28" spans="1:56" x14ac:dyDescent="0.35">
      <c r="A28" t="s">
        <v>107</v>
      </c>
      <c r="B28">
        <v>2029</v>
      </c>
      <c r="C28" s="11">
        <f t="shared" si="0"/>
        <v>1.5179583999999999E-2</v>
      </c>
      <c r="D28" s="13">
        <f t="shared" si="1"/>
        <v>13888</v>
      </c>
      <c r="E28" s="51" cm="1">
        <f t="array" ref="E28">IF($C28=0,0,SUMPRODUCT(IF($O$3:$O$212=$A28,1,0),IF($S$3:$S$212=$B28,1,0),$T$3:$T$212,V$3:V$212)/$C28)</f>
        <v>-85</v>
      </c>
      <c r="F28" s="51" cm="1">
        <f t="array" ref="F28">IF($C28=0,0,SUMPRODUCT(IF($O$3:$O$212=$A28,1,0),IF($S$3:$S$212=$B28,1,0),$T$3:$T$212,W$3:W$212)/$C28)</f>
        <v>-73.339999999999989</v>
      </c>
      <c r="G28" s="51" cm="1">
        <f t="array" ref="G28">IF($C28=0,0,SUMPRODUCT(IF($O$3:$O$212=$A28,1,0),IF($S$3:$S$212=$B28,1,0),$T$3:$T$212,X$3:X$212)/$C28)</f>
        <v>-237.22964985994386</v>
      </c>
      <c r="H28" s="31">
        <f t="shared" si="3"/>
        <v>1.29026464</v>
      </c>
      <c r="I28" s="31">
        <f t="shared" si="4"/>
        <v>1.1132706905599998</v>
      </c>
      <c r="J28" s="31">
        <f t="shared" si="5"/>
        <v>3.601047397339606</v>
      </c>
      <c r="O28" t="s">
        <v>76</v>
      </c>
      <c r="P28" s="29" t="s">
        <v>88</v>
      </c>
      <c r="Q28" t="s">
        <v>217</v>
      </c>
      <c r="R28" t="s">
        <v>87</v>
      </c>
      <c r="S28">
        <v>2029</v>
      </c>
      <c r="T28" s="46">
        <f t="shared" si="7"/>
        <v>7.906033333333333E-3</v>
      </c>
      <c r="U28" s="12">
        <f>T28*10000000000000/Assumptions!$B$16/10000000</f>
        <v>7233.333333333333</v>
      </c>
      <c r="V28" s="13">
        <f>IFERROR(INDEX(Assumptions!C$112:C$113,MATCH(LEFT(Biogas!$P28,2),Assumptions!$B$112:$B$113,0))-SUMIFS($AH:$AH,$AE:$AE,"Total",$AB:$AB,$O28,$AF:$AF,$S28),0)</f>
        <v>-229.20999999999998</v>
      </c>
      <c r="W28" s="13">
        <f>IFERROR(INDEX(Assumptions!D$112:D$113,MATCH(LEFT(Biogas!$P28,2),Assumptions!$B$112:$B$113,0))-SUMIFS($AH:$AH,$AE:$AE,"Total",$AB:$AB,$O28,$AF:$AF,$S28),0)</f>
        <v>-211.71999999999997</v>
      </c>
      <c r="X28" s="13">
        <f>IFERROR(INDEX(Assumptions!E$112:E$113,MATCH(LEFT(Biogas!$P28,2),Assumptions!$B$112:$B$113,0))-SUMIFS($AH:$AH,$AE:$AE,"Total",$AB:$AB,$O28,$AF:$AF,$S28),0)</f>
        <v>-408.02697478991581</v>
      </c>
      <c r="AL28" s="36"/>
      <c r="AR28" s="29"/>
      <c r="AU28" t="s">
        <v>496</v>
      </c>
      <c r="AV28" s="125">
        <v>185000</v>
      </c>
    </row>
    <row r="29" spans="1:56" x14ac:dyDescent="0.35">
      <c r="A29" t="s">
        <v>107</v>
      </c>
      <c r="B29">
        <v>2030</v>
      </c>
      <c r="C29" s="11">
        <f t="shared" si="0"/>
        <v>1.5179583999999999E-2</v>
      </c>
      <c r="D29" s="13">
        <f t="shared" si="1"/>
        <v>13888</v>
      </c>
      <c r="E29" s="51" cm="1">
        <f t="array" ref="E29">IF($C29=0,0,SUMPRODUCT(IF($O$3:$O$212=$A29,1,0),IF($S$3:$S$212=$B29,1,0),$T$3:$T$212,V$3:V$212)/$C29)</f>
        <v>-85</v>
      </c>
      <c r="F29" s="51" cm="1">
        <f t="array" ref="F29">IF($C29=0,0,SUMPRODUCT(IF($O$3:$O$212=$A29,1,0),IF($S$3:$S$212=$B29,1,0),$T$3:$T$212,W$3:W$212)/$C29)</f>
        <v>-73.339999999999989</v>
      </c>
      <c r="G29" s="51" cm="1">
        <f t="array" ref="G29">IF($C29=0,0,SUMPRODUCT(IF($O$3:$O$212=$A29,1,0),IF($S$3:$S$212=$B29,1,0),$T$3:$T$212,X$3:X$212)/$C29)</f>
        <v>-237.22964985994386</v>
      </c>
      <c r="H29" s="31">
        <f t="shared" si="3"/>
        <v>1.29026464</v>
      </c>
      <c r="I29" s="31">
        <f t="shared" si="4"/>
        <v>1.1132706905599998</v>
      </c>
      <c r="J29" s="31">
        <f t="shared" si="5"/>
        <v>3.601047397339606</v>
      </c>
      <c r="O29" t="s">
        <v>76</v>
      </c>
      <c r="P29" s="29" t="s">
        <v>88</v>
      </c>
      <c r="Q29" t="s">
        <v>217</v>
      </c>
      <c r="R29" t="s">
        <v>87</v>
      </c>
      <c r="S29">
        <v>2030</v>
      </c>
      <c r="T29" s="46">
        <f t="shared" si="7"/>
        <v>7.906033333333333E-3</v>
      </c>
      <c r="U29" s="12">
        <f>T29*10000000000000/Assumptions!$B$16/10000000</f>
        <v>7233.333333333333</v>
      </c>
      <c r="V29" s="13">
        <f>IFERROR(INDEX(Assumptions!C$112:C$113,MATCH(LEFT(Biogas!$P29,2),Assumptions!$B$112:$B$113,0))-SUMIFS($AH:$AH,$AE:$AE,"Total",$AB:$AB,$O29,$AF:$AF,$S29),0)</f>
        <v>-229.20999999999998</v>
      </c>
      <c r="W29" s="13">
        <f>IFERROR(INDEX(Assumptions!D$112:D$113,MATCH(LEFT(Biogas!$P29,2),Assumptions!$B$112:$B$113,0))-SUMIFS($AH:$AH,$AE:$AE,"Total",$AB:$AB,$O29,$AF:$AF,$S29),0)</f>
        <v>-211.71999999999997</v>
      </c>
      <c r="X29" s="13">
        <f>IFERROR(INDEX(Assumptions!E$112:E$113,MATCH(LEFT(Biogas!$P29,2),Assumptions!$B$112:$B$113,0))-SUMIFS($AH:$AH,$AE:$AE,"Total",$AB:$AB,$O29,$AF:$AF,$S29),0)</f>
        <v>-408.02697478991581</v>
      </c>
      <c r="AL29" s="36"/>
      <c r="AR29" s="29"/>
      <c r="AU29" t="s">
        <v>497</v>
      </c>
      <c r="AV29" s="125">
        <v>490000</v>
      </c>
    </row>
    <row r="30" spans="1:56" x14ac:dyDescent="0.35">
      <c r="A30" t="s">
        <v>107</v>
      </c>
      <c r="B30">
        <v>2031</v>
      </c>
      <c r="C30" s="11">
        <f t="shared" si="0"/>
        <v>1.5179583999999999E-2</v>
      </c>
      <c r="D30" s="13">
        <f t="shared" si="1"/>
        <v>13888</v>
      </c>
      <c r="E30" s="51" cm="1">
        <f t="array" ref="E30">IF($C30=0,0,SUMPRODUCT(IF($O$3:$O$212=$A30,1,0),IF($S$3:$S$212=$B30,1,0),$T$3:$T$212,V$3:V$212)/$C30)</f>
        <v>-85</v>
      </c>
      <c r="F30" s="51" cm="1">
        <f t="array" ref="F30">IF($C30=0,0,SUMPRODUCT(IF($O$3:$O$212=$A30,1,0),IF($S$3:$S$212=$B30,1,0),$T$3:$T$212,W$3:W$212)/$C30)</f>
        <v>-73.339999999999989</v>
      </c>
      <c r="G30" s="51" cm="1">
        <f t="array" ref="G30">IF($C30=0,0,SUMPRODUCT(IF($O$3:$O$212=$A30,1,0),IF($S$3:$S$212=$B30,1,0),$T$3:$T$212,X$3:X$212)/$C30)</f>
        <v>-237.22964985994386</v>
      </c>
      <c r="H30" s="31">
        <f t="shared" si="3"/>
        <v>1.29026464</v>
      </c>
      <c r="I30" s="31">
        <f t="shared" si="4"/>
        <v>1.1132706905599998</v>
      </c>
      <c r="J30" s="31">
        <f t="shared" si="5"/>
        <v>3.601047397339606</v>
      </c>
      <c r="O30" t="s">
        <v>76</v>
      </c>
      <c r="P30" s="29" t="s">
        <v>88</v>
      </c>
      <c r="Q30" t="s">
        <v>217</v>
      </c>
      <c r="R30" t="s">
        <v>87</v>
      </c>
      <c r="S30">
        <v>2031</v>
      </c>
      <c r="T30" s="46">
        <f t="shared" si="7"/>
        <v>7.906033333333333E-3</v>
      </c>
      <c r="U30" s="12">
        <f>T30*10000000000000/Assumptions!$B$16/10000000</f>
        <v>7233.333333333333</v>
      </c>
      <c r="V30" s="13">
        <f>IFERROR(INDEX(Assumptions!C$112:C$113,MATCH(LEFT(Biogas!$P30,2),Assumptions!$B$112:$B$113,0))-SUMIFS($AH:$AH,$AE:$AE,"Total",$AB:$AB,$O30,$AF:$AF,$S30),0)</f>
        <v>-229.20999999999998</v>
      </c>
      <c r="W30" s="13">
        <f>IFERROR(INDEX(Assumptions!D$112:D$113,MATCH(LEFT(Biogas!$P30,2),Assumptions!$B$112:$B$113,0))-SUMIFS($AH:$AH,$AE:$AE,"Total",$AB:$AB,$O30,$AF:$AF,$S30),0)</f>
        <v>-211.71999999999997</v>
      </c>
      <c r="X30" s="13">
        <f>IFERROR(INDEX(Assumptions!E$112:E$113,MATCH(LEFT(Biogas!$P30,2),Assumptions!$B$112:$B$113,0))-SUMIFS($AH:$AH,$AE:$AE,"Total",$AB:$AB,$O30,$AF:$AF,$S30),0)</f>
        <v>-408.02697478991581</v>
      </c>
      <c r="AL30" s="36"/>
      <c r="AR30" s="29"/>
      <c r="AU30" t="s">
        <v>498</v>
      </c>
      <c r="AV30" s="125">
        <f>SUM(AV22:AV29)</f>
        <v>1498000</v>
      </c>
    </row>
    <row r="31" spans="1:56" x14ac:dyDescent="0.35">
      <c r="A31" t="s">
        <v>107</v>
      </c>
      <c r="B31">
        <v>2032</v>
      </c>
      <c r="C31" s="11">
        <f t="shared" si="0"/>
        <v>1.5179583999999999E-2</v>
      </c>
      <c r="D31" s="13">
        <f t="shared" si="1"/>
        <v>13888</v>
      </c>
      <c r="E31" s="51" cm="1">
        <f t="array" ref="E31">IF($C31=0,0,SUMPRODUCT(IF($O$3:$O$212=$A31,1,0),IF($S$3:$S$212=$B31,1,0),$T$3:$T$212,V$3:V$212)/$C31)</f>
        <v>-85</v>
      </c>
      <c r="F31" s="51" cm="1">
        <f t="array" ref="F31">IF($C31=0,0,SUMPRODUCT(IF($O$3:$O$212=$A31,1,0),IF($S$3:$S$212=$B31,1,0),$T$3:$T$212,W$3:W$212)/$C31)</f>
        <v>-73.339999999999989</v>
      </c>
      <c r="G31" s="51" cm="1">
        <f t="array" ref="G31">IF($C31=0,0,SUMPRODUCT(IF($O$3:$O$212=$A31,1,0),IF($S$3:$S$212=$B31,1,0),$T$3:$T$212,X$3:X$212)/$C31)</f>
        <v>-237.22964985994386</v>
      </c>
      <c r="H31" s="31">
        <f t="shared" si="3"/>
        <v>1.29026464</v>
      </c>
      <c r="I31" s="31">
        <f t="shared" si="4"/>
        <v>1.1132706905599998</v>
      </c>
      <c r="J31" s="31">
        <f t="shared" si="5"/>
        <v>3.601047397339606</v>
      </c>
      <c r="O31" t="s">
        <v>76</v>
      </c>
      <c r="P31" s="29" t="s">
        <v>88</v>
      </c>
      <c r="Q31" t="s">
        <v>217</v>
      </c>
      <c r="R31" t="s">
        <v>87</v>
      </c>
      <c r="S31">
        <v>2032</v>
      </c>
      <c r="T31" s="46">
        <f t="shared" si="7"/>
        <v>7.906033333333333E-3</v>
      </c>
      <c r="U31" s="12">
        <f>T31*10000000000000/Assumptions!$B$16/10000000</f>
        <v>7233.333333333333</v>
      </c>
      <c r="V31" s="13">
        <f>IFERROR(INDEX(Assumptions!C$112:C$113,MATCH(LEFT(Biogas!$P31,2),Assumptions!$B$112:$B$113,0))-SUMIFS($AH:$AH,$AE:$AE,"Total",$AB:$AB,$O31,$AF:$AF,$S31),0)</f>
        <v>-229.20999999999998</v>
      </c>
      <c r="W31" s="13">
        <f>IFERROR(INDEX(Assumptions!D$112:D$113,MATCH(LEFT(Biogas!$P31,2),Assumptions!$B$112:$B$113,0))-SUMIFS($AH:$AH,$AE:$AE,"Total",$AB:$AB,$O31,$AF:$AF,$S31),0)</f>
        <v>-211.71999999999997</v>
      </c>
      <c r="X31" s="13">
        <f>IFERROR(INDEX(Assumptions!E$112:E$113,MATCH(LEFT(Biogas!$P31,2),Assumptions!$B$112:$B$113,0))-SUMIFS($AH:$AH,$AE:$AE,"Total",$AB:$AB,$O31,$AF:$AF,$S31),0)</f>
        <v>-408.02697478991581</v>
      </c>
      <c r="AL31" s="36"/>
      <c r="AR31" s="29"/>
      <c r="AU31" t="s">
        <v>502</v>
      </c>
      <c r="AV31" s="125">
        <v>1720000</v>
      </c>
    </row>
    <row r="32" spans="1:56" x14ac:dyDescent="0.35">
      <c r="A32" t="s">
        <v>107</v>
      </c>
      <c r="B32">
        <v>2033</v>
      </c>
      <c r="C32" s="11">
        <f t="shared" si="0"/>
        <v>1.5179583999999999E-2</v>
      </c>
      <c r="D32" s="13">
        <f t="shared" si="1"/>
        <v>13888</v>
      </c>
      <c r="E32" s="51" cm="1">
        <f t="array" ref="E32">IF($C32=0,0,SUMPRODUCT(IF($O$3:$O$212=$A32,1,0),IF($S$3:$S$212=$B32,1,0),$T$3:$T$212,V$3:V$212)/$C32)</f>
        <v>-85</v>
      </c>
      <c r="F32" s="51" cm="1">
        <f t="array" ref="F32">IF($C32=0,0,SUMPRODUCT(IF($O$3:$O$212=$A32,1,0),IF($S$3:$S$212=$B32,1,0),$T$3:$T$212,W$3:W$212)/$C32)</f>
        <v>-73.339999999999989</v>
      </c>
      <c r="G32" s="51" cm="1">
        <f t="array" ref="G32">IF($C32=0,0,SUMPRODUCT(IF($O$3:$O$212=$A32,1,0),IF($S$3:$S$212=$B32,1,0),$T$3:$T$212,X$3:X$212)/$C32)</f>
        <v>-237.22964985994386</v>
      </c>
      <c r="H32" s="31">
        <f t="shared" si="3"/>
        <v>1.29026464</v>
      </c>
      <c r="I32" s="31">
        <f t="shared" si="4"/>
        <v>1.1132706905599998</v>
      </c>
      <c r="J32" s="31">
        <f t="shared" si="5"/>
        <v>3.601047397339606</v>
      </c>
      <c r="O32" t="s">
        <v>76</v>
      </c>
      <c r="P32" s="29" t="s">
        <v>88</v>
      </c>
      <c r="Q32" t="s">
        <v>217</v>
      </c>
      <c r="R32" t="s">
        <v>87</v>
      </c>
      <c r="S32">
        <v>2033</v>
      </c>
      <c r="T32" s="46">
        <f t="shared" si="7"/>
        <v>7.906033333333333E-3</v>
      </c>
      <c r="U32" s="12">
        <f>T32*10000000000000/Assumptions!$B$16/10000000</f>
        <v>7233.333333333333</v>
      </c>
      <c r="V32" s="13">
        <f>IFERROR(INDEX(Assumptions!C$112:C$113,MATCH(LEFT(Biogas!$P32,2),Assumptions!$B$112:$B$113,0))-SUMIFS($AH:$AH,$AE:$AE,"Total",$AB:$AB,$O32,$AF:$AF,$S32),0)</f>
        <v>-229.20999999999998</v>
      </c>
      <c r="W32" s="13">
        <f>IFERROR(INDEX(Assumptions!D$112:D$113,MATCH(LEFT(Biogas!$P32,2),Assumptions!$B$112:$B$113,0))-SUMIFS($AH:$AH,$AE:$AE,"Total",$AB:$AB,$O32,$AF:$AF,$S32),0)</f>
        <v>-211.71999999999997</v>
      </c>
      <c r="X32" s="13">
        <f>IFERROR(INDEX(Assumptions!E$112:E$113,MATCH(LEFT(Biogas!$P32,2),Assumptions!$B$112:$B$113,0))-SUMIFS($AH:$AH,$AE:$AE,"Total",$AB:$AB,$O32,$AF:$AF,$S32),0)</f>
        <v>-408.02697478991581</v>
      </c>
      <c r="AL32" s="36"/>
      <c r="AR32" s="29"/>
      <c r="AV32" s="126">
        <f>AV30/AV31</f>
        <v>0.87093023255813951</v>
      </c>
    </row>
    <row r="33" spans="1:44" x14ac:dyDescent="0.35">
      <c r="A33" t="s">
        <v>107</v>
      </c>
      <c r="B33">
        <v>2034</v>
      </c>
      <c r="C33" s="11">
        <f t="shared" si="0"/>
        <v>2.2769375999999997E-2</v>
      </c>
      <c r="D33" s="13">
        <f t="shared" si="1"/>
        <v>20831.999999999993</v>
      </c>
      <c r="E33" s="51" cm="1">
        <f t="array" ref="E33">IF($C33=0,0,SUMPRODUCT(IF($O$3:$O$212=$A33,1,0),IF($S$3:$S$212=$B33,1,0),$T$3:$T$212,V$3:V$212)/$C33)</f>
        <v>-85</v>
      </c>
      <c r="F33" s="51" cm="1">
        <f t="array" ref="F33">IF($C33=0,0,SUMPRODUCT(IF($O$3:$O$212=$A33,1,0),IF($S$3:$S$212=$B33,1,0),$T$3:$T$212,W$3:W$212)/$C33)</f>
        <v>-73.339999999999989</v>
      </c>
      <c r="G33" s="51" cm="1">
        <f t="array" ref="G33">IF($C33=0,0,SUMPRODUCT(IF($O$3:$O$212=$A33,1,0),IF($S$3:$S$212=$B33,1,0),$T$3:$T$212,X$3:X$212)/$C33)</f>
        <v>-237.22964985994389</v>
      </c>
      <c r="H33" s="31">
        <f t="shared" si="3"/>
        <v>1.9353969599999998</v>
      </c>
      <c r="I33" s="31">
        <f t="shared" si="4"/>
        <v>1.6699060358399995</v>
      </c>
      <c r="J33" s="31">
        <f t="shared" si="5"/>
        <v>5.401571096009409</v>
      </c>
      <c r="O33" t="s">
        <v>76</v>
      </c>
      <c r="P33" s="29" t="s">
        <v>88</v>
      </c>
      <c r="Q33" t="s">
        <v>217</v>
      </c>
      <c r="R33" t="s">
        <v>87</v>
      </c>
      <c r="S33">
        <v>2034</v>
      </c>
      <c r="T33" s="46">
        <f t="shared" si="7"/>
        <v>9.4872399999999992E-3</v>
      </c>
      <c r="U33" s="12">
        <f>T33*10000000000000/Assumptions!$B$16/10000000</f>
        <v>8679.9999999999982</v>
      </c>
      <c r="V33" s="13">
        <f>IFERROR(INDEX(Assumptions!C$112:C$113,MATCH(LEFT(Biogas!$P33,2),Assumptions!$B$112:$B$113,0))-SUMIFS($AH:$AH,$AE:$AE,"Total",$AB:$AB,$O33,$AF:$AF,$S33),0)</f>
        <v>-229.20999999999998</v>
      </c>
      <c r="W33" s="13">
        <f>IFERROR(INDEX(Assumptions!D$112:D$113,MATCH(LEFT(Biogas!$P33,2),Assumptions!$B$112:$B$113,0))-SUMIFS($AH:$AH,$AE:$AE,"Total",$AB:$AB,$O33,$AF:$AF,$S33),0)</f>
        <v>-211.71999999999997</v>
      </c>
      <c r="X33" s="13">
        <f>IFERROR(INDEX(Assumptions!E$112:E$113,MATCH(LEFT(Biogas!$P33,2),Assumptions!$B$112:$B$113,0))-SUMIFS($AH:$AH,$AE:$AE,"Total",$AB:$AB,$O33,$AF:$AF,$S33),0)</f>
        <v>-408.02697478991581</v>
      </c>
      <c r="AL33" s="36"/>
      <c r="AR33" s="29"/>
    </row>
    <row r="34" spans="1:44" x14ac:dyDescent="0.35">
      <c r="A34" t="s">
        <v>107</v>
      </c>
      <c r="B34">
        <v>2035</v>
      </c>
      <c r="C34" s="11">
        <f t="shared" si="0"/>
        <v>2.2769375999999997E-2</v>
      </c>
      <c r="D34" s="13">
        <f t="shared" si="1"/>
        <v>20831.999999999993</v>
      </c>
      <c r="E34" s="51" cm="1">
        <f t="array" ref="E34">IF($C34=0,0,SUMPRODUCT(IF($O$3:$O$212=$A34,1,0),IF($S$3:$S$212=$B34,1,0),$T$3:$T$212,V$3:V$212)/$C34)</f>
        <v>-85</v>
      </c>
      <c r="F34" s="51" cm="1">
        <f t="array" ref="F34">IF($C34=0,0,SUMPRODUCT(IF($O$3:$O$212=$A34,1,0),IF($S$3:$S$212=$B34,1,0),$T$3:$T$212,W$3:W$212)/$C34)</f>
        <v>-73.339999999999989</v>
      </c>
      <c r="G34" s="51" cm="1">
        <f t="array" ref="G34">IF($C34=0,0,SUMPRODUCT(IF($O$3:$O$212=$A34,1,0),IF($S$3:$S$212=$B34,1,0),$T$3:$T$212,X$3:X$212)/$C34)</f>
        <v>-237.22964985994389</v>
      </c>
      <c r="H34" s="31">
        <f t="shared" si="3"/>
        <v>1.9353969599999998</v>
      </c>
      <c r="I34" s="31">
        <f t="shared" si="4"/>
        <v>1.6699060358399995</v>
      </c>
      <c r="J34" s="31">
        <f t="shared" si="5"/>
        <v>5.401571096009409</v>
      </c>
      <c r="O34" t="s">
        <v>76</v>
      </c>
      <c r="P34" s="29" t="s">
        <v>88</v>
      </c>
      <c r="Q34" t="s">
        <v>217</v>
      </c>
      <c r="R34" t="s">
        <v>87</v>
      </c>
      <c r="S34">
        <v>2035</v>
      </c>
      <c r="T34" s="46">
        <f t="shared" si="7"/>
        <v>9.4872399999999992E-3</v>
      </c>
      <c r="U34" s="12">
        <f>T34*10000000000000/Assumptions!$B$16/10000000</f>
        <v>8679.9999999999982</v>
      </c>
      <c r="V34" s="13">
        <f>IFERROR(INDEX(Assumptions!C$112:C$113,MATCH(LEFT(Biogas!$P34,2),Assumptions!$B$112:$B$113,0))-SUMIFS($AH:$AH,$AE:$AE,"Total",$AB:$AB,$O34,$AF:$AF,$S34),0)</f>
        <v>-229.20999999999998</v>
      </c>
      <c r="W34" s="13">
        <f>IFERROR(INDEX(Assumptions!D$112:D$113,MATCH(LEFT(Biogas!$P34,2),Assumptions!$B$112:$B$113,0))-SUMIFS($AH:$AH,$AE:$AE,"Total",$AB:$AB,$O34,$AF:$AF,$S34),0)</f>
        <v>-211.71999999999997</v>
      </c>
      <c r="X34" s="13">
        <f>IFERROR(INDEX(Assumptions!E$112:E$113,MATCH(LEFT(Biogas!$P34,2),Assumptions!$B$112:$B$113,0))-SUMIFS($AH:$AH,$AE:$AE,"Total",$AB:$AB,$O34,$AF:$AF,$S34),0)</f>
        <v>-408.02697478991581</v>
      </c>
      <c r="AL34" s="36"/>
    </row>
    <row r="35" spans="1:44" x14ac:dyDescent="0.35">
      <c r="A35" t="s">
        <v>107</v>
      </c>
      <c r="B35">
        <v>2036</v>
      </c>
      <c r="C35" s="11">
        <f t="shared" si="0"/>
        <v>2.2769375999999997E-2</v>
      </c>
      <c r="D35" s="13">
        <f t="shared" si="1"/>
        <v>20831.999999999993</v>
      </c>
      <c r="E35" s="51" cm="1">
        <f t="array" ref="E35">IF($C35=0,0,SUMPRODUCT(IF($O$3:$O$212=$A35,1,0),IF($S$3:$S$212=$B35,1,0),$T$3:$T$212,V$3:V$212)/$C35)</f>
        <v>-85</v>
      </c>
      <c r="F35" s="51" cm="1">
        <f t="array" ref="F35">IF($C35=0,0,SUMPRODUCT(IF($O$3:$O$212=$A35,1,0),IF($S$3:$S$212=$B35,1,0),$T$3:$T$212,W$3:W$212)/$C35)</f>
        <v>-73.339999999999989</v>
      </c>
      <c r="G35" s="51" cm="1">
        <f t="array" ref="G35">IF($C35=0,0,SUMPRODUCT(IF($O$3:$O$212=$A35,1,0),IF($S$3:$S$212=$B35,1,0),$T$3:$T$212,X$3:X$212)/$C35)</f>
        <v>-237.22964985994389</v>
      </c>
      <c r="H35" s="31">
        <f t="shared" si="3"/>
        <v>1.9353969599999998</v>
      </c>
      <c r="I35" s="31">
        <f t="shared" si="4"/>
        <v>1.6699060358399995</v>
      </c>
      <c r="J35" s="31">
        <f t="shared" si="5"/>
        <v>5.401571096009409</v>
      </c>
      <c r="O35" t="s">
        <v>76</v>
      </c>
      <c r="P35" s="29" t="s">
        <v>88</v>
      </c>
      <c r="Q35" t="s">
        <v>217</v>
      </c>
      <c r="R35" t="s">
        <v>87</v>
      </c>
      <c r="S35">
        <v>2036</v>
      </c>
      <c r="T35" s="46">
        <f t="shared" si="7"/>
        <v>9.4872399999999992E-3</v>
      </c>
      <c r="U35" s="12">
        <f>T35*10000000000000/Assumptions!$B$16/10000000</f>
        <v>8679.9999999999982</v>
      </c>
      <c r="V35" s="13">
        <f>IFERROR(INDEX(Assumptions!C$112:C$113,MATCH(LEFT(Biogas!$P35,2),Assumptions!$B$112:$B$113,0))-SUMIFS($AH:$AH,$AE:$AE,"Total",$AB:$AB,$O35,$AF:$AF,$S35),0)</f>
        <v>-229.20999999999998</v>
      </c>
      <c r="W35" s="13">
        <f>IFERROR(INDEX(Assumptions!D$112:D$113,MATCH(LEFT(Biogas!$P35,2),Assumptions!$B$112:$B$113,0))-SUMIFS($AH:$AH,$AE:$AE,"Total",$AB:$AB,$O35,$AF:$AF,$S35),0)</f>
        <v>-211.71999999999997</v>
      </c>
      <c r="X35" s="13">
        <f>IFERROR(INDEX(Assumptions!E$112:E$113,MATCH(LEFT(Biogas!$P35,2),Assumptions!$B$112:$B$113,0))-SUMIFS($AH:$AH,$AE:$AE,"Total",$AB:$AB,$O35,$AF:$AF,$S35),0)</f>
        <v>-408.02697478991581</v>
      </c>
      <c r="AL35" s="36"/>
    </row>
    <row r="36" spans="1:44" x14ac:dyDescent="0.35">
      <c r="A36" t="s">
        <v>107</v>
      </c>
      <c r="B36">
        <v>2037</v>
      </c>
      <c r="C36" s="11">
        <f t="shared" si="0"/>
        <v>2.2769375999999997E-2</v>
      </c>
      <c r="D36" s="13">
        <f t="shared" si="1"/>
        <v>20831.999999999993</v>
      </c>
      <c r="E36" s="51" cm="1">
        <f t="array" ref="E36">IF($C36=0,0,SUMPRODUCT(IF($O$3:$O$212=$A36,1,0),IF($S$3:$S$212=$B36,1,0),$T$3:$T$212,V$3:V$212)/$C36)</f>
        <v>-85</v>
      </c>
      <c r="F36" s="51" cm="1">
        <f t="array" ref="F36">IF($C36=0,0,SUMPRODUCT(IF($O$3:$O$212=$A36,1,0),IF($S$3:$S$212=$B36,1,0),$T$3:$T$212,W$3:W$212)/$C36)</f>
        <v>-73.339999999999989</v>
      </c>
      <c r="G36" s="51" cm="1">
        <f t="array" ref="G36">IF($C36=0,0,SUMPRODUCT(IF($O$3:$O$212=$A36,1,0),IF($S$3:$S$212=$B36,1,0),$T$3:$T$212,X$3:X$212)/$C36)</f>
        <v>-237.22964985994389</v>
      </c>
      <c r="H36" s="31">
        <f t="shared" si="3"/>
        <v>1.9353969599999998</v>
      </c>
      <c r="I36" s="31">
        <f t="shared" si="4"/>
        <v>1.6699060358399995</v>
      </c>
      <c r="J36" s="31">
        <f t="shared" si="5"/>
        <v>5.401571096009409</v>
      </c>
      <c r="O36" t="s">
        <v>76</v>
      </c>
      <c r="P36" s="29" t="s">
        <v>88</v>
      </c>
      <c r="Q36" t="s">
        <v>217</v>
      </c>
      <c r="R36" t="s">
        <v>87</v>
      </c>
      <c r="S36">
        <v>2037</v>
      </c>
      <c r="T36" s="46">
        <f t="shared" si="7"/>
        <v>9.4872399999999992E-3</v>
      </c>
      <c r="U36" s="12">
        <f>T36*10000000000000/Assumptions!$B$16/10000000</f>
        <v>8679.9999999999982</v>
      </c>
      <c r="V36" s="13">
        <f>IFERROR(INDEX(Assumptions!C$112:C$113,MATCH(LEFT(Biogas!$P36,2),Assumptions!$B$112:$B$113,0))-SUMIFS($AH:$AH,$AE:$AE,"Total",$AB:$AB,$O36,$AF:$AF,$S36),0)</f>
        <v>-229.20999999999998</v>
      </c>
      <c r="W36" s="13">
        <f>IFERROR(INDEX(Assumptions!D$112:D$113,MATCH(LEFT(Biogas!$P36,2),Assumptions!$B$112:$B$113,0))-SUMIFS($AH:$AH,$AE:$AE,"Total",$AB:$AB,$O36,$AF:$AF,$S36),0)</f>
        <v>-211.71999999999997</v>
      </c>
      <c r="X36" s="13">
        <f>IFERROR(INDEX(Assumptions!E$112:E$113,MATCH(LEFT(Biogas!$P36,2),Assumptions!$B$112:$B$113,0))-SUMIFS($AH:$AH,$AE:$AE,"Total",$AB:$AB,$O36,$AF:$AF,$S36),0)</f>
        <v>-408.02697478991581</v>
      </c>
      <c r="AL36" s="36"/>
    </row>
    <row r="37" spans="1:44" x14ac:dyDescent="0.35">
      <c r="A37" t="s">
        <v>107</v>
      </c>
      <c r="B37">
        <v>2038</v>
      </c>
      <c r="C37" s="11">
        <f t="shared" si="0"/>
        <v>2.2769375999999997E-2</v>
      </c>
      <c r="D37" s="13">
        <f t="shared" si="1"/>
        <v>20831.999999999993</v>
      </c>
      <c r="E37" s="51" cm="1">
        <f t="array" ref="E37">IF($C37=0,0,SUMPRODUCT(IF($O$3:$O$212=$A37,1,0),IF($S$3:$S$212=$B37,1,0),$T$3:$T$212,V$3:V$212)/$C37)</f>
        <v>-85</v>
      </c>
      <c r="F37" s="51" cm="1">
        <f t="array" ref="F37">IF($C37=0,0,SUMPRODUCT(IF($O$3:$O$212=$A37,1,0),IF($S$3:$S$212=$B37,1,0),$T$3:$T$212,W$3:W$212)/$C37)</f>
        <v>-73.339999999999989</v>
      </c>
      <c r="G37" s="51" cm="1">
        <f t="array" ref="G37">IF($C37=0,0,SUMPRODUCT(IF($O$3:$O$212=$A37,1,0),IF($S$3:$S$212=$B37,1,0),$T$3:$T$212,X$3:X$212)/$C37)</f>
        <v>-237.22964985994389</v>
      </c>
      <c r="H37" s="31">
        <f t="shared" si="3"/>
        <v>1.9353969599999998</v>
      </c>
      <c r="I37" s="31">
        <f t="shared" si="4"/>
        <v>1.6699060358399995</v>
      </c>
      <c r="J37" s="31">
        <f t="shared" si="5"/>
        <v>5.401571096009409</v>
      </c>
      <c r="O37" t="s">
        <v>76</v>
      </c>
      <c r="P37" s="29" t="s">
        <v>88</v>
      </c>
      <c r="Q37" t="s">
        <v>217</v>
      </c>
      <c r="R37" t="s">
        <v>87</v>
      </c>
      <c r="S37">
        <v>2038</v>
      </c>
      <c r="T37" s="46">
        <f t="shared" si="7"/>
        <v>9.4872399999999992E-3</v>
      </c>
      <c r="U37" s="12">
        <f>T37*10000000000000/Assumptions!$B$16/10000000</f>
        <v>8679.9999999999982</v>
      </c>
      <c r="V37" s="13">
        <f>IFERROR(INDEX(Assumptions!C$112:C$113,MATCH(LEFT(Biogas!$P37,2),Assumptions!$B$112:$B$113,0))-SUMIFS($AH:$AH,$AE:$AE,"Total",$AB:$AB,$O37,$AF:$AF,$S37),0)</f>
        <v>-229.20999999999998</v>
      </c>
      <c r="W37" s="13">
        <f>IFERROR(INDEX(Assumptions!D$112:D$113,MATCH(LEFT(Biogas!$P37,2),Assumptions!$B$112:$B$113,0))-SUMIFS($AH:$AH,$AE:$AE,"Total",$AB:$AB,$O37,$AF:$AF,$S37),0)</f>
        <v>-211.71999999999997</v>
      </c>
      <c r="X37" s="13">
        <f>IFERROR(INDEX(Assumptions!E$112:E$113,MATCH(LEFT(Biogas!$P37,2),Assumptions!$B$112:$B$113,0))-SUMIFS($AH:$AH,$AE:$AE,"Total",$AB:$AB,$O37,$AF:$AF,$S37),0)</f>
        <v>-408.02697478991581</v>
      </c>
      <c r="AL37" s="36"/>
    </row>
    <row r="38" spans="1:44" x14ac:dyDescent="0.35">
      <c r="A38" t="s">
        <v>107</v>
      </c>
      <c r="B38">
        <v>2039</v>
      </c>
      <c r="C38" s="11">
        <f t="shared" si="0"/>
        <v>2.2769375999999997E-2</v>
      </c>
      <c r="D38" s="13">
        <f t="shared" si="1"/>
        <v>20831.999999999993</v>
      </c>
      <c r="E38" s="51" cm="1">
        <f t="array" ref="E38">IF($C38=0,0,SUMPRODUCT(IF($O$3:$O$212=$A38,1,0),IF($S$3:$S$212=$B38,1,0),$T$3:$T$212,V$3:V$212)/$C38)</f>
        <v>-85</v>
      </c>
      <c r="F38" s="51" cm="1">
        <f t="array" ref="F38">IF($C38=0,0,SUMPRODUCT(IF($O$3:$O$212=$A38,1,0),IF($S$3:$S$212=$B38,1,0),$T$3:$T$212,W$3:W$212)/$C38)</f>
        <v>-73.339999999999989</v>
      </c>
      <c r="G38" s="51" cm="1">
        <f t="array" ref="G38">IF($C38=0,0,SUMPRODUCT(IF($O$3:$O$212=$A38,1,0),IF($S$3:$S$212=$B38,1,0),$T$3:$T$212,X$3:X$212)/$C38)</f>
        <v>-237.22964985994389</v>
      </c>
      <c r="H38" s="31">
        <f t="shared" si="3"/>
        <v>1.9353969599999998</v>
      </c>
      <c r="I38" s="31">
        <f t="shared" si="4"/>
        <v>1.6699060358399995</v>
      </c>
      <c r="J38" s="31">
        <f t="shared" si="5"/>
        <v>5.401571096009409</v>
      </c>
      <c r="O38" t="s">
        <v>76</v>
      </c>
      <c r="P38" s="29" t="s">
        <v>88</v>
      </c>
      <c r="Q38" t="s">
        <v>217</v>
      </c>
      <c r="R38" t="s">
        <v>87</v>
      </c>
      <c r="S38">
        <v>2039</v>
      </c>
      <c r="T38" s="46">
        <f>T44/1.2</f>
        <v>9.4872399999999992E-3</v>
      </c>
      <c r="U38" s="12">
        <f>T38*10000000000000/Assumptions!$B$16/10000000</f>
        <v>8679.9999999999982</v>
      </c>
      <c r="V38" s="13">
        <f>IFERROR(INDEX(Assumptions!C$112:C$113,MATCH(LEFT(Biogas!$P38,2),Assumptions!$B$112:$B$113,0))-SUMIFS($AH:$AH,$AE:$AE,"Total",$AB:$AB,$O38,$AF:$AF,$S38),0)</f>
        <v>-229.20999999999998</v>
      </c>
      <c r="W38" s="13">
        <f>IFERROR(INDEX(Assumptions!D$112:D$113,MATCH(LEFT(Biogas!$P38,2),Assumptions!$B$112:$B$113,0))-SUMIFS($AH:$AH,$AE:$AE,"Total",$AB:$AB,$O38,$AF:$AF,$S38),0)</f>
        <v>-211.71999999999997</v>
      </c>
      <c r="X38" s="13">
        <f>IFERROR(INDEX(Assumptions!E$112:E$113,MATCH(LEFT(Biogas!$P38,2),Assumptions!$B$112:$B$113,0))-SUMIFS($AH:$AH,$AE:$AE,"Total",$AB:$AB,$O38,$AF:$AF,$S38),0)</f>
        <v>-408.02697478991581</v>
      </c>
      <c r="AL38" s="36"/>
    </row>
    <row r="39" spans="1:44" x14ac:dyDescent="0.35">
      <c r="A39" t="s">
        <v>107</v>
      </c>
      <c r="B39">
        <v>2040</v>
      </c>
      <c r="C39" s="11">
        <f t="shared" si="0"/>
        <v>3.4154063999999998E-2</v>
      </c>
      <c r="D39" s="13">
        <f t="shared" si="1"/>
        <v>31247.999999999993</v>
      </c>
      <c r="E39" s="51" cm="1">
        <f t="array" ref="E39">IF($C39=0,0,SUMPRODUCT(IF($O$3:$O$212=$A39,1,0),IF($S$3:$S$212=$B39,1,0),$T$3:$T$212,V$3:V$212)/$C39)</f>
        <v>-84.999999999999986</v>
      </c>
      <c r="F39" s="51" cm="1">
        <f t="array" ref="F39">IF($C39=0,0,SUMPRODUCT(IF($O$3:$O$212=$A39,1,0),IF($S$3:$S$212=$B39,1,0),$T$3:$T$212,W$3:W$212)/$C39)</f>
        <v>-73.34</v>
      </c>
      <c r="G39" s="51" cm="1">
        <f t="array" ref="G39">IF($C39=0,0,SUMPRODUCT(IF($O$3:$O$212=$A39,1,0),IF($S$3:$S$212=$B39,1,0),$T$3:$T$212,X$3:X$212)/$C39)</f>
        <v>-237.22964985994386</v>
      </c>
      <c r="H39" s="31">
        <f t="shared" si="3"/>
        <v>2.9030954399999995</v>
      </c>
      <c r="I39" s="31">
        <f t="shared" si="4"/>
        <v>2.5048590537600002</v>
      </c>
      <c r="J39" s="31">
        <f t="shared" si="5"/>
        <v>8.1023566440141135</v>
      </c>
      <c r="O39" t="s">
        <v>76</v>
      </c>
      <c r="P39" s="29" t="s">
        <v>88</v>
      </c>
      <c r="Q39" t="s">
        <v>217</v>
      </c>
      <c r="R39" t="s">
        <v>87</v>
      </c>
      <c r="S39">
        <v>2040</v>
      </c>
      <c r="T39" s="31">
        <f t="shared" ref="T39:T42" si="8">T40</f>
        <v>1.1384687999999999E-2</v>
      </c>
      <c r="U39" s="12">
        <f>T39*10000000000000/Assumptions!$B$16/10000000</f>
        <v>10415.999999999998</v>
      </c>
      <c r="V39" s="13">
        <f>IFERROR(INDEX(Assumptions!C$112:C$113,MATCH(LEFT(Biogas!$P39,2),Assumptions!$B$112:$B$113,0))-SUMIFS($AH:$AH,$AE:$AE,"Total",$AB:$AB,$O39,$AF:$AF,$S39),0)</f>
        <v>-229.20999999999998</v>
      </c>
      <c r="W39" s="13">
        <f>IFERROR(INDEX(Assumptions!D$112:D$113,MATCH(LEFT(Biogas!$P39,2),Assumptions!$B$112:$B$113,0))-SUMIFS($AH:$AH,$AE:$AE,"Total",$AB:$AB,$O39,$AF:$AF,$S39),0)</f>
        <v>-211.71999999999997</v>
      </c>
      <c r="X39" s="13">
        <f>IFERROR(INDEX(Assumptions!E$112:E$113,MATCH(LEFT(Biogas!$P39,2),Assumptions!$B$112:$B$113,0))-SUMIFS($AH:$AH,$AE:$AE,"Total",$AB:$AB,$O39,$AF:$AF,$S39),0)</f>
        <v>-408.02697478991581</v>
      </c>
      <c r="AL39" s="36"/>
    </row>
    <row r="40" spans="1:44" x14ac:dyDescent="0.35">
      <c r="A40" t="s">
        <v>107</v>
      </c>
      <c r="B40">
        <v>2041</v>
      </c>
      <c r="C40" s="11">
        <f t="shared" si="0"/>
        <v>3.4154063999999998E-2</v>
      </c>
      <c r="D40" s="13">
        <f t="shared" si="1"/>
        <v>31247.999999999993</v>
      </c>
      <c r="E40" s="51" cm="1">
        <f t="array" ref="E40">IF($C40=0,0,SUMPRODUCT(IF($O$3:$O$212=$A40,1,0),IF($S$3:$S$212=$B40,1,0),$T$3:$T$212,V$3:V$212)/$C40)</f>
        <v>-84.999999999999986</v>
      </c>
      <c r="F40" s="51" cm="1">
        <f t="array" ref="F40">IF($C40=0,0,SUMPRODUCT(IF($O$3:$O$212=$A40,1,0),IF($S$3:$S$212=$B40,1,0),$T$3:$T$212,W$3:W$212)/$C40)</f>
        <v>-73.34</v>
      </c>
      <c r="G40" s="51" cm="1">
        <f t="array" ref="G40">IF($C40=0,0,SUMPRODUCT(IF($O$3:$O$212=$A40,1,0),IF($S$3:$S$212=$B40,1,0),$T$3:$T$212,X$3:X$212)/$C40)</f>
        <v>-237.22964985994386</v>
      </c>
      <c r="H40" s="31">
        <f t="shared" si="3"/>
        <v>2.9030954399999995</v>
      </c>
      <c r="I40" s="31">
        <f t="shared" si="4"/>
        <v>2.5048590537600002</v>
      </c>
      <c r="J40" s="31">
        <f t="shared" si="5"/>
        <v>8.1023566440141135</v>
      </c>
      <c r="O40" t="s">
        <v>76</v>
      </c>
      <c r="P40" s="29" t="s">
        <v>88</v>
      </c>
      <c r="Q40" t="s">
        <v>217</v>
      </c>
      <c r="R40" t="s">
        <v>87</v>
      </c>
      <c r="S40">
        <v>2041</v>
      </c>
      <c r="T40" s="31">
        <f t="shared" si="8"/>
        <v>1.1384687999999999E-2</v>
      </c>
      <c r="U40" s="12">
        <f>T40*10000000000000/Assumptions!$B$16/10000000</f>
        <v>10415.999999999998</v>
      </c>
      <c r="V40" s="13">
        <f>IFERROR(INDEX(Assumptions!C$112:C$113,MATCH(LEFT(Biogas!$P40,2),Assumptions!$B$112:$B$113,0))-SUMIFS($AH:$AH,$AE:$AE,"Total",$AB:$AB,$O40,$AF:$AF,$S40),0)</f>
        <v>-229.20999999999998</v>
      </c>
      <c r="W40" s="13">
        <f>IFERROR(INDEX(Assumptions!D$112:D$113,MATCH(LEFT(Biogas!$P40,2),Assumptions!$B$112:$B$113,0))-SUMIFS($AH:$AH,$AE:$AE,"Total",$AB:$AB,$O40,$AF:$AF,$S40),0)</f>
        <v>-211.71999999999997</v>
      </c>
      <c r="X40" s="13">
        <f>IFERROR(INDEX(Assumptions!E$112:E$113,MATCH(LEFT(Biogas!$P40,2),Assumptions!$B$112:$B$113,0))-SUMIFS($AH:$AH,$AE:$AE,"Total",$AB:$AB,$O40,$AF:$AF,$S40),0)</f>
        <v>-408.02697478991581</v>
      </c>
      <c r="AL40" s="36"/>
    </row>
    <row r="41" spans="1:44" x14ac:dyDescent="0.35">
      <c r="A41" t="s">
        <v>107</v>
      </c>
      <c r="B41">
        <v>2042</v>
      </c>
      <c r="C41" s="11">
        <f t="shared" si="0"/>
        <v>3.4154063999999998E-2</v>
      </c>
      <c r="D41" s="13">
        <f t="shared" si="1"/>
        <v>31247.999999999993</v>
      </c>
      <c r="E41" s="51" cm="1">
        <f t="array" ref="E41">IF($C41=0,0,SUMPRODUCT(IF($O$3:$O$212=$A41,1,0),IF($S$3:$S$212=$B41,1,0),$T$3:$T$212,V$3:V$212)/$C41)</f>
        <v>-84.999999999999986</v>
      </c>
      <c r="F41" s="51" cm="1">
        <f t="array" ref="F41">IF($C41=0,0,SUMPRODUCT(IF($O$3:$O$212=$A41,1,0),IF($S$3:$S$212=$B41,1,0),$T$3:$T$212,W$3:W$212)/$C41)</f>
        <v>-73.34</v>
      </c>
      <c r="G41" s="51" cm="1">
        <f t="array" ref="G41">IF($C41=0,0,SUMPRODUCT(IF($O$3:$O$212=$A41,1,0),IF($S$3:$S$212=$B41,1,0),$T$3:$T$212,X$3:X$212)/$C41)</f>
        <v>-237.22964985994386</v>
      </c>
      <c r="H41" s="31">
        <f t="shared" si="3"/>
        <v>2.9030954399999995</v>
      </c>
      <c r="I41" s="31">
        <f t="shared" si="4"/>
        <v>2.5048590537600002</v>
      </c>
      <c r="J41" s="31">
        <f t="shared" si="5"/>
        <v>8.1023566440141135</v>
      </c>
      <c r="O41" t="s">
        <v>76</v>
      </c>
      <c r="P41" s="29" t="s">
        <v>88</v>
      </c>
      <c r="Q41" t="s">
        <v>217</v>
      </c>
      <c r="R41" t="s">
        <v>87</v>
      </c>
      <c r="S41">
        <v>2042</v>
      </c>
      <c r="T41" s="31">
        <f t="shared" si="8"/>
        <v>1.1384687999999999E-2</v>
      </c>
      <c r="U41" s="12">
        <f>T41*10000000000000/Assumptions!$B$16/10000000</f>
        <v>10415.999999999998</v>
      </c>
      <c r="V41" s="13">
        <f>IFERROR(INDEX(Assumptions!C$112:C$113,MATCH(LEFT(Biogas!$P41,2),Assumptions!$B$112:$B$113,0))-SUMIFS($AH:$AH,$AE:$AE,"Total",$AB:$AB,$O41,$AF:$AF,$S41),0)</f>
        <v>-229.20999999999998</v>
      </c>
      <c r="W41" s="13">
        <f>IFERROR(INDEX(Assumptions!D$112:D$113,MATCH(LEFT(Biogas!$P41,2),Assumptions!$B$112:$B$113,0))-SUMIFS($AH:$AH,$AE:$AE,"Total",$AB:$AB,$O41,$AF:$AF,$S41),0)</f>
        <v>-211.71999999999997</v>
      </c>
      <c r="X41" s="13">
        <f>IFERROR(INDEX(Assumptions!E$112:E$113,MATCH(LEFT(Biogas!$P41,2),Assumptions!$B$112:$B$113,0))-SUMIFS($AH:$AH,$AE:$AE,"Total",$AB:$AB,$O41,$AF:$AF,$S41),0)</f>
        <v>-408.02697478991581</v>
      </c>
      <c r="AL41" s="36"/>
    </row>
    <row r="42" spans="1:44" x14ac:dyDescent="0.35">
      <c r="A42" t="s">
        <v>107</v>
      </c>
      <c r="B42">
        <v>2043</v>
      </c>
      <c r="C42" s="11">
        <f t="shared" si="0"/>
        <v>3.4154063999999998E-2</v>
      </c>
      <c r="D42" s="13">
        <f t="shared" si="1"/>
        <v>31247.999999999993</v>
      </c>
      <c r="E42" s="51" cm="1">
        <f t="array" ref="E42">IF($C42=0,0,SUMPRODUCT(IF($O$3:$O$212=$A42,1,0),IF($S$3:$S$212=$B42,1,0),$T$3:$T$212,V$3:V$212)/$C42)</f>
        <v>-84.999999999999986</v>
      </c>
      <c r="F42" s="51" cm="1">
        <f t="array" ref="F42">IF($C42=0,0,SUMPRODUCT(IF($O$3:$O$212=$A42,1,0),IF($S$3:$S$212=$B42,1,0),$T$3:$T$212,W$3:W$212)/$C42)</f>
        <v>-73.34</v>
      </c>
      <c r="G42" s="51" cm="1">
        <f t="array" ref="G42">IF($C42=0,0,SUMPRODUCT(IF($O$3:$O$212=$A42,1,0),IF($S$3:$S$212=$B42,1,0),$T$3:$T$212,X$3:X$212)/$C42)</f>
        <v>-237.22964985994386</v>
      </c>
      <c r="H42" s="31">
        <f t="shared" si="3"/>
        <v>2.9030954399999995</v>
      </c>
      <c r="I42" s="31">
        <f t="shared" si="4"/>
        <v>2.5048590537600002</v>
      </c>
      <c r="J42" s="31">
        <f t="shared" si="5"/>
        <v>8.1023566440141135</v>
      </c>
      <c r="O42" t="s">
        <v>76</v>
      </c>
      <c r="P42" s="29" t="s">
        <v>88</v>
      </c>
      <c r="Q42" t="s">
        <v>217</v>
      </c>
      <c r="R42" t="s">
        <v>87</v>
      </c>
      <c r="S42">
        <v>2043</v>
      </c>
      <c r="T42" s="31">
        <f t="shared" si="8"/>
        <v>1.1384687999999999E-2</v>
      </c>
      <c r="U42" s="12">
        <f>T42*10000000000000/Assumptions!$B$16/10000000</f>
        <v>10415.999999999998</v>
      </c>
      <c r="V42" s="13">
        <f>IFERROR(INDEX(Assumptions!C$112:C$113,MATCH(LEFT(Biogas!$P42,2),Assumptions!$B$112:$B$113,0))-SUMIFS($AH:$AH,$AE:$AE,"Total",$AB:$AB,$O42,$AF:$AF,$S42),0)</f>
        <v>-229.20999999999998</v>
      </c>
      <c r="W42" s="13">
        <f>IFERROR(INDEX(Assumptions!D$112:D$113,MATCH(LEFT(Biogas!$P42,2),Assumptions!$B$112:$B$113,0))-SUMIFS($AH:$AH,$AE:$AE,"Total",$AB:$AB,$O42,$AF:$AF,$S42),0)</f>
        <v>-211.71999999999997</v>
      </c>
      <c r="X42" s="13">
        <f>IFERROR(INDEX(Assumptions!E$112:E$113,MATCH(LEFT(Biogas!$P42,2),Assumptions!$B$112:$B$113,0))-SUMIFS($AH:$AH,$AE:$AE,"Total",$AB:$AB,$O42,$AF:$AF,$S42),0)</f>
        <v>-408.02697478991581</v>
      </c>
      <c r="AL42" s="36"/>
    </row>
    <row r="43" spans="1:44" x14ac:dyDescent="0.35">
      <c r="A43" t="s">
        <v>107</v>
      </c>
      <c r="B43">
        <v>2044</v>
      </c>
      <c r="C43" s="11">
        <f t="shared" si="0"/>
        <v>3.4154063999999998E-2</v>
      </c>
      <c r="D43" s="13">
        <f t="shared" si="1"/>
        <v>31247.999999999993</v>
      </c>
      <c r="E43" s="51" cm="1">
        <f t="array" ref="E43">IF($C43=0,0,SUMPRODUCT(IF($O$3:$O$212=$A43,1,0),IF($S$3:$S$212=$B43,1,0),$T$3:$T$212,V$3:V$212)/$C43)</f>
        <v>-84.999999999999986</v>
      </c>
      <c r="F43" s="51" cm="1">
        <f t="array" ref="F43">IF($C43=0,0,SUMPRODUCT(IF($O$3:$O$212=$A43,1,0),IF($S$3:$S$212=$B43,1,0),$T$3:$T$212,W$3:W$212)/$C43)</f>
        <v>-73.34</v>
      </c>
      <c r="G43" s="51" cm="1">
        <f t="array" ref="G43">IF($C43=0,0,SUMPRODUCT(IF($O$3:$O$212=$A43,1,0),IF($S$3:$S$212=$B43,1,0),$T$3:$T$212,X$3:X$212)/$C43)</f>
        <v>-237.22964985994386</v>
      </c>
      <c r="H43" s="31">
        <f t="shared" si="3"/>
        <v>2.9030954399999995</v>
      </c>
      <c r="I43" s="31">
        <f t="shared" si="4"/>
        <v>2.5048590537600002</v>
      </c>
      <c r="J43" s="31">
        <f t="shared" si="5"/>
        <v>8.1023566440141135</v>
      </c>
      <c r="O43" t="s">
        <v>76</v>
      </c>
      <c r="P43" s="29" t="s">
        <v>88</v>
      </c>
      <c r="Q43" t="s">
        <v>217</v>
      </c>
      <c r="R43" t="s">
        <v>87</v>
      </c>
      <c r="S43">
        <v>2044</v>
      </c>
      <c r="T43" s="31">
        <f>T44</f>
        <v>1.1384687999999999E-2</v>
      </c>
      <c r="U43" s="12">
        <f>T43*10000000000000/Assumptions!$B$16/10000000</f>
        <v>10415.999999999998</v>
      </c>
      <c r="V43" s="13">
        <f>IFERROR(INDEX(Assumptions!C$112:C$113,MATCH(LEFT(Biogas!$P43,2),Assumptions!$B$112:$B$113,0))-SUMIFS($AH:$AH,$AE:$AE,"Total",$AB:$AB,$O43,$AF:$AF,$S43),0)</f>
        <v>-229.20999999999998</v>
      </c>
      <c r="W43" s="13">
        <f>IFERROR(INDEX(Assumptions!D$112:D$113,MATCH(LEFT(Biogas!$P43,2),Assumptions!$B$112:$B$113,0))-SUMIFS($AH:$AH,$AE:$AE,"Total",$AB:$AB,$O43,$AF:$AF,$S43),0)</f>
        <v>-211.71999999999997</v>
      </c>
      <c r="X43" s="13">
        <f>IFERROR(INDEX(Assumptions!E$112:E$113,MATCH(LEFT(Biogas!$P43,2),Assumptions!$B$112:$B$113,0))-SUMIFS($AH:$AH,$AE:$AE,"Total",$AB:$AB,$O43,$AF:$AF,$S43),0)</f>
        <v>-408.02697478991581</v>
      </c>
      <c r="AL43" s="36"/>
    </row>
    <row r="44" spans="1:44" x14ac:dyDescent="0.35">
      <c r="A44" t="s">
        <v>107</v>
      </c>
      <c r="B44">
        <v>2045</v>
      </c>
      <c r="C44" s="11">
        <f t="shared" si="0"/>
        <v>3.4154063999999998E-2</v>
      </c>
      <c r="D44" s="13">
        <f t="shared" si="1"/>
        <v>31247.999999999993</v>
      </c>
      <c r="E44" s="51" cm="1">
        <f t="array" ref="E44">IF($C44=0,0,SUMPRODUCT(IF($O$3:$O$212=$A44,1,0),IF($S$3:$S$212=$B44,1,0),$T$3:$T$212,V$3:V$212)/$C44)</f>
        <v>-84.999999999999986</v>
      </c>
      <c r="F44" s="51" cm="1">
        <f t="array" ref="F44">IF($C44=0,0,SUMPRODUCT(IF($O$3:$O$212=$A44,1,0),IF($S$3:$S$212=$B44,1,0),$T$3:$T$212,W$3:W$212)/$C44)</f>
        <v>-73.34</v>
      </c>
      <c r="G44" s="51" cm="1">
        <f t="array" ref="G44">IF($C44=0,0,SUMPRODUCT(IF($O$3:$O$212=$A44,1,0),IF($S$3:$S$212=$B44,1,0),$T$3:$T$212,X$3:X$212)/$C44)</f>
        <v>-237.22964985994386</v>
      </c>
      <c r="H44" s="31">
        <f t="shared" si="3"/>
        <v>2.9030954399999995</v>
      </c>
      <c r="I44" s="31">
        <f t="shared" si="4"/>
        <v>2.5048590537600002</v>
      </c>
      <c r="J44" s="31">
        <f t="shared" si="5"/>
        <v>8.1023566440141135</v>
      </c>
      <c r="O44" t="s">
        <v>76</v>
      </c>
      <c r="P44" s="29" t="s">
        <v>88</v>
      </c>
      <c r="Q44" t="s">
        <v>217</v>
      </c>
      <c r="R44" t="s">
        <v>87</v>
      </c>
      <c r="S44">
        <v>2045</v>
      </c>
      <c r="T44" s="55">
        <f>AP3</f>
        <v>1.1384687999999999E-2</v>
      </c>
      <c r="U44" s="12">
        <f>T44*10000000000000/Assumptions!$B$16/10000000</f>
        <v>10415.999999999998</v>
      </c>
      <c r="V44" s="13">
        <f>IFERROR(INDEX(Assumptions!C$112:C$113,MATCH(LEFT(Biogas!$P44,2),Assumptions!$B$112:$B$113,0))-SUMIFS($AH:$AH,$AE:$AE,"Total",$AB:$AB,$O44,$AF:$AF,$S44),0)</f>
        <v>-229.20999999999998</v>
      </c>
      <c r="W44" s="13">
        <f>IFERROR(INDEX(Assumptions!D$112:D$113,MATCH(LEFT(Biogas!$P44,2),Assumptions!$B$112:$B$113,0))-SUMIFS($AH:$AH,$AE:$AE,"Total",$AB:$AB,$O44,$AF:$AF,$S44),0)</f>
        <v>-211.71999999999997</v>
      </c>
      <c r="X44" s="13">
        <f>IFERROR(INDEX(Assumptions!E$112:E$113,MATCH(LEFT(Biogas!$P44,2),Assumptions!$B$112:$B$113,0))-SUMIFS($AH:$AH,$AE:$AE,"Total",$AB:$AB,$O44,$AF:$AF,$S44),0)</f>
        <v>-408.02697478991581</v>
      </c>
      <c r="AL44" s="36"/>
    </row>
    <row r="45" spans="1:44" x14ac:dyDescent="0.35">
      <c r="C45" s="11"/>
      <c r="D45" s="13"/>
      <c r="O45" t="s">
        <v>76</v>
      </c>
      <c r="P45" s="20" t="s">
        <v>91</v>
      </c>
      <c r="Q45" t="s">
        <v>217</v>
      </c>
      <c r="R45" t="s">
        <v>87</v>
      </c>
      <c r="S45">
        <v>2025</v>
      </c>
      <c r="T45" s="46">
        <f t="shared" ref="T45:T58" si="9">T51/1.5</f>
        <v>1.6866204444444444E-3</v>
      </c>
      <c r="U45" s="12">
        <f>T45*10000000000000/Assumptions!$B$16/10000000</f>
        <v>1543.1111111111111</v>
      </c>
      <c r="V45" s="13">
        <f>IFERROR(INDEX(Assumptions!C$112:C$113,MATCH(LEFT(Biogas!$P45,2),Assumptions!$B$112:$B$113,0))-SUMIFS($AH:$AH,$AE:$AE,"Total",$AB:$AB,$O45,$AF:$AF,$S45),0)</f>
        <v>-34.209999999999994</v>
      </c>
      <c r="W45" s="13">
        <f>IFERROR(INDEX(Assumptions!D$112:D$113,MATCH(LEFT(Biogas!$P45,2),Assumptions!$B$112:$B$113,0))-SUMIFS($AH:$AH,$AE:$AE,"Total",$AB:$AB,$O45,$AF:$AF,$S45),0)</f>
        <v>-34.209999999999994</v>
      </c>
      <c r="X45" s="13">
        <f>IFERROR(INDEX(Assumptions!E$112:E$113,MATCH(LEFT(Biogas!$P45,2),Assumptions!$B$112:$B$113,0))-SUMIFS($AH:$AH,$AE:$AE,"Total",$AB:$AB,$O45,$AF:$AF,$S45),0)</f>
        <v>-133.26499999999999</v>
      </c>
      <c r="AL45" s="36"/>
    </row>
    <row r="46" spans="1:44" x14ac:dyDescent="0.35">
      <c r="C46" s="11"/>
      <c r="D46" s="13"/>
      <c r="O46" t="s">
        <v>76</v>
      </c>
      <c r="P46" s="20" t="s">
        <v>91</v>
      </c>
      <c r="Q46" t="s">
        <v>217</v>
      </c>
      <c r="R46" t="s">
        <v>87</v>
      </c>
      <c r="S46">
        <v>2026</v>
      </c>
      <c r="T46" s="46">
        <f t="shared" si="9"/>
        <v>1.6866204444444444E-3</v>
      </c>
      <c r="U46" s="12">
        <f>T46*10000000000000/Assumptions!$B$16/10000000</f>
        <v>1543.1111111111111</v>
      </c>
      <c r="V46" s="13">
        <f>IFERROR(INDEX(Assumptions!C$112:C$113,MATCH(LEFT(Biogas!$P46,2),Assumptions!$B$112:$B$113,0))-SUMIFS($AH:$AH,$AE:$AE,"Total",$AB:$AB,$O46,$AF:$AF,$S46),0)</f>
        <v>-34.209999999999994</v>
      </c>
      <c r="W46" s="13">
        <f>IFERROR(INDEX(Assumptions!D$112:D$113,MATCH(LEFT(Biogas!$P46,2),Assumptions!$B$112:$B$113,0))-SUMIFS($AH:$AH,$AE:$AE,"Total",$AB:$AB,$O46,$AF:$AF,$S46),0)</f>
        <v>-34.209999999999994</v>
      </c>
      <c r="X46" s="13">
        <f>IFERROR(INDEX(Assumptions!E$112:E$113,MATCH(LEFT(Biogas!$P46,2),Assumptions!$B$112:$B$113,0))-SUMIFS($AH:$AH,$AE:$AE,"Total",$AB:$AB,$O46,$AF:$AF,$S46),0)</f>
        <v>-133.26499999999999</v>
      </c>
      <c r="AG46" s="2"/>
      <c r="AL46" s="36"/>
    </row>
    <row r="47" spans="1:44" x14ac:dyDescent="0.35">
      <c r="C47" s="11"/>
      <c r="D47" s="13"/>
      <c r="O47" t="s">
        <v>76</v>
      </c>
      <c r="P47" s="20" t="s">
        <v>91</v>
      </c>
      <c r="Q47" t="s">
        <v>217</v>
      </c>
      <c r="R47" t="s">
        <v>87</v>
      </c>
      <c r="S47">
        <v>2027</v>
      </c>
      <c r="T47" s="46">
        <f t="shared" si="9"/>
        <v>1.6866204444444444E-3</v>
      </c>
      <c r="U47" s="12">
        <f>T47*10000000000000/Assumptions!$B$16/10000000</f>
        <v>1543.1111111111111</v>
      </c>
      <c r="V47" s="13">
        <f>IFERROR(INDEX(Assumptions!C$112:C$113,MATCH(LEFT(Biogas!$P47,2),Assumptions!$B$112:$B$113,0))-SUMIFS($AH:$AH,$AE:$AE,"Total",$AB:$AB,$O47,$AF:$AF,$S47),0)</f>
        <v>-34.209999999999994</v>
      </c>
      <c r="W47" s="13">
        <f>IFERROR(INDEX(Assumptions!D$112:D$113,MATCH(LEFT(Biogas!$P47,2),Assumptions!$B$112:$B$113,0))-SUMIFS($AH:$AH,$AE:$AE,"Total",$AB:$AB,$O47,$AF:$AF,$S47),0)</f>
        <v>-34.209999999999994</v>
      </c>
      <c r="X47" s="13">
        <f>IFERROR(INDEX(Assumptions!E$112:E$113,MATCH(LEFT(Biogas!$P47,2),Assumptions!$B$112:$B$113,0))-SUMIFS($AH:$AH,$AE:$AE,"Total",$AB:$AB,$O47,$AF:$AF,$S47),0)</f>
        <v>-133.26499999999999</v>
      </c>
      <c r="AL47" s="36"/>
    </row>
    <row r="48" spans="1:44" x14ac:dyDescent="0.35">
      <c r="C48" s="11"/>
      <c r="D48" s="13"/>
      <c r="O48" t="s">
        <v>76</v>
      </c>
      <c r="P48" s="20" t="s">
        <v>91</v>
      </c>
      <c r="Q48" t="s">
        <v>217</v>
      </c>
      <c r="R48" t="s">
        <v>87</v>
      </c>
      <c r="S48">
        <v>2028</v>
      </c>
      <c r="T48" s="46">
        <f t="shared" si="9"/>
        <v>2.5299306666666664E-3</v>
      </c>
      <c r="U48" s="12">
        <f>T48*10000000000000/Assumptions!$B$16/10000000</f>
        <v>2314.6666666666665</v>
      </c>
      <c r="V48" s="13">
        <f>IFERROR(INDEX(Assumptions!C$112:C$113,MATCH(LEFT(Biogas!$P48,2),Assumptions!$B$112:$B$113,0))-SUMIFS($AH:$AH,$AE:$AE,"Total",$AB:$AB,$O48,$AF:$AF,$S48),0)</f>
        <v>-34.209999999999994</v>
      </c>
      <c r="W48" s="13">
        <f>IFERROR(INDEX(Assumptions!D$112:D$113,MATCH(LEFT(Biogas!$P48,2),Assumptions!$B$112:$B$113,0))-SUMIFS($AH:$AH,$AE:$AE,"Total",$AB:$AB,$O48,$AF:$AF,$S48),0)</f>
        <v>-34.209999999999994</v>
      </c>
      <c r="X48" s="13">
        <f>IFERROR(INDEX(Assumptions!E$112:E$113,MATCH(LEFT(Biogas!$P48,2),Assumptions!$B$112:$B$113,0))-SUMIFS($AH:$AH,$AE:$AE,"Total",$AB:$AB,$O48,$AF:$AF,$S48),0)</f>
        <v>-133.26499999999999</v>
      </c>
      <c r="AL48" s="36"/>
    </row>
    <row r="49" spans="3:38" x14ac:dyDescent="0.35">
      <c r="C49" s="11"/>
      <c r="D49" s="13"/>
      <c r="O49" t="s">
        <v>76</v>
      </c>
      <c r="P49" s="20" t="s">
        <v>91</v>
      </c>
      <c r="Q49" t="s">
        <v>217</v>
      </c>
      <c r="R49" t="s">
        <v>87</v>
      </c>
      <c r="S49">
        <v>2029</v>
      </c>
      <c r="T49" s="46">
        <f t="shared" si="9"/>
        <v>2.5299306666666664E-3</v>
      </c>
      <c r="U49" s="12">
        <f>T49*10000000000000/Assumptions!$B$16/10000000</f>
        <v>2314.6666666666665</v>
      </c>
      <c r="V49" s="13">
        <f>IFERROR(INDEX(Assumptions!C$112:C$113,MATCH(LEFT(Biogas!$P49,2),Assumptions!$B$112:$B$113,0))-SUMIFS($AH:$AH,$AE:$AE,"Total",$AB:$AB,$O49,$AF:$AF,$S49),0)</f>
        <v>-34.209999999999994</v>
      </c>
      <c r="W49" s="13">
        <f>IFERROR(INDEX(Assumptions!D$112:D$113,MATCH(LEFT(Biogas!$P49,2),Assumptions!$B$112:$B$113,0))-SUMIFS($AH:$AH,$AE:$AE,"Total",$AB:$AB,$O49,$AF:$AF,$S49),0)</f>
        <v>-34.209999999999994</v>
      </c>
      <c r="X49" s="13">
        <f>IFERROR(INDEX(Assumptions!E$112:E$113,MATCH(LEFT(Biogas!$P49,2),Assumptions!$B$112:$B$113,0))-SUMIFS($AH:$AH,$AE:$AE,"Total",$AB:$AB,$O49,$AF:$AF,$S49),0)</f>
        <v>-133.26499999999999</v>
      </c>
      <c r="AL49" s="36"/>
    </row>
    <row r="50" spans="3:38" x14ac:dyDescent="0.35">
      <c r="C50" s="11"/>
      <c r="D50" s="13"/>
      <c r="O50" t="s">
        <v>76</v>
      </c>
      <c r="P50" s="20" t="s">
        <v>91</v>
      </c>
      <c r="Q50" t="s">
        <v>217</v>
      </c>
      <c r="R50" t="s">
        <v>87</v>
      </c>
      <c r="S50">
        <v>2030</v>
      </c>
      <c r="T50" s="46">
        <f t="shared" si="9"/>
        <v>2.5299306666666664E-3</v>
      </c>
      <c r="U50" s="12">
        <f>T50*10000000000000/Assumptions!$B$16/10000000</f>
        <v>2314.6666666666665</v>
      </c>
      <c r="V50" s="13">
        <f>IFERROR(INDEX(Assumptions!C$112:C$113,MATCH(LEFT(Biogas!$P50,2),Assumptions!$B$112:$B$113,0))-SUMIFS($AH:$AH,$AE:$AE,"Total",$AB:$AB,$O50,$AF:$AF,$S50),0)</f>
        <v>-34.209999999999994</v>
      </c>
      <c r="W50" s="13">
        <f>IFERROR(INDEX(Assumptions!D$112:D$113,MATCH(LEFT(Biogas!$P50,2),Assumptions!$B$112:$B$113,0))-SUMIFS($AH:$AH,$AE:$AE,"Total",$AB:$AB,$O50,$AF:$AF,$S50),0)</f>
        <v>-34.209999999999994</v>
      </c>
      <c r="X50" s="13">
        <f>IFERROR(INDEX(Assumptions!E$112:E$113,MATCH(LEFT(Biogas!$P50,2),Assumptions!$B$112:$B$113,0))-SUMIFS($AH:$AH,$AE:$AE,"Total",$AB:$AB,$O50,$AF:$AF,$S50),0)</f>
        <v>-133.26499999999999</v>
      </c>
      <c r="AL50" s="36"/>
    </row>
    <row r="51" spans="3:38" x14ac:dyDescent="0.35">
      <c r="C51" s="11"/>
      <c r="D51" s="13"/>
      <c r="O51" t="s">
        <v>76</v>
      </c>
      <c r="P51" s="20" t="s">
        <v>91</v>
      </c>
      <c r="Q51" t="s">
        <v>217</v>
      </c>
      <c r="R51" t="s">
        <v>87</v>
      </c>
      <c r="S51">
        <v>2031</v>
      </c>
      <c r="T51" s="46">
        <f t="shared" si="9"/>
        <v>2.5299306666666664E-3</v>
      </c>
      <c r="U51" s="12">
        <f>T51*10000000000000/Assumptions!$B$16/10000000</f>
        <v>2314.6666666666665</v>
      </c>
      <c r="V51" s="13">
        <f>IFERROR(INDEX(Assumptions!C$112:C$113,MATCH(LEFT(Biogas!$P51,2),Assumptions!$B$112:$B$113,0))-SUMIFS($AH:$AH,$AE:$AE,"Total",$AB:$AB,$O51,$AF:$AF,$S51),0)</f>
        <v>-34.209999999999994</v>
      </c>
      <c r="W51" s="13">
        <f>IFERROR(INDEX(Assumptions!D$112:D$113,MATCH(LEFT(Biogas!$P51,2),Assumptions!$B$112:$B$113,0))-SUMIFS($AH:$AH,$AE:$AE,"Total",$AB:$AB,$O51,$AF:$AF,$S51),0)</f>
        <v>-34.209999999999994</v>
      </c>
      <c r="X51" s="13">
        <f>IFERROR(INDEX(Assumptions!E$112:E$113,MATCH(LEFT(Biogas!$P51,2),Assumptions!$B$112:$B$113,0))-SUMIFS($AH:$AH,$AE:$AE,"Total",$AB:$AB,$O51,$AF:$AF,$S51),0)</f>
        <v>-133.26499999999999</v>
      </c>
      <c r="AL51" s="36"/>
    </row>
    <row r="52" spans="3:38" x14ac:dyDescent="0.35">
      <c r="C52" s="11"/>
      <c r="D52" s="13"/>
      <c r="O52" t="s">
        <v>76</v>
      </c>
      <c r="P52" s="20" t="s">
        <v>91</v>
      </c>
      <c r="Q52" t="s">
        <v>217</v>
      </c>
      <c r="R52" t="s">
        <v>87</v>
      </c>
      <c r="S52">
        <v>2032</v>
      </c>
      <c r="T52" s="46">
        <f t="shared" si="9"/>
        <v>2.5299306666666664E-3</v>
      </c>
      <c r="U52" s="12">
        <f>T52*10000000000000/Assumptions!$B$16/10000000</f>
        <v>2314.6666666666665</v>
      </c>
      <c r="V52" s="13">
        <f>IFERROR(INDEX(Assumptions!C$112:C$113,MATCH(LEFT(Biogas!$P52,2),Assumptions!$B$112:$B$113,0))-SUMIFS($AH:$AH,$AE:$AE,"Total",$AB:$AB,$O52,$AF:$AF,$S52),0)</f>
        <v>-34.209999999999994</v>
      </c>
      <c r="W52" s="13">
        <f>IFERROR(INDEX(Assumptions!D$112:D$113,MATCH(LEFT(Biogas!$P52,2),Assumptions!$B$112:$B$113,0))-SUMIFS($AH:$AH,$AE:$AE,"Total",$AB:$AB,$O52,$AF:$AF,$S52),0)</f>
        <v>-34.209999999999994</v>
      </c>
      <c r="X52" s="13">
        <f>IFERROR(INDEX(Assumptions!E$112:E$113,MATCH(LEFT(Biogas!$P52,2),Assumptions!$B$112:$B$113,0))-SUMIFS($AH:$AH,$AE:$AE,"Total",$AB:$AB,$O52,$AF:$AF,$S52),0)</f>
        <v>-133.26499999999999</v>
      </c>
      <c r="AL52" s="36"/>
    </row>
    <row r="53" spans="3:38" x14ac:dyDescent="0.35">
      <c r="C53" s="11"/>
      <c r="D53" s="13"/>
      <c r="O53" t="s">
        <v>76</v>
      </c>
      <c r="P53" s="20" t="s">
        <v>91</v>
      </c>
      <c r="Q53" t="s">
        <v>217</v>
      </c>
      <c r="R53" t="s">
        <v>87</v>
      </c>
      <c r="S53">
        <v>2033</v>
      </c>
      <c r="T53" s="46">
        <f t="shared" si="9"/>
        <v>2.5299306666666664E-3</v>
      </c>
      <c r="U53" s="12">
        <f>T53*10000000000000/Assumptions!$B$16/10000000</f>
        <v>2314.6666666666665</v>
      </c>
      <c r="V53" s="13">
        <f>IFERROR(INDEX(Assumptions!C$112:C$113,MATCH(LEFT(Biogas!$P53,2),Assumptions!$B$112:$B$113,0))-SUMIFS($AH:$AH,$AE:$AE,"Total",$AB:$AB,$O53,$AF:$AF,$S53),0)</f>
        <v>-34.209999999999994</v>
      </c>
      <c r="W53" s="13">
        <f>IFERROR(INDEX(Assumptions!D$112:D$113,MATCH(LEFT(Biogas!$P53,2),Assumptions!$B$112:$B$113,0))-SUMIFS($AH:$AH,$AE:$AE,"Total",$AB:$AB,$O53,$AF:$AF,$S53),0)</f>
        <v>-34.209999999999994</v>
      </c>
      <c r="X53" s="13">
        <f>IFERROR(INDEX(Assumptions!E$112:E$113,MATCH(LEFT(Biogas!$P53,2),Assumptions!$B$112:$B$113,0))-SUMIFS($AH:$AH,$AE:$AE,"Total",$AB:$AB,$O53,$AF:$AF,$S53),0)</f>
        <v>-133.26499999999999</v>
      </c>
      <c r="AL53" s="36"/>
    </row>
    <row r="54" spans="3:38" x14ac:dyDescent="0.35">
      <c r="C54" s="11"/>
      <c r="D54" s="13"/>
      <c r="O54" t="s">
        <v>76</v>
      </c>
      <c r="P54" s="20" t="s">
        <v>91</v>
      </c>
      <c r="Q54" t="s">
        <v>217</v>
      </c>
      <c r="R54" t="s">
        <v>87</v>
      </c>
      <c r="S54">
        <v>2034</v>
      </c>
      <c r="T54" s="46">
        <f t="shared" si="9"/>
        <v>3.7948959999999994E-3</v>
      </c>
      <c r="U54" s="12">
        <f>T54*10000000000000/Assumptions!$B$16/10000000</f>
        <v>3471.9999999999991</v>
      </c>
      <c r="V54" s="13">
        <f>IFERROR(INDEX(Assumptions!C$112:C$113,MATCH(LEFT(Biogas!$P54,2),Assumptions!$B$112:$B$113,0))-SUMIFS($AH:$AH,$AE:$AE,"Total",$AB:$AB,$O54,$AF:$AF,$S54),0)</f>
        <v>-34.209999999999994</v>
      </c>
      <c r="W54" s="13">
        <f>IFERROR(INDEX(Assumptions!D$112:D$113,MATCH(LEFT(Biogas!$P54,2),Assumptions!$B$112:$B$113,0))-SUMIFS($AH:$AH,$AE:$AE,"Total",$AB:$AB,$O54,$AF:$AF,$S54),0)</f>
        <v>-34.209999999999994</v>
      </c>
      <c r="X54" s="13">
        <f>IFERROR(INDEX(Assumptions!E$112:E$113,MATCH(LEFT(Biogas!$P54,2),Assumptions!$B$112:$B$113,0))-SUMIFS($AH:$AH,$AE:$AE,"Total",$AB:$AB,$O54,$AF:$AF,$S54),0)</f>
        <v>-133.26499999999999</v>
      </c>
      <c r="AL54" s="36"/>
    </row>
    <row r="55" spans="3:38" x14ac:dyDescent="0.35">
      <c r="C55" s="11"/>
      <c r="D55" s="13"/>
      <c r="O55" t="s">
        <v>76</v>
      </c>
      <c r="P55" s="20" t="s">
        <v>91</v>
      </c>
      <c r="Q55" t="s">
        <v>217</v>
      </c>
      <c r="R55" t="s">
        <v>87</v>
      </c>
      <c r="S55">
        <v>2035</v>
      </c>
      <c r="T55" s="46">
        <f t="shared" si="9"/>
        <v>3.7948959999999994E-3</v>
      </c>
      <c r="U55" s="12">
        <f>T55*10000000000000/Assumptions!$B$16/10000000</f>
        <v>3471.9999999999991</v>
      </c>
      <c r="V55" s="13">
        <f>IFERROR(INDEX(Assumptions!C$112:C$113,MATCH(LEFT(Biogas!$P55,2),Assumptions!$B$112:$B$113,0))-SUMIFS($AH:$AH,$AE:$AE,"Total",$AB:$AB,$O55,$AF:$AF,$S55),0)</f>
        <v>-34.209999999999994</v>
      </c>
      <c r="W55" s="13">
        <f>IFERROR(INDEX(Assumptions!D$112:D$113,MATCH(LEFT(Biogas!$P55,2),Assumptions!$B$112:$B$113,0))-SUMIFS($AH:$AH,$AE:$AE,"Total",$AB:$AB,$O55,$AF:$AF,$S55),0)</f>
        <v>-34.209999999999994</v>
      </c>
      <c r="X55" s="13">
        <f>IFERROR(INDEX(Assumptions!E$112:E$113,MATCH(LEFT(Biogas!$P55,2),Assumptions!$B$112:$B$113,0))-SUMIFS($AH:$AH,$AE:$AE,"Total",$AB:$AB,$O55,$AF:$AF,$S55),0)</f>
        <v>-133.26499999999999</v>
      </c>
    </row>
    <row r="56" spans="3:38" x14ac:dyDescent="0.35">
      <c r="C56" s="11"/>
      <c r="D56" s="13"/>
      <c r="O56" t="s">
        <v>76</v>
      </c>
      <c r="P56" s="20" t="s">
        <v>91</v>
      </c>
      <c r="Q56" t="s">
        <v>217</v>
      </c>
      <c r="R56" t="s">
        <v>87</v>
      </c>
      <c r="S56">
        <v>2036</v>
      </c>
      <c r="T56" s="46">
        <f t="shared" si="9"/>
        <v>3.7948959999999994E-3</v>
      </c>
      <c r="U56" s="12">
        <f>T56*10000000000000/Assumptions!$B$16/10000000</f>
        <v>3471.9999999999991</v>
      </c>
      <c r="V56" s="13">
        <f>IFERROR(INDEX(Assumptions!C$112:C$113,MATCH(LEFT(Biogas!$P56,2),Assumptions!$B$112:$B$113,0))-SUMIFS($AH:$AH,$AE:$AE,"Total",$AB:$AB,$O56,$AF:$AF,$S56),0)</f>
        <v>-34.209999999999994</v>
      </c>
      <c r="W56" s="13">
        <f>IFERROR(INDEX(Assumptions!D$112:D$113,MATCH(LEFT(Biogas!$P56,2),Assumptions!$B$112:$B$113,0))-SUMIFS($AH:$AH,$AE:$AE,"Total",$AB:$AB,$O56,$AF:$AF,$S56),0)</f>
        <v>-34.209999999999994</v>
      </c>
      <c r="X56" s="13">
        <f>IFERROR(INDEX(Assumptions!E$112:E$113,MATCH(LEFT(Biogas!$P56,2),Assumptions!$B$112:$B$113,0))-SUMIFS($AH:$AH,$AE:$AE,"Total",$AB:$AB,$O56,$AF:$AF,$S56),0)</f>
        <v>-133.26499999999999</v>
      </c>
    </row>
    <row r="57" spans="3:38" x14ac:dyDescent="0.35">
      <c r="C57" s="11"/>
      <c r="D57" s="13"/>
      <c r="O57" t="s">
        <v>76</v>
      </c>
      <c r="P57" s="20" t="s">
        <v>91</v>
      </c>
      <c r="Q57" t="s">
        <v>217</v>
      </c>
      <c r="R57" t="s">
        <v>87</v>
      </c>
      <c r="S57">
        <v>2037</v>
      </c>
      <c r="T57" s="46">
        <f t="shared" si="9"/>
        <v>3.7948959999999994E-3</v>
      </c>
      <c r="U57" s="12">
        <f>T57*10000000000000/Assumptions!$B$16/10000000</f>
        <v>3471.9999999999991</v>
      </c>
      <c r="V57" s="13">
        <f>IFERROR(INDEX(Assumptions!C$112:C$113,MATCH(LEFT(Biogas!$P57,2),Assumptions!$B$112:$B$113,0))-SUMIFS($AH:$AH,$AE:$AE,"Total",$AB:$AB,$O57,$AF:$AF,$S57),0)</f>
        <v>-34.209999999999994</v>
      </c>
      <c r="W57" s="13">
        <f>IFERROR(INDEX(Assumptions!D$112:D$113,MATCH(LEFT(Biogas!$P57,2),Assumptions!$B$112:$B$113,0))-SUMIFS($AH:$AH,$AE:$AE,"Total",$AB:$AB,$O57,$AF:$AF,$S57),0)</f>
        <v>-34.209999999999994</v>
      </c>
      <c r="X57" s="13">
        <f>IFERROR(INDEX(Assumptions!E$112:E$113,MATCH(LEFT(Biogas!$P57,2),Assumptions!$B$112:$B$113,0))-SUMIFS($AH:$AH,$AE:$AE,"Total",$AB:$AB,$O57,$AF:$AF,$S57),0)</f>
        <v>-133.26499999999999</v>
      </c>
    </row>
    <row r="58" spans="3:38" x14ac:dyDescent="0.35">
      <c r="C58" s="11"/>
      <c r="D58" s="13"/>
      <c r="O58" t="s">
        <v>76</v>
      </c>
      <c r="P58" s="20" t="s">
        <v>91</v>
      </c>
      <c r="Q58" t="s">
        <v>217</v>
      </c>
      <c r="R58" t="s">
        <v>87</v>
      </c>
      <c r="S58">
        <v>2038</v>
      </c>
      <c r="T58" s="46">
        <f t="shared" si="9"/>
        <v>3.7948959999999994E-3</v>
      </c>
      <c r="U58" s="12">
        <f>T58*10000000000000/Assumptions!$B$16/10000000</f>
        <v>3471.9999999999991</v>
      </c>
      <c r="V58" s="13">
        <f>IFERROR(INDEX(Assumptions!C$112:C$113,MATCH(LEFT(Biogas!$P58,2),Assumptions!$B$112:$B$113,0))-SUMIFS($AH:$AH,$AE:$AE,"Total",$AB:$AB,$O58,$AF:$AF,$S58),0)</f>
        <v>-34.209999999999994</v>
      </c>
      <c r="W58" s="13">
        <f>IFERROR(INDEX(Assumptions!D$112:D$113,MATCH(LEFT(Biogas!$P58,2),Assumptions!$B$112:$B$113,0))-SUMIFS($AH:$AH,$AE:$AE,"Total",$AB:$AB,$O58,$AF:$AF,$S58),0)</f>
        <v>-34.209999999999994</v>
      </c>
      <c r="X58" s="13">
        <f>IFERROR(INDEX(Assumptions!E$112:E$113,MATCH(LEFT(Biogas!$P58,2),Assumptions!$B$112:$B$113,0))-SUMIFS($AH:$AH,$AE:$AE,"Total",$AB:$AB,$O58,$AF:$AF,$S58),0)</f>
        <v>-133.26499999999999</v>
      </c>
    </row>
    <row r="59" spans="3:38" x14ac:dyDescent="0.35">
      <c r="C59" s="11"/>
      <c r="D59" s="13"/>
      <c r="O59" t="s">
        <v>76</v>
      </c>
      <c r="P59" s="20" t="s">
        <v>91</v>
      </c>
      <c r="Q59" t="s">
        <v>217</v>
      </c>
      <c r="R59" t="s">
        <v>87</v>
      </c>
      <c r="S59">
        <v>2039</v>
      </c>
      <c r="T59" s="46">
        <f>T65/1.5</f>
        <v>3.7948959999999994E-3</v>
      </c>
      <c r="U59" s="12">
        <f>T59*10000000000000/Assumptions!$B$16/10000000</f>
        <v>3471.9999999999991</v>
      </c>
      <c r="V59" s="13">
        <f>IFERROR(INDEX(Assumptions!C$112:C$113,MATCH(LEFT(Biogas!$P59,2),Assumptions!$B$112:$B$113,0))-SUMIFS($AH:$AH,$AE:$AE,"Total",$AB:$AB,$O59,$AF:$AF,$S59),0)</f>
        <v>-34.209999999999994</v>
      </c>
      <c r="W59" s="13">
        <f>IFERROR(INDEX(Assumptions!D$112:D$113,MATCH(LEFT(Biogas!$P59,2),Assumptions!$B$112:$B$113,0))-SUMIFS($AH:$AH,$AE:$AE,"Total",$AB:$AB,$O59,$AF:$AF,$S59),0)</f>
        <v>-34.209999999999994</v>
      </c>
      <c r="X59" s="13">
        <f>IFERROR(INDEX(Assumptions!E$112:E$113,MATCH(LEFT(Biogas!$P59,2),Assumptions!$B$112:$B$113,0))-SUMIFS($AH:$AH,$AE:$AE,"Total",$AB:$AB,$O59,$AF:$AF,$S59),0)</f>
        <v>-133.26499999999999</v>
      </c>
    </row>
    <row r="60" spans="3:38" x14ac:dyDescent="0.35">
      <c r="C60" s="11"/>
      <c r="D60" s="13"/>
      <c r="O60" t="s">
        <v>76</v>
      </c>
      <c r="P60" s="20" t="s">
        <v>91</v>
      </c>
      <c r="Q60" t="s">
        <v>217</v>
      </c>
      <c r="R60" t="s">
        <v>87</v>
      </c>
      <c r="S60">
        <v>2040</v>
      </c>
      <c r="T60" s="31">
        <f t="shared" ref="T60:T63" si="10">T61</f>
        <v>5.6923439999999994E-3</v>
      </c>
      <c r="U60" s="12">
        <f>T60*10000000000000/Assumptions!$B$16/10000000</f>
        <v>5207.9999999999991</v>
      </c>
      <c r="V60" s="13">
        <f>IFERROR(INDEX(Assumptions!C$112:C$113,MATCH(LEFT(Biogas!$P60,2),Assumptions!$B$112:$B$113,0))-SUMIFS($AH:$AH,$AE:$AE,"Total",$AB:$AB,$O60,$AF:$AF,$S60),0)</f>
        <v>-34.209999999999994</v>
      </c>
      <c r="W60" s="13">
        <f>IFERROR(INDEX(Assumptions!D$112:D$113,MATCH(LEFT(Biogas!$P60,2),Assumptions!$B$112:$B$113,0))-SUMIFS($AH:$AH,$AE:$AE,"Total",$AB:$AB,$O60,$AF:$AF,$S60),0)</f>
        <v>-34.209999999999994</v>
      </c>
      <c r="X60" s="13">
        <f>IFERROR(INDEX(Assumptions!E$112:E$113,MATCH(LEFT(Biogas!$P60,2),Assumptions!$B$112:$B$113,0))-SUMIFS($AH:$AH,$AE:$AE,"Total",$AB:$AB,$O60,$AF:$AF,$S60),0)</f>
        <v>-133.26499999999999</v>
      </c>
    </row>
    <row r="61" spans="3:38" x14ac:dyDescent="0.35">
      <c r="C61" s="11"/>
      <c r="D61" s="13"/>
      <c r="O61" t="s">
        <v>76</v>
      </c>
      <c r="P61" s="20" t="s">
        <v>91</v>
      </c>
      <c r="Q61" t="s">
        <v>217</v>
      </c>
      <c r="R61" t="s">
        <v>87</v>
      </c>
      <c r="S61">
        <v>2041</v>
      </c>
      <c r="T61" s="31">
        <f t="shared" si="10"/>
        <v>5.6923439999999994E-3</v>
      </c>
      <c r="U61" s="12">
        <f>T61*10000000000000/Assumptions!$B$16/10000000</f>
        <v>5207.9999999999991</v>
      </c>
      <c r="V61" s="13">
        <f>IFERROR(INDEX(Assumptions!C$112:C$113,MATCH(LEFT(Biogas!$P61,2),Assumptions!$B$112:$B$113,0))-SUMIFS($AH:$AH,$AE:$AE,"Total",$AB:$AB,$O61,$AF:$AF,$S61),0)</f>
        <v>-34.209999999999994</v>
      </c>
      <c r="W61" s="13">
        <f>IFERROR(INDEX(Assumptions!D$112:D$113,MATCH(LEFT(Biogas!$P61,2),Assumptions!$B$112:$B$113,0))-SUMIFS($AH:$AH,$AE:$AE,"Total",$AB:$AB,$O61,$AF:$AF,$S61),0)</f>
        <v>-34.209999999999994</v>
      </c>
      <c r="X61" s="13">
        <f>IFERROR(INDEX(Assumptions!E$112:E$113,MATCH(LEFT(Biogas!$P61,2),Assumptions!$B$112:$B$113,0))-SUMIFS($AH:$AH,$AE:$AE,"Total",$AB:$AB,$O61,$AF:$AF,$S61),0)</f>
        <v>-133.26499999999999</v>
      </c>
    </row>
    <row r="62" spans="3:38" x14ac:dyDescent="0.35">
      <c r="C62" s="11"/>
      <c r="D62" s="13"/>
      <c r="O62" t="s">
        <v>76</v>
      </c>
      <c r="P62" s="20" t="s">
        <v>91</v>
      </c>
      <c r="Q62" t="s">
        <v>217</v>
      </c>
      <c r="R62" t="s">
        <v>87</v>
      </c>
      <c r="S62">
        <v>2042</v>
      </c>
      <c r="T62" s="31">
        <f t="shared" si="10"/>
        <v>5.6923439999999994E-3</v>
      </c>
      <c r="U62" s="12">
        <f>T62*10000000000000/Assumptions!$B$16/10000000</f>
        <v>5207.9999999999991</v>
      </c>
      <c r="V62" s="13">
        <f>IFERROR(INDEX(Assumptions!C$112:C$113,MATCH(LEFT(Biogas!$P62,2),Assumptions!$B$112:$B$113,0))-SUMIFS($AH:$AH,$AE:$AE,"Total",$AB:$AB,$O62,$AF:$AF,$S62),0)</f>
        <v>-34.209999999999994</v>
      </c>
      <c r="W62" s="13">
        <f>IFERROR(INDEX(Assumptions!D$112:D$113,MATCH(LEFT(Biogas!$P62,2),Assumptions!$B$112:$B$113,0))-SUMIFS($AH:$AH,$AE:$AE,"Total",$AB:$AB,$O62,$AF:$AF,$S62),0)</f>
        <v>-34.209999999999994</v>
      </c>
      <c r="X62" s="13">
        <f>IFERROR(INDEX(Assumptions!E$112:E$113,MATCH(LEFT(Biogas!$P62,2),Assumptions!$B$112:$B$113,0))-SUMIFS($AH:$AH,$AE:$AE,"Total",$AB:$AB,$O62,$AF:$AF,$S62),0)</f>
        <v>-133.26499999999999</v>
      </c>
    </row>
    <row r="63" spans="3:38" x14ac:dyDescent="0.35">
      <c r="C63" s="11"/>
      <c r="D63" s="13"/>
      <c r="O63" t="s">
        <v>76</v>
      </c>
      <c r="P63" s="20" t="s">
        <v>91</v>
      </c>
      <c r="Q63" t="s">
        <v>217</v>
      </c>
      <c r="R63" t="s">
        <v>87</v>
      </c>
      <c r="S63">
        <v>2043</v>
      </c>
      <c r="T63" s="31">
        <f t="shared" si="10"/>
        <v>5.6923439999999994E-3</v>
      </c>
      <c r="U63" s="12">
        <f>T63*10000000000000/Assumptions!$B$16/10000000</f>
        <v>5207.9999999999991</v>
      </c>
      <c r="V63" s="13">
        <f>IFERROR(INDEX(Assumptions!C$112:C$113,MATCH(LEFT(Biogas!$P63,2),Assumptions!$B$112:$B$113,0))-SUMIFS($AH:$AH,$AE:$AE,"Total",$AB:$AB,$O63,$AF:$AF,$S63),0)</f>
        <v>-34.209999999999994</v>
      </c>
      <c r="W63" s="13">
        <f>IFERROR(INDEX(Assumptions!D$112:D$113,MATCH(LEFT(Biogas!$P63,2),Assumptions!$B$112:$B$113,0))-SUMIFS($AH:$AH,$AE:$AE,"Total",$AB:$AB,$O63,$AF:$AF,$S63),0)</f>
        <v>-34.209999999999994</v>
      </c>
      <c r="X63" s="13">
        <f>IFERROR(INDEX(Assumptions!E$112:E$113,MATCH(LEFT(Biogas!$P63,2),Assumptions!$B$112:$B$113,0))-SUMIFS($AH:$AH,$AE:$AE,"Total",$AB:$AB,$O63,$AF:$AF,$S63),0)</f>
        <v>-133.26499999999999</v>
      </c>
    </row>
    <row r="64" spans="3:38" x14ac:dyDescent="0.35">
      <c r="C64" s="11"/>
      <c r="D64" s="13"/>
      <c r="O64" t="s">
        <v>76</v>
      </c>
      <c r="P64" s="20" t="s">
        <v>91</v>
      </c>
      <c r="Q64" t="s">
        <v>217</v>
      </c>
      <c r="R64" t="s">
        <v>87</v>
      </c>
      <c r="S64">
        <v>2044</v>
      </c>
      <c r="T64" s="31">
        <f>T65</f>
        <v>5.6923439999999994E-3</v>
      </c>
      <c r="U64" s="12">
        <f>T64*10000000000000/Assumptions!$B$16/10000000</f>
        <v>5207.9999999999991</v>
      </c>
      <c r="V64" s="13">
        <f>IFERROR(INDEX(Assumptions!C$112:C$113,MATCH(LEFT(Biogas!$P64,2),Assumptions!$B$112:$B$113,0))-SUMIFS($AH:$AH,$AE:$AE,"Total",$AB:$AB,$O64,$AF:$AF,$S64),0)</f>
        <v>-34.209999999999994</v>
      </c>
      <c r="W64" s="13">
        <f>IFERROR(INDEX(Assumptions!D$112:D$113,MATCH(LEFT(Biogas!$P64,2),Assumptions!$B$112:$B$113,0))-SUMIFS($AH:$AH,$AE:$AE,"Total",$AB:$AB,$O64,$AF:$AF,$S64),0)</f>
        <v>-34.209999999999994</v>
      </c>
      <c r="X64" s="13">
        <f>IFERROR(INDEX(Assumptions!E$112:E$113,MATCH(LEFT(Biogas!$P64,2),Assumptions!$B$112:$B$113,0))-SUMIFS($AH:$AH,$AE:$AE,"Total",$AB:$AB,$O64,$AF:$AF,$S64),0)</f>
        <v>-133.26499999999999</v>
      </c>
    </row>
    <row r="65" spans="3:24" x14ac:dyDescent="0.35">
      <c r="C65" s="11"/>
      <c r="D65" s="13"/>
      <c r="O65" t="s">
        <v>76</v>
      </c>
      <c r="P65" s="20" t="s">
        <v>91</v>
      </c>
      <c r="Q65" t="s">
        <v>217</v>
      </c>
      <c r="R65" t="s">
        <v>87</v>
      </c>
      <c r="S65">
        <v>2045</v>
      </c>
      <c r="T65" s="55">
        <f>AQ3</f>
        <v>5.6923439999999994E-3</v>
      </c>
      <c r="U65" s="12">
        <f>T65*10000000000000/Assumptions!$B$16/10000000</f>
        <v>5207.9999999999991</v>
      </c>
      <c r="V65" s="13">
        <f>IFERROR(INDEX(Assumptions!C$112:C$113,MATCH(LEFT(Biogas!$P65,2),Assumptions!$B$112:$B$113,0))-SUMIFS($AH:$AH,$AE:$AE,"Total",$AB:$AB,$O65,$AF:$AF,$S65),0)</f>
        <v>-34.209999999999994</v>
      </c>
      <c r="W65" s="13">
        <f>IFERROR(INDEX(Assumptions!D$112:D$113,MATCH(LEFT(Biogas!$P65,2),Assumptions!$B$112:$B$113,0))-SUMIFS($AH:$AH,$AE:$AE,"Total",$AB:$AB,$O65,$AF:$AF,$S65),0)</f>
        <v>-34.209999999999994</v>
      </c>
      <c r="X65" s="13">
        <f>IFERROR(INDEX(Assumptions!E$112:E$113,MATCH(LEFT(Biogas!$P65,2),Assumptions!$B$112:$B$113,0))-SUMIFS($AH:$AH,$AE:$AE,"Total",$AB:$AB,$O65,$AF:$AF,$S65),0)</f>
        <v>-133.26499999999999</v>
      </c>
    </row>
    <row r="66" spans="3:24" x14ac:dyDescent="0.35">
      <c r="O66" t="s">
        <v>76</v>
      </c>
      <c r="P66" t="s">
        <v>228</v>
      </c>
      <c r="Q66" t="s">
        <v>241</v>
      </c>
      <c r="R66" t="s">
        <v>87</v>
      </c>
      <c r="S66">
        <v>2025</v>
      </c>
      <c r="T66">
        <v>0</v>
      </c>
      <c r="U66" s="12">
        <f>T66*10000000000000/Assumptions!$B$16/10000000</f>
        <v>0</v>
      </c>
      <c r="V66" s="13">
        <f>IFERROR(INDEX(Assumptions!C$112:C$113,MATCH(LEFT(Biogas!$P66,2),Assumptions!$B$112:$B$113,0))-SUMIFS($AH:$AH,$AE:$AE,"Total",$AB:$AB,$O66,$AF:$AF,$S66),0)</f>
        <v>0</v>
      </c>
      <c r="W66" s="13">
        <f>IFERROR(INDEX(Assumptions!D$112:D$113,MATCH(LEFT(Biogas!$P66,2),Assumptions!$B$112:$B$113,0))-SUMIFS($AH:$AH,$AE:$AE,"Total",$AB:$AB,$O66,$AF:$AF,$S66),0)</f>
        <v>0</v>
      </c>
      <c r="X66" s="13">
        <f>IFERROR(INDEX(Assumptions!E$112:E$113,MATCH(LEFT(Biogas!$P66,2),Assumptions!$B$112:$B$113,0))-SUMIFS($AH:$AH,$AE:$AE,"Total",$AB:$AB,$O66,$AF:$AF,$S66),0)</f>
        <v>0</v>
      </c>
    </row>
    <row r="67" spans="3:24" x14ac:dyDescent="0.35">
      <c r="O67" t="s">
        <v>76</v>
      </c>
      <c r="P67" t="s">
        <v>228</v>
      </c>
      <c r="Q67" t="s">
        <v>241</v>
      </c>
      <c r="R67" t="s">
        <v>87</v>
      </c>
      <c r="S67">
        <v>2026</v>
      </c>
      <c r="T67">
        <v>0</v>
      </c>
      <c r="U67" s="12">
        <f>T67*10000000000000/Assumptions!$B$16/10000000</f>
        <v>0</v>
      </c>
      <c r="V67" s="13">
        <f>IFERROR(INDEX(Assumptions!C$112:C$113,MATCH(LEFT(Biogas!$P67,2),Assumptions!$B$112:$B$113,0))-SUMIFS($AH:$AH,$AE:$AE,"Total",$AB:$AB,$O67,$AF:$AF,$S67),0)</f>
        <v>0</v>
      </c>
      <c r="W67" s="13">
        <f>IFERROR(INDEX(Assumptions!D$112:D$113,MATCH(LEFT(Biogas!$P67,2),Assumptions!$B$112:$B$113,0))-SUMIFS($AH:$AH,$AE:$AE,"Total",$AB:$AB,$O67,$AF:$AF,$S67),0)</f>
        <v>0</v>
      </c>
      <c r="X67" s="13">
        <f>IFERROR(INDEX(Assumptions!E$112:E$113,MATCH(LEFT(Biogas!$P67,2),Assumptions!$B$112:$B$113,0))-SUMIFS($AH:$AH,$AE:$AE,"Total",$AB:$AB,$O67,$AF:$AF,$S67),0)</f>
        <v>0</v>
      </c>
    </row>
    <row r="68" spans="3:24" x14ac:dyDescent="0.35">
      <c r="O68" t="s">
        <v>76</v>
      </c>
      <c r="P68" t="s">
        <v>228</v>
      </c>
      <c r="Q68" t="s">
        <v>241</v>
      </c>
      <c r="R68" t="s">
        <v>87</v>
      </c>
      <c r="S68">
        <v>2027</v>
      </c>
      <c r="T68">
        <v>0</v>
      </c>
      <c r="U68" s="12">
        <f>T68*10000000000000/Assumptions!$B$16/10000000</f>
        <v>0</v>
      </c>
      <c r="V68" s="13">
        <f>IFERROR(INDEX(Assumptions!C$112:C$113,MATCH(LEFT(Biogas!$P68,2),Assumptions!$B$112:$B$113,0))-SUMIFS($AH:$AH,$AE:$AE,"Total",$AB:$AB,$O68,$AF:$AF,$S68),0)</f>
        <v>0</v>
      </c>
      <c r="W68" s="13">
        <f>IFERROR(INDEX(Assumptions!D$112:D$113,MATCH(LEFT(Biogas!$P68,2),Assumptions!$B$112:$B$113,0))-SUMIFS($AH:$AH,$AE:$AE,"Total",$AB:$AB,$O68,$AF:$AF,$S68),0)</f>
        <v>0</v>
      </c>
      <c r="X68" s="13">
        <f>IFERROR(INDEX(Assumptions!E$112:E$113,MATCH(LEFT(Biogas!$P68,2),Assumptions!$B$112:$B$113,0))-SUMIFS($AH:$AH,$AE:$AE,"Total",$AB:$AB,$O68,$AF:$AF,$S68),0)</f>
        <v>0</v>
      </c>
    </row>
    <row r="69" spans="3:24" x14ac:dyDescent="0.35">
      <c r="O69" t="s">
        <v>76</v>
      </c>
      <c r="P69" t="s">
        <v>228</v>
      </c>
      <c r="Q69" t="s">
        <v>241</v>
      </c>
      <c r="R69" t="s">
        <v>87</v>
      </c>
      <c r="S69">
        <v>2028</v>
      </c>
      <c r="T69">
        <v>0</v>
      </c>
      <c r="U69" s="12">
        <f>T69*10000000000000/Assumptions!$B$16/10000000</f>
        <v>0</v>
      </c>
      <c r="V69" s="13">
        <f>IFERROR(INDEX(Assumptions!C$112:C$113,MATCH(LEFT(Biogas!$P69,2),Assumptions!$B$112:$B$113,0))-SUMIFS($AH:$AH,$AE:$AE,"Total",$AB:$AB,$O69,$AF:$AF,$S69),0)</f>
        <v>0</v>
      </c>
      <c r="W69" s="13">
        <f>IFERROR(INDEX(Assumptions!D$112:D$113,MATCH(LEFT(Biogas!$P69,2),Assumptions!$B$112:$B$113,0))-SUMIFS($AH:$AH,$AE:$AE,"Total",$AB:$AB,$O69,$AF:$AF,$S69),0)</f>
        <v>0</v>
      </c>
      <c r="X69" s="13">
        <f>IFERROR(INDEX(Assumptions!E$112:E$113,MATCH(LEFT(Biogas!$P69,2),Assumptions!$B$112:$B$113,0))-SUMIFS($AH:$AH,$AE:$AE,"Total",$AB:$AB,$O69,$AF:$AF,$S69),0)</f>
        <v>0</v>
      </c>
    </row>
    <row r="70" spans="3:24" x14ac:dyDescent="0.35">
      <c r="O70" t="s">
        <v>76</v>
      </c>
      <c r="P70" t="s">
        <v>228</v>
      </c>
      <c r="Q70" t="s">
        <v>241</v>
      </c>
      <c r="R70" t="s">
        <v>87</v>
      </c>
      <c r="S70">
        <v>2029</v>
      </c>
      <c r="T70">
        <v>0</v>
      </c>
      <c r="U70" s="12">
        <f>T70*10000000000000/Assumptions!$B$16/10000000</f>
        <v>0</v>
      </c>
      <c r="V70" s="13">
        <f>IFERROR(INDEX(Assumptions!C$112:C$113,MATCH(LEFT(Biogas!$P70,2),Assumptions!$B$112:$B$113,0))-SUMIFS($AH:$AH,$AE:$AE,"Total",$AB:$AB,$O70,$AF:$AF,$S70),0)</f>
        <v>0</v>
      </c>
      <c r="W70" s="13">
        <f>IFERROR(INDEX(Assumptions!D$112:D$113,MATCH(LEFT(Biogas!$P70,2),Assumptions!$B$112:$B$113,0))-SUMIFS($AH:$AH,$AE:$AE,"Total",$AB:$AB,$O70,$AF:$AF,$S70),0)</f>
        <v>0</v>
      </c>
      <c r="X70" s="13">
        <f>IFERROR(INDEX(Assumptions!E$112:E$113,MATCH(LEFT(Biogas!$P70,2),Assumptions!$B$112:$B$113,0))-SUMIFS($AH:$AH,$AE:$AE,"Total",$AB:$AB,$O70,$AF:$AF,$S70),0)</f>
        <v>0</v>
      </c>
    </row>
    <row r="71" spans="3:24" x14ac:dyDescent="0.35">
      <c r="O71" t="s">
        <v>76</v>
      </c>
      <c r="P71" t="s">
        <v>228</v>
      </c>
      <c r="Q71" t="s">
        <v>241</v>
      </c>
      <c r="R71" t="s">
        <v>87</v>
      </c>
      <c r="S71">
        <v>2030</v>
      </c>
      <c r="T71">
        <v>0</v>
      </c>
      <c r="U71" s="12">
        <f>T71*10000000000000/Assumptions!$B$16/10000000</f>
        <v>0</v>
      </c>
      <c r="V71" s="13">
        <f>IFERROR(INDEX(Assumptions!C$112:C$113,MATCH(LEFT(Biogas!$P71,2),Assumptions!$B$112:$B$113,0))-SUMIFS($AH:$AH,$AE:$AE,"Total",$AB:$AB,$O71,$AF:$AF,$S71),0)</f>
        <v>0</v>
      </c>
      <c r="W71" s="13">
        <f>IFERROR(INDEX(Assumptions!D$112:D$113,MATCH(LEFT(Biogas!$P71,2),Assumptions!$B$112:$B$113,0))-SUMIFS($AH:$AH,$AE:$AE,"Total",$AB:$AB,$O71,$AF:$AF,$S71),0)</f>
        <v>0</v>
      </c>
      <c r="X71" s="13">
        <f>IFERROR(INDEX(Assumptions!E$112:E$113,MATCH(LEFT(Biogas!$P71,2),Assumptions!$B$112:$B$113,0))-SUMIFS($AH:$AH,$AE:$AE,"Total",$AB:$AB,$O71,$AF:$AF,$S71),0)</f>
        <v>0</v>
      </c>
    </row>
    <row r="72" spans="3:24" x14ac:dyDescent="0.35">
      <c r="O72" t="s">
        <v>76</v>
      </c>
      <c r="P72" t="s">
        <v>228</v>
      </c>
      <c r="Q72" t="s">
        <v>241</v>
      </c>
      <c r="R72" t="s">
        <v>87</v>
      </c>
      <c r="S72">
        <v>2031</v>
      </c>
      <c r="T72">
        <v>0</v>
      </c>
      <c r="U72" s="12">
        <f>T72*10000000000000/Assumptions!$B$16/10000000</f>
        <v>0</v>
      </c>
      <c r="V72" s="13">
        <f>IFERROR(INDEX(Assumptions!C$112:C$113,MATCH(LEFT(Biogas!$P72,2),Assumptions!$B$112:$B$113,0))-SUMIFS($AH:$AH,$AE:$AE,"Total",$AB:$AB,$O72,$AF:$AF,$S72),0)</f>
        <v>0</v>
      </c>
      <c r="W72" s="13">
        <f>IFERROR(INDEX(Assumptions!D$112:D$113,MATCH(LEFT(Biogas!$P72,2),Assumptions!$B$112:$B$113,0))-SUMIFS($AH:$AH,$AE:$AE,"Total",$AB:$AB,$O72,$AF:$AF,$S72),0)</f>
        <v>0</v>
      </c>
      <c r="X72" s="13">
        <f>IFERROR(INDEX(Assumptions!E$112:E$113,MATCH(LEFT(Biogas!$P72,2),Assumptions!$B$112:$B$113,0))-SUMIFS($AH:$AH,$AE:$AE,"Total",$AB:$AB,$O72,$AF:$AF,$S72),0)</f>
        <v>0</v>
      </c>
    </row>
    <row r="73" spans="3:24" x14ac:dyDescent="0.35">
      <c r="O73" t="s">
        <v>76</v>
      </c>
      <c r="P73" t="s">
        <v>228</v>
      </c>
      <c r="Q73" t="s">
        <v>241</v>
      </c>
      <c r="R73" t="s">
        <v>87</v>
      </c>
      <c r="S73">
        <v>2032</v>
      </c>
      <c r="T73">
        <v>0</v>
      </c>
      <c r="U73" s="12">
        <f>T73*10000000000000/Assumptions!$B$16/10000000</f>
        <v>0</v>
      </c>
      <c r="V73" s="13">
        <f>IFERROR(INDEX(Assumptions!C$112:C$113,MATCH(LEFT(Biogas!$P73,2),Assumptions!$B$112:$B$113,0))-SUMIFS($AH:$AH,$AE:$AE,"Total",$AB:$AB,$O73,$AF:$AF,$S73),0)</f>
        <v>0</v>
      </c>
      <c r="W73" s="13">
        <f>IFERROR(INDEX(Assumptions!D$112:D$113,MATCH(LEFT(Biogas!$P73,2),Assumptions!$B$112:$B$113,0))-SUMIFS($AH:$AH,$AE:$AE,"Total",$AB:$AB,$O73,$AF:$AF,$S73),0)</f>
        <v>0</v>
      </c>
      <c r="X73" s="13">
        <f>IFERROR(INDEX(Assumptions!E$112:E$113,MATCH(LEFT(Biogas!$P73,2),Assumptions!$B$112:$B$113,0))-SUMIFS($AH:$AH,$AE:$AE,"Total",$AB:$AB,$O73,$AF:$AF,$S73),0)</f>
        <v>0</v>
      </c>
    </row>
    <row r="74" spans="3:24" x14ac:dyDescent="0.35">
      <c r="O74" t="s">
        <v>76</v>
      </c>
      <c r="P74" t="s">
        <v>228</v>
      </c>
      <c r="Q74" t="s">
        <v>241</v>
      </c>
      <c r="R74" t="s">
        <v>87</v>
      </c>
      <c r="S74">
        <v>2033</v>
      </c>
      <c r="T74">
        <v>0</v>
      </c>
      <c r="U74" s="12">
        <f>T74*10000000000000/Assumptions!$B$16/10000000</f>
        <v>0</v>
      </c>
      <c r="V74" s="13">
        <f>IFERROR(INDEX(Assumptions!C$112:C$113,MATCH(LEFT(Biogas!$P74,2),Assumptions!$B$112:$B$113,0))-SUMIFS($AH:$AH,$AE:$AE,"Total",$AB:$AB,$O74,$AF:$AF,$S74),0)</f>
        <v>0</v>
      </c>
      <c r="W74" s="13">
        <f>IFERROR(INDEX(Assumptions!D$112:D$113,MATCH(LEFT(Biogas!$P74,2),Assumptions!$B$112:$B$113,0))-SUMIFS($AH:$AH,$AE:$AE,"Total",$AB:$AB,$O74,$AF:$AF,$S74),0)</f>
        <v>0</v>
      </c>
      <c r="X74" s="13">
        <f>IFERROR(INDEX(Assumptions!E$112:E$113,MATCH(LEFT(Biogas!$P74,2),Assumptions!$B$112:$B$113,0))-SUMIFS($AH:$AH,$AE:$AE,"Total",$AB:$AB,$O74,$AF:$AF,$S74),0)</f>
        <v>0</v>
      </c>
    </row>
    <row r="75" spans="3:24" x14ac:dyDescent="0.35">
      <c r="O75" t="s">
        <v>76</v>
      </c>
      <c r="P75" t="s">
        <v>228</v>
      </c>
      <c r="Q75" t="s">
        <v>241</v>
      </c>
      <c r="R75" t="s">
        <v>87</v>
      </c>
      <c r="S75">
        <v>2034</v>
      </c>
      <c r="T75">
        <v>0</v>
      </c>
      <c r="U75" s="12">
        <f>T75*10000000000000/Assumptions!$B$16/10000000</f>
        <v>0</v>
      </c>
      <c r="V75" s="13">
        <f>IFERROR(INDEX(Assumptions!C$112:C$113,MATCH(LEFT(Biogas!$P75,2),Assumptions!$B$112:$B$113,0))-SUMIFS($AH:$AH,$AE:$AE,"Total",$AB:$AB,$O75,$AF:$AF,$S75),0)</f>
        <v>0</v>
      </c>
      <c r="W75" s="13">
        <f>IFERROR(INDEX(Assumptions!D$112:D$113,MATCH(LEFT(Biogas!$P75,2),Assumptions!$B$112:$B$113,0))-SUMIFS($AH:$AH,$AE:$AE,"Total",$AB:$AB,$O75,$AF:$AF,$S75),0)</f>
        <v>0</v>
      </c>
      <c r="X75" s="13">
        <f>IFERROR(INDEX(Assumptions!E$112:E$113,MATCH(LEFT(Biogas!$P75,2),Assumptions!$B$112:$B$113,0))-SUMIFS($AH:$AH,$AE:$AE,"Total",$AB:$AB,$O75,$AF:$AF,$S75),0)</f>
        <v>0</v>
      </c>
    </row>
    <row r="76" spans="3:24" x14ac:dyDescent="0.35">
      <c r="O76" t="s">
        <v>76</v>
      </c>
      <c r="P76" t="s">
        <v>228</v>
      </c>
      <c r="Q76" t="s">
        <v>241</v>
      </c>
      <c r="R76" t="s">
        <v>87</v>
      </c>
      <c r="S76">
        <v>2035</v>
      </c>
      <c r="T76">
        <v>0</v>
      </c>
      <c r="U76" s="12">
        <f>T76*10000000000000/Assumptions!$B$16/10000000</f>
        <v>0</v>
      </c>
      <c r="V76" s="13">
        <f>IFERROR(INDEX(Assumptions!C$112:C$113,MATCH(LEFT(Biogas!$P76,2),Assumptions!$B$112:$B$113,0))-SUMIFS($AH:$AH,$AE:$AE,"Total",$AB:$AB,$O76,$AF:$AF,$S76),0)</f>
        <v>0</v>
      </c>
      <c r="W76" s="13">
        <f>IFERROR(INDEX(Assumptions!D$112:D$113,MATCH(LEFT(Biogas!$P76,2),Assumptions!$B$112:$B$113,0))-SUMIFS($AH:$AH,$AE:$AE,"Total",$AB:$AB,$O76,$AF:$AF,$S76),0)</f>
        <v>0</v>
      </c>
      <c r="X76" s="13">
        <f>IFERROR(INDEX(Assumptions!E$112:E$113,MATCH(LEFT(Biogas!$P76,2),Assumptions!$B$112:$B$113,0))-SUMIFS($AH:$AH,$AE:$AE,"Total",$AB:$AB,$O76,$AF:$AF,$S76),0)</f>
        <v>0</v>
      </c>
    </row>
    <row r="77" spans="3:24" x14ac:dyDescent="0.35">
      <c r="O77" t="s">
        <v>76</v>
      </c>
      <c r="P77" t="s">
        <v>228</v>
      </c>
      <c r="Q77" t="s">
        <v>241</v>
      </c>
      <c r="R77" t="s">
        <v>87</v>
      </c>
      <c r="S77">
        <v>2036</v>
      </c>
      <c r="T77">
        <v>0</v>
      </c>
      <c r="U77" s="12">
        <f>T77*10000000000000/Assumptions!$B$16/10000000</f>
        <v>0</v>
      </c>
      <c r="V77" s="13">
        <f>IFERROR(INDEX(Assumptions!C$112:C$113,MATCH(LEFT(Biogas!$P77,2),Assumptions!$B$112:$B$113,0))-SUMIFS($AH:$AH,$AE:$AE,"Total",$AB:$AB,$O77,$AF:$AF,$S77),0)</f>
        <v>0</v>
      </c>
      <c r="W77" s="13">
        <f>IFERROR(INDEX(Assumptions!D$112:D$113,MATCH(LEFT(Biogas!$P77,2),Assumptions!$B$112:$B$113,0))-SUMIFS($AH:$AH,$AE:$AE,"Total",$AB:$AB,$O77,$AF:$AF,$S77),0)</f>
        <v>0</v>
      </c>
      <c r="X77" s="13">
        <f>IFERROR(INDEX(Assumptions!E$112:E$113,MATCH(LEFT(Biogas!$P77,2),Assumptions!$B$112:$B$113,0))-SUMIFS($AH:$AH,$AE:$AE,"Total",$AB:$AB,$O77,$AF:$AF,$S77),0)</f>
        <v>0</v>
      </c>
    </row>
    <row r="78" spans="3:24" x14ac:dyDescent="0.35">
      <c r="O78" t="s">
        <v>76</v>
      </c>
      <c r="P78" t="s">
        <v>228</v>
      </c>
      <c r="Q78" t="s">
        <v>241</v>
      </c>
      <c r="R78" t="s">
        <v>87</v>
      </c>
      <c r="S78">
        <v>2037</v>
      </c>
      <c r="T78">
        <v>0</v>
      </c>
      <c r="U78" s="12">
        <f>T78*10000000000000/Assumptions!$B$16/10000000</f>
        <v>0</v>
      </c>
      <c r="V78" s="13">
        <f>IFERROR(INDEX(Assumptions!C$112:C$113,MATCH(LEFT(Biogas!$P78,2),Assumptions!$B$112:$B$113,0))-SUMIFS($AH:$AH,$AE:$AE,"Total",$AB:$AB,$O78,$AF:$AF,$S78),0)</f>
        <v>0</v>
      </c>
      <c r="W78" s="13">
        <f>IFERROR(INDEX(Assumptions!D$112:D$113,MATCH(LEFT(Biogas!$P78,2),Assumptions!$B$112:$B$113,0))-SUMIFS($AH:$AH,$AE:$AE,"Total",$AB:$AB,$O78,$AF:$AF,$S78),0)</f>
        <v>0</v>
      </c>
      <c r="X78" s="13">
        <f>IFERROR(INDEX(Assumptions!E$112:E$113,MATCH(LEFT(Biogas!$P78,2),Assumptions!$B$112:$B$113,0))-SUMIFS($AH:$AH,$AE:$AE,"Total",$AB:$AB,$O78,$AF:$AF,$S78),0)</f>
        <v>0</v>
      </c>
    </row>
    <row r="79" spans="3:24" x14ac:dyDescent="0.35">
      <c r="O79" t="s">
        <v>76</v>
      </c>
      <c r="P79" t="s">
        <v>228</v>
      </c>
      <c r="Q79" t="s">
        <v>241</v>
      </c>
      <c r="R79" t="s">
        <v>87</v>
      </c>
      <c r="S79">
        <v>2038</v>
      </c>
      <c r="T79">
        <v>0</v>
      </c>
      <c r="U79" s="12">
        <f>T79*10000000000000/Assumptions!$B$16/10000000</f>
        <v>0</v>
      </c>
      <c r="V79" s="13">
        <f>IFERROR(INDEX(Assumptions!C$112:C$113,MATCH(LEFT(Biogas!$P79,2),Assumptions!$B$112:$B$113,0))-SUMIFS($AH:$AH,$AE:$AE,"Total",$AB:$AB,$O79,$AF:$AF,$S79),0)</f>
        <v>0</v>
      </c>
      <c r="W79" s="13">
        <f>IFERROR(INDEX(Assumptions!D$112:D$113,MATCH(LEFT(Biogas!$P79,2),Assumptions!$B$112:$B$113,0))-SUMIFS($AH:$AH,$AE:$AE,"Total",$AB:$AB,$O79,$AF:$AF,$S79),0)</f>
        <v>0</v>
      </c>
      <c r="X79" s="13">
        <f>IFERROR(INDEX(Assumptions!E$112:E$113,MATCH(LEFT(Biogas!$P79,2),Assumptions!$B$112:$B$113,0))-SUMIFS($AH:$AH,$AE:$AE,"Total",$AB:$AB,$O79,$AF:$AF,$S79),0)</f>
        <v>0</v>
      </c>
    </row>
    <row r="80" spans="3:24" x14ac:dyDescent="0.35">
      <c r="O80" t="s">
        <v>76</v>
      </c>
      <c r="P80" t="s">
        <v>228</v>
      </c>
      <c r="Q80" t="s">
        <v>241</v>
      </c>
      <c r="R80" t="s">
        <v>87</v>
      </c>
      <c r="S80">
        <v>2039</v>
      </c>
      <c r="T80">
        <v>0</v>
      </c>
      <c r="U80" s="12">
        <f>T80*10000000000000/Assumptions!$B$16/10000000</f>
        <v>0</v>
      </c>
      <c r="V80" s="13">
        <f>IFERROR(INDEX(Assumptions!C$112:C$113,MATCH(LEFT(Biogas!$P80,2),Assumptions!$B$112:$B$113,0))-SUMIFS($AH:$AH,$AE:$AE,"Total",$AB:$AB,$O80,$AF:$AF,$S80),0)</f>
        <v>0</v>
      </c>
      <c r="W80" s="13">
        <f>IFERROR(INDEX(Assumptions!D$112:D$113,MATCH(LEFT(Biogas!$P80,2),Assumptions!$B$112:$B$113,0))-SUMIFS($AH:$AH,$AE:$AE,"Total",$AB:$AB,$O80,$AF:$AF,$S80),0)</f>
        <v>0</v>
      </c>
      <c r="X80" s="13">
        <f>IFERROR(INDEX(Assumptions!E$112:E$113,MATCH(LEFT(Biogas!$P80,2),Assumptions!$B$112:$B$113,0))-SUMIFS($AH:$AH,$AE:$AE,"Total",$AB:$AB,$O80,$AF:$AF,$S80),0)</f>
        <v>0</v>
      </c>
    </row>
    <row r="81" spans="15:24" x14ac:dyDescent="0.35">
      <c r="O81" t="s">
        <v>76</v>
      </c>
      <c r="P81" t="s">
        <v>228</v>
      </c>
      <c r="Q81" t="s">
        <v>241</v>
      </c>
      <c r="R81" t="s">
        <v>87</v>
      </c>
      <c r="S81">
        <v>2040</v>
      </c>
      <c r="T81">
        <v>0</v>
      </c>
      <c r="U81" s="12">
        <f>T81*10000000000000/Assumptions!$B$16/10000000</f>
        <v>0</v>
      </c>
      <c r="V81" s="13">
        <f>IFERROR(INDEX(Assumptions!C$112:C$113,MATCH(LEFT(Biogas!$P81,2),Assumptions!$B$112:$B$113,0))-SUMIFS($AH:$AH,$AE:$AE,"Total",$AB:$AB,$O81,$AF:$AF,$S81),0)</f>
        <v>0</v>
      </c>
      <c r="W81" s="13">
        <f>IFERROR(INDEX(Assumptions!D$112:D$113,MATCH(LEFT(Biogas!$P81,2),Assumptions!$B$112:$B$113,0))-SUMIFS($AH:$AH,$AE:$AE,"Total",$AB:$AB,$O81,$AF:$AF,$S81),0)</f>
        <v>0</v>
      </c>
      <c r="X81" s="13">
        <f>IFERROR(INDEX(Assumptions!E$112:E$113,MATCH(LEFT(Biogas!$P81,2),Assumptions!$B$112:$B$113,0))-SUMIFS($AH:$AH,$AE:$AE,"Total",$AB:$AB,$O81,$AF:$AF,$S81),0)</f>
        <v>0</v>
      </c>
    </row>
    <row r="82" spans="15:24" x14ac:dyDescent="0.35">
      <c r="O82" t="s">
        <v>76</v>
      </c>
      <c r="P82" t="s">
        <v>228</v>
      </c>
      <c r="Q82" t="s">
        <v>241</v>
      </c>
      <c r="R82" t="s">
        <v>87</v>
      </c>
      <c r="S82">
        <v>2041</v>
      </c>
      <c r="T82">
        <v>0</v>
      </c>
      <c r="U82" s="12">
        <f>T82*10000000000000/Assumptions!$B$16/10000000</f>
        <v>0</v>
      </c>
      <c r="V82" s="13">
        <f>IFERROR(INDEX(Assumptions!C$112:C$113,MATCH(LEFT(Biogas!$P82,2),Assumptions!$B$112:$B$113,0))-SUMIFS($AH:$AH,$AE:$AE,"Total",$AB:$AB,$O82,$AF:$AF,$S82),0)</f>
        <v>0</v>
      </c>
      <c r="W82" s="13">
        <f>IFERROR(INDEX(Assumptions!D$112:D$113,MATCH(LEFT(Biogas!$P82,2),Assumptions!$B$112:$B$113,0))-SUMIFS($AH:$AH,$AE:$AE,"Total",$AB:$AB,$O82,$AF:$AF,$S82),0)</f>
        <v>0</v>
      </c>
      <c r="X82" s="13">
        <f>IFERROR(INDEX(Assumptions!E$112:E$113,MATCH(LEFT(Biogas!$P82,2),Assumptions!$B$112:$B$113,0))-SUMIFS($AH:$AH,$AE:$AE,"Total",$AB:$AB,$O82,$AF:$AF,$S82),0)</f>
        <v>0</v>
      </c>
    </row>
    <row r="83" spans="15:24" x14ac:dyDescent="0.35">
      <c r="O83" t="s">
        <v>76</v>
      </c>
      <c r="P83" t="s">
        <v>228</v>
      </c>
      <c r="Q83" t="s">
        <v>241</v>
      </c>
      <c r="R83" t="s">
        <v>87</v>
      </c>
      <c r="S83">
        <v>2042</v>
      </c>
      <c r="T83">
        <v>0</v>
      </c>
      <c r="U83" s="12">
        <f>T83*10000000000000/Assumptions!$B$16/10000000</f>
        <v>0</v>
      </c>
      <c r="V83" s="13">
        <f>IFERROR(INDEX(Assumptions!C$112:C$113,MATCH(LEFT(Biogas!$P83,2),Assumptions!$B$112:$B$113,0))-SUMIFS($AH:$AH,$AE:$AE,"Total",$AB:$AB,$O83,$AF:$AF,$S83),0)</f>
        <v>0</v>
      </c>
      <c r="W83" s="13">
        <f>IFERROR(INDEX(Assumptions!D$112:D$113,MATCH(LEFT(Biogas!$P83,2),Assumptions!$B$112:$B$113,0))-SUMIFS($AH:$AH,$AE:$AE,"Total",$AB:$AB,$O83,$AF:$AF,$S83),0)</f>
        <v>0</v>
      </c>
      <c r="X83" s="13">
        <f>IFERROR(INDEX(Assumptions!E$112:E$113,MATCH(LEFT(Biogas!$P83,2),Assumptions!$B$112:$B$113,0))-SUMIFS($AH:$AH,$AE:$AE,"Total",$AB:$AB,$O83,$AF:$AF,$S83),0)</f>
        <v>0</v>
      </c>
    </row>
    <row r="84" spans="15:24" x14ac:dyDescent="0.35">
      <c r="O84" t="s">
        <v>76</v>
      </c>
      <c r="P84" t="s">
        <v>228</v>
      </c>
      <c r="Q84" t="s">
        <v>241</v>
      </c>
      <c r="R84" t="s">
        <v>87</v>
      </c>
      <c r="S84">
        <v>2043</v>
      </c>
      <c r="T84">
        <v>0</v>
      </c>
      <c r="U84" s="12">
        <f>T84*10000000000000/Assumptions!$B$16/10000000</f>
        <v>0</v>
      </c>
      <c r="V84" s="13">
        <f>IFERROR(INDEX(Assumptions!C$112:C$113,MATCH(LEFT(Biogas!$P84,2),Assumptions!$B$112:$B$113,0))-SUMIFS($AH:$AH,$AE:$AE,"Total",$AB:$AB,$O84,$AF:$AF,$S84),0)</f>
        <v>0</v>
      </c>
      <c r="W84" s="13">
        <f>IFERROR(INDEX(Assumptions!D$112:D$113,MATCH(LEFT(Biogas!$P84,2),Assumptions!$B$112:$B$113,0))-SUMIFS($AH:$AH,$AE:$AE,"Total",$AB:$AB,$O84,$AF:$AF,$S84),0)</f>
        <v>0</v>
      </c>
      <c r="X84" s="13">
        <f>IFERROR(INDEX(Assumptions!E$112:E$113,MATCH(LEFT(Biogas!$P84,2),Assumptions!$B$112:$B$113,0))-SUMIFS($AH:$AH,$AE:$AE,"Total",$AB:$AB,$O84,$AF:$AF,$S84),0)</f>
        <v>0</v>
      </c>
    </row>
    <row r="85" spans="15:24" x14ac:dyDescent="0.35">
      <c r="O85" t="s">
        <v>76</v>
      </c>
      <c r="P85" t="s">
        <v>228</v>
      </c>
      <c r="Q85" t="s">
        <v>241</v>
      </c>
      <c r="R85" t="s">
        <v>87</v>
      </c>
      <c r="S85">
        <v>2044</v>
      </c>
      <c r="T85">
        <v>0</v>
      </c>
      <c r="U85" s="12">
        <f>T85*10000000000000/Assumptions!$B$16/10000000</f>
        <v>0</v>
      </c>
      <c r="V85" s="13">
        <f>IFERROR(INDEX(Assumptions!C$112:C$113,MATCH(LEFT(Biogas!$P85,2),Assumptions!$B$112:$B$113,0))-SUMIFS($AH:$AH,$AE:$AE,"Total",$AB:$AB,$O85,$AF:$AF,$S85),0)</f>
        <v>0</v>
      </c>
      <c r="W85" s="13">
        <f>IFERROR(INDEX(Assumptions!D$112:D$113,MATCH(LEFT(Biogas!$P85,2),Assumptions!$B$112:$B$113,0))-SUMIFS($AH:$AH,$AE:$AE,"Total",$AB:$AB,$O85,$AF:$AF,$S85),0)</f>
        <v>0</v>
      </c>
      <c r="X85" s="13">
        <f>IFERROR(INDEX(Assumptions!E$112:E$113,MATCH(LEFT(Biogas!$P85,2),Assumptions!$B$112:$B$113,0))-SUMIFS($AH:$AH,$AE:$AE,"Total",$AB:$AB,$O85,$AF:$AF,$S85),0)</f>
        <v>0</v>
      </c>
    </row>
    <row r="86" spans="15:24" x14ac:dyDescent="0.35">
      <c r="O86" t="s">
        <v>76</v>
      </c>
      <c r="P86" t="s">
        <v>228</v>
      </c>
      <c r="Q86" t="s">
        <v>241</v>
      </c>
      <c r="R86" t="s">
        <v>87</v>
      </c>
      <c r="S86">
        <v>2045</v>
      </c>
      <c r="T86">
        <v>0</v>
      </c>
      <c r="U86" s="12">
        <f>T86*10000000000000/Assumptions!$B$16/10000000</f>
        <v>0</v>
      </c>
      <c r="V86" s="13">
        <f>IFERROR(INDEX(Assumptions!C$112:C$113,MATCH(LEFT(Biogas!$P86,2),Assumptions!$B$112:$B$113,0))-SUMIFS($AH:$AH,$AE:$AE,"Total",$AB:$AB,$O86,$AF:$AF,$S86),0)</f>
        <v>0</v>
      </c>
      <c r="W86" s="13">
        <f>IFERROR(INDEX(Assumptions!D$112:D$113,MATCH(LEFT(Biogas!$P86,2),Assumptions!$B$112:$B$113,0))-SUMIFS($AH:$AH,$AE:$AE,"Total",$AB:$AB,$O86,$AF:$AF,$S86),0)</f>
        <v>0</v>
      </c>
      <c r="X86" s="13">
        <f>IFERROR(INDEX(Assumptions!E$112:E$113,MATCH(LEFT(Biogas!$P86,2),Assumptions!$B$112:$B$113,0))-SUMIFS($AH:$AH,$AE:$AE,"Total",$AB:$AB,$O86,$AF:$AF,$S86),0)</f>
        <v>0</v>
      </c>
    </row>
    <row r="87" spans="15:24" x14ac:dyDescent="0.35">
      <c r="O87" t="s">
        <v>107</v>
      </c>
      <c r="P87" s="29" t="s">
        <v>88</v>
      </c>
      <c r="Q87" t="s">
        <v>217</v>
      </c>
      <c r="R87" t="s">
        <v>87</v>
      </c>
      <c r="S87">
        <v>2025</v>
      </c>
      <c r="T87" s="31">
        <f t="shared" ref="T87:T99" si="11">T93/1.5</f>
        <v>6.7464817777777774E-3</v>
      </c>
      <c r="U87" s="12">
        <f>T87*10000000000000/Assumptions!$B$16/10000000</f>
        <v>6172.4444444444443</v>
      </c>
      <c r="V87" s="13">
        <f>IFERROR(INDEX(Assumptions!C$112:C$113,MATCH(LEFT(Biogas!$P87,2),Assumptions!$B$112:$B$113,0))-SUMIFS($AH:$AH,$AE:$AE,"Total",$AB:$AB,$O87,$AF:$AF,$S87),0)</f>
        <v>-150</v>
      </c>
      <c r="W87" s="13">
        <f>IFERROR(INDEX(Assumptions!D$112:D$113,MATCH(LEFT(Biogas!$P87,2),Assumptions!$B$112:$B$113,0))-SUMIFS($AH:$AH,$AE:$AE,"Total",$AB:$AB,$O87,$AF:$AF,$S87),0)</f>
        <v>-132.51</v>
      </c>
      <c r="X87" s="13">
        <f>IFERROR(INDEX(Assumptions!E$112:E$113,MATCH(LEFT(Biogas!$P87,2),Assumptions!$B$112:$B$113,0))-SUMIFS($AH:$AH,$AE:$AE,"Total",$AB:$AB,$O87,$AF:$AF,$S87),0)</f>
        <v>-328.81697478991583</v>
      </c>
    </row>
    <row r="88" spans="15:24" x14ac:dyDescent="0.35">
      <c r="O88" t="s">
        <v>107</v>
      </c>
      <c r="P88" s="29" t="s">
        <v>88</v>
      </c>
      <c r="Q88" t="s">
        <v>217</v>
      </c>
      <c r="R88" t="s">
        <v>87</v>
      </c>
      <c r="S88">
        <v>2026</v>
      </c>
      <c r="T88" s="31">
        <f t="shared" si="11"/>
        <v>6.7464817777777774E-3</v>
      </c>
      <c r="U88" s="12">
        <f>T88*10000000000000/Assumptions!$B$16/10000000</f>
        <v>6172.4444444444443</v>
      </c>
      <c r="V88" s="13">
        <f>IFERROR(INDEX(Assumptions!C$112:C$113,MATCH(LEFT(Biogas!$P88,2),Assumptions!$B$112:$B$113,0))-SUMIFS($AH:$AH,$AE:$AE,"Total",$AB:$AB,$O88,$AF:$AF,$S88),0)</f>
        <v>-150</v>
      </c>
      <c r="W88" s="13">
        <f>IFERROR(INDEX(Assumptions!D$112:D$113,MATCH(LEFT(Biogas!$P88,2),Assumptions!$B$112:$B$113,0))-SUMIFS($AH:$AH,$AE:$AE,"Total",$AB:$AB,$O88,$AF:$AF,$S88),0)</f>
        <v>-132.51</v>
      </c>
      <c r="X88" s="13">
        <f>IFERROR(INDEX(Assumptions!E$112:E$113,MATCH(LEFT(Biogas!$P88,2),Assumptions!$B$112:$B$113,0))-SUMIFS($AH:$AH,$AE:$AE,"Total",$AB:$AB,$O88,$AF:$AF,$S88),0)</f>
        <v>-328.81697478991583</v>
      </c>
    </row>
    <row r="89" spans="15:24" x14ac:dyDescent="0.35">
      <c r="O89" t="s">
        <v>107</v>
      </c>
      <c r="P89" s="29" t="s">
        <v>88</v>
      </c>
      <c r="Q89" t="s">
        <v>217</v>
      </c>
      <c r="R89" t="s">
        <v>87</v>
      </c>
      <c r="S89">
        <v>2027</v>
      </c>
      <c r="T89" s="31">
        <f t="shared" si="11"/>
        <v>6.7464817777777774E-3</v>
      </c>
      <c r="U89" s="12">
        <f>T89*10000000000000/Assumptions!$B$16/10000000</f>
        <v>6172.4444444444443</v>
      </c>
      <c r="V89" s="13">
        <f>IFERROR(INDEX(Assumptions!C$112:C$113,MATCH(LEFT(Biogas!$P89,2),Assumptions!$B$112:$B$113,0))-SUMIFS($AH:$AH,$AE:$AE,"Total",$AB:$AB,$O89,$AF:$AF,$S89),0)</f>
        <v>-150</v>
      </c>
      <c r="W89" s="13">
        <f>IFERROR(INDEX(Assumptions!D$112:D$113,MATCH(LEFT(Biogas!$P89,2),Assumptions!$B$112:$B$113,0))-SUMIFS($AH:$AH,$AE:$AE,"Total",$AB:$AB,$O89,$AF:$AF,$S89),0)</f>
        <v>-132.51</v>
      </c>
      <c r="X89" s="13">
        <f>IFERROR(INDEX(Assumptions!E$112:E$113,MATCH(LEFT(Biogas!$P89,2),Assumptions!$B$112:$B$113,0))-SUMIFS($AH:$AH,$AE:$AE,"Total",$AB:$AB,$O89,$AF:$AF,$S89),0)</f>
        <v>-328.81697478991583</v>
      </c>
    </row>
    <row r="90" spans="15:24" x14ac:dyDescent="0.35">
      <c r="O90" t="s">
        <v>107</v>
      </c>
      <c r="P90" s="29" t="s">
        <v>88</v>
      </c>
      <c r="Q90" t="s">
        <v>217</v>
      </c>
      <c r="R90" t="s">
        <v>87</v>
      </c>
      <c r="S90">
        <v>2028</v>
      </c>
      <c r="T90" s="31">
        <f t="shared" si="11"/>
        <v>1.0119722666666666E-2</v>
      </c>
      <c r="U90" s="12">
        <f>T90*10000000000000/Assumptions!$B$16/10000000</f>
        <v>9258.6666666666661</v>
      </c>
      <c r="V90" s="13">
        <f>IFERROR(INDEX(Assumptions!C$112:C$113,MATCH(LEFT(Biogas!$P90,2),Assumptions!$B$112:$B$113,0))-SUMIFS($AH:$AH,$AE:$AE,"Total",$AB:$AB,$O90,$AF:$AF,$S90),0)</f>
        <v>-150</v>
      </c>
      <c r="W90" s="13">
        <f>IFERROR(INDEX(Assumptions!D$112:D$113,MATCH(LEFT(Biogas!$P90,2),Assumptions!$B$112:$B$113,0))-SUMIFS($AH:$AH,$AE:$AE,"Total",$AB:$AB,$O90,$AF:$AF,$S90),0)</f>
        <v>-132.51</v>
      </c>
      <c r="X90" s="13">
        <f>IFERROR(INDEX(Assumptions!E$112:E$113,MATCH(LEFT(Biogas!$P90,2),Assumptions!$B$112:$B$113,0))-SUMIFS($AH:$AH,$AE:$AE,"Total",$AB:$AB,$O90,$AF:$AF,$S90),0)</f>
        <v>-328.81697478991583</v>
      </c>
    </row>
    <row r="91" spans="15:24" x14ac:dyDescent="0.35">
      <c r="O91" t="s">
        <v>107</v>
      </c>
      <c r="P91" s="29" t="s">
        <v>88</v>
      </c>
      <c r="Q91" t="s">
        <v>217</v>
      </c>
      <c r="R91" t="s">
        <v>87</v>
      </c>
      <c r="S91">
        <v>2029</v>
      </c>
      <c r="T91" s="31">
        <f t="shared" si="11"/>
        <v>1.0119722666666666E-2</v>
      </c>
      <c r="U91" s="12">
        <f>T91*10000000000000/Assumptions!$B$16/10000000</f>
        <v>9258.6666666666661</v>
      </c>
      <c r="V91" s="13">
        <f>IFERROR(INDEX(Assumptions!C$112:C$113,MATCH(LEFT(Biogas!$P91,2),Assumptions!$B$112:$B$113,0))-SUMIFS($AH:$AH,$AE:$AE,"Total",$AB:$AB,$O91,$AF:$AF,$S91),0)</f>
        <v>-150</v>
      </c>
      <c r="W91" s="13">
        <f>IFERROR(INDEX(Assumptions!D$112:D$113,MATCH(LEFT(Biogas!$P91,2),Assumptions!$B$112:$B$113,0))-SUMIFS($AH:$AH,$AE:$AE,"Total",$AB:$AB,$O91,$AF:$AF,$S91),0)</f>
        <v>-132.51</v>
      </c>
      <c r="X91" s="13">
        <f>IFERROR(INDEX(Assumptions!E$112:E$113,MATCH(LEFT(Biogas!$P91,2),Assumptions!$B$112:$B$113,0))-SUMIFS($AH:$AH,$AE:$AE,"Total",$AB:$AB,$O91,$AF:$AF,$S91),0)</f>
        <v>-328.81697478991583</v>
      </c>
    </row>
    <row r="92" spans="15:24" x14ac:dyDescent="0.35">
      <c r="O92" t="s">
        <v>107</v>
      </c>
      <c r="P92" s="29" t="s">
        <v>88</v>
      </c>
      <c r="Q92" t="s">
        <v>217</v>
      </c>
      <c r="R92" t="s">
        <v>87</v>
      </c>
      <c r="S92">
        <v>2030</v>
      </c>
      <c r="T92" s="31">
        <f t="shared" si="11"/>
        <v>1.0119722666666666E-2</v>
      </c>
      <c r="U92" s="12">
        <f>T92*10000000000000/Assumptions!$B$16/10000000</f>
        <v>9258.6666666666661</v>
      </c>
      <c r="V92" s="13">
        <f>IFERROR(INDEX(Assumptions!C$112:C$113,MATCH(LEFT(Biogas!$P92,2),Assumptions!$B$112:$B$113,0))-SUMIFS($AH:$AH,$AE:$AE,"Total",$AB:$AB,$O92,$AF:$AF,$S92),0)</f>
        <v>-150</v>
      </c>
      <c r="W92" s="13">
        <f>IFERROR(INDEX(Assumptions!D$112:D$113,MATCH(LEFT(Biogas!$P92,2),Assumptions!$B$112:$B$113,0))-SUMIFS($AH:$AH,$AE:$AE,"Total",$AB:$AB,$O92,$AF:$AF,$S92),0)</f>
        <v>-132.51</v>
      </c>
      <c r="X92" s="13">
        <f>IFERROR(INDEX(Assumptions!E$112:E$113,MATCH(LEFT(Biogas!$P92,2),Assumptions!$B$112:$B$113,0))-SUMIFS($AH:$AH,$AE:$AE,"Total",$AB:$AB,$O92,$AF:$AF,$S92),0)</f>
        <v>-328.81697478991583</v>
      </c>
    </row>
    <row r="93" spans="15:24" x14ac:dyDescent="0.35">
      <c r="O93" t="s">
        <v>107</v>
      </c>
      <c r="P93" s="29" t="s">
        <v>88</v>
      </c>
      <c r="Q93" t="s">
        <v>217</v>
      </c>
      <c r="R93" t="s">
        <v>87</v>
      </c>
      <c r="S93">
        <v>2031</v>
      </c>
      <c r="T93" s="31">
        <f t="shared" si="11"/>
        <v>1.0119722666666666E-2</v>
      </c>
      <c r="U93" s="12">
        <f>T93*10000000000000/Assumptions!$B$16/10000000</f>
        <v>9258.6666666666661</v>
      </c>
      <c r="V93" s="13">
        <f>IFERROR(INDEX(Assumptions!C$112:C$113,MATCH(LEFT(Biogas!$P93,2),Assumptions!$B$112:$B$113,0))-SUMIFS($AH:$AH,$AE:$AE,"Total",$AB:$AB,$O93,$AF:$AF,$S93),0)</f>
        <v>-150</v>
      </c>
      <c r="W93" s="13">
        <f>IFERROR(INDEX(Assumptions!D$112:D$113,MATCH(LEFT(Biogas!$P93,2),Assumptions!$B$112:$B$113,0))-SUMIFS($AH:$AH,$AE:$AE,"Total",$AB:$AB,$O93,$AF:$AF,$S93),0)</f>
        <v>-132.51</v>
      </c>
      <c r="X93" s="13">
        <f>IFERROR(INDEX(Assumptions!E$112:E$113,MATCH(LEFT(Biogas!$P93,2),Assumptions!$B$112:$B$113,0))-SUMIFS($AH:$AH,$AE:$AE,"Total",$AB:$AB,$O93,$AF:$AF,$S93),0)</f>
        <v>-328.81697478991583</v>
      </c>
    </row>
    <row r="94" spans="15:24" x14ac:dyDescent="0.35">
      <c r="O94" t="s">
        <v>107</v>
      </c>
      <c r="P94" s="29" t="s">
        <v>88</v>
      </c>
      <c r="Q94" t="s">
        <v>217</v>
      </c>
      <c r="R94" t="s">
        <v>87</v>
      </c>
      <c r="S94">
        <v>2032</v>
      </c>
      <c r="T94" s="31">
        <f t="shared" si="11"/>
        <v>1.0119722666666666E-2</v>
      </c>
      <c r="U94" s="12">
        <f>T94*10000000000000/Assumptions!$B$16/10000000</f>
        <v>9258.6666666666661</v>
      </c>
      <c r="V94" s="13">
        <f>IFERROR(INDEX(Assumptions!C$112:C$113,MATCH(LEFT(Biogas!$P94,2),Assumptions!$B$112:$B$113,0))-SUMIFS($AH:$AH,$AE:$AE,"Total",$AB:$AB,$O94,$AF:$AF,$S94),0)</f>
        <v>-150</v>
      </c>
      <c r="W94" s="13">
        <f>IFERROR(INDEX(Assumptions!D$112:D$113,MATCH(LEFT(Biogas!$P94,2),Assumptions!$B$112:$B$113,0))-SUMIFS($AH:$AH,$AE:$AE,"Total",$AB:$AB,$O94,$AF:$AF,$S94),0)</f>
        <v>-132.51</v>
      </c>
      <c r="X94" s="13">
        <f>IFERROR(INDEX(Assumptions!E$112:E$113,MATCH(LEFT(Biogas!$P94,2),Assumptions!$B$112:$B$113,0))-SUMIFS($AH:$AH,$AE:$AE,"Total",$AB:$AB,$O94,$AF:$AF,$S94),0)</f>
        <v>-328.81697478991583</v>
      </c>
    </row>
    <row r="95" spans="15:24" x14ac:dyDescent="0.35">
      <c r="O95" t="s">
        <v>107</v>
      </c>
      <c r="P95" s="29" t="s">
        <v>88</v>
      </c>
      <c r="Q95" t="s">
        <v>217</v>
      </c>
      <c r="R95" t="s">
        <v>87</v>
      </c>
      <c r="S95">
        <v>2033</v>
      </c>
      <c r="T95" s="31">
        <f t="shared" si="11"/>
        <v>1.0119722666666666E-2</v>
      </c>
      <c r="U95" s="12">
        <f>T95*10000000000000/Assumptions!$B$16/10000000</f>
        <v>9258.6666666666661</v>
      </c>
      <c r="V95" s="13">
        <f>IFERROR(INDEX(Assumptions!C$112:C$113,MATCH(LEFT(Biogas!$P95,2),Assumptions!$B$112:$B$113,0))-SUMIFS($AH:$AH,$AE:$AE,"Total",$AB:$AB,$O95,$AF:$AF,$S95),0)</f>
        <v>-150</v>
      </c>
      <c r="W95" s="13">
        <f>IFERROR(INDEX(Assumptions!D$112:D$113,MATCH(LEFT(Biogas!$P95,2),Assumptions!$B$112:$B$113,0))-SUMIFS($AH:$AH,$AE:$AE,"Total",$AB:$AB,$O95,$AF:$AF,$S95),0)</f>
        <v>-132.51</v>
      </c>
      <c r="X95" s="13">
        <f>IFERROR(INDEX(Assumptions!E$112:E$113,MATCH(LEFT(Biogas!$P95,2),Assumptions!$B$112:$B$113,0))-SUMIFS($AH:$AH,$AE:$AE,"Total",$AB:$AB,$O95,$AF:$AF,$S95),0)</f>
        <v>-328.81697478991583</v>
      </c>
    </row>
    <row r="96" spans="15:24" x14ac:dyDescent="0.35">
      <c r="O96" t="s">
        <v>107</v>
      </c>
      <c r="P96" s="29" t="s">
        <v>88</v>
      </c>
      <c r="Q96" t="s">
        <v>217</v>
      </c>
      <c r="R96" t="s">
        <v>87</v>
      </c>
      <c r="S96">
        <v>2034</v>
      </c>
      <c r="T96" s="31">
        <f t="shared" si="11"/>
        <v>1.5179583999999998E-2</v>
      </c>
      <c r="U96" s="12">
        <f>T96*10000000000000/Assumptions!$B$16/10000000</f>
        <v>13887.999999999996</v>
      </c>
      <c r="V96" s="13">
        <f>IFERROR(INDEX(Assumptions!C$112:C$113,MATCH(LEFT(Biogas!$P96,2),Assumptions!$B$112:$B$113,0))-SUMIFS($AH:$AH,$AE:$AE,"Total",$AB:$AB,$O96,$AF:$AF,$S96),0)</f>
        <v>-150</v>
      </c>
      <c r="W96" s="13">
        <f>IFERROR(INDEX(Assumptions!D$112:D$113,MATCH(LEFT(Biogas!$P96,2),Assumptions!$B$112:$B$113,0))-SUMIFS($AH:$AH,$AE:$AE,"Total",$AB:$AB,$O96,$AF:$AF,$S96),0)</f>
        <v>-132.51</v>
      </c>
      <c r="X96" s="13">
        <f>IFERROR(INDEX(Assumptions!E$112:E$113,MATCH(LEFT(Biogas!$P96,2),Assumptions!$B$112:$B$113,0))-SUMIFS($AH:$AH,$AE:$AE,"Total",$AB:$AB,$O96,$AF:$AF,$S96),0)</f>
        <v>-328.81697478991583</v>
      </c>
    </row>
    <row r="97" spans="15:24" x14ac:dyDescent="0.35">
      <c r="O97" t="s">
        <v>107</v>
      </c>
      <c r="P97" s="29" t="s">
        <v>88</v>
      </c>
      <c r="Q97" t="s">
        <v>217</v>
      </c>
      <c r="R97" t="s">
        <v>87</v>
      </c>
      <c r="S97">
        <v>2035</v>
      </c>
      <c r="T97" s="31">
        <f t="shared" si="11"/>
        <v>1.5179583999999998E-2</v>
      </c>
      <c r="U97" s="12">
        <f>T97*10000000000000/Assumptions!$B$16/10000000</f>
        <v>13887.999999999996</v>
      </c>
      <c r="V97" s="13">
        <f>IFERROR(INDEX(Assumptions!C$112:C$113,MATCH(LEFT(Biogas!$P97,2),Assumptions!$B$112:$B$113,0))-SUMIFS($AH:$AH,$AE:$AE,"Total",$AB:$AB,$O97,$AF:$AF,$S97),0)</f>
        <v>-150</v>
      </c>
      <c r="W97" s="13">
        <f>IFERROR(INDEX(Assumptions!D$112:D$113,MATCH(LEFT(Biogas!$P97,2),Assumptions!$B$112:$B$113,0))-SUMIFS($AH:$AH,$AE:$AE,"Total",$AB:$AB,$O97,$AF:$AF,$S97),0)</f>
        <v>-132.51</v>
      </c>
      <c r="X97" s="13">
        <f>IFERROR(INDEX(Assumptions!E$112:E$113,MATCH(LEFT(Biogas!$P97,2),Assumptions!$B$112:$B$113,0))-SUMIFS($AH:$AH,$AE:$AE,"Total",$AB:$AB,$O97,$AF:$AF,$S97),0)</f>
        <v>-328.81697478991583</v>
      </c>
    </row>
    <row r="98" spans="15:24" x14ac:dyDescent="0.35">
      <c r="O98" t="s">
        <v>107</v>
      </c>
      <c r="P98" s="29" t="s">
        <v>88</v>
      </c>
      <c r="Q98" t="s">
        <v>217</v>
      </c>
      <c r="R98" t="s">
        <v>87</v>
      </c>
      <c r="S98">
        <v>2036</v>
      </c>
      <c r="T98" s="31">
        <f t="shared" si="11"/>
        <v>1.5179583999999998E-2</v>
      </c>
      <c r="U98" s="12">
        <f>T98*10000000000000/Assumptions!$B$16/10000000</f>
        <v>13887.999999999996</v>
      </c>
      <c r="V98" s="13">
        <f>IFERROR(INDEX(Assumptions!C$112:C$113,MATCH(LEFT(Biogas!$P98,2),Assumptions!$B$112:$B$113,0))-SUMIFS($AH:$AH,$AE:$AE,"Total",$AB:$AB,$O98,$AF:$AF,$S98),0)</f>
        <v>-150</v>
      </c>
      <c r="W98" s="13">
        <f>IFERROR(INDEX(Assumptions!D$112:D$113,MATCH(LEFT(Biogas!$P98,2),Assumptions!$B$112:$B$113,0))-SUMIFS($AH:$AH,$AE:$AE,"Total",$AB:$AB,$O98,$AF:$AF,$S98),0)</f>
        <v>-132.51</v>
      </c>
      <c r="X98" s="13">
        <f>IFERROR(INDEX(Assumptions!E$112:E$113,MATCH(LEFT(Biogas!$P98,2),Assumptions!$B$112:$B$113,0))-SUMIFS($AH:$AH,$AE:$AE,"Total",$AB:$AB,$O98,$AF:$AF,$S98),0)</f>
        <v>-328.81697478991583</v>
      </c>
    </row>
    <row r="99" spans="15:24" x14ac:dyDescent="0.35">
      <c r="O99" t="s">
        <v>107</v>
      </c>
      <c r="P99" s="29" t="s">
        <v>88</v>
      </c>
      <c r="Q99" t="s">
        <v>217</v>
      </c>
      <c r="R99" t="s">
        <v>87</v>
      </c>
      <c r="S99">
        <v>2037</v>
      </c>
      <c r="T99" s="31">
        <f t="shared" si="11"/>
        <v>1.5179583999999998E-2</v>
      </c>
      <c r="U99" s="12">
        <f>T99*10000000000000/Assumptions!$B$16/10000000</f>
        <v>13887.999999999996</v>
      </c>
      <c r="V99" s="13">
        <f>IFERROR(INDEX(Assumptions!C$112:C$113,MATCH(LEFT(Biogas!$P99,2),Assumptions!$B$112:$B$113,0))-SUMIFS($AH:$AH,$AE:$AE,"Total",$AB:$AB,$O99,$AF:$AF,$S99),0)</f>
        <v>-150</v>
      </c>
      <c r="W99" s="13">
        <f>IFERROR(INDEX(Assumptions!D$112:D$113,MATCH(LEFT(Biogas!$P99,2),Assumptions!$B$112:$B$113,0))-SUMIFS($AH:$AH,$AE:$AE,"Total",$AB:$AB,$O99,$AF:$AF,$S99),0)</f>
        <v>-132.51</v>
      </c>
      <c r="X99" s="13">
        <f>IFERROR(INDEX(Assumptions!E$112:E$113,MATCH(LEFT(Biogas!$P99,2),Assumptions!$B$112:$B$113,0))-SUMIFS($AH:$AH,$AE:$AE,"Total",$AB:$AB,$O99,$AF:$AF,$S99),0)</f>
        <v>-328.81697478991583</v>
      </c>
    </row>
    <row r="100" spans="15:24" x14ac:dyDescent="0.35">
      <c r="O100" t="s">
        <v>107</v>
      </c>
      <c r="P100" s="29" t="s">
        <v>88</v>
      </c>
      <c r="Q100" t="s">
        <v>217</v>
      </c>
      <c r="R100" t="s">
        <v>87</v>
      </c>
      <c r="S100">
        <v>2038</v>
      </c>
      <c r="T100" s="31">
        <f>T106/1.5</f>
        <v>1.5179583999999998E-2</v>
      </c>
      <c r="U100" s="12">
        <f>T100*10000000000000/Assumptions!$B$16/10000000</f>
        <v>13887.999999999996</v>
      </c>
      <c r="V100" s="13">
        <f>IFERROR(INDEX(Assumptions!C$112:C$113,MATCH(LEFT(Biogas!$P100,2),Assumptions!$B$112:$B$113,0))-SUMIFS($AH:$AH,$AE:$AE,"Total",$AB:$AB,$O100,$AF:$AF,$S100),0)</f>
        <v>-150</v>
      </c>
      <c r="W100" s="13">
        <f>IFERROR(INDEX(Assumptions!D$112:D$113,MATCH(LEFT(Biogas!$P100,2),Assumptions!$B$112:$B$113,0))-SUMIFS($AH:$AH,$AE:$AE,"Total",$AB:$AB,$O100,$AF:$AF,$S100),0)</f>
        <v>-132.51</v>
      </c>
      <c r="X100" s="13">
        <f>IFERROR(INDEX(Assumptions!E$112:E$113,MATCH(LEFT(Biogas!$P100,2),Assumptions!$B$112:$B$113,0))-SUMIFS($AH:$AH,$AE:$AE,"Total",$AB:$AB,$O100,$AF:$AF,$S100),0)</f>
        <v>-328.81697478991583</v>
      </c>
    </row>
    <row r="101" spans="15:24" x14ac:dyDescent="0.35">
      <c r="O101" t="s">
        <v>107</v>
      </c>
      <c r="P101" s="29" t="s">
        <v>88</v>
      </c>
      <c r="Q101" t="s">
        <v>217</v>
      </c>
      <c r="R101" t="s">
        <v>87</v>
      </c>
      <c r="S101">
        <v>2039</v>
      </c>
      <c r="T101" s="31">
        <f>T107/1.5</f>
        <v>1.5179583999999998E-2</v>
      </c>
      <c r="U101" s="12">
        <f>T101*10000000000000/Assumptions!$B$16/10000000</f>
        <v>13887.999999999996</v>
      </c>
      <c r="V101" s="13">
        <f>IFERROR(INDEX(Assumptions!C$112:C$113,MATCH(LEFT(Biogas!$P101,2),Assumptions!$B$112:$B$113,0))-SUMIFS($AH:$AH,$AE:$AE,"Total",$AB:$AB,$O101,$AF:$AF,$S101),0)</f>
        <v>-150</v>
      </c>
      <c r="W101" s="13">
        <f>IFERROR(INDEX(Assumptions!D$112:D$113,MATCH(LEFT(Biogas!$P101,2),Assumptions!$B$112:$B$113,0))-SUMIFS($AH:$AH,$AE:$AE,"Total",$AB:$AB,$O101,$AF:$AF,$S101),0)</f>
        <v>-132.51</v>
      </c>
      <c r="X101" s="13">
        <f>IFERROR(INDEX(Assumptions!E$112:E$113,MATCH(LEFT(Biogas!$P101,2),Assumptions!$B$112:$B$113,0))-SUMIFS($AH:$AH,$AE:$AE,"Total",$AB:$AB,$O101,$AF:$AF,$S101),0)</f>
        <v>-328.81697478991583</v>
      </c>
    </row>
    <row r="102" spans="15:24" x14ac:dyDescent="0.35">
      <c r="O102" t="s">
        <v>107</v>
      </c>
      <c r="P102" s="29" t="s">
        <v>88</v>
      </c>
      <c r="Q102" t="s">
        <v>217</v>
      </c>
      <c r="R102" t="s">
        <v>87</v>
      </c>
      <c r="S102">
        <v>2040</v>
      </c>
      <c r="T102" s="31">
        <f>$T$107</f>
        <v>2.2769375999999997E-2</v>
      </c>
      <c r="U102" s="12">
        <f>T102*10000000000000/Assumptions!$B$16/10000000</f>
        <v>20831.999999999996</v>
      </c>
      <c r="V102" s="13">
        <f>IFERROR(INDEX(Assumptions!C$112:C$113,MATCH(LEFT(Biogas!$P102,2),Assumptions!$B$112:$B$113,0))-SUMIFS($AH:$AH,$AE:$AE,"Total",$AB:$AB,$O102,$AF:$AF,$S102),0)</f>
        <v>-150</v>
      </c>
      <c r="W102" s="13">
        <f>IFERROR(INDEX(Assumptions!D$112:D$113,MATCH(LEFT(Biogas!$P102,2),Assumptions!$B$112:$B$113,0))-SUMIFS($AH:$AH,$AE:$AE,"Total",$AB:$AB,$O102,$AF:$AF,$S102),0)</f>
        <v>-132.51</v>
      </c>
      <c r="X102" s="13">
        <f>IFERROR(INDEX(Assumptions!E$112:E$113,MATCH(LEFT(Biogas!$P102,2),Assumptions!$B$112:$B$113,0))-SUMIFS($AH:$AH,$AE:$AE,"Total",$AB:$AB,$O102,$AF:$AF,$S102),0)</f>
        <v>-328.81697478991583</v>
      </c>
    </row>
    <row r="103" spans="15:24" x14ac:dyDescent="0.35">
      <c r="O103" t="s">
        <v>107</v>
      </c>
      <c r="P103" s="29" t="s">
        <v>88</v>
      </c>
      <c r="Q103" t="s">
        <v>217</v>
      </c>
      <c r="R103" t="s">
        <v>87</v>
      </c>
      <c r="S103">
        <v>2041</v>
      </c>
      <c r="T103" s="31">
        <f t="shared" ref="T103:T106" si="12">$T$107</f>
        <v>2.2769375999999997E-2</v>
      </c>
      <c r="U103" s="12">
        <f>T103*10000000000000/Assumptions!$B$16/10000000</f>
        <v>20831.999999999996</v>
      </c>
      <c r="V103" s="13">
        <f>IFERROR(INDEX(Assumptions!C$112:C$113,MATCH(LEFT(Biogas!$P103,2),Assumptions!$B$112:$B$113,0))-SUMIFS($AH:$AH,$AE:$AE,"Total",$AB:$AB,$O103,$AF:$AF,$S103),0)</f>
        <v>-150</v>
      </c>
      <c r="W103" s="13">
        <f>IFERROR(INDEX(Assumptions!D$112:D$113,MATCH(LEFT(Biogas!$P103,2),Assumptions!$B$112:$B$113,0))-SUMIFS($AH:$AH,$AE:$AE,"Total",$AB:$AB,$O103,$AF:$AF,$S103),0)</f>
        <v>-132.51</v>
      </c>
      <c r="X103" s="13">
        <f>IFERROR(INDEX(Assumptions!E$112:E$113,MATCH(LEFT(Biogas!$P103,2),Assumptions!$B$112:$B$113,0))-SUMIFS($AH:$AH,$AE:$AE,"Total",$AB:$AB,$O103,$AF:$AF,$S103),0)</f>
        <v>-328.81697478991583</v>
      </c>
    </row>
    <row r="104" spans="15:24" x14ac:dyDescent="0.35">
      <c r="O104" t="s">
        <v>107</v>
      </c>
      <c r="P104" s="29" t="s">
        <v>88</v>
      </c>
      <c r="Q104" t="s">
        <v>217</v>
      </c>
      <c r="R104" t="s">
        <v>87</v>
      </c>
      <c r="S104">
        <v>2042</v>
      </c>
      <c r="T104" s="31">
        <f t="shared" si="12"/>
        <v>2.2769375999999997E-2</v>
      </c>
      <c r="U104" s="12">
        <f>T104*10000000000000/Assumptions!$B$16/10000000</f>
        <v>20831.999999999996</v>
      </c>
      <c r="V104" s="13">
        <f>IFERROR(INDEX(Assumptions!C$112:C$113,MATCH(LEFT(Biogas!$P104,2),Assumptions!$B$112:$B$113,0))-SUMIFS($AH:$AH,$AE:$AE,"Total",$AB:$AB,$O104,$AF:$AF,$S104),0)</f>
        <v>-150</v>
      </c>
      <c r="W104" s="13">
        <f>IFERROR(INDEX(Assumptions!D$112:D$113,MATCH(LEFT(Biogas!$P104,2),Assumptions!$B$112:$B$113,0))-SUMIFS($AH:$AH,$AE:$AE,"Total",$AB:$AB,$O104,$AF:$AF,$S104),0)</f>
        <v>-132.51</v>
      </c>
      <c r="X104" s="13">
        <f>IFERROR(INDEX(Assumptions!E$112:E$113,MATCH(LEFT(Biogas!$P104,2),Assumptions!$B$112:$B$113,0))-SUMIFS($AH:$AH,$AE:$AE,"Total",$AB:$AB,$O104,$AF:$AF,$S104),0)</f>
        <v>-328.81697478991583</v>
      </c>
    </row>
    <row r="105" spans="15:24" x14ac:dyDescent="0.35">
      <c r="O105" t="s">
        <v>107</v>
      </c>
      <c r="P105" s="29" t="s">
        <v>88</v>
      </c>
      <c r="Q105" t="s">
        <v>217</v>
      </c>
      <c r="R105" t="s">
        <v>87</v>
      </c>
      <c r="S105">
        <v>2043</v>
      </c>
      <c r="T105" s="31">
        <f t="shared" si="12"/>
        <v>2.2769375999999997E-2</v>
      </c>
      <c r="U105" s="12">
        <f>T105*10000000000000/Assumptions!$B$16/10000000</f>
        <v>20831.999999999996</v>
      </c>
      <c r="V105" s="13">
        <f>IFERROR(INDEX(Assumptions!C$112:C$113,MATCH(LEFT(Biogas!$P105,2),Assumptions!$B$112:$B$113,0))-SUMIFS($AH:$AH,$AE:$AE,"Total",$AB:$AB,$O105,$AF:$AF,$S105),0)</f>
        <v>-150</v>
      </c>
      <c r="W105" s="13">
        <f>IFERROR(INDEX(Assumptions!D$112:D$113,MATCH(LEFT(Biogas!$P105,2),Assumptions!$B$112:$B$113,0))-SUMIFS($AH:$AH,$AE:$AE,"Total",$AB:$AB,$O105,$AF:$AF,$S105),0)</f>
        <v>-132.51</v>
      </c>
      <c r="X105" s="13">
        <f>IFERROR(INDEX(Assumptions!E$112:E$113,MATCH(LEFT(Biogas!$P105,2),Assumptions!$B$112:$B$113,0))-SUMIFS($AH:$AH,$AE:$AE,"Total",$AB:$AB,$O105,$AF:$AF,$S105),0)</f>
        <v>-328.81697478991583</v>
      </c>
    </row>
    <row r="106" spans="15:24" x14ac:dyDescent="0.35">
      <c r="O106" t="s">
        <v>107</v>
      </c>
      <c r="P106" s="29" t="s">
        <v>88</v>
      </c>
      <c r="Q106" t="s">
        <v>217</v>
      </c>
      <c r="R106" t="s">
        <v>87</v>
      </c>
      <c r="S106">
        <v>2044</v>
      </c>
      <c r="T106" s="31">
        <f t="shared" si="12"/>
        <v>2.2769375999999997E-2</v>
      </c>
      <c r="U106" s="12">
        <f>T106*10000000000000/Assumptions!$B$16/10000000</f>
        <v>20831.999999999996</v>
      </c>
      <c r="V106" s="13">
        <f>IFERROR(INDEX(Assumptions!C$112:C$113,MATCH(LEFT(Biogas!$P106,2),Assumptions!$B$112:$B$113,0))-SUMIFS($AH:$AH,$AE:$AE,"Total",$AB:$AB,$O106,$AF:$AF,$S106),0)</f>
        <v>-150</v>
      </c>
      <c r="W106" s="13">
        <f>IFERROR(INDEX(Assumptions!D$112:D$113,MATCH(LEFT(Biogas!$P106,2),Assumptions!$B$112:$B$113,0))-SUMIFS($AH:$AH,$AE:$AE,"Total",$AB:$AB,$O106,$AF:$AF,$S106),0)</f>
        <v>-132.51</v>
      </c>
      <c r="X106" s="13">
        <f>IFERROR(INDEX(Assumptions!E$112:E$113,MATCH(LEFT(Biogas!$P106,2),Assumptions!$B$112:$B$113,0))-SUMIFS($AH:$AH,$AE:$AE,"Total",$AB:$AB,$O106,$AF:$AF,$S106),0)</f>
        <v>-328.81697478991583</v>
      </c>
    </row>
    <row r="107" spans="15:24" x14ac:dyDescent="0.35">
      <c r="O107" t="s">
        <v>107</v>
      </c>
      <c r="P107" s="29" t="s">
        <v>88</v>
      </c>
      <c r="Q107" t="s">
        <v>217</v>
      </c>
      <c r="R107" t="s">
        <v>87</v>
      </c>
      <c r="S107">
        <v>2045</v>
      </c>
      <c r="T107" s="55">
        <f>$AP$4</f>
        <v>2.2769375999999997E-2</v>
      </c>
      <c r="U107" s="12">
        <f>T107*10000000000000/Assumptions!$B$16/10000000</f>
        <v>20831.999999999996</v>
      </c>
      <c r="V107" s="13">
        <f>IFERROR(INDEX(Assumptions!C$112:C$113,MATCH(LEFT(Biogas!$P107,2),Assumptions!$B$112:$B$113,0))-SUMIFS($AH:$AH,$AE:$AE,"Total",$AB:$AB,$O107,$AF:$AF,$S107),0)</f>
        <v>-150</v>
      </c>
      <c r="W107" s="13">
        <f>IFERROR(INDEX(Assumptions!D$112:D$113,MATCH(LEFT(Biogas!$P107,2),Assumptions!$B$112:$B$113,0))-SUMIFS($AH:$AH,$AE:$AE,"Total",$AB:$AB,$O107,$AF:$AF,$S107),0)</f>
        <v>-132.51</v>
      </c>
      <c r="X107" s="13">
        <f>IFERROR(INDEX(Assumptions!E$112:E$113,MATCH(LEFT(Biogas!$P107,2),Assumptions!$B$112:$B$113,0))-SUMIFS($AH:$AH,$AE:$AE,"Total",$AB:$AB,$O107,$AF:$AF,$S107),0)</f>
        <v>-328.81697478991583</v>
      </c>
    </row>
    <row r="108" spans="15:24" x14ac:dyDescent="0.35">
      <c r="O108" t="s">
        <v>107</v>
      </c>
      <c r="P108" s="20" t="s">
        <v>91</v>
      </c>
      <c r="Q108" t="s">
        <v>217</v>
      </c>
      <c r="R108" t="s">
        <v>87</v>
      </c>
      <c r="S108">
        <v>2025</v>
      </c>
      <c r="T108" s="31">
        <f t="shared" ref="T108:T121" si="13">T114/1.5</f>
        <v>3.3732408888888887E-3</v>
      </c>
      <c r="U108" s="12">
        <f>T108*10000000000000/Assumptions!$B$16/10000000</f>
        <v>3086.2222222222222</v>
      </c>
      <c r="V108" s="13">
        <f>IFERROR(INDEX(Assumptions!C$112:C$113,MATCH(LEFT(Biogas!$P108,2),Assumptions!$B$112:$B$113,0))-SUMIFS($AH:$AH,$AE:$AE,"Total",$AB:$AB,$O108,$AF:$AF,$S108),0)</f>
        <v>45</v>
      </c>
      <c r="W108" s="13">
        <f>IFERROR(INDEX(Assumptions!D$112:D$113,MATCH(LEFT(Biogas!$P108,2),Assumptions!$B$112:$B$113,0))-SUMIFS($AH:$AH,$AE:$AE,"Total",$AB:$AB,$O108,$AF:$AF,$S108),0)</f>
        <v>45</v>
      </c>
      <c r="X108" s="13">
        <f>IFERROR(INDEX(Assumptions!E$112:E$113,MATCH(LEFT(Biogas!$P108,2),Assumptions!$B$112:$B$113,0))-SUMIFS($AH:$AH,$AE:$AE,"Total",$AB:$AB,$O108,$AF:$AF,$S108),0)</f>
        <v>-54.055</v>
      </c>
    </row>
    <row r="109" spans="15:24" x14ac:dyDescent="0.35">
      <c r="O109" t="s">
        <v>107</v>
      </c>
      <c r="P109" s="20" t="s">
        <v>91</v>
      </c>
      <c r="Q109" t="s">
        <v>217</v>
      </c>
      <c r="R109" t="s">
        <v>87</v>
      </c>
      <c r="S109">
        <v>2026</v>
      </c>
      <c r="T109" s="31">
        <f t="shared" si="13"/>
        <v>3.3732408888888887E-3</v>
      </c>
      <c r="U109" s="12">
        <f>T109*10000000000000/Assumptions!$B$16/10000000</f>
        <v>3086.2222222222222</v>
      </c>
      <c r="V109" s="13">
        <f>IFERROR(INDEX(Assumptions!C$112:C$113,MATCH(LEFT(Biogas!$P109,2),Assumptions!$B$112:$B$113,0))-SUMIFS($AH:$AH,$AE:$AE,"Total",$AB:$AB,$O109,$AF:$AF,$S109),0)</f>
        <v>45</v>
      </c>
      <c r="W109" s="13">
        <f>IFERROR(INDEX(Assumptions!D$112:D$113,MATCH(LEFT(Biogas!$P109,2),Assumptions!$B$112:$B$113,0))-SUMIFS($AH:$AH,$AE:$AE,"Total",$AB:$AB,$O109,$AF:$AF,$S109),0)</f>
        <v>45</v>
      </c>
      <c r="X109" s="13">
        <f>IFERROR(INDEX(Assumptions!E$112:E$113,MATCH(LEFT(Biogas!$P109,2),Assumptions!$B$112:$B$113,0))-SUMIFS($AH:$AH,$AE:$AE,"Total",$AB:$AB,$O109,$AF:$AF,$S109),0)</f>
        <v>-54.055</v>
      </c>
    </row>
    <row r="110" spans="15:24" x14ac:dyDescent="0.35">
      <c r="O110" t="s">
        <v>107</v>
      </c>
      <c r="P110" s="20" t="s">
        <v>91</v>
      </c>
      <c r="Q110" t="s">
        <v>217</v>
      </c>
      <c r="R110" t="s">
        <v>87</v>
      </c>
      <c r="S110">
        <v>2027</v>
      </c>
      <c r="T110" s="31">
        <f t="shared" si="13"/>
        <v>3.3732408888888887E-3</v>
      </c>
      <c r="U110" s="12">
        <f>T110*10000000000000/Assumptions!$B$16/10000000</f>
        <v>3086.2222222222222</v>
      </c>
      <c r="V110" s="13">
        <f>IFERROR(INDEX(Assumptions!C$112:C$113,MATCH(LEFT(Biogas!$P110,2),Assumptions!$B$112:$B$113,0))-SUMIFS($AH:$AH,$AE:$AE,"Total",$AB:$AB,$O110,$AF:$AF,$S110),0)</f>
        <v>45</v>
      </c>
      <c r="W110" s="13">
        <f>IFERROR(INDEX(Assumptions!D$112:D$113,MATCH(LEFT(Biogas!$P110,2),Assumptions!$B$112:$B$113,0))-SUMIFS($AH:$AH,$AE:$AE,"Total",$AB:$AB,$O110,$AF:$AF,$S110),0)</f>
        <v>45</v>
      </c>
      <c r="X110" s="13">
        <f>IFERROR(INDEX(Assumptions!E$112:E$113,MATCH(LEFT(Biogas!$P110,2),Assumptions!$B$112:$B$113,0))-SUMIFS($AH:$AH,$AE:$AE,"Total",$AB:$AB,$O110,$AF:$AF,$S110),0)</f>
        <v>-54.055</v>
      </c>
    </row>
    <row r="111" spans="15:24" x14ac:dyDescent="0.35">
      <c r="O111" t="s">
        <v>107</v>
      </c>
      <c r="P111" s="20" t="s">
        <v>91</v>
      </c>
      <c r="Q111" t="s">
        <v>217</v>
      </c>
      <c r="R111" t="s">
        <v>87</v>
      </c>
      <c r="S111">
        <v>2028</v>
      </c>
      <c r="T111" s="31">
        <f t="shared" si="13"/>
        <v>5.0598613333333329E-3</v>
      </c>
      <c r="U111" s="12">
        <f>T111*10000000000000/Assumptions!$B$16/10000000</f>
        <v>4629.333333333333</v>
      </c>
      <c r="V111" s="13">
        <f>IFERROR(INDEX(Assumptions!C$112:C$113,MATCH(LEFT(Biogas!$P111,2),Assumptions!$B$112:$B$113,0))-SUMIFS($AH:$AH,$AE:$AE,"Total",$AB:$AB,$O111,$AF:$AF,$S111),0)</f>
        <v>45</v>
      </c>
      <c r="W111" s="13">
        <f>IFERROR(INDEX(Assumptions!D$112:D$113,MATCH(LEFT(Biogas!$P111,2),Assumptions!$B$112:$B$113,0))-SUMIFS($AH:$AH,$AE:$AE,"Total",$AB:$AB,$O111,$AF:$AF,$S111),0)</f>
        <v>45</v>
      </c>
      <c r="X111" s="13">
        <f>IFERROR(INDEX(Assumptions!E$112:E$113,MATCH(LEFT(Biogas!$P111,2),Assumptions!$B$112:$B$113,0))-SUMIFS($AH:$AH,$AE:$AE,"Total",$AB:$AB,$O111,$AF:$AF,$S111),0)</f>
        <v>-54.055</v>
      </c>
    </row>
    <row r="112" spans="15:24" x14ac:dyDescent="0.35">
      <c r="O112" t="s">
        <v>107</v>
      </c>
      <c r="P112" s="20" t="s">
        <v>91</v>
      </c>
      <c r="Q112" t="s">
        <v>217</v>
      </c>
      <c r="R112" t="s">
        <v>87</v>
      </c>
      <c r="S112">
        <v>2029</v>
      </c>
      <c r="T112" s="31">
        <f t="shared" si="13"/>
        <v>5.0598613333333329E-3</v>
      </c>
      <c r="U112" s="12">
        <f>T112*10000000000000/Assumptions!$B$16/10000000</f>
        <v>4629.333333333333</v>
      </c>
      <c r="V112" s="13">
        <f>IFERROR(INDEX(Assumptions!C$112:C$113,MATCH(LEFT(Biogas!$P112,2),Assumptions!$B$112:$B$113,0))-SUMIFS($AH:$AH,$AE:$AE,"Total",$AB:$AB,$O112,$AF:$AF,$S112),0)</f>
        <v>45</v>
      </c>
      <c r="W112" s="13">
        <f>IFERROR(INDEX(Assumptions!D$112:D$113,MATCH(LEFT(Biogas!$P112,2),Assumptions!$B$112:$B$113,0))-SUMIFS($AH:$AH,$AE:$AE,"Total",$AB:$AB,$O112,$AF:$AF,$S112),0)</f>
        <v>45</v>
      </c>
      <c r="X112" s="13">
        <f>IFERROR(INDEX(Assumptions!E$112:E$113,MATCH(LEFT(Biogas!$P112,2),Assumptions!$B$112:$B$113,0))-SUMIFS($AH:$AH,$AE:$AE,"Total",$AB:$AB,$O112,$AF:$AF,$S112),0)</f>
        <v>-54.055</v>
      </c>
    </row>
    <row r="113" spans="15:24" x14ac:dyDescent="0.35">
      <c r="O113" t="s">
        <v>107</v>
      </c>
      <c r="P113" s="20" t="s">
        <v>91</v>
      </c>
      <c r="Q113" t="s">
        <v>217</v>
      </c>
      <c r="R113" t="s">
        <v>87</v>
      </c>
      <c r="S113">
        <v>2030</v>
      </c>
      <c r="T113" s="31">
        <f t="shared" si="13"/>
        <v>5.0598613333333329E-3</v>
      </c>
      <c r="U113" s="12">
        <f>T113*10000000000000/Assumptions!$B$16/10000000</f>
        <v>4629.333333333333</v>
      </c>
      <c r="V113" s="13">
        <f>IFERROR(INDEX(Assumptions!C$112:C$113,MATCH(LEFT(Biogas!$P113,2),Assumptions!$B$112:$B$113,0))-SUMIFS($AH:$AH,$AE:$AE,"Total",$AB:$AB,$O113,$AF:$AF,$S113),0)</f>
        <v>45</v>
      </c>
      <c r="W113" s="13">
        <f>IFERROR(INDEX(Assumptions!D$112:D$113,MATCH(LEFT(Biogas!$P113,2),Assumptions!$B$112:$B$113,0))-SUMIFS($AH:$AH,$AE:$AE,"Total",$AB:$AB,$O113,$AF:$AF,$S113),0)</f>
        <v>45</v>
      </c>
      <c r="X113" s="13">
        <f>IFERROR(INDEX(Assumptions!E$112:E$113,MATCH(LEFT(Biogas!$P113,2),Assumptions!$B$112:$B$113,0))-SUMIFS($AH:$AH,$AE:$AE,"Total",$AB:$AB,$O113,$AF:$AF,$S113),0)</f>
        <v>-54.055</v>
      </c>
    </row>
    <row r="114" spans="15:24" x14ac:dyDescent="0.35">
      <c r="O114" t="s">
        <v>107</v>
      </c>
      <c r="P114" s="20" t="s">
        <v>91</v>
      </c>
      <c r="Q114" t="s">
        <v>217</v>
      </c>
      <c r="R114" t="s">
        <v>87</v>
      </c>
      <c r="S114">
        <v>2031</v>
      </c>
      <c r="T114" s="31">
        <f t="shared" si="13"/>
        <v>5.0598613333333329E-3</v>
      </c>
      <c r="U114" s="12">
        <f>T114*10000000000000/Assumptions!$B$16/10000000</f>
        <v>4629.333333333333</v>
      </c>
      <c r="V114" s="13">
        <f>IFERROR(INDEX(Assumptions!C$112:C$113,MATCH(LEFT(Biogas!$P114,2),Assumptions!$B$112:$B$113,0))-SUMIFS($AH:$AH,$AE:$AE,"Total",$AB:$AB,$O114,$AF:$AF,$S114),0)</f>
        <v>45</v>
      </c>
      <c r="W114" s="13">
        <f>IFERROR(INDEX(Assumptions!D$112:D$113,MATCH(LEFT(Biogas!$P114,2),Assumptions!$B$112:$B$113,0))-SUMIFS($AH:$AH,$AE:$AE,"Total",$AB:$AB,$O114,$AF:$AF,$S114),0)</f>
        <v>45</v>
      </c>
      <c r="X114" s="13">
        <f>IFERROR(INDEX(Assumptions!E$112:E$113,MATCH(LEFT(Biogas!$P114,2),Assumptions!$B$112:$B$113,0))-SUMIFS($AH:$AH,$AE:$AE,"Total",$AB:$AB,$O114,$AF:$AF,$S114),0)</f>
        <v>-54.055</v>
      </c>
    </row>
    <row r="115" spans="15:24" x14ac:dyDescent="0.35">
      <c r="O115" t="s">
        <v>107</v>
      </c>
      <c r="P115" s="20" t="s">
        <v>91</v>
      </c>
      <c r="Q115" t="s">
        <v>217</v>
      </c>
      <c r="R115" t="s">
        <v>87</v>
      </c>
      <c r="S115">
        <v>2032</v>
      </c>
      <c r="T115" s="31">
        <f t="shared" si="13"/>
        <v>5.0598613333333329E-3</v>
      </c>
      <c r="U115" s="12">
        <f>T115*10000000000000/Assumptions!$B$16/10000000</f>
        <v>4629.333333333333</v>
      </c>
      <c r="V115" s="13">
        <f>IFERROR(INDEX(Assumptions!C$112:C$113,MATCH(LEFT(Biogas!$P115,2),Assumptions!$B$112:$B$113,0))-SUMIFS($AH:$AH,$AE:$AE,"Total",$AB:$AB,$O115,$AF:$AF,$S115),0)</f>
        <v>45</v>
      </c>
      <c r="W115" s="13">
        <f>IFERROR(INDEX(Assumptions!D$112:D$113,MATCH(LEFT(Biogas!$P115,2),Assumptions!$B$112:$B$113,0))-SUMIFS($AH:$AH,$AE:$AE,"Total",$AB:$AB,$O115,$AF:$AF,$S115),0)</f>
        <v>45</v>
      </c>
      <c r="X115" s="13">
        <f>IFERROR(INDEX(Assumptions!E$112:E$113,MATCH(LEFT(Biogas!$P115,2),Assumptions!$B$112:$B$113,0))-SUMIFS($AH:$AH,$AE:$AE,"Total",$AB:$AB,$O115,$AF:$AF,$S115),0)</f>
        <v>-54.055</v>
      </c>
    </row>
    <row r="116" spans="15:24" x14ac:dyDescent="0.35">
      <c r="O116" t="s">
        <v>107</v>
      </c>
      <c r="P116" s="20" t="s">
        <v>91</v>
      </c>
      <c r="Q116" t="s">
        <v>217</v>
      </c>
      <c r="R116" t="s">
        <v>87</v>
      </c>
      <c r="S116">
        <v>2033</v>
      </c>
      <c r="T116" s="31">
        <f t="shared" si="13"/>
        <v>5.0598613333333329E-3</v>
      </c>
      <c r="U116" s="12">
        <f>T116*10000000000000/Assumptions!$B$16/10000000</f>
        <v>4629.333333333333</v>
      </c>
      <c r="V116" s="13">
        <f>IFERROR(INDEX(Assumptions!C$112:C$113,MATCH(LEFT(Biogas!$P116,2),Assumptions!$B$112:$B$113,0))-SUMIFS($AH:$AH,$AE:$AE,"Total",$AB:$AB,$O116,$AF:$AF,$S116),0)</f>
        <v>45</v>
      </c>
      <c r="W116" s="13">
        <f>IFERROR(INDEX(Assumptions!D$112:D$113,MATCH(LEFT(Biogas!$P116,2),Assumptions!$B$112:$B$113,0))-SUMIFS($AH:$AH,$AE:$AE,"Total",$AB:$AB,$O116,$AF:$AF,$S116),0)</f>
        <v>45</v>
      </c>
      <c r="X116" s="13">
        <f>IFERROR(INDEX(Assumptions!E$112:E$113,MATCH(LEFT(Biogas!$P116,2),Assumptions!$B$112:$B$113,0))-SUMIFS($AH:$AH,$AE:$AE,"Total",$AB:$AB,$O116,$AF:$AF,$S116),0)</f>
        <v>-54.055</v>
      </c>
    </row>
    <row r="117" spans="15:24" x14ac:dyDescent="0.35">
      <c r="O117" t="s">
        <v>107</v>
      </c>
      <c r="P117" s="20" t="s">
        <v>91</v>
      </c>
      <c r="Q117" t="s">
        <v>217</v>
      </c>
      <c r="R117" t="s">
        <v>87</v>
      </c>
      <c r="S117">
        <v>2034</v>
      </c>
      <c r="T117" s="31">
        <f t="shared" si="13"/>
        <v>7.5897919999999989E-3</v>
      </c>
      <c r="U117" s="12">
        <f>T117*10000000000000/Assumptions!$B$16/10000000</f>
        <v>6943.9999999999982</v>
      </c>
      <c r="V117" s="13">
        <f>IFERROR(INDEX(Assumptions!C$112:C$113,MATCH(LEFT(Biogas!$P117,2),Assumptions!$B$112:$B$113,0))-SUMIFS($AH:$AH,$AE:$AE,"Total",$AB:$AB,$O117,$AF:$AF,$S117),0)</f>
        <v>45</v>
      </c>
      <c r="W117" s="13">
        <f>IFERROR(INDEX(Assumptions!D$112:D$113,MATCH(LEFT(Biogas!$P117,2),Assumptions!$B$112:$B$113,0))-SUMIFS($AH:$AH,$AE:$AE,"Total",$AB:$AB,$O117,$AF:$AF,$S117),0)</f>
        <v>45</v>
      </c>
      <c r="X117" s="13">
        <f>IFERROR(INDEX(Assumptions!E$112:E$113,MATCH(LEFT(Biogas!$P117,2),Assumptions!$B$112:$B$113,0))-SUMIFS($AH:$AH,$AE:$AE,"Total",$AB:$AB,$O117,$AF:$AF,$S117),0)</f>
        <v>-54.055</v>
      </c>
    </row>
    <row r="118" spans="15:24" x14ac:dyDescent="0.35">
      <c r="O118" t="s">
        <v>107</v>
      </c>
      <c r="P118" s="20" t="s">
        <v>91</v>
      </c>
      <c r="Q118" t="s">
        <v>217</v>
      </c>
      <c r="R118" t="s">
        <v>87</v>
      </c>
      <c r="S118">
        <v>2035</v>
      </c>
      <c r="T118" s="31">
        <f t="shared" si="13"/>
        <v>7.5897919999999989E-3</v>
      </c>
      <c r="U118" s="12">
        <f>T118*10000000000000/Assumptions!$B$16/10000000</f>
        <v>6943.9999999999982</v>
      </c>
      <c r="V118" s="13">
        <f>IFERROR(INDEX(Assumptions!C$112:C$113,MATCH(LEFT(Biogas!$P118,2),Assumptions!$B$112:$B$113,0))-SUMIFS($AH:$AH,$AE:$AE,"Total",$AB:$AB,$O118,$AF:$AF,$S118),0)</f>
        <v>45</v>
      </c>
      <c r="W118" s="13">
        <f>IFERROR(INDEX(Assumptions!D$112:D$113,MATCH(LEFT(Biogas!$P118,2),Assumptions!$B$112:$B$113,0))-SUMIFS($AH:$AH,$AE:$AE,"Total",$AB:$AB,$O118,$AF:$AF,$S118),0)</f>
        <v>45</v>
      </c>
      <c r="X118" s="13">
        <f>IFERROR(INDEX(Assumptions!E$112:E$113,MATCH(LEFT(Biogas!$P118,2),Assumptions!$B$112:$B$113,0))-SUMIFS($AH:$AH,$AE:$AE,"Total",$AB:$AB,$O118,$AF:$AF,$S118),0)</f>
        <v>-54.055</v>
      </c>
    </row>
    <row r="119" spans="15:24" x14ac:dyDescent="0.35">
      <c r="O119" t="s">
        <v>107</v>
      </c>
      <c r="P119" s="20" t="s">
        <v>91</v>
      </c>
      <c r="Q119" t="s">
        <v>217</v>
      </c>
      <c r="R119" t="s">
        <v>87</v>
      </c>
      <c r="S119">
        <v>2036</v>
      </c>
      <c r="T119" s="31">
        <f t="shared" si="13"/>
        <v>7.5897919999999989E-3</v>
      </c>
      <c r="U119" s="12">
        <f>T119*10000000000000/Assumptions!$B$16/10000000</f>
        <v>6943.9999999999982</v>
      </c>
      <c r="V119" s="13">
        <f>IFERROR(INDEX(Assumptions!C$112:C$113,MATCH(LEFT(Biogas!$P119,2),Assumptions!$B$112:$B$113,0))-SUMIFS($AH:$AH,$AE:$AE,"Total",$AB:$AB,$O119,$AF:$AF,$S119),0)</f>
        <v>45</v>
      </c>
      <c r="W119" s="13">
        <f>IFERROR(INDEX(Assumptions!D$112:D$113,MATCH(LEFT(Biogas!$P119,2),Assumptions!$B$112:$B$113,0))-SUMIFS($AH:$AH,$AE:$AE,"Total",$AB:$AB,$O119,$AF:$AF,$S119),0)</f>
        <v>45</v>
      </c>
      <c r="X119" s="13">
        <f>IFERROR(INDEX(Assumptions!E$112:E$113,MATCH(LEFT(Biogas!$P119,2),Assumptions!$B$112:$B$113,0))-SUMIFS($AH:$AH,$AE:$AE,"Total",$AB:$AB,$O119,$AF:$AF,$S119),0)</f>
        <v>-54.055</v>
      </c>
    </row>
    <row r="120" spans="15:24" x14ac:dyDescent="0.35">
      <c r="O120" t="s">
        <v>107</v>
      </c>
      <c r="P120" s="20" t="s">
        <v>91</v>
      </c>
      <c r="Q120" t="s">
        <v>217</v>
      </c>
      <c r="R120" t="s">
        <v>87</v>
      </c>
      <c r="S120">
        <v>2037</v>
      </c>
      <c r="T120" s="31">
        <f t="shared" si="13"/>
        <v>7.5897919999999989E-3</v>
      </c>
      <c r="U120" s="12">
        <f>T120*10000000000000/Assumptions!$B$16/10000000</f>
        <v>6943.9999999999982</v>
      </c>
      <c r="V120" s="13">
        <f>IFERROR(INDEX(Assumptions!C$112:C$113,MATCH(LEFT(Biogas!$P120,2),Assumptions!$B$112:$B$113,0))-SUMIFS($AH:$AH,$AE:$AE,"Total",$AB:$AB,$O120,$AF:$AF,$S120),0)</f>
        <v>45</v>
      </c>
      <c r="W120" s="13">
        <f>IFERROR(INDEX(Assumptions!D$112:D$113,MATCH(LEFT(Biogas!$P120,2),Assumptions!$B$112:$B$113,0))-SUMIFS($AH:$AH,$AE:$AE,"Total",$AB:$AB,$O120,$AF:$AF,$S120),0)</f>
        <v>45</v>
      </c>
      <c r="X120" s="13">
        <f>IFERROR(INDEX(Assumptions!E$112:E$113,MATCH(LEFT(Biogas!$P120,2),Assumptions!$B$112:$B$113,0))-SUMIFS($AH:$AH,$AE:$AE,"Total",$AB:$AB,$O120,$AF:$AF,$S120),0)</f>
        <v>-54.055</v>
      </c>
    </row>
    <row r="121" spans="15:24" x14ac:dyDescent="0.35">
      <c r="O121" t="s">
        <v>107</v>
      </c>
      <c r="P121" s="20" t="s">
        <v>91</v>
      </c>
      <c r="Q121" t="s">
        <v>217</v>
      </c>
      <c r="R121" t="s">
        <v>87</v>
      </c>
      <c r="S121">
        <v>2038</v>
      </c>
      <c r="T121" s="31">
        <f t="shared" si="13"/>
        <v>7.5897919999999989E-3</v>
      </c>
      <c r="U121" s="12">
        <f>T121*10000000000000/Assumptions!$B$16/10000000</f>
        <v>6943.9999999999982</v>
      </c>
      <c r="V121" s="13">
        <f>IFERROR(INDEX(Assumptions!C$112:C$113,MATCH(LEFT(Biogas!$P121,2),Assumptions!$B$112:$B$113,0))-SUMIFS($AH:$AH,$AE:$AE,"Total",$AB:$AB,$O121,$AF:$AF,$S121),0)</f>
        <v>45</v>
      </c>
      <c r="W121" s="13">
        <f>IFERROR(INDEX(Assumptions!D$112:D$113,MATCH(LEFT(Biogas!$P121,2),Assumptions!$B$112:$B$113,0))-SUMIFS($AH:$AH,$AE:$AE,"Total",$AB:$AB,$O121,$AF:$AF,$S121),0)</f>
        <v>45</v>
      </c>
      <c r="X121" s="13">
        <f>IFERROR(INDEX(Assumptions!E$112:E$113,MATCH(LEFT(Biogas!$P121,2),Assumptions!$B$112:$B$113,0))-SUMIFS($AH:$AH,$AE:$AE,"Total",$AB:$AB,$O121,$AF:$AF,$S121),0)</f>
        <v>-54.055</v>
      </c>
    </row>
    <row r="122" spans="15:24" x14ac:dyDescent="0.35">
      <c r="O122" t="s">
        <v>107</v>
      </c>
      <c r="P122" s="20" t="s">
        <v>91</v>
      </c>
      <c r="Q122" t="s">
        <v>217</v>
      </c>
      <c r="R122" t="s">
        <v>87</v>
      </c>
      <c r="S122">
        <v>2039</v>
      </c>
      <c r="T122" s="31">
        <f>T128/1.5</f>
        <v>7.5897919999999989E-3</v>
      </c>
      <c r="U122" s="12">
        <f>T122*10000000000000/Assumptions!$B$16/10000000</f>
        <v>6943.9999999999982</v>
      </c>
      <c r="V122" s="13">
        <f>IFERROR(INDEX(Assumptions!C$112:C$113,MATCH(LEFT(Biogas!$P122,2),Assumptions!$B$112:$B$113,0))-SUMIFS($AH:$AH,$AE:$AE,"Total",$AB:$AB,$O122,$AF:$AF,$S122),0)</f>
        <v>45</v>
      </c>
      <c r="W122" s="13">
        <f>IFERROR(INDEX(Assumptions!D$112:D$113,MATCH(LEFT(Biogas!$P122,2),Assumptions!$B$112:$B$113,0))-SUMIFS($AH:$AH,$AE:$AE,"Total",$AB:$AB,$O122,$AF:$AF,$S122),0)</f>
        <v>45</v>
      </c>
      <c r="X122" s="13">
        <f>IFERROR(INDEX(Assumptions!E$112:E$113,MATCH(LEFT(Biogas!$P122,2),Assumptions!$B$112:$B$113,0))-SUMIFS($AH:$AH,$AE:$AE,"Total",$AB:$AB,$O122,$AF:$AF,$S122),0)</f>
        <v>-54.055</v>
      </c>
    </row>
    <row r="123" spans="15:24" x14ac:dyDescent="0.35">
      <c r="O123" t="s">
        <v>107</v>
      </c>
      <c r="P123" s="20" t="s">
        <v>91</v>
      </c>
      <c r="Q123" t="s">
        <v>217</v>
      </c>
      <c r="R123" t="s">
        <v>87</v>
      </c>
      <c r="S123">
        <v>2040</v>
      </c>
      <c r="T123" s="31">
        <f>$T$128</f>
        <v>1.1384687999999999E-2</v>
      </c>
      <c r="U123" s="12">
        <f>T123*10000000000000/Assumptions!$B$16/10000000</f>
        <v>10415.999999999998</v>
      </c>
      <c r="V123" s="13">
        <f>IFERROR(INDEX(Assumptions!C$112:C$113,MATCH(LEFT(Biogas!$P123,2),Assumptions!$B$112:$B$113,0))-SUMIFS($AH:$AH,$AE:$AE,"Total",$AB:$AB,$O123,$AF:$AF,$S123),0)</f>
        <v>45</v>
      </c>
      <c r="W123" s="13">
        <f>IFERROR(INDEX(Assumptions!D$112:D$113,MATCH(LEFT(Biogas!$P123,2),Assumptions!$B$112:$B$113,0))-SUMIFS($AH:$AH,$AE:$AE,"Total",$AB:$AB,$O123,$AF:$AF,$S123),0)</f>
        <v>45</v>
      </c>
      <c r="X123" s="13">
        <f>IFERROR(INDEX(Assumptions!E$112:E$113,MATCH(LEFT(Biogas!$P123,2),Assumptions!$B$112:$B$113,0))-SUMIFS($AH:$AH,$AE:$AE,"Total",$AB:$AB,$O123,$AF:$AF,$S123),0)</f>
        <v>-54.055</v>
      </c>
    </row>
    <row r="124" spans="15:24" x14ac:dyDescent="0.35">
      <c r="O124" t="s">
        <v>107</v>
      </c>
      <c r="P124" s="20" t="s">
        <v>91</v>
      </c>
      <c r="Q124" t="s">
        <v>217</v>
      </c>
      <c r="R124" t="s">
        <v>87</v>
      </c>
      <c r="S124">
        <v>2041</v>
      </c>
      <c r="T124" s="31">
        <f t="shared" ref="T124:T127" si="14">$T$128</f>
        <v>1.1384687999999999E-2</v>
      </c>
      <c r="U124" s="12">
        <f>T124*10000000000000/Assumptions!$B$16/10000000</f>
        <v>10415.999999999998</v>
      </c>
      <c r="V124" s="13">
        <f>IFERROR(INDEX(Assumptions!C$112:C$113,MATCH(LEFT(Biogas!$P124,2),Assumptions!$B$112:$B$113,0))-SUMIFS($AH:$AH,$AE:$AE,"Total",$AB:$AB,$O124,$AF:$AF,$S124),0)</f>
        <v>45</v>
      </c>
      <c r="W124" s="13">
        <f>IFERROR(INDEX(Assumptions!D$112:D$113,MATCH(LEFT(Biogas!$P124,2),Assumptions!$B$112:$B$113,0))-SUMIFS($AH:$AH,$AE:$AE,"Total",$AB:$AB,$O124,$AF:$AF,$S124),0)</f>
        <v>45</v>
      </c>
      <c r="X124" s="13">
        <f>IFERROR(INDEX(Assumptions!E$112:E$113,MATCH(LEFT(Biogas!$P124,2),Assumptions!$B$112:$B$113,0))-SUMIFS($AH:$AH,$AE:$AE,"Total",$AB:$AB,$O124,$AF:$AF,$S124),0)</f>
        <v>-54.055</v>
      </c>
    </row>
    <row r="125" spans="15:24" x14ac:dyDescent="0.35">
      <c r="O125" t="s">
        <v>107</v>
      </c>
      <c r="P125" s="20" t="s">
        <v>91</v>
      </c>
      <c r="Q125" t="s">
        <v>217</v>
      </c>
      <c r="R125" t="s">
        <v>87</v>
      </c>
      <c r="S125">
        <v>2042</v>
      </c>
      <c r="T125" s="31">
        <f t="shared" si="14"/>
        <v>1.1384687999999999E-2</v>
      </c>
      <c r="U125" s="12">
        <f>T125*10000000000000/Assumptions!$B$16/10000000</f>
        <v>10415.999999999998</v>
      </c>
      <c r="V125" s="13">
        <f>IFERROR(INDEX(Assumptions!C$112:C$113,MATCH(LEFT(Biogas!$P125,2),Assumptions!$B$112:$B$113,0))-SUMIFS($AH:$AH,$AE:$AE,"Total",$AB:$AB,$O125,$AF:$AF,$S125),0)</f>
        <v>45</v>
      </c>
      <c r="W125" s="13">
        <f>IFERROR(INDEX(Assumptions!D$112:D$113,MATCH(LEFT(Biogas!$P125,2),Assumptions!$B$112:$B$113,0))-SUMIFS($AH:$AH,$AE:$AE,"Total",$AB:$AB,$O125,$AF:$AF,$S125),0)</f>
        <v>45</v>
      </c>
      <c r="X125" s="13">
        <f>IFERROR(INDEX(Assumptions!E$112:E$113,MATCH(LEFT(Biogas!$P125,2),Assumptions!$B$112:$B$113,0))-SUMIFS($AH:$AH,$AE:$AE,"Total",$AB:$AB,$O125,$AF:$AF,$S125),0)</f>
        <v>-54.055</v>
      </c>
    </row>
    <row r="126" spans="15:24" x14ac:dyDescent="0.35">
      <c r="O126" t="s">
        <v>107</v>
      </c>
      <c r="P126" s="20" t="s">
        <v>91</v>
      </c>
      <c r="Q126" t="s">
        <v>217</v>
      </c>
      <c r="R126" t="s">
        <v>87</v>
      </c>
      <c r="S126">
        <v>2043</v>
      </c>
      <c r="T126" s="31">
        <f t="shared" si="14"/>
        <v>1.1384687999999999E-2</v>
      </c>
      <c r="U126" s="12">
        <f>T126*10000000000000/Assumptions!$B$16/10000000</f>
        <v>10415.999999999998</v>
      </c>
      <c r="V126" s="13">
        <f>IFERROR(INDEX(Assumptions!C$112:C$113,MATCH(LEFT(Biogas!$P126,2),Assumptions!$B$112:$B$113,0))-SUMIFS($AH:$AH,$AE:$AE,"Total",$AB:$AB,$O126,$AF:$AF,$S126),0)</f>
        <v>45</v>
      </c>
      <c r="W126" s="13">
        <f>IFERROR(INDEX(Assumptions!D$112:D$113,MATCH(LEFT(Biogas!$P126,2),Assumptions!$B$112:$B$113,0))-SUMIFS($AH:$AH,$AE:$AE,"Total",$AB:$AB,$O126,$AF:$AF,$S126),0)</f>
        <v>45</v>
      </c>
      <c r="X126" s="13">
        <f>IFERROR(INDEX(Assumptions!E$112:E$113,MATCH(LEFT(Biogas!$P126,2),Assumptions!$B$112:$B$113,0))-SUMIFS($AH:$AH,$AE:$AE,"Total",$AB:$AB,$O126,$AF:$AF,$S126),0)</f>
        <v>-54.055</v>
      </c>
    </row>
    <row r="127" spans="15:24" x14ac:dyDescent="0.35">
      <c r="O127" t="s">
        <v>107</v>
      </c>
      <c r="P127" s="20" t="s">
        <v>91</v>
      </c>
      <c r="Q127" t="s">
        <v>217</v>
      </c>
      <c r="R127" t="s">
        <v>87</v>
      </c>
      <c r="S127">
        <v>2044</v>
      </c>
      <c r="T127" s="31">
        <f t="shared" si="14"/>
        <v>1.1384687999999999E-2</v>
      </c>
      <c r="U127" s="12">
        <f>T127*10000000000000/Assumptions!$B$16/10000000</f>
        <v>10415.999999999998</v>
      </c>
      <c r="V127" s="13">
        <f>IFERROR(INDEX(Assumptions!C$112:C$113,MATCH(LEFT(Biogas!$P127,2),Assumptions!$B$112:$B$113,0))-SUMIFS($AH:$AH,$AE:$AE,"Total",$AB:$AB,$O127,$AF:$AF,$S127),0)</f>
        <v>45</v>
      </c>
      <c r="W127" s="13">
        <f>IFERROR(INDEX(Assumptions!D$112:D$113,MATCH(LEFT(Biogas!$P127,2),Assumptions!$B$112:$B$113,0))-SUMIFS($AH:$AH,$AE:$AE,"Total",$AB:$AB,$O127,$AF:$AF,$S127),0)</f>
        <v>45</v>
      </c>
      <c r="X127" s="13">
        <f>IFERROR(INDEX(Assumptions!E$112:E$113,MATCH(LEFT(Biogas!$P127,2),Assumptions!$B$112:$B$113,0))-SUMIFS($AH:$AH,$AE:$AE,"Total",$AB:$AB,$O127,$AF:$AF,$S127),0)</f>
        <v>-54.055</v>
      </c>
    </row>
    <row r="128" spans="15:24" x14ac:dyDescent="0.35">
      <c r="O128" t="s">
        <v>107</v>
      </c>
      <c r="P128" s="20" t="s">
        <v>91</v>
      </c>
      <c r="Q128" t="s">
        <v>217</v>
      </c>
      <c r="R128" t="s">
        <v>87</v>
      </c>
      <c r="S128">
        <v>2045</v>
      </c>
      <c r="T128" s="55">
        <f>AQ4</f>
        <v>1.1384687999999999E-2</v>
      </c>
      <c r="U128" s="12">
        <f>T128*10000000000000/Assumptions!$B$16/10000000</f>
        <v>10415.999999999998</v>
      </c>
      <c r="V128" s="13">
        <f>IFERROR(INDEX(Assumptions!C$112:C$113,MATCH(LEFT(Biogas!$P128,2),Assumptions!$B$112:$B$113,0))-SUMIFS($AH:$AH,$AE:$AE,"Total",$AB:$AB,$O128,$AF:$AF,$S128),0)</f>
        <v>45</v>
      </c>
      <c r="W128" s="13">
        <f>IFERROR(INDEX(Assumptions!D$112:D$113,MATCH(LEFT(Biogas!$P128,2),Assumptions!$B$112:$B$113,0))-SUMIFS($AH:$AH,$AE:$AE,"Total",$AB:$AB,$O128,$AF:$AF,$S128),0)</f>
        <v>45</v>
      </c>
      <c r="X128" s="13">
        <f>IFERROR(INDEX(Assumptions!E$112:E$113,MATCH(LEFT(Biogas!$P128,2),Assumptions!$B$112:$B$113,0))-SUMIFS($AH:$AH,$AE:$AE,"Total",$AB:$AB,$O128,$AF:$AF,$S128),0)</f>
        <v>-54.055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175A6-B1FA-43EE-A297-5309EDC02283}">
  <dimension ref="A1:AT86"/>
  <sheetViews>
    <sheetView topLeftCell="N2" workbookViewId="0">
      <selection activeCell="T23" sqref="T23:T24"/>
    </sheetView>
  </sheetViews>
  <sheetFormatPr defaultColWidth="8.83203125" defaultRowHeight="15.5" x14ac:dyDescent="0.35"/>
  <cols>
    <col min="20" max="20" width="14.08203125" customWidth="1"/>
    <col min="26" max="26" width="13.08203125" customWidth="1"/>
    <col min="27" max="27" width="10.83203125" customWidth="1"/>
    <col min="44" max="44" width="38.58203125" bestFit="1" customWidth="1"/>
    <col min="46" max="46" width="10.83203125" bestFit="1" customWidth="1"/>
  </cols>
  <sheetData>
    <row r="1" spans="1:46" x14ac:dyDescent="0.35">
      <c r="A1" s="5" t="s">
        <v>110</v>
      </c>
      <c r="I1" s="56" t="s">
        <v>137</v>
      </c>
      <c r="R1" s="34"/>
      <c r="S1" s="5" t="s">
        <v>111</v>
      </c>
      <c r="AI1" s="26"/>
      <c r="AJ1" s="17" t="s">
        <v>139</v>
      </c>
      <c r="AP1" s="35"/>
      <c r="AQ1" s="5" t="s">
        <v>62</v>
      </c>
      <c r="AR1" s="5"/>
    </row>
    <row r="2" spans="1:46" ht="124" x14ac:dyDescent="0.35">
      <c r="A2" s="16" t="s">
        <v>140</v>
      </c>
      <c r="B2" s="16" t="s">
        <v>0</v>
      </c>
      <c r="C2" s="16" t="s">
        <v>242</v>
      </c>
      <c r="D2" s="16" t="s">
        <v>243</v>
      </c>
      <c r="E2" s="16" t="s">
        <v>143</v>
      </c>
      <c r="F2" s="16" t="s">
        <v>144</v>
      </c>
      <c r="G2" s="16" t="s">
        <v>145</v>
      </c>
      <c r="H2" s="16" t="s">
        <v>244</v>
      </c>
      <c r="I2" s="28" t="s">
        <v>149</v>
      </c>
      <c r="J2" s="28" t="s">
        <v>150</v>
      </c>
      <c r="K2" s="28" t="s">
        <v>151</v>
      </c>
      <c r="L2" s="16" t="s">
        <v>152</v>
      </c>
      <c r="M2" s="16" t="s">
        <v>153</v>
      </c>
      <c r="N2" s="16" t="s">
        <v>154</v>
      </c>
      <c r="R2" s="34"/>
      <c r="S2" t="s">
        <v>133</v>
      </c>
      <c r="T2" t="s">
        <v>197</v>
      </c>
      <c r="U2" t="s">
        <v>198</v>
      </c>
      <c r="V2" t="s">
        <v>158</v>
      </c>
      <c r="W2" t="s">
        <v>0</v>
      </c>
      <c r="X2" s="16" t="s">
        <v>245</v>
      </c>
      <c r="Y2" s="16" t="s">
        <v>242</v>
      </c>
      <c r="Z2" s="16" t="s">
        <v>243</v>
      </c>
      <c r="AA2" s="16" t="s">
        <v>143</v>
      </c>
      <c r="AB2" s="16" t="s">
        <v>144</v>
      </c>
      <c r="AC2" s="16" t="s">
        <v>145</v>
      </c>
      <c r="AD2" s="28" t="s">
        <v>149</v>
      </c>
      <c r="AE2" s="28" t="s">
        <v>150</v>
      </c>
      <c r="AF2" s="28" t="s">
        <v>151</v>
      </c>
      <c r="AI2" s="26"/>
      <c r="AJ2" t="s">
        <v>203</v>
      </c>
      <c r="AK2" t="s">
        <v>204</v>
      </c>
      <c r="AL2" t="s">
        <v>158</v>
      </c>
      <c r="AM2" t="s">
        <v>0</v>
      </c>
      <c r="AN2" s="16" t="s">
        <v>244</v>
      </c>
      <c r="AO2" s="16"/>
      <c r="AP2" s="36"/>
      <c r="AQ2" s="16" t="s">
        <v>133</v>
      </c>
      <c r="AR2" s="16" t="s">
        <v>134</v>
      </c>
      <c r="AS2" s="53" t="s">
        <v>246</v>
      </c>
    </row>
    <row r="3" spans="1:46" x14ac:dyDescent="0.35">
      <c r="A3" t="s">
        <v>76</v>
      </c>
      <c r="B3">
        <v>2025</v>
      </c>
      <c r="C3" s="11">
        <f t="shared" ref="C3:C44" si="0">SUMIFS(Y:Y,$W:$W,$B3,$S:$S,$A3)</f>
        <v>0</v>
      </c>
      <c r="D3" s="13">
        <f t="shared" ref="D3:D44" si="1">SUMIFS(Z:Z,$W:$W,$B3,$S:$S,$A3)</f>
        <v>0</v>
      </c>
      <c r="E3" s="51" cm="1">
        <f t="array" ref="E3">IF($C3=0,0,SUMPRODUCT(IF($S$3:$S$212=$A3,1,0),IF($W$3:$W$212=$B3,1,0),$Y$3:$Y$212,AA$3:AA$212)/$C3)</f>
        <v>0</v>
      </c>
      <c r="F3" s="51" cm="1">
        <f t="array" ref="F3">IF($C3=0,0,SUMPRODUCT(IF($S$3:$S$212=$A3,1,0),IF($W$3:$W$212=$B3,1,0),$Y$3:$Y$212,AB$3:AB$212)/$C3)</f>
        <v>0</v>
      </c>
      <c r="G3" s="51" cm="1">
        <f t="array" ref="G3">IF($C3=0,0,SUMPRODUCT(IF($S$3:$S$212=$A3,1,0),IF($W$3:$W$212=$B3,1,0),$Y$3:$Y$212,AC$3:AC$212)/$C3)</f>
        <v>0</v>
      </c>
      <c r="H3" s="11">
        <f t="shared" ref="H3:H44" si="2">SUMIFS(AN:AN,$AM:$AM,$B3,$AJ:$AJ,$A3)</f>
        <v>86.64</v>
      </c>
      <c r="I3" s="51">
        <f t="shared" ref="I3:I44" si="3">IF(C3=0,0,E3-H3)</f>
        <v>0</v>
      </c>
      <c r="J3" s="51">
        <f t="shared" ref="J3:J44" si="4">IF(D3=0,0,G3-H3)</f>
        <v>0</v>
      </c>
      <c r="K3" s="51">
        <f t="shared" ref="K3:K44" si="5">IF(E3=0,0,F3-H3)</f>
        <v>0</v>
      </c>
      <c r="L3" s="31">
        <f>$C3*I3*-1</f>
        <v>0</v>
      </c>
      <c r="M3" s="31">
        <f t="shared" ref="M3:N18" si="6">$C3*J3*-1</f>
        <v>0</v>
      </c>
      <c r="N3" s="31">
        <f t="shared" si="6"/>
        <v>0</v>
      </c>
      <c r="R3" s="34"/>
      <c r="S3" t="s">
        <v>76</v>
      </c>
      <c r="T3" t="s">
        <v>93</v>
      </c>
      <c r="U3" t="s">
        <v>247</v>
      </c>
      <c r="V3" t="s">
        <v>92</v>
      </c>
      <c r="W3">
        <v>2025</v>
      </c>
      <c r="X3" s="2">
        <v>0</v>
      </c>
      <c r="Y3">
        <f t="shared" ref="Y3:Y44" si="7">INDEX($AR$8:$AR$28,MATCH(W3,$AQ$8:$AQ$28,0))*X3</f>
        <v>0</v>
      </c>
      <c r="Z3" s="12">
        <f>Y3*$AT$8/1000000</f>
        <v>0</v>
      </c>
      <c r="AA3" s="10">
        <f>INDEX(Assumptions!C$110:C$111,MATCH(LEFT($T3,3),Assumptions!$B$110:$B$111,0))</f>
        <v>70</v>
      </c>
      <c r="AB3" s="10">
        <f>INDEX(Assumptions!D$110:D$111,MATCH(LEFT($T3,3),Assumptions!$B$110:$B$111,0))</f>
        <v>70</v>
      </c>
      <c r="AC3" s="10">
        <f>INDEX(Assumptions!E$110:E$111,MATCH(LEFT($T3,3),Assumptions!$B$110:$B$111,0))</f>
        <v>47.5</v>
      </c>
      <c r="AD3" s="10">
        <f>AA3-$H$3</f>
        <v>-16.64</v>
      </c>
      <c r="AE3" s="10">
        <f t="shared" ref="AE3:AF3" si="8">AB3-$H$3</f>
        <v>-16.64</v>
      </c>
      <c r="AF3" s="10">
        <f t="shared" si="8"/>
        <v>-39.14</v>
      </c>
      <c r="AI3" s="26"/>
      <c r="AJ3" t="s">
        <v>76</v>
      </c>
      <c r="AK3" t="s">
        <v>92</v>
      </c>
      <c r="AL3" t="s">
        <v>180</v>
      </c>
      <c r="AM3">
        <v>2025</v>
      </c>
      <c r="AN3" s="8">
        <f>INDEX(GREET3.0!$K$27:$K$52,MATCH(RenewableJetFuel!AM3,GREET3.0!$J$27:$J$52,0))</f>
        <v>86.64</v>
      </c>
      <c r="AP3" s="36"/>
      <c r="AQ3" t="s">
        <v>76</v>
      </c>
      <c r="AR3" t="s">
        <v>248</v>
      </c>
      <c r="AS3" s="2">
        <v>0</v>
      </c>
    </row>
    <row r="4" spans="1:46" x14ac:dyDescent="0.35">
      <c r="A4" t="s">
        <v>76</v>
      </c>
      <c r="B4">
        <v>2026</v>
      </c>
      <c r="C4" s="11">
        <f t="shared" si="0"/>
        <v>0</v>
      </c>
      <c r="D4" s="13">
        <f t="shared" si="1"/>
        <v>0</v>
      </c>
      <c r="E4" s="51" cm="1">
        <f t="array" ref="E4">IF($C4=0,0,SUMPRODUCT(IF($S$3:$S$212=$A4,1,0),IF($W$3:$W$212=$B4,1,0),$Y$3:$Y$212,AA$3:AA$212)/$C4)</f>
        <v>0</v>
      </c>
      <c r="F4" s="51" cm="1">
        <f t="array" ref="F4">IF($C4=0,0,SUMPRODUCT(IF($S$3:$S$212=$A4,1,0),IF($W$3:$W$212=$B4,1,0),$Y$3:$Y$212,AB$3:AB$212)/$C4)</f>
        <v>0</v>
      </c>
      <c r="G4" s="51" cm="1">
        <f t="array" ref="G4">IF($C4=0,0,SUMPRODUCT(IF($S$3:$S$212=$A4,1,0),IF($W$3:$W$212=$B4,1,0),$Y$3:$Y$212,AC$3:AC$212)/$C4)</f>
        <v>0</v>
      </c>
      <c r="H4" s="11">
        <f t="shared" si="2"/>
        <v>85.38</v>
      </c>
      <c r="I4" s="51">
        <f t="shared" si="3"/>
        <v>0</v>
      </c>
      <c r="J4" s="51">
        <f t="shared" si="4"/>
        <v>0</v>
      </c>
      <c r="K4" s="51">
        <f t="shared" si="5"/>
        <v>0</v>
      </c>
      <c r="L4" s="31">
        <f t="shared" ref="L4:N39" si="9">$C4*I4*-1</f>
        <v>0</v>
      </c>
      <c r="M4" s="31">
        <f t="shared" si="6"/>
        <v>0</v>
      </c>
      <c r="N4" s="31">
        <f t="shared" si="6"/>
        <v>0</v>
      </c>
      <c r="R4" s="34"/>
      <c r="S4" t="s">
        <v>76</v>
      </c>
      <c r="T4" t="s">
        <v>93</v>
      </c>
      <c r="U4" t="s">
        <v>247</v>
      </c>
      <c r="V4" t="s">
        <v>92</v>
      </c>
      <c r="W4">
        <v>2026</v>
      </c>
      <c r="X4" s="2">
        <v>0</v>
      </c>
      <c r="Y4">
        <f t="shared" si="7"/>
        <v>0</v>
      </c>
      <c r="Z4" s="12">
        <f t="shared" ref="Z4:Z67" si="10">Y4*$AT$8/1000000</f>
        <v>0</v>
      </c>
      <c r="AA4" s="10">
        <f>INDEX(Assumptions!C$110:C$111,MATCH(LEFT($T4,3),Assumptions!$B$110:$B$111,0))</f>
        <v>70</v>
      </c>
      <c r="AB4" s="10">
        <f>INDEX(Assumptions!D$110:D$111,MATCH(LEFT($T4,3),Assumptions!$B$110:$B$111,0))</f>
        <v>70</v>
      </c>
      <c r="AC4" s="10">
        <f>INDEX(Assumptions!E$110:E$111,MATCH(LEFT($T4,3),Assumptions!$B$110:$B$111,0))</f>
        <v>47.5</v>
      </c>
      <c r="AD4" s="10">
        <f t="shared" ref="AD4:AD67" si="11">AA4-$H$3</f>
        <v>-16.64</v>
      </c>
      <c r="AE4" s="10">
        <f t="shared" ref="AE4:AE67" si="12">AB4-$H$3</f>
        <v>-16.64</v>
      </c>
      <c r="AF4" s="10">
        <f t="shared" ref="AF4:AF67" si="13">AC4-$H$3</f>
        <v>-39.14</v>
      </c>
      <c r="AI4" s="26"/>
      <c r="AJ4" t="s">
        <v>76</v>
      </c>
      <c r="AK4" t="s">
        <v>92</v>
      </c>
      <c r="AL4" t="s">
        <v>180</v>
      </c>
      <c r="AM4">
        <v>2026</v>
      </c>
      <c r="AN4" s="8">
        <f>INDEX(GREET3.0!$K$27:$K$52,MATCH(RenewableJetFuel!AM4,GREET3.0!$J$27:$J$52,0))</f>
        <v>85.38</v>
      </c>
      <c r="AP4" s="36"/>
      <c r="AQ4" t="s">
        <v>107</v>
      </c>
      <c r="AR4" t="s">
        <v>249</v>
      </c>
      <c r="AS4" s="2">
        <v>1</v>
      </c>
    </row>
    <row r="5" spans="1:46" x14ac:dyDescent="0.35">
      <c r="A5" t="s">
        <v>76</v>
      </c>
      <c r="B5">
        <v>2027</v>
      </c>
      <c r="C5" s="11">
        <f t="shared" si="0"/>
        <v>0</v>
      </c>
      <c r="D5" s="13">
        <f t="shared" si="1"/>
        <v>0</v>
      </c>
      <c r="E5" s="51" cm="1">
        <f t="array" ref="E5">IF($C5=0,0,SUMPRODUCT(IF($S$3:$S$212=$A5,1,0),IF($W$3:$W$212=$B5,1,0),$Y$3:$Y$212,AA$3:AA$212)/$C5)</f>
        <v>0</v>
      </c>
      <c r="F5" s="51" cm="1">
        <f t="array" ref="F5">IF($C5=0,0,SUMPRODUCT(IF($S$3:$S$212=$A5,1,0),IF($W$3:$W$212=$B5,1,0),$Y$3:$Y$212,AB$3:AB$212)/$C5)</f>
        <v>0</v>
      </c>
      <c r="G5" s="51" cm="1">
        <f t="array" ref="G5">IF($C5=0,0,SUMPRODUCT(IF($S$3:$S$212=$A5,1,0),IF($W$3:$W$212=$B5,1,0),$Y$3:$Y$212,AC$3:AC$212)/$C5)</f>
        <v>0</v>
      </c>
      <c r="H5" s="11">
        <f t="shared" si="2"/>
        <v>84.13</v>
      </c>
      <c r="I5" s="51">
        <f t="shared" si="3"/>
        <v>0</v>
      </c>
      <c r="J5" s="51">
        <f t="shared" si="4"/>
        <v>0</v>
      </c>
      <c r="K5" s="51">
        <f t="shared" si="5"/>
        <v>0</v>
      </c>
      <c r="L5" s="31">
        <f t="shared" si="9"/>
        <v>0</v>
      </c>
      <c r="M5" s="31">
        <f t="shared" si="6"/>
        <v>0</v>
      </c>
      <c r="N5" s="31">
        <f t="shared" si="6"/>
        <v>0</v>
      </c>
      <c r="R5" s="34"/>
      <c r="S5" t="s">
        <v>76</v>
      </c>
      <c r="T5" t="s">
        <v>93</v>
      </c>
      <c r="U5" t="s">
        <v>247</v>
      </c>
      <c r="V5" t="s">
        <v>92</v>
      </c>
      <c r="W5">
        <v>2027</v>
      </c>
      <c r="X5" s="2">
        <v>0</v>
      </c>
      <c r="Y5">
        <f t="shared" si="7"/>
        <v>0</v>
      </c>
      <c r="Z5" s="12">
        <f t="shared" si="10"/>
        <v>0</v>
      </c>
      <c r="AA5" s="10">
        <f>INDEX(Assumptions!C$110:C$111,MATCH(LEFT($T5,3),Assumptions!$B$110:$B$111,0))</f>
        <v>70</v>
      </c>
      <c r="AB5" s="10">
        <f>INDEX(Assumptions!D$110:D$111,MATCH(LEFT($T5,3),Assumptions!$B$110:$B$111,0))</f>
        <v>70</v>
      </c>
      <c r="AC5" s="10">
        <f>INDEX(Assumptions!E$110:E$111,MATCH(LEFT($T5,3),Assumptions!$B$110:$B$111,0))</f>
        <v>47.5</v>
      </c>
      <c r="AD5" s="10">
        <f t="shared" si="11"/>
        <v>-16.64</v>
      </c>
      <c r="AE5" s="10">
        <f t="shared" si="12"/>
        <v>-16.64</v>
      </c>
      <c r="AF5" s="10">
        <f t="shared" si="13"/>
        <v>-39.14</v>
      </c>
      <c r="AI5" s="26"/>
      <c r="AJ5" t="s">
        <v>76</v>
      </c>
      <c r="AK5" t="s">
        <v>92</v>
      </c>
      <c r="AL5" t="s">
        <v>180</v>
      </c>
      <c r="AM5">
        <v>2027</v>
      </c>
      <c r="AN5" s="8">
        <f>INDEX(GREET3.0!$K$27:$K$52,MATCH(RenewableJetFuel!AM5,GREET3.0!$J$27:$J$52,0))</f>
        <v>84.13</v>
      </c>
      <c r="AP5" s="36"/>
    </row>
    <row r="6" spans="1:46" x14ac:dyDescent="0.35">
      <c r="A6" t="s">
        <v>76</v>
      </c>
      <c r="B6">
        <v>2028</v>
      </c>
      <c r="C6" s="11">
        <f t="shared" si="0"/>
        <v>0</v>
      </c>
      <c r="D6" s="13">
        <f t="shared" si="1"/>
        <v>0</v>
      </c>
      <c r="E6" s="51" cm="1">
        <f t="array" ref="E6">IF($C6=0,0,SUMPRODUCT(IF($S$3:$S$212=$A6,1,0),IF($W$3:$W$212=$B6,1,0),$Y$3:$Y$212,AA$3:AA$212)/$C6)</f>
        <v>0</v>
      </c>
      <c r="F6" s="51" cm="1">
        <f t="array" ref="F6">IF($C6=0,0,SUMPRODUCT(IF($S$3:$S$212=$A6,1,0),IF($W$3:$W$212=$B6,1,0),$Y$3:$Y$212,AB$3:AB$212)/$C6)</f>
        <v>0</v>
      </c>
      <c r="G6" s="51" cm="1">
        <f t="array" ref="G6">IF($C6=0,0,SUMPRODUCT(IF($S$3:$S$212=$A6,1,0),IF($W$3:$W$212=$B6,1,0),$Y$3:$Y$212,AC$3:AC$212)/$C6)</f>
        <v>0</v>
      </c>
      <c r="H6" s="11">
        <f t="shared" si="2"/>
        <v>82.87</v>
      </c>
      <c r="I6" s="51">
        <f t="shared" si="3"/>
        <v>0</v>
      </c>
      <c r="J6" s="51">
        <f t="shared" si="4"/>
        <v>0</v>
      </c>
      <c r="K6" s="51">
        <f t="shared" si="5"/>
        <v>0</v>
      </c>
      <c r="L6" s="31">
        <f t="shared" si="9"/>
        <v>0</v>
      </c>
      <c r="M6" s="31">
        <f t="shared" si="6"/>
        <v>0</v>
      </c>
      <c r="N6" s="31">
        <f t="shared" si="6"/>
        <v>0</v>
      </c>
      <c r="R6" s="34"/>
      <c r="S6" t="s">
        <v>76</v>
      </c>
      <c r="T6" t="s">
        <v>93</v>
      </c>
      <c r="U6" t="s">
        <v>247</v>
      </c>
      <c r="V6" t="s">
        <v>92</v>
      </c>
      <c r="W6">
        <v>2028</v>
      </c>
      <c r="X6" s="2">
        <v>0</v>
      </c>
      <c r="Y6">
        <f t="shared" si="7"/>
        <v>0</v>
      </c>
      <c r="Z6" s="12">
        <f t="shared" si="10"/>
        <v>0</v>
      </c>
      <c r="AA6" s="10">
        <f>INDEX(Assumptions!C$110:C$111,MATCH(LEFT($T6,3),Assumptions!$B$110:$B$111,0))</f>
        <v>70</v>
      </c>
      <c r="AB6" s="10">
        <f>INDEX(Assumptions!D$110:D$111,MATCH(LEFT($T6,3),Assumptions!$B$110:$B$111,0))</f>
        <v>70</v>
      </c>
      <c r="AC6" s="10">
        <f>INDEX(Assumptions!E$110:E$111,MATCH(LEFT($T6,3),Assumptions!$B$110:$B$111,0))</f>
        <v>47.5</v>
      </c>
      <c r="AD6" s="10">
        <f t="shared" si="11"/>
        <v>-16.64</v>
      </c>
      <c r="AE6" s="10">
        <f t="shared" si="12"/>
        <v>-16.64</v>
      </c>
      <c r="AF6" s="10">
        <f t="shared" si="13"/>
        <v>-39.14</v>
      </c>
      <c r="AI6" s="26"/>
      <c r="AJ6" t="s">
        <v>76</v>
      </c>
      <c r="AK6" t="s">
        <v>92</v>
      </c>
      <c r="AL6" t="s">
        <v>180</v>
      </c>
      <c r="AM6">
        <v>2028</v>
      </c>
      <c r="AN6" s="8">
        <f>INDEX(GREET3.0!$K$27:$K$52,MATCH(RenewableJetFuel!AM6,GREET3.0!$J$27:$J$52,0))</f>
        <v>82.87</v>
      </c>
      <c r="AP6" s="36"/>
      <c r="AQ6" t="s">
        <v>250</v>
      </c>
    </row>
    <row r="7" spans="1:46" x14ac:dyDescent="0.35">
      <c r="A7" t="s">
        <v>76</v>
      </c>
      <c r="B7">
        <v>2029</v>
      </c>
      <c r="C7" s="11">
        <f t="shared" si="0"/>
        <v>0</v>
      </c>
      <c r="D7" s="13">
        <f t="shared" si="1"/>
        <v>0</v>
      </c>
      <c r="E7" s="51" cm="1">
        <f t="array" ref="E7">IF($C7=0,0,SUMPRODUCT(IF($S$3:$S$212=$A7,1,0),IF($W$3:$W$212=$B7,1,0),$Y$3:$Y$212,AA$3:AA$212)/$C7)</f>
        <v>0</v>
      </c>
      <c r="F7" s="51" cm="1">
        <f t="array" ref="F7">IF($C7=0,0,SUMPRODUCT(IF($S$3:$S$212=$A7,1,0),IF($W$3:$W$212=$B7,1,0),$Y$3:$Y$212,AB$3:AB$212)/$C7)</f>
        <v>0</v>
      </c>
      <c r="G7" s="51" cm="1">
        <f t="array" ref="G7">IF($C7=0,0,SUMPRODUCT(IF($S$3:$S$212=$A7,1,0),IF($W$3:$W$212=$B7,1,0),$Y$3:$Y$212,AC$3:AC$212)/$C7)</f>
        <v>0</v>
      </c>
      <c r="H7" s="11">
        <f t="shared" si="2"/>
        <v>81.62</v>
      </c>
      <c r="I7" s="51">
        <f t="shared" si="3"/>
        <v>0</v>
      </c>
      <c r="J7" s="51">
        <f t="shared" si="4"/>
        <v>0</v>
      </c>
      <c r="K7" s="51">
        <f t="shared" si="5"/>
        <v>0</v>
      </c>
      <c r="L7" s="31">
        <f t="shared" si="9"/>
        <v>0</v>
      </c>
      <c r="M7" s="31">
        <f t="shared" si="6"/>
        <v>0</v>
      </c>
      <c r="N7" s="31">
        <f t="shared" si="6"/>
        <v>0</v>
      </c>
      <c r="R7" s="34"/>
      <c r="S7" t="s">
        <v>76</v>
      </c>
      <c r="T7" t="s">
        <v>93</v>
      </c>
      <c r="U7" t="s">
        <v>247</v>
      </c>
      <c r="V7" t="s">
        <v>92</v>
      </c>
      <c r="W7">
        <v>2029</v>
      </c>
      <c r="X7" s="2">
        <v>0</v>
      </c>
      <c r="Y7">
        <f t="shared" si="7"/>
        <v>0</v>
      </c>
      <c r="Z7" s="12">
        <f t="shared" si="10"/>
        <v>0</v>
      </c>
      <c r="AA7" s="10">
        <f>INDEX(Assumptions!C$110:C$111,MATCH(LEFT($T7,3),Assumptions!$B$110:$B$111,0))</f>
        <v>70</v>
      </c>
      <c r="AB7" s="10">
        <f>INDEX(Assumptions!D$110:D$111,MATCH(LEFT($T7,3),Assumptions!$B$110:$B$111,0))</f>
        <v>70</v>
      </c>
      <c r="AC7" s="10">
        <f>INDEX(Assumptions!E$110:E$111,MATCH(LEFT($T7,3),Assumptions!$B$110:$B$111,0))</f>
        <v>47.5</v>
      </c>
      <c r="AD7" s="10">
        <f t="shared" si="11"/>
        <v>-16.64</v>
      </c>
      <c r="AE7" s="10">
        <f t="shared" si="12"/>
        <v>-16.64</v>
      </c>
      <c r="AF7" s="10">
        <f t="shared" si="13"/>
        <v>-39.14</v>
      </c>
      <c r="AI7" s="26"/>
      <c r="AJ7" t="s">
        <v>76</v>
      </c>
      <c r="AK7" t="s">
        <v>92</v>
      </c>
      <c r="AL7" t="s">
        <v>180</v>
      </c>
      <c r="AM7">
        <v>2029</v>
      </c>
      <c r="AN7" s="8">
        <f>INDEX(GREET3.0!$K$27:$K$52,MATCH(RenewableJetFuel!AM7,GREET3.0!$J$27:$J$52,0))</f>
        <v>81.62</v>
      </c>
      <c r="AP7" s="36"/>
      <c r="AR7" s="123" t="s">
        <v>251</v>
      </c>
      <c r="AS7" s="123" t="s">
        <v>252</v>
      </c>
      <c r="AT7" t="s">
        <v>253</v>
      </c>
    </row>
    <row r="8" spans="1:46" x14ac:dyDescent="0.35">
      <c r="A8" t="s">
        <v>76</v>
      </c>
      <c r="B8">
        <v>2030</v>
      </c>
      <c r="C8" s="11">
        <f t="shared" si="0"/>
        <v>0</v>
      </c>
      <c r="D8" s="13">
        <f t="shared" si="1"/>
        <v>0</v>
      </c>
      <c r="E8" s="51" cm="1">
        <f t="array" ref="E8">IF($C8=0,0,SUMPRODUCT(IF($S$3:$S$212=$A8,1,0),IF($W$3:$W$212=$B8,1,0),$Y$3:$Y$212,AA$3:AA$212)/$C8)</f>
        <v>0</v>
      </c>
      <c r="F8" s="51" cm="1">
        <f t="array" ref="F8">IF($C8=0,0,SUMPRODUCT(IF($S$3:$S$212=$A8,1,0),IF($W$3:$W$212=$B8,1,0),$Y$3:$Y$212,AB$3:AB$212)/$C8)</f>
        <v>0</v>
      </c>
      <c r="G8" s="51" cm="1">
        <f t="array" ref="G8">IF($C8=0,0,SUMPRODUCT(IF($S$3:$S$212=$A8,1,0),IF($W$3:$W$212=$B8,1,0),$Y$3:$Y$212,AC$3:AC$212)/$C8)</f>
        <v>0</v>
      </c>
      <c r="H8" s="11">
        <f t="shared" si="2"/>
        <v>80.36</v>
      </c>
      <c r="I8" s="51">
        <f t="shared" si="3"/>
        <v>0</v>
      </c>
      <c r="J8" s="51">
        <f t="shared" si="4"/>
        <v>0</v>
      </c>
      <c r="K8" s="51">
        <f t="shared" si="5"/>
        <v>0</v>
      </c>
      <c r="L8" s="31">
        <f t="shared" si="9"/>
        <v>0</v>
      </c>
      <c r="M8" s="31">
        <f t="shared" si="6"/>
        <v>0</v>
      </c>
      <c r="N8" s="31">
        <f t="shared" si="6"/>
        <v>0</v>
      </c>
      <c r="R8" s="34"/>
      <c r="S8" t="s">
        <v>76</v>
      </c>
      <c r="T8" t="s">
        <v>93</v>
      </c>
      <c r="U8" t="s">
        <v>247</v>
      </c>
      <c r="V8" t="s">
        <v>92</v>
      </c>
      <c r="W8">
        <v>2030</v>
      </c>
      <c r="X8" s="2">
        <v>0</v>
      </c>
      <c r="Y8">
        <f t="shared" si="7"/>
        <v>0</v>
      </c>
      <c r="Z8" s="12">
        <f t="shared" si="10"/>
        <v>0</v>
      </c>
      <c r="AA8" s="10">
        <f>INDEX(Assumptions!C$110:C$111,MATCH(LEFT($T8,3),Assumptions!$B$110:$B$111,0))</f>
        <v>70</v>
      </c>
      <c r="AB8" s="10">
        <f>INDEX(Assumptions!D$110:D$111,MATCH(LEFT($T8,3),Assumptions!$B$110:$B$111,0))</f>
        <v>70</v>
      </c>
      <c r="AC8" s="10">
        <f>INDEX(Assumptions!E$110:E$111,MATCH(LEFT($T8,3),Assumptions!$B$110:$B$111,0))</f>
        <v>47.5</v>
      </c>
      <c r="AD8" s="10">
        <f t="shared" si="11"/>
        <v>-16.64</v>
      </c>
      <c r="AE8" s="10">
        <f t="shared" si="12"/>
        <v>-16.64</v>
      </c>
      <c r="AF8" s="10">
        <f t="shared" si="13"/>
        <v>-39.14</v>
      </c>
      <c r="AI8" s="26"/>
      <c r="AJ8" t="s">
        <v>76</v>
      </c>
      <c r="AK8" t="s">
        <v>92</v>
      </c>
      <c r="AL8" t="s">
        <v>180</v>
      </c>
      <c r="AM8">
        <v>2030</v>
      </c>
      <c r="AN8" s="8">
        <f>INDEX(GREET3.0!$K$27:$K$52,MATCH(RenewableJetFuel!AM8,GREET3.0!$J$27:$J$52,0))</f>
        <v>80.36</v>
      </c>
      <c r="AP8" s="36"/>
      <c r="AQ8">
        <v>2025</v>
      </c>
      <c r="AR8">
        <v>6.5353254697599998E-3</v>
      </c>
      <c r="AS8">
        <v>45883654.684743479</v>
      </c>
      <c r="AT8">
        <f>AS8/AR8</f>
        <v>7020867575.3112087</v>
      </c>
    </row>
    <row r="9" spans="1:46" x14ac:dyDescent="0.35">
      <c r="A9" t="s">
        <v>76</v>
      </c>
      <c r="B9">
        <v>2031</v>
      </c>
      <c r="C9" s="11">
        <f t="shared" si="0"/>
        <v>0</v>
      </c>
      <c r="D9" s="13">
        <f t="shared" si="1"/>
        <v>0</v>
      </c>
      <c r="E9" s="51" cm="1">
        <f t="array" ref="E9">IF($C9=0,0,SUMPRODUCT(IF($S$3:$S$212=$A9,1,0),IF($W$3:$W$212=$B9,1,0),$Y$3:$Y$212,AA$3:AA$212)/$C9)</f>
        <v>0</v>
      </c>
      <c r="F9" s="51" cm="1">
        <f t="array" ref="F9">IF($C9=0,0,SUMPRODUCT(IF($S$3:$S$212=$A9,1,0),IF($W$3:$W$212=$B9,1,0),$Y$3:$Y$212,AB$3:AB$212)/$C9)</f>
        <v>0</v>
      </c>
      <c r="G9" s="51" cm="1">
        <f t="array" ref="G9">IF($C9=0,0,SUMPRODUCT(IF($S$3:$S$212=$A9,1,0),IF($W$3:$W$212=$B9,1,0),$Y$3:$Y$212,AC$3:AC$212)/$C9)</f>
        <v>0</v>
      </c>
      <c r="H9" s="11">
        <f t="shared" si="2"/>
        <v>80.36</v>
      </c>
      <c r="I9" s="51">
        <f t="shared" si="3"/>
        <v>0</v>
      </c>
      <c r="J9" s="51">
        <f t="shared" si="4"/>
        <v>0</v>
      </c>
      <c r="K9" s="51">
        <f t="shared" si="5"/>
        <v>0</v>
      </c>
      <c r="L9" s="31">
        <f t="shared" si="9"/>
        <v>0</v>
      </c>
      <c r="M9" s="31">
        <f t="shared" si="6"/>
        <v>0</v>
      </c>
      <c r="N9" s="31">
        <f t="shared" si="6"/>
        <v>0</v>
      </c>
      <c r="R9" s="34"/>
      <c r="S9" t="s">
        <v>76</v>
      </c>
      <c r="T9" t="s">
        <v>93</v>
      </c>
      <c r="U9" t="s">
        <v>247</v>
      </c>
      <c r="V9" t="s">
        <v>92</v>
      </c>
      <c r="W9">
        <v>2031</v>
      </c>
      <c r="X9" s="2">
        <v>0</v>
      </c>
      <c r="Y9">
        <f t="shared" si="7"/>
        <v>0</v>
      </c>
      <c r="Z9" s="12">
        <f t="shared" si="10"/>
        <v>0</v>
      </c>
      <c r="AA9" s="10">
        <f>INDEX(Assumptions!C$110:C$111,MATCH(LEFT($T9,3),Assumptions!$B$110:$B$111,0))</f>
        <v>70</v>
      </c>
      <c r="AB9" s="10">
        <f>INDEX(Assumptions!D$110:D$111,MATCH(LEFT($T9,3),Assumptions!$B$110:$B$111,0))</f>
        <v>70</v>
      </c>
      <c r="AC9" s="10">
        <f>INDEX(Assumptions!E$110:E$111,MATCH(LEFT($T9,3),Assumptions!$B$110:$B$111,0))</f>
        <v>47.5</v>
      </c>
      <c r="AD9" s="10">
        <f t="shared" si="11"/>
        <v>-16.64</v>
      </c>
      <c r="AE9" s="10">
        <f t="shared" si="12"/>
        <v>-16.64</v>
      </c>
      <c r="AF9" s="10">
        <f t="shared" si="13"/>
        <v>-39.14</v>
      </c>
      <c r="AI9" s="26"/>
      <c r="AJ9" t="s">
        <v>76</v>
      </c>
      <c r="AK9" t="s">
        <v>92</v>
      </c>
      <c r="AL9" t="s">
        <v>180</v>
      </c>
      <c r="AM9">
        <v>2031</v>
      </c>
      <c r="AN9" s="8">
        <f>INDEX(GREET3.0!$K$27:$K$52,MATCH(RenewableJetFuel!AM9,GREET3.0!$J$27:$J$52,0))</f>
        <v>80.36</v>
      </c>
      <c r="AP9" s="36"/>
      <c r="AQ9">
        <v>2026</v>
      </c>
      <c r="AR9">
        <v>1.176358584558E-2</v>
      </c>
      <c r="AS9">
        <v>82590578.432622522</v>
      </c>
    </row>
    <row r="10" spans="1:46" x14ac:dyDescent="0.35">
      <c r="A10" t="s">
        <v>76</v>
      </c>
      <c r="B10">
        <v>2032</v>
      </c>
      <c r="C10" s="11">
        <f t="shared" si="0"/>
        <v>0</v>
      </c>
      <c r="D10" s="13">
        <f t="shared" si="1"/>
        <v>0</v>
      </c>
      <c r="E10" s="51" cm="1">
        <f t="array" ref="E10">IF($C10=0,0,SUMPRODUCT(IF($S$3:$S$212=$A10,1,0),IF($W$3:$W$212=$B10,1,0),$Y$3:$Y$212,AA$3:AA$212)/$C10)</f>
        <v>0</v>
      </c>
      <c r="F10" s="51" cm="1">
        <f t="array" ref="F10">IF($C10=0,0,SUMPRODUCT(IF($S$3:$S$212=$A10,1,0),IF($W$3:$W$212=$B10,1,0),$Y$3:$Y$212,AB$3:AB$212)/$C10)</f>
        <v>0</v>
      </c>
      <c r="G10" s="51" cm="1">
        <f t="array" ref="G10">IF($C10=0,0,SUMPRODUCT(IF($S$3:$S$212=$A10,1,0),IF($W$3:$W$212=$B10,1,0),$Y$3:$Y$212,AC$3:AC$212)/$C10)</f>
        <v>0</v>
      </c>
      <c r="H10" s="11">
        <f t="shared" si="2"/>
        <v>80.36</v>
      </c>
      <c r="I10" s="51">
        <f t="shared" si="3"/>
        <v>0</v>
      </c>
      <c r="J10" s="51">
        <f t="shared" si="4"/>
        <v>0</v>
      </c>
      <c r="K10" s="51">
        <f t="shared" si="5"/>
        <v>0</v>
      </c>
      <c r="L10" s="31">
        <f t="shared" si="9"/>
        <v>0</v>
      </c>
      <c r="M10" s="31">
        <f t="shared" si="6"/>
        <v>0</v>
      </c>
      <c r="N10" s="31">
        <f t="shared" si="6"/>
        <v>0</v>
      </c>
      <c r="R10" s="34"/>
      <c r="S10" t="s">
        <v>76</v>
      </c>
      <c r="T10" t="s">
        <v>93</v>
      </c>
      <c r="U10" t="s">
        <v>247</v>
      </c>
      <c r="V10" t="s">
        <v>92</v>
      </c>
      <c r="W10">
        <v>2032</v>
      </c>
      <c r="X10" s="2">
        <v>0</v>
      </c>
      <c r="Y10">
        <f t="shared" si="7"/>
        <v>0</v>
      </c>
      <c r="Z10" s="12">
        <f t="shared" si="10"/>
        <v>0</v>
      </c>
      <c r="AA10" s="10">
        <f>INDEX(Assumptions!C$110:C$111,MATCH(LEFT($T10,3),Assumptions!$B$110:$B$111,0))</f>
        <v>70</v>
      </c>
      <c r="AB10" s="10">
        <f>INDEX(Assumptions!D$110:D$111,MATCH(LEFT($T10,3),Assumptions!$B$110:$B$111,0))</f>
        <v>70</v>
      </c>
      <c r="AC10" s="10">
        <f>INDEX(Assumptions!E$110:E$111,MATCH(LEFT($T10,3),Assumptions!$B$110:$B$111,0))</f>
        <v>47.5</v>
      </c>
      <c r="AD10" s="10">
        <f t="shared" si="11"/>
        <v>-16.64</v>
      </c>
      <c r="AE10" s="10">
        <f t="shared" si="12"/>
        <v>-16.64</v>
      </c>
      <c r="AF10" s="10">
        <f t="shared" si="13"/>
        <v>-39.14</v>
      </c>
      <c r="AI10" s="26"/>
      <c r="AJ10" t="s">
        <v>76</v>
      </c>
      <c r="AK10" t="s">
        <v>92</v>
      </c>
      <c r="AL10" t="s">
        <v>180</v>
      </c>
      <c r="AM10">
        <v>2032</v>
      </c>
      <c r="AN10" s="8">
        <f>INDEX(GREET3.0!$K$27:$K$52,MATCH(RenewableJetFuel!AM10,GREET3.0!$J$27:$J$52,0))</f>
        <v>80.36</v>
      </c>
      <c r="AP10" s="36"/>
      <c r="AQ10">
        <v>2027</v>
      </c>
      <c r="AR10">
        <v>1.6991846221409999E-2</v>
      </c>
      <c r="AS10">
        <v>119297502.18057176</v>
      </c>
    </row>
    <row r="11" spans="1:46" x14ac:dyDescent="0.35">
      <c r="A11" t="s">
        <v>76</v>
      </c>
      <c r="B11">
        <v>2033</v>
      </c>
      <c r="C11" s="11">
        <f t="shared" si="0"/>
        <v>0</v>
      </c>
      <c r="D11" s="13">
        <f t="shared" si="1"/>
        <v>0</v>
      </c>
      <c r="E11" s="51" cm="1">
        <f t="array" ref="E11">IF($C11=0,0,SUMPRODUCT(IF($S$3:$S$212=$A11,1,0),IF($W$3:$W$212=$B11,1,0),$Y$3:$Y$212,AA$3:AA$212)/$C11)</f>
        <v>0</v>
      </c>
      <c r="F11" s="51" cm="1">
        <f t="array" ref="F11">IF($C11=0,0,SUMPRODUCT(IF($S$3:$S$212=$A11,1,0),IF($W$3:$W$212=$B11,1,0),$Y$3:$Y$212,AB$3:AB$212)/$C11)</f>
        <v>0</v>
      </c>
      <c r="G11" s="51" cm="1">
        <f t="array" ref="G11">IF($C11=0,0,SUMPRODUCT(IF($S$3:$S$212=$A11,1,0),IF($W$3:$W$212=$B11,1,0),$Y$3:$Y$212,AC$3:AC$212)/$C11)</f>
        <v>0</v>
      </c>
      <c r="H11" s="11">
        <f t="shared" si="2"/>
        <v>80.36</v>
      </c>
      <c r="I11" s="51">
        <f t="shared" si="3"/>
        <v>0</v>
      </c>
      <c r="J11" s="51">
        <f t="shared" si="4"/>
        <v>0</v>
      </c>
      <c r="K11" s="51">
        <f t="shared" si="5"/>
        <v>0</v>
      </c>
      <c r="L11" s="31">
        <f t="shared" si="9"/>
        <v>0</v>
      </c>
      <c r="M11" s="31">
        <f t="shared" si="6"/>
        <v>0</v>
      </c>
      <c r="N11" s="31">
        <f t="shared" si="6"/>
        <v>0</v>
      </c>
      <c r="R11" s="34"/>
      <c r="S11" t="s">
        <v>76</v>
      </c>
      <c r="T11" t="s">
        <v>93</v>
      </c>
      <c r="U11" t="s">
        <v>247</v>
      </c>
      <c r="V11" t="s">
        <v>92</v>
      </c>
      <c r="W11">
        <v>2033</v>
      </c>
      <c r="X11" s="2">
        <v>0</v>
      </c>
      <c r="Y11">
        <f t="shared" si="7"/>
        <v>0</v>
      </c>
      <c r="Z11" s="12">
        <f t="shared" si="10"/>
        <v>0</v>
      </c>
      <c r="AA11" s="10">
        <f>INDEX(Assumptions!C$110:C$111,MATCH(LEFT($T11,3),Assumptions!$B$110:$B$111,0))</f>
        <v>70</v>
      </c>
      <c r="AB11" s="10">
        <f>INDEX(Assumptions!D$110:D$111,MATCH(LEFT($T11,3),Assumptions!$B$110:$B$111,0))</f>
        <v>70</v>
      </c>
      <c r="AC11" s="10">
        <f>INDEX(Assumptions!E$110:E$111,MATCH(LEFT($T11,3),Assumptions!$B$110:$B$111,0))</f>
        <v>47.5</v>
      </c>
      <c r="AD11" s="10">
        <f t="shared" si="11"/>
        <v>-16.64</v>
      </c>
      <c r="AE11" s="10">
        <f t="shared" si="12"/>
        <v>-16.64</v>
      </c>
      <c r="AF11" s="10">
        <f t="shared" si="13"/>
        <v>-39.14</v>
      </c>
      <c r="AI11" s="26"/>
      <c r="AJ11" t="s">
        <v>76</v>
      </c>
      <c r="AK11" t="s">
        <v>92</v>
      </c>
      <c r="AL11" t="s">
        <v>180</v>
      </c>
      <c r="AM11">
        <v>2033</v>
      </c>
      <c r="AN11" s="8">
        <f>INDEX(GREET3.0!$K$27:$K$52,MATCH(RenewableJetFuel!AM11,GREET3.0!$J$27:$J$52,0))</f>
        <v>80.36</v>
      </c>
      <c r="AP11" s="36"/>
      <c r="AQ11">
        <v>2028</v>
      </c>
      <c r="AR11">
        <v>2.2220106597219999E-2</v>
      </c>
      <c r="AS11">
        <v>156004425.92838058</v>
      </c>
    </row>
    <row r="12" spans="1:46" x14ac:dyDescent="0.35">
      <c r="A12" t="s">
        <v>76</v>
      </c>
      <c r="B12">
        <v>2034</v>
      </c>
      <c r="C12" s="11">
        <f t="shared" si="0"/>
        <v>0</v>
      </c>
      <c r="D12" s="13">
        <f t="shared" si="1"/>
        <v>0</v>
      </c>
      <c r="E12" s="51" cm="1">
        <f t="array" ref="E12">IF($C12=0,0,SUMPRODUCT(IF($S$3:$S$212=$A12,1,0),IF($W$3:$W$212=$B12,1,0),$Y$3:$Y$212,AA$3:AA$212)/$C12)</f>
        <v>0</v>
      </c>
      <c r="F12" s="51" cm="1">
        <f t="array" ref="F12">IF($C12=0,0,SUMPRODUCT(IF($S$3:$S$212=$A12,1,0),IF($W$3:$W$212=$B12,1,0),$Y$3:$Y$212,AB$3:AB$212)/$C12)</f>
        <v>0</v>
      </c>
      <c r="G12" s="51" cm="1">
        <f t="array" ref="G12">IF($C12=0,0,SUMPRODUCT(IF($S$3:$S$212=$A12,1,0),IF($W$3:$W$212=$B12,1,0),$Y$3:$Y$212,AC$3:AC$212)/$C12)</f>
        <v>0</v>
      </c>
      <c r="H12" s="11">
        <f t="shared" si="2"/>
        <v>80.36</v>
      </c>
      <c r="I12" s="51">
        <f t="shared" si="3"/>
        <v>0</v>
      </c>
      <c r="J12" s="51">
        <f t="shared" si="4"/>
        <v>0</v>
      </c>
      <c r="K12" s="51">
        <f t="shared" si="5"/>
        <v>0</v>
      </c>
      <c r="L12" s="31">
        <f t="shared" si="9"/>
        <v>0</v>
      </c>
      <c r="M12" s="31">
        <f t="shared" si="6"/>
        <v>0</v>
      </c>
      <c r="N12" s="31">
        <f t="shared" si="6"/>
        <v>0</v>
      </c>
      <c r="R12" s="34"/>
      <c r="S12" t="s">
        <v>76</v>
      </c>
      <c r="T12" t="s">
        <v>93</v>
      </c>
      <c r="U12" t="s">
        <v>247</v>
      </c>
      <c r="V12" t="s">
        <v>92</v>
      </c>
      <c r="W12">
        <v>2034</v>
      </c>
      <c r="X12" s="2">
        <v>0</v>
      </c>
      <c r="Y12">
        <f t="shared" si="7"/>
        <v>0</v>
      </c>
      <c r="Z12" s="12">
        <f t="shared" si="10"/>
        <v>0</v>
      </c>
      <c r="AA12" s="10">
        <f>INDEX(Assumptions!C$110:C$111,MATCH(LEFT($T12,3),Assumptions!$B$110:$B$111,0))</f>
        <v>70</v>
      </c>
      <c r="AB12" s="10">
        <f>INDEX(Assumptions!D$110:D$111,MATCH(LEFT($T12,3),Assumptions!$B$110:$B$111,0))</f>
        <v>70</v>
      </c>
      <c r="AC12" s="10">
        <f>INDEX(Assumptions!E$110:E$111,MATCH(LEFT($T12,3),Assumptions!$B$110:$B$111,0))</f>
        <v>47.5</v>
      </c>
      <c r="AD12" s="10">
        <f t="shared" si="11"/>
        <v>-16.64</v>
      </c>
      <c r="AE12" s="10">
        <f t="shared" si="12"/>
        <v>-16.64</v>
      </c>
      <c r="AF12" s="10">
        <f t="shared" si="13"/>
        <v>-39.14</v>
      </c>
      <c r="AI12" s="26"/>
      <c r="AJ12" t="s">
        <v>76</v>
      </c>
      <c r="AK12" t="s">
        <v>92</v>
      </c>
      <c r="AL12" t="s">
        <v>180</v>
      </c>
      <c r="AM12">
        <v>2034</v>
      </c>
      <c r="AN12" s="8">
        <f>INDEX(GREET3.0!$K$27:$K$52,MATCH(RenewableJetFuel!AM12,GREET3.0!$J$27:$J$52,0))</f>
        <v>80.36</v>
      </c>
      <c r="AP12" s="36"/>
      <c r="AQ12">
        <v>2029</v>
      </c>
      <c r="AR12">
        <v>2.7448366973029999E-2</v>
      </c>
      <c r="AS12">
        <v>192711349.67618942</v>
      </c>
    </row>
    <row r="13" spans="1:46" x14ac:dyDescent="0.35">
      <c r="A13" t="s">
        <v>76</v>
      </c>
      <c r="B13">
        <v>2035</v>
      </c>
      <c r="C13" s="11">
        <f t="shared" si="0"/>
        <v>0</v>
      </c>
      <c r="D13" s="13">
        <f t="shared" si="1"/>
        <v>0</v>
      </c>
      <c r="E13" s="51" cm="1">
        <f t="array" ref="E13">IF($C13=0,0,SUMPRODUCT(IF($S$3:$S$212=$A13,1,0),IF($W$3:$W$212=$B13,1,0),$Y$3:$Y$212,AA$3:AA$212)/$C13)</f>
        <v>0</v>
      </c>
      <c r="F13" s="51" cm="1">
        <f t="array" ref="F13">IF($C13=0,0,SUMPRODUCT(IF($S$3:$S$212=$A13,1,0),IF($W$3:$W$212=$B13,1,0),$Y$3:$Y$212,AB$3:AB$212)/$C13)</f>
        <v>0</v>
      </c>
      <c r="G13" s="51" cm="1">
        <f t="array" ref="G13">IF($C13=0,0,SUMPRODUCT(IF($S$3:$S$212=$A13,1,0),IF($W$3:$W$212=$B13,1,0),$Y$3:$Y$212,AC$3:AC$212)/$C13)</f>
        <v>0</v>
      </c>
      <c r="H13" s="11">
        <f t="shared" si="2"/>
        <v>80.36</v>
      </c>
      <c r="I13" s="51">
        <f t="shared" si="3"/>
        <v>0</v>
      </c>
      <c r="J13" s="51">
        <f t="shared" si="4"/>
        <v>0</v>
      </c>
      <c r="K13" s="51">
        <f t="shared" si="5"/>
        <v>0</v>
      </c>
      <c r="L13" s="31">
        <f t="shared" si="9"/>
        <v>0</v>
      </c>
      <c r="M13" s="31">
        <f t="shared" si="6"/>
        <v>0</v>
      </c>
      <c r="N13" s="31">
        <f t="shared" si="6"/>
        <v>0</v>
      </c>
      <c r="R13" s="34"/>
      <c r="S13" t="s">
        <v>76</v>
      </c>
      <c r="T13" t="s">
        <v>93</v>
      </c>
      <c r="U13" t="s">
        <v>247</v>
      </c>
      <c r="V13" t="s">
        <v>92</v>
      </c>
      <c r="W13">
        <v>2035</v>
      </c>
      <c r="X13" s="2">
        <v>0</v>
      </c>
      <c r="Y13">
        <f t="shared" si="7"/>
        <v>0</v>
      </c>
      <c r="Z13" s="12">
        <f t="shared" si="10"/>
        <v>0</v>
      </c>
      <c r="AA13" s="10">
        <f>INDEX(Assumptions!C$110:C$111,MATCH(LEFT($T13,3),Assumptions!$B$110:$B$111,0))</f>
        <v>70</v>
      </c>
      <c r="AB13" s="10">
        <f>INDEX(Assumptions!D$110:D$111,MATCH(LEFT($T13,3),Assumptions!$B$110:$B$111,0))</f>
        <v>70</v>
      </c>
      <c r="AC13" s="10">
        <f>INDEX(Assumptions!E$110:E$111,MATCH(LEFT($T13,3),Assumptions!$B$110:$B$111,0))</f>
        <v>47.5</v>
      </c>
      <c r="AD13" s="10">
        <f t="shared" si="11"/>
        <v>-16.64</v>
      </c>
      <c r="AE13" s="10">
        <f t="shared" si="12"/>
        <v>-16.64</v>
      </c>
      <c r="AF13" s="10">
        <f t="shared" si="13"/>
        <v>-39.14</v>
      </c>
      <c r="AI13" s="26"/>
      <c r="AJ13" t="s">
        <v>76</v>
      </c>
      <c r="AK13" t="s">
        <v>92</v>
      </c>
      <c r="AL13" t="s">
        <v>180</v>
      </c>
      <c r="AM13">
        <v>2035</v>
      </c>
      <c r="AN13" s="8">
        <f>INDEX(GREET3.0!$K$27:$K$52,MATCH(RenewableJetFuel!AM13,GREET3.0!$J$27:$J$52,0))</f>
        <v>80.36</v>
      </c>
      <c r="AP13" s="36"/>
      <c r="AQ13">
        <v>2030</v>
      </c>
      <c r="AR13">
        <v>3.2676627348849997E-2</v>
      </c>
      <c r="AS13">
        <v>229418273.42406845</v>
      </c>
    </row>
    <row r="14" spans="1:46" x14ac:dyDescent="0.35">
      <c r="A14" t="s">
        <v>76</v>
      </c>
      <c r="B14">
        <v>2036</v>
      </c>
      <c r="C14" s="11">
        <f t="shared" si="0"/>
        <v>0</v>
      </c>
      <c r="D14" s="13">
        <f t="shared" si="1"/>
        <v>0</v>
      </c>
      <c r="E14" s="51" cm="1">
        <f t="array" ref="E14">IF($C14=0,0,SUMPRODUCT(IF($S$3:$S$212=$A14,1,0),IF($W$3:$W$212=$B14,1,0),$Y$3:$Y$212,AA$3:AA$212)/$C14)</f>
        <v>0</v>
      </c>
      <c r="F14" s="51" cm="1">
        <f t="array" ref="F14">IF($C14=0,0,SUMPRODUCT(IF($S$3:$S$212=$A14,1,0),IF($W$3:$W$212=$B14,1,0),$Y$3:$Y$212,AB$3:AB$212)/$C14)</f>
        <v>0</v>
      </c>
      <c r="G14" s="51" cm="1">
        <f t="array" ref="G14">IF($C14=0,0,SUMPRODUCT(IF($S$3:$S$212=$A14,1,0),IF($W$3:$W$212=$B14,1,0),$Y$3:$Y$212,AC$3:AC$212)/$C14)</f>
        <v>0</v>
      </c>
      <c r="H14" s="11">
        <f t="shared" si="2"/>
        <v>80.36</v>
      </c>
      <c r="I14" s="51">
        <f t="shared" si="3"/>
        <v>0</v>
      </c>
      <c r="J14" s="51">
        <f t="shared" si="4"/>
        <v>0</v>
      </c>
      <c r="K14" s="51">
        <f t="shared" si="5"/>
        <v>0</v>
      </c>
      <c r="L14" s="31">
        <f t="shared" si="9"/>
        <v>0</v>
      </c>
      <c r="M14" s="31">
        <f t="shared" si="6"/>
        <v>0</v>
      </c>
      <c r="N14" s="31">
        <f t="shared" si="6"/>
        <v>0</v>
      </c>
      <c r="R14" s="34"/>
      <c r="S14" t="s">
        <v>76</v>
      </c>
      <c r="T14" t="s">
        <v>93</v>
      </c>
      <c r="U14" t="s">
        <v>247</v>
      </c>
      <c r="V14" t="s">
        <v>92</v>
      </c>
      <c r="W14">
        <v>2036</v>
      </c>
      <c r="X14" s="2">
        <v>0</v>
      </c>
      <c r="Y14">
        <f t="shared" si="7"/>
        <v>0</v>
      </c>
      <c r="Z14" s="12">
        <f t="shared" si="10"/>
        <v>0</v>
      </c>
      <c r="AA14" s="10">
        <f>INDEX(Assumptions!C$110:C$111,MATCH(LEFT($T14,3),Assumptions!$B$110:$B$111,0))</f>
        <v>70</v>
      </c>
      <c r="AB14" s="10">
        <f>INDEX(Assumptions!D$110:D$111,MATCH(LEFT($T14,3),Assumptions!$B$110:$B$111,0))</f>
        <v>70</v>
      </c>
      <c r="AC14" s="10">
        <f>INDEX(Assumptions!E$110:E$111,MATCH(LEFT($T14,3),Assumptions!$B$110:$B$111,0))</f>
        <v>47.5</v>
      </c>
      <c r="AD14" s="10">
        <f t="shared" si="11"/>
        <v>-16.64</v>
      </c>
      <c r="AE14" s="10">
        <f t="shared" si="12"/>
        <v>-16.64</v>
      </c>
      <c r="AF14" s="10">
        <f t="shared" si="13"/>
        <v>-39.14</v>
      </c>
      <c r="AI14" s="26"/>
      <c r="AJ14" t="s">
        <v>76</v>
      </c>
      <c r="AK14" t="s">
        <v>92</v>
      </c>
      <c r="AL14" t="s">
        <v>180</v>
      </c>
      <c r="AM14">
        <v>2036</v>
      </c>
      <c r="AN14" s="8">
        <f>INDEX(GREET3.0!$K$27:$K$52,MATCH(RenewableJetFuel!AM14,GREET3.0!$J$27:$J$52,0))</f>
        <v>80.36</v>
      </c>
      <c r="AP14" s="36"/>
      <c r="AQ14">
        <v>2031</v>
      </c>
      <c r="AR14">
        <v>3.4485882007429997E-2</v>
      </c>
      <c r="AS14">
        <v>242120810.7919735</v>
      </c>
    </row>
    <row r="15" spans="1:46" x14ac:dyDescent="0.35">
      <c r="A15" t="s">
        <v>76</v>
      </c>
      <c r="B15">
        <v>2037</v>
      </c>
      <c r="C15" s="11">
        <f t="shared" si="0"/>
        <v>0</v>
      </c>
      <c r="D15" s="13">
        <f t="shared" si="1"/>
        <v>0</v>
      </c>
      <c r="E15" s="51" cm="1">
        <f t="array" ref="E15">IF($C15=0,0,SUMPRODUCT(IF($S$3:$S$212=$A15,1,0),IF($W$3:$W$212=$B15,1,0),$Y$3:$Y$212,AA$3:AA$212)/$C15)</f>
        <v>0</v>
      </c>
      <c r="F15" s="51" cm="1">
        <f t="array" ref="F15">IF($C15=0,0,SUMPRODUCT(IF($S$3:$S$212=$A15,1,0),IF($W$3:$W$212=$B15,1,0),$Y$3:$Y$212,AB$3:AB$212)/$C15)</f>
        <v>0</v>
      </c>
      <c r="G15" s="51" cm="1">
        <f t="array" ref="G15">IF($C15=0,0,SUMPRODUCT(IF($S$3:$S$212=$A15,1,0),IF($W$3:$W$212=$B15,1,0),$Y$3:$Y$212,AC$3:AC$212)/$C15)</f>
        <v>0</v>
      </c>
      <c r="H15" s="11">
        <f t="shared" si="2"/>
        <v>80.36</v>
      </c>
      <c r="I15" s="51">
        <f t="shared" si="3"/>
        <v>0</v>
      </c>
      <c r="J15" s="51">
        <f t="shared" si="4"/>
        <v>0</v>
      </c>
      <c r="K15" s="51">
        <f t="shared" si="5"/>
        <v>0</v>
      </c>
      <c r="L15" s="31">
        <f t="shared" si="9"/>
        <v>0</v>
      </c>
      <c r="M15" s="31">
        <f t="shared" si="6"/>
        <v>0</v>
      </c>
      <c r="N15" s="31">
        <f t="shared" si="6"/>
        <v>0</v>
      </c>
      <c r="R15" s="34"/>
      <c r="S15" t="s">
        <v>76</v>
      </c>
      <c r="T15" t="s">
        <v>93</v>
      </c>
      <c r="U15" t="s">
        <v>247</v>
      </c>
      <c r="V15" t="s">
        <v>92</v>
      </c>
      <c r="W15">
        <v>2037</v>
      </c>
      <c r="X15" s="2">
        <v>0</v>
      </c>
      <c r="Y15">
        <f t="shared" si="7"/>
        <v>0</v>
      </c>
      <c r="Z15" s="12">
        <f t="shared" si="10"/>
        <v>0</v>
      </c>
      <c r="AA15" s="10">
        <f>INDEX(Assumptions!C$110:C$111,MATCH(LEFT($T15,3),Assumptions!$B$110:$B$111,0))</f>
        <v>70</v>
      </c>
      <c r="AB15" s="10">
        <f>INDEX(Assumptions!D$110:D$111,MATCH(LEFT($T15,3),Assumptions!$B$110:$B$111,0))</f>
        <v>70</v>
      </c>
      <c r="AC15" s="10">
        <f>INDEX(Assumptions!E$110:E$111,MATCH(LEFT($T15,3),Assumptions!$B$110:$B$111,0))</f>
        <v>47.5</v>
      </c>
      <c r="AD15" s="10">
        <f t="shared" si="11"/>
        <v>-16.64</v>
      </c>
      <c r="AE15" s="10">
        <f t="shared" si="12"/>
        <v>-16.64</v>
      </c>
      <c r="AF15" s="10">
        <f t="shared" si="13"/>
        <v>-39.14</v>
      </c>
      <c r="AI15" s="26"/>
      <c r="AJ15" t="s">
        <v>76</v>
      </c>
      <c r="AK15" t="s">
        <v>92</v>
      </c>
      <c r="AL15" t="s">
        <v>180</v>
      </c>
      <c r="AM15">
        <v>2037</v>
      </c>
      <c r="AN15" s="8">
        <f>INDEX(GREET3.0!$K$27:$K$52,MATCH(RenewableJetFuel!AM15,GREET3.0!$J$27:$J$52,0))</f>
        <v>80.36</v>
      </c>
      <c r="AP15" s="36"/>
      <c r="AQ15">
        <v>2032</v>
      </c>
      <c r="AR15">
        <v>3.629513666597E-2</v>
      </c>
      <c r="AS15">
        <v>254823348.15959778</v>
      </c>
    </row>
    <row r="16" spans="1:46" x14ac:dyDescent="0.35">
      <c r="A16" t="s">
        <v>76</v>
      </c>
      <c r="B16">
        <v>2038</v>
      </c>
      <c r="C16" s="11">
        <f t="shared" si="0"/>
        <v>0</v>
      </c>
      <c r="D16" s="13">
        <f t="shared" si="1"/>
        <v>0</v>
      </c>
      <c r="E16" s="51" cm="1">
        <f t="array" ref="E16">IF($C16=0,0,SUMPRODUCT(IF($S$3:$S$212=$A16,1,0),IF($W$3:$W$212=$B16,1,0),$Y$3:$Y$212,AA$3:AA$212)/$C16)</f>
        <v>0</v>
      </c>
      <c r="F16" s="51" cm="1">
        <f t="array" ref="F16">IF($C16=0,0,SUMPRODUCT(IF($S$3:$S$212=$A16,1,0),IF($W$3:$W$212=$B16,1,0),$Y$3:$Y$212,AB$3:AB$212)/$C16)</f>
        <v>0</v>
      </c>
      <c r="G16" s="51" cm="1">
        <f t="array" ref="G16">IF($C16=0,0,SUMPRODUCT(IF($S$3:$S$212=$A16,1,0),IF($W$3:$W$212=$B16,1,0),$Y$3:$Y$212,AC$3:AC$212)/$C16)</f>
        <v>0</v>
      </c>
      <c r="H16" s="11">
        <f t="shared" si="2"/>
        <v>80.36</v>
      </c>
      <c r="I16" s="51">
        <f t="shared" si="3"/>
        <v>0</v>
      </c>
      <c r="J16" s="51">
        <f t="shared" si="4"/>
        <v>0</v>
      </c>
      <c r="K16" s="51">
        <f t="shared" si="5"/>
        <v>0</v>
      </c>
      <c r="L16" s="31">
        <f t="shared" si="9"/>
        <v>0</v>
      </c>
      <c r="M16" s="31">
        <f t="shared" si="6"/>
        <v>0</v>
      </c>
      <c r="N16" s="31">
        <f t="shared" si="6"/>
        <v>0</v>
      </c>
      <c r="R16" s="34"/>
      <c r="S16" t="s">
        <v>76</v>
      </c>
      <c r="T16" t="s">
        <v>93</v>
      </c>
      <c r="U16" t="s">
        <v>247</v>
      </c>
      <c r="V16" t="s">
        <v>92</v>
      </c>
      <c r="W16">
        <v>2038</v>
      </c>
      <c r="X16" s="2">
        <v>0</v>
      </c>
      <c r="Y16">
        <f t="shared" si="7"/>
        <v>0</v>
      </c>
      <c r="Z16" s="12">
        <f t="shared" si="10"/>
        <v>0</v>
      </c>
      <c r="AA16" s="10">
        <f>INDEX(Assumptions!C$110:C$111,MATCH(LEFT($T16,3),Assumptions!$B$110:$B$111,0))</f>
        <v>70</v>
      </c>
      <c r="AB16" s="10">
        <f>INDEX(Assumptions!D$110:D$111,MATCH(LEFT($T16,3),Assumptions!$B$110:$B$111,0))</f>
        <v>70</v>
      </c>
      <c r="AC16" s="10">
        <f>INDEX(Assumptions!E$110:E$111,MATCH(LEFT($T16,3),Assumptions!$B$110:$B$111,0))</f>
        <v>47.5</v>
      </c>
      <c r="AD16" s="10">
        <f t="shared" si="11"/>
        <v>-16.64</v>
      </c>
      <c r="AE16" s="10">
        <f t="shared" si="12"/>
        <v>-16.64</v>
      </c>
      <c r="AF16" s="10">
        <f t="shared" si="13"/>
        <v>-39.14</v>
      </c>
      <c r="AI16" s="26"/>
      <c r="AJ16" t="s">
        <v>76</v>
      </c>
      <c r="AK16" t="s">
        <v>92</v>
      </c>
      <c r="AL16" t="s">
        <v>180</v>
      </c>
      <c r="AM16">
        <v>2038</v>
      </c>
      <c r="AN16" s="8">
        <f>INDEX(GREET3.0!$K$27:$K$52,MATCH(RenewableJetFuel!AM16,GREET3.0!$J$27:$J$52,0))</f>
        <v>80.36</v>
      </c>
      <c r="AP16" s="36"/>
      <c r="AQ16">
        <v>2033</v>
      </c>
      <c r="AR16">
        <v>3.810439132454E-2</v>
      </c>
      <c r="AS16">
        <v>267525885.52743265</v>
      </c>
    </row>
    <row r="17" spans="1:45" x14ac:dyDescent="0.35">
      <c r="A17" t="s">
        <v>76</v>
      </c>
      <c r="B17">
        <v>2039</v>
      </c>
      <c r="C17" s="11">
        <f t="shared" si="0"/>
        <v>0</v>
      </c>
      <c r="D17" s="13">
        <f t="shared" si="1"/>
        <v>0</v>
      </c>
      <c r="E17" s="51" cm="1">
        <f t="array" ref="E17">IF($C17=0,0,SUMPRODUCT(IF($S$3:$S$212=$A17,1,0),IF($W$3:$W$212=$B17,1,0),$Y$3:$Y$212,AA$3:AA$212)/$C17)</f>
        <v>0</v>
      </c>
      <c r="F17" s="51" cm="1">
        <f t="array" ref="F17">IF($C17=0,0,SUMPRODUCT(IF($S$3:$S$212=$A17,1,0),IF($W$3:$W$212=$B17,1,0),$Y$3:$Y$212,AB$3:AB$212)/$C17)</f>
        <v>0</v>
      </c>
      <c r="G17" s="51" cm="1">
        <f t="array" ref="G17">IF($C17=0,0,SUMPRODUCT(IF($S$3:$S$212=$A17,1,0),IF($W$3:$W$212=$B17,1,0),$Y$3:$Y$212,AC$3:AC$212)/$C17)</f>
        <v>0</v>
      </c>
      <c r="H17" s="11">
        <f t="shared" si="2"/>
        <v>80.36</v>
      </c>
      <c r="I17" s="51">
        <f t="shared" si="3"/>
        <v>0</v>
      </c>
      <c r="J17" s="51">
        <f t="shared" si="4"/>
        <v>0</v>
      </c>
      <c r="K17" s="51">
        <f t="shared" si="5"/>
        <v>0</v>
      </c>
      <c r="L17" s="31">
        <f t="shared" si="9"/>
        <v>0</v>
      </c>
      <c r="M17" s="31">
        <f t="shared" si="6"/>
        <v>0</v>
      </c>
      <c r="N17" s="31">
        <f t="shared" si="6"/>
        <v>0</v>
      </c>
      <c r="R17" s="34"/>
      <c r="S17" t="s">
        <v>76</v>
      </c>
      <c r="T17" t="s">
        <v>93</v>
      </c>
      <c r="U17" t="s">
        <v>247</v>
      </c>
      <c r="V17" t="s">
        <v>92</v>
      </c>
      <c r="W17">
        <v>2039</v>
      </c>
      <c r="X17" s="2">
        <v>0</v>
      </c>
      <c r="Y17">
        <f t="shared" si="7"/>
        <v>0</v>
      </c>
      <c r="Z17" s="12">
        <f t="shared" si="10"/>
        <v>0</v>
      </c>
      <c r="AA17" s="10">
        <f>INDEX(Assumptions!C$110:C$111,MATCH(LEFT($T17,3),Assumptions!$B$110:$B$111,0))</f>
        <v>70</v>
      </c>
      <c r="AB17" s="10">
        <f>INDEX(Assumptions!D$110:D$111,MATCH(LEFT($T17,3),Assumptions!$B$110:$B$111,0))</f>
        <v>70</v>
      </c>
      <c r="AC17" s="10">
        <f>INDEX(Assumptions!E$110:E$111,MATCH(LEFT($T17,3),Assumptions!$B$110:$B$111,0))</f>
        <v>47.5</v>
      </c>
      <c r="AD17" s="10">
        <f t="shared" si="11"/>
        <v>-16.64</v>
      </c>
      <c r="AE17" s="10">
        <f t="shared" si="12"/>
        <v>-16.64</v>
      </c>
      <c r="AF17" s="10">
        <f t="shared" si="13"/>
        <v>-39.14</v>
      </c>
      <c r="AI17" s="26"/>
      <c r="AJ17" t="s">
        <v>76</v>
      </c>
      <c r="AK17" t="s">
        <v>92</v>
      </c>
      <c r="AL17" t="s">
        <v>180</v>
      </c>
      <c r="AM17">
        <v>2039</v>
      </c>
      <c r="AN17" s="8">
        <f>INDEX(GREET3.0!$K$27:$K$52,MATCH(RenewableJetFuel!AM17,GREET3.0!$J$27:$J$52,0))</f>
        <v>80.36</v>
      </c>
      <c r="AP17" s="36"/>
      <c r="AQ17">
        <v>2034</v>
      </c>
      <c r="AR17">
        <v>3.9913645983110001E-2</v>
      </c>
      <c r="AS17">
        <v>280228422.89526755</v>
      </c>
    </row>
    <row r="18" spans="1:45" x14ac:dyDescent="0.35">
      <c r="A18" t="s">
        <v>76</v>
      </c>
      <c r="B18">
        <v>2040</v>
      </c>
      <c r="C18" s="11">
        <f t="shared" si="0"/>
        <v>0</v>
      </c>
      <c r="D18" s="13">
        <f t="shared" si="1"/>
        <v>0</v>
      </c>
      <c r="E18" s="51" cm="1">
        <f t="array" ref="E18">IF($C18=0,0,SUMPRODUCT(IF($S$3:$S$212=$A18,1,0),IF($W$3:$W$212=$B18,1,0),$Y$3:$Y$212,AA$3:AA$212)/$C18)</f>
        <v>0</v>
      </c>
      <c r="F18" s="51" cm="1">
        <f t="array" ref="F18">IF($C18=0,0,SUMPRODUCT(IF($S$3:$S$212=$A18,1,0),IF($W$3:$W$212=$B18,1,0),$Y$3:$Y$212,AB$3:AB$212)/$C18)</f>
        <v>0</v>
      </c>
      <c r="G18" s="51" cm="1">
        <f t="array" ref="G18">IF($C18=0,0,SUMPRODUCT(IF($S$3:$S$212=$A18,1,0),IF($W$3:$W$212=$B18,1,0),$Y$3:$Y$212,AC$3:AC$212)/$C18)</f>
        <v>0</v>
      </c>
      <c r="H18" s="11">
        <f t="shared" si="2"/>
        <v>80.36</v>
      </c>
      <c r="I18" s="51">
        <f t="shared" si="3"/>
        <v>0</v>
      </c>
      <c r="J18" s="51">
        <f t="shared" si="4"/>
        <v>0</v>
      </c>
      <c r="K18" s="51">
        <f t="shared" si="5"/>
        <v>0</v>
      </c>
      <c r="L18" s="31">
        <f t="shared" si="9"/>
        <v>0</v>
      </c>
      <c r="M18" s="31">
        <f t="shared" si="6"/>
        <v>0</v>
      </c>
      <c r="N18" s="31">
        <f t="shared" si="6"/>
        <v>0</v>
      </c>
      <c r="R18" s="34"/>
      <c r="S18" t="s">
        <v>76</v>
      </c>
      <c r="T18" t="s">
        <v>93</v>
      </c>
      <c r="U18" t="s">
        <v>247</v>
      </c>
      <c r="V18" t="s">
        <v>92</v>
      </c>
      <c r="W18">
        <v>2040</v>
      </c>
      <c r="X18" s="2">
        <v>0</v>
      </c>
      <c r="Y18">
        <f t="shared" si="7"/>
        <v>0</v>
      </c>
      <c r="Z18" s="12">
        <f t="shared" si="10"/>
        <v>0</v>
      </c>
      <c r="AA18" s="10">
        <f>INDEX(Assumptions!C$110:C$111,MATCH(LEFT($T18,3),Assumptions!$B$110:$B$111,0))</f>
        <v>70</v>
      </c>
      <c r="AB18" s="10">
        <f>INDEX(Assumptions!D$110:D$111,MATCH(LEFT($T18,3),Assumptions!$B$110:$B$111,0))</f>
        <v>70</v>
      </c>
      <c r="AC18" s="10">
        <f>INDEX(Assumptions!E$110:E$111,MATCH(LEFT($T18,3),Assumptions!$B$110:$B$111,0))</f>
        <v>47.5</v>
      </c>
      <c r="AD18" s="10">
        <f t="shared" si="11"/>
        <v>-16.64</v>
      </c>
      <c r="AE18" s="10">
        <f t="shared" si="12"/>
        <v>-16.64</v>
      </c>
      <c r="AF18" s="10">
        <f t="shared" si="13"/>
        <v>-39.14</v>
      </c>
      <c r="AI18" s="26"/>
      <c r="AJ18" t="s">
        <v>76</v>
      </c>
      <c r="AK18" t="s">
        <v>92</v>
      </c>
      <c r="AL18" t="s">
        <v>180</v>
      </c>
      <c r="AM18">
        <v>2040</v>
      </c>
      <c r="AN18" s="8">
        <f>INDEX(GREET3.0!$K$27:$K$52,MATCH(RenewableJetFuel!AM18,GREET3.0!$J$27:$J$52,0))</f>
        <v>80.36</v>
      </c>
      <c r="AP18" s="36"/>
      <c r="AQ18">
        <v>2035</v>
      </c>
      <c r="AR18">
        <v>4.172290064169E-2</v>
      </c>
      <c r="AS18">
        <v>292930960.26317257</v>
      </c>
    </row>
    <row r="19" spans="1:45" x14ac:dyDescent="0.35">
      <c r="A19" t="s">
        <v>76</v>
      </c>
      <c r="B19">
        <v>2041</v>
      </c>
      <c r="C19" s="11">
        <f t="shared" si="0"/>
        <v>0</v>
      </c>
      <c r="D19" s="13">
        <f t="shared" si="1"/>
        <v>0</v>
      </c>
      <c r="E19" s="51" cm="1">
        <f t="array" ref="E19">IF($C19=0,0,SUMPRODUCT(IF($S$3:$S$212=$A19,1,0),IF($W$3:$W$212=$B19,1,0),$Y$3:$Y$212,AA$3:AA$212)/$C19)</f>
        <v>0</v>
      </c>
      <c r="F19" s="51" cm="1">
        <f t="array" ref="F19">IF($C19=0,0,SUMPRODUCT(IF($S$3:$S$212=$A19,1,0),IF($W$3:$W$212=$B19,1,0),$Y$3:$Y$212,AB$3:AB$212)/$C19)</f>
        <v>0</v>
      </c>
      <c r="G19" s="51" cm="1">
        <f t="array" ref="G19">IF($C19=0,0,SUMPRODUCT(IF($S$3:$S$212=$A19,1,0),IF($W$3:$W$212=$B19,1,0),$Y$3:$Y$212,AC$3:AC$212)/$C19)</f>
        <v>0</v>
      </c>
      <c r="H19" s="11">
        <f t="shared" si="2"/>
        <v>80.36</v>
      </c>
      <c r="I19" s="51">
        <f t="shared" si="3"/>
        <v>0</v>
      </c>
      <c r="J19" s="51">
        <f t="shared" si="4"/>
        <v>0</v>
      </c>
      <c r="K19" s="51">
        <f t="shared" si="5"/>
        <v>0</v>
      </c>
      <c r="L19" s="31">
        <f t="shared" si="9"/>
        <v>0</v>
      </c>
      <c r="M19" s="31">
        <f t="shared" si="9"/>
        <v>0</v>
      </c>
      <c r="N19" s="31">
        <f t="shared" si="9"/>
        <v>0</v>
      </c>
      <c r="R19" s="34"/>
      <c r="S19" t="s">
        <v>76</v>
      </c>
      <c r="T19" t="s">
        <v>93</v>
      </c>
      <c r="U19" t="s">
        <v>247</v>
      </c>
      <c r="V19" t="s">
        <v>92</v>
      </c>
      <c r="W19">
        <v>2041</v>
      </c>
      <c r="X19" s="2">
        <v>0</v>
      </c>
      <c r="Y19">
        <f t="shared" si="7"/>
        <v>0</v>
      </c>
      <c r="Z19" s="12">
        <f t="shared" si="10"/>
        <v>0</v>
      </c>
      <c r="AA19" s="10">
        <f>INDEX(Assumptions!C$110:C$111,MATCH(LEFT($T19,3),Assumptions!$B$110:$B$111,0))</f>
        <v>70</v>
      </c>
      <c r="AB19" s="10">
        <f>INDEX(Assumptions!D$110:D$111,MATCH(LEFT($T19,3),Assumptions!$B$110:$B$111,0))</f>
        <v>70</v>
      </c>
      <c r="AC19" s="10">
        <f>INDEX(Assumptions!E$110:E$111,MATCH(LEFT($T19,3),Assumptions!$B$110:$B$111,0))</f>
        <v>47.5</v>
      </c>
      <c r="AD19" s="10">
        <f t="shared" si="11"/>
        <v>-16.64</v>
      </c>
      <c r="AE19" s="10">
        <f t="shared" si="12"/>
        <v>-16.64</v>
      </c>
      <c r="AF19" s="10">
        <f t="shared" si="13"/>
        <v>-39.14</v>
      </c>
      <c r="AI19" s="26"/>
      <c r="AJ19" t="s">
        <v>76</v>
      </c>
      <c r="AK19" t="s">
        <v>92</v>
      </c>
      <c r="AL19" t="s">
        <v>180</v>
      </c>
      <c r="AM19">
        <v>2041</v>
      </c>
      <c r="AN19" s="8">
        <f>INDEX(GREET3.0!$K$27:$K$52,MATCH(RenewableJetFuel!AM19,GREET3.0!$J$27:$J$52,0))</f>
        <v>80.36</v>
      </c>
      <c r="AP19" s="36"/>
      <c r="AQ19">
        <v>2036</v>
      </c>
      <c r="AR19">
        <v>4.3532155300249897E-2</v>
      </c>
      <c r="AS19">
        <v>305633497.6309365</v>
      </c>
    </row>
    <row r="20" spans="1:45" x14ac:dyDescent="0.35">
      <c r="A20" t="s">
        <v>76</v>
      </c>
      <c r="B20">
        <v>2042</v>
      </c>
      <c r="C20" s="11">
        <f t="shared" si="0"/>
        <v>0</v>
      </c>
      <c r="D20" s="13">
        <f t="shared" si="1"/>
        <v>0</v>
      </c>
      <c r="E20" s="51" cm="1">
        <f t="array" ref="E20">IF($C20=0,0,SUMPRODUCT(IF($S$3:$S$212=$A20,1,0),IF($W$3:$W$212=$B20,1,0),$Y$3:$Y$212,AA$3:AA$212)/$C20)</f>
        <v>0</v>
      </c>
      <c r="F20" s="51" cm="1">
        <f t="array" ref="F20">IF($C20=0,0,SUMPRODUCT(IF($S$3:$S$212=$A20,1,0),IF($W$3:$W$212=$B20,1,0),$Y$3:$Y$212,AB$3:AB$212)/$C20)</f>
        <v>0</v>
      </c>
      <c r="G20" s="51" cm="1">
        <f t="array" ref="G20">IF($C20=0,0,SUMPRODUCT(IF($S$3:$S$212=$A20,1,0),IF($W$3:$W$212=$B20,1,0),$Y$3:$Y$212,AC$3:AC$212)/$C20)</f>
        <v>0</v>
      </c>
      <c r="H20" s="11">
        <f t="shared" si="2"/>
        <v>80.36</v>
      </c>
      <c r="I20" s="51">
        <f t="shared" si="3"/>
        <v>0</v>
      </c>
      <c r="J20" s="51">
        <f t="shared" si="4"/>
        <v>0</v>
      </c>
      <c r="K20" s="51">
        <f t="shared" si="5"/>
        <v>0</v>
      </c>
      <c r="L20" s="31">
        <f t="shared" si="9"/>
        <v>0</v>
      </c>
      <c r="M20" s="31">
        <f t="shared" si="9"/>
        <v>0</v>
      </c>
      <c r="N20" s="31">
        <f t="shared" si="9"/>
        <v>0</v>
      </c>
      <c r="R20" s="34"/>
      <c r="S20" t="s">
        <v>76</v>
      </c>
      <c r="T20" t="s">
        <v>93</v>
      </c>
      <c r="U20" t="s">
        <v>247</v>
      </c>
      <c r="V20" t="s">
        <v>92</v>
      </c>
      <c r="W20">
        <v>2042</v>
      </c>
      <c r="X20" s="2">
        <v>0</v>
      </c>
      <c r="Y20">
        <f t="shared" si="7"/>
        <v>0</v>
      </c>
      <c r="Z20" s="12">
        <f t="shared" si="10"/>
        <v>0</v>
      </c>
      <c r="AA20" s="10">
        <f>INDEX(Assumptions!C$110:C$111,MATCH(LEFT($T20,3),Assumptions!$B$110:$B$111,0))</f>
        <v>70</v>
      </c>
      <c r="AB20" s="10">
        <f>INDEX(Assumptions!D$110:D$111,MATCH(LEFT($T20,3),Assumptions!$B$110:$B$111,0))</f>
        <v>70</v>
      </c>
      <c r="AC20" s="10">
        <f>INDEX(Assumptions!E$110:E$111,MATCH(LEFT($T20,3),Assumptions!$B$110:$B$111,0))</f>
        <v>47.5</v>
      </c>
      <c r="AD20" s="10">
        <f t="shared" si="11"/>
        <v>-16.64</v>
      </c>
      <c r="AE20" s="10">
        <f t="shared" si="12"/>
        <v>-16.64</v>
      </c>
      <c r="AF20" s="10">
        <f t="shared" si="13"/>
        <v>-39.14</v>
      </c>
      <c r="AI20" s="26"/>
      <c r="AJ20" t="s">
        <v>76</v>
      </c>
      <c r="AK20" t="s">
        <v>92</v>
      </c>
      <c r="AL20" t="s">
        <v>180</v>
      </c>
      <c r="AM20">
        <v>2042</v>
      </c>
      <c r="AN20" s="8">
        <f>INDEX(GREET3.0!$K$27:$K$52,MATCH(RenewableJetFuel!AM20,GREET3.0!$J$27:$J$52,0))</f>
        <v>80.36</v>
      </c>
      <c r="AP20" s="36"/>
      <c r="AQ20">
        <v>2037</v>
      </c>
      <c r="AR20">
        <v>4.5341409958799997E-2</v>
      </c>
      <c r="AS20">
        <v>318336034.99863166</v>
      </c>
    </row>
    <row r="21" spans="1:45" x14ac:dyDescent="0.35">
      <c r="A21" t="s">
        <v>76</v>
      </c>
      <c r="B21">
        <v>2043</v>
      </c>
      <c r="C21" s="11">
        <f t="shared" si="0"/>
        <v>0</v>
      </c>
      <c r="D21" s="13">
        <f t="shared" si="1"/>
        <v>0</v>
      </c>
      <c r="E21" s="51" cm="1">
        <f t="array" ref="E21">IF($C21=0,0,SUMPRODUCT(IF($S$3:$S$212=$A21,1,0),IF($W$3:$W$212=$B21,1,0),$Y$3:$Y$212,AA$3:AA$212)/$C21)</f>
        <v>0</v>
      </c>
      <c r="F21" s="51" cm="1">
        <f t="array" ref="F21">IF($C21=0,0,SUMPRODUCT(IF($S$3:$S$212=$A21,1,0),IF($W$3:$W$212=$B21,1,0),$Y$3:$Y$212,AB$3:AB$212)/$C21)</f>
        <v>0</v>
      </c>
      <c r="G21" s="51" cm="1">
        <f t="array" ref="G21">IF($C21=0,0,SUMPRODUCT(IF($S$3:$S$212=$A21,1,0),IF($W$3:$W$212=$B21,1,0),$Y$3:$Y$212,AC$3:AC$212)/$C21)</f>
        <v>0</v>
      </c>
      <c r="H21" s="11">
        <f t="shared" si="2"/>
        <v>80.36</v>
      </c>
      <c r="I21" s="51">
        <f t="shared" si="3"/>
        <v>0</v>
      </c>
      <c r="J21" s="51">
        <f t="shared" si="4"/>
        <v>0</v>
      </c>
      <c r="K21" s="51">
        <f t="shared" si="5"/>
        <v>0</v>
      </c>
      <c r="L21" s="31">
        <f t="shared" si="9"/>
        <v>0</v>
      </c>
      <c r="M21" s="31">
        <f t="shared" si="9"/>
        <v>0</v>
      </c>
      <c r="N21" s="31">
        <f t="shared" si="9"/>
        <v>0</v>
      </c>
      <c r="R21" s="34"/>
      <c r="S21" t="s">
        <v>76</v>
      </c>
      <c r="T21" t="s">
        <v>93</v>
      </c>
      <c r="U21" t="s">
        <v>247</v>
      </c>
      <c r="V21" t="s">
        <v>92</v>
      </c>
      <c r="W21">
        <v>2043</v>
      </c>
      <c r="X21" s="2">
        <v>0</v>
      </c>
      <c r="Y21">
        <f t="shared" si="7"/>
        <v>0</v>
      </c>
      <c r="Z21" s="12">
        <f t="shared" si="10"/>
        <v>0</v>
      </c>
      <c r="AA21" s="10">
        <f>INDEX(Assumptions!C$110:C$111,MATCH(LEFT($T21,3),Assumptions!$B$110:$B$111,0))</f>
        <v>70</v>
      </c>
      <c r="AB21" s="10">
        <f>INDEX(Assumptions!D$110:D$111,MATCH(LEFT($T21,3),Assumptions!$B$110:$B$111,0))</f>
        <v>70</v>
      </c>
      <c r="AC21" s="10">
        <f>INDEX(Assumptions!E$110:E$111,MATCH(LEFT($T21,3),Assumptions!$B$110:$B$111,0))</f>
        <v>47.5</v>
      </c>
      <c r="AD21" s="10">
        <f t="shared" si="11"/>
        <v>-16.64</v>
      </c>
      <c r="AE21" s="10">
        <f t="shared" si="12"/>
        <v>-16.64</v>
      </c>
      <c r="AF21" s="10">
        <f t="shared" si="13"/>
        <v>-39.14</v>
      </c>
      <c r="AI21" s="26"/>
      <c r="AJ21" t="s">
        <v>76</v>
      </c>
      <c r="AK21" t="s">
        <v>92</v>
      </c>
      <c r="AL21" t="s">
        <v>180</v>
      </c>
      <c r="AM21">
        <v>2043</v>
      </c>
      <c r="AN21" s="8">
        <f>INDEX(GREET3.0!$K$27:$K$52,MATCH(RenewableJetFuel!AM21,GREET3.0!$J$27:$J$52,0))</f>
        <v>80.36</v>
      </c>
      <c r="AP21" s="36"/>
      <c r="AQ21">
        <v>2038</v>
      </c>
      <c r="AR21">
        <v>4.7150664617369997E-2</v>
      </c>
      <c r="AS21">
        <v>331038572.36646652</v>
      </c>
    </row>
    <row r="22" spans="1:45" x14ac:dyDescent="0.35">
      <c r="A22" t="s">
        <v>76</v>
      </c>
      <c r="B22">
        <v>2044</v>
      </c>
      <c r="C22" s="11">
        <f t="shared" si="0"/>
        <v>0</v>
      </c>
      <c r="D22" s="13">
        <f t="shared" si="1"/>
        <v>0</v>
      </c>
      <c r="E22" s="51" cm="1">
        <f t="array" ref="E22">IF($C22=0,0,SUMPRODUCT(IF($S$3:$S$212=$A22,1,0),IF($W$3:$W$212=$B22,1,0),$Y$3:$Y$212,AA$3:AA$212)/$C22)</f>
        <v>0</v>
      </c>
      <c r="F22" s="51" cm="1">
        <f t="array" ref="F22">IF($C22=0,0,SUMPRODUCT(IF($S$3:$S$212=$A22,1,0),IF($W$3:$W$212=$B22,1,0),$Y$3:$Y$212,AB$3:AB$212)/$C22)</f>
        <v>0</v>
      </c>
      <c r="G22" s="51" cm="1">
        <f t="array" ref="G22">IF($C22=0,0,SUMPRODUCT(IF($S$3:$S$212=$A22,1,0),IF($W$3:$W$212=$B22,1,0),$Y$3:$Y$212,AC$3:AC$212)/$C22)</f>
        <v>0</v>
      </c>
      <c r="H22" s="11">
        <f t="shared" si="2"/>
        <v>80.36</v>
      </c>
      <c r="I22" s="51">
        <f t="shared" si="3"/>
        <v>0</v>
      </c>
      <c r="J22" s="51">
        <f t="shared" si="4"/>
        <v>0</v>
      </c>
      <c r="K22" s="51">
        <f t="shared" si="5"/>
        <v>0</v>
      </c>
      <c r="L22" s="31">
        <f t="shared" si="9"/>
        <v>0</v>
      </c>
      <c r="M22" s="31">
        <f t="shared" si="9"/>
        <v>0</v>
      </c>
      <c r="N22" s="31">
        <f t="shared" si="9"/>
        <v>0</v>
      </c>
      <c r="R22" s="34"/>
      <c r="S22" t="s">
        <v>76</v>
      </c>
      <c r="T22" t="s">
        <v>93</v>
      </c>
      <c r="U22" t="s">
        <v>247</v>
      </c>
      <c r="V22" t="s">
        <v>92</v>
      </c>
      <c r="W22">
        <v>2044</v>
      </c>
      <c r="X22" s="2">
        <v>0</v>
      </c>
      <c r="Y22">
        <f t="shared" si="7"/>
        <v>0</v>
      </c>
      <c r="Z22" s="12">
        <f t="shared" si="10"/>
        <v>0</v>
      </c>
      <c r="AA22" s="10">
        <f>INDEX(Assumptions!C$110:C$111,MATCH(LEFT($T22,3),Assumptions!$B$110:$B$111,0))</f>
        <v>70</v>
      </c>
      <c r="AB22" s="10">
        <f>INDEX(Assumptions!D$110:D$111,MATCH(LEFT($T22,3),Assumptions!$B$110:$B$111,0))</f>
        <v>70</v>
      </c>
      <c r="AC22" s="10">
        <f>INDEX(Assumptions!E$110:E$111,MATCH(LEFT($T22,3),Assumptions!$B$110:$B$111,0))</f>
        <v>47.5</v>
      </c>
      <c r="AD22" s="10">
        <f t="shared" si="11"/>
        <v>-16.64</v>
      </c>
      <c r="AE22" s="10">
        <f t="shared" si="12"/>
        <v>-16.64</v>
      </c>
      <c r="AF22" s="10">
        <f t="shared" si="13"/>
        <v>-39.14</v>
      </c>
      <c r="AI22" s="26"/>
      <c r="AJ22" t="s">
        <v>76</v>
      </c>
      <c r="AK22" t="s">
        <v>92</v>
      </c>
      <c r="AL22" t="s">
        <v>180</v>
      </c>
      <c r="AM22">
        <v>2044</v>
      </c>
      <c r="AN22" s="8">
        <f>INDEX(GREET3.0!$K$27:$K$52,MATCH(RenewableJetFuel!AM22,GREET3.0!$J$27:$J$52,0))</f>
        <v>80.36</v>
      </c>
      <c r="AP22" s="36"/>
      <c r="AQ22">
        <v>2039</v>
      </c>
      <c r="AR22">
        <v>4.8959919275939998E-2</v>
      </c>
      <c r="AS22">
        <v>343741109.73430139</v>
      </c>
    </row>
    <row r="23" spans="1:45" x14ac:dyDescent="0.35">
      <c r="A23" t="s">
        <v>76</v>
      </c>
      <c r="B23">
        <v>2045</v>
      </c>
      <c r="C23" s="11">
        <f t="shared" si="0"/>
        <v>0</v>
      </c>
      <c r="D23" s="13">
        <f t="shared" si="1"/>
        <v>0</v>
      </c>
      <c r="E23" s="51" cm="1">
        <f t="array" ref="E23">IF($C23=0,0,SUMPRODUCT(IF($S$3:$S$212=$A23,1,0),IF($W$3:$W$212=$B23,1,0),$Y$3:$Y$212,AA$3:AA$212)/$C23)</f>
        <v>0</v>
      </c>
      <c r="F23" s="51" cm="1">
        <f t="array" ref="F23">IF($C23=0,0,SUMPRODUCT(IF($S$3:$S$212=$A23,1,0),IF($W$3:$W$212=$B23,1,0),$Y$3:$Y$212,AB$3:AB$212)/$C23)</f>
        <v>0</v>
      </c>
      <c r="G23" s="51" cm="1">
        <f t="array" ref="G23">IF($C23=0,0,SUMPRODUCT(IF($S$3:$S$212=$A23,1,0),IF($W$3:$W$212=$B23,1,0),$Y$3:$Y$212,AC$3:AC$212)/$C23)</f>
        <v>0</v>
      </c>
      <c r="H23" s="11">
        <f t="shared" si="2"/>
        <v>80.36</v>
      </c>
      <c r="I23" s="51">
        <f t="shared" si="3"/>
        <v>0</v>
      </c>
      <c r="J23" s="51">
        <f t="shared" si="4"/>
        <v>0</v>
      </c>
      <c r="K23" s="51">
        <f t="shared" si="5"/>
        <v>0</v>
      </c>
      <c r="L23" s="31">
        <f t="shared" si="9"/>
        <v>0</v>
      </c>
      <c r="M23" s="31">
        <f t="shared" si="9"/>
        <v>0</v>
      </c>
      <c r="N23" s="31">
        <f t="shared" si="9"/>
        <v>0</v>
      </c>
      <c r="R23" s="34"/>
      <c r="S23" t="s">
        <v>76</v>
      </c>
      <c r="T23" t="s">
        <v>93</v>
      </c>
      <c r="U23" t="s">
        <v>247</v>
      </c>
      <c r="V23" t="s">
        <v>92</v>
      </c>
      <c r="W23">
        <v>2045</v>
      </c>
      <c r="X23" s="2">
        <v>0</v>
      </c>
      <c r="Y23">
        <f t="shared" si="7"/>
        <v>0</v>
      </c>
      <c r="Z23" s="12">
        <f t="shared" si="10"/>
        <v>0</v>
      </c>
      <c r="AA23" s="10">
        <f>INDEX(Assumptions!C$110:C$111,MATCH(LEFT($T23,3),Assumptions!$B$110:$B$111,0))</f>
        <v>70</v>
      </c>
      <c r="AB23" s="10">
        <f>INDEX(Assumptions!D$110:D$111,MATCH(LEFT($T23,3),Assumptions!$B$110:$B$111,0))</f>
        <v>70</v>
      </c>
      <c r="AC23" s="10">
        <f>INDEX(Assumptions!E$110:E$111,MATCH(LEFT($T23,3),Assumptions!$B$110:$B$111,0))</f>
        <v>47.5</v>
      </c>
      <c r="AD23" s="10">
        <f t="shared" si="11"/>
        <v>-16.64</v>
      </c>
      <c r="AE23" s="10">
        <f t="shared" si="12"/>
        <v>-16.64</v>
      </c>
      <c r="AF23" s="10">
        <f t="shared" si="13"/>
        <v>-39.14</v>
      </c>
      <c r="AI23" s="26"/>
      <c r="AJ23" t="s">
        <v>76</v>
      </c>
      <c r="AK23" t="s">
        <v>92</v>
      </c>
      <c r="AL23" t="s">
        <v>180</v>
      </c>
      <c r="AM23">
        <v>2045</v>
      </c>
      <c r="AN23" s="8">
        <f>INDEX(GREET3.0!$K$27:$K$52,MATCH(RenewableJetFuel!AM23,GREET3.0!$J$27:$J$52,0))</f>
        <v>80.36</v>
      </c>
      <c r="AP23" s="36"/>
      <c r="AQ23">
        <v>2040</v>
      </c>
      <c r="AR23">
        <v>5.0769173934509998E-2</v>
      </c>
      <c r="AS23">
        <v>356443647.10213625</v>
      </c>
    </row>
    <row r="24" spans="1:45" x14ac:dyDescent="0.35">
      <c r="A24" t="s">
        <v>107</v>
      </c>
      <c r="B24">
        <v>2025</v>
      </c>
      <c r="C24" s="11">
        <f t="shared" si="0"/>
        <v>6.5353254697599998E-3</v>
      </c>
      <c r="D24" s="13">
        <f t="shared" si="1"/>
        <v>45.883654684743476</v>
      </c>
      <c r="E24" s="51" cm="1">
        <f t="array" ref="E24">IF($C24=0,0,SUMPRODUCT(IF($S$3:$S$212=$A24,1,0),IF($W$3:$W$212=$B24,1,0),$Y$3:$Y$212,AA$3:AA$212)/$C24)</f>
        <v>70</v>
      </c>
      <c r="F24" s="51" cm="1">
        <f t="array" ref="F24">IF($C24=0,0,SUMPRODUCT(IF($S$3:$S$212=$A24,1,0),IF($W$3:$W$212=$B24,1,0),$Y$3:$Y$212,AB$3:AB$212)/$C24)</f>
        <v>70</v>
      </c>
      <c r="G24" s="51" cm="1">
        <f t="array" ref="G24">IF($C24=0,0,SUMPRODUCT(IF($S$3:$S$212=$A24,1,0),IF($W$3:$W$212=$B24,1,0),$Y$3:$Y$212,AC$3:AC$212)/$C24)</f>
        <v>47.5</v>
      </c>
      <c r="H24" s="11">
        <f t="shared" si="2"/>
        <v>86.64</v>
      </c>
      <c r="I24" s="51">
        <f t="shared" si="3"/>
        <v>-16.64</v>
      </c>
      <c r="J24" s="51">
        <f t="shared" si="4"/>
        <v>-39.14</v>
      </c>
      <c r="K24" s="51">
        <f t="shared" si="5"/>
        <v>-16.64</v>
      </c>
      <c r="L24" s="31">
        <f t="shared" si="9"/>
        <v>0.1087478158168064</v>
      </c>
      <c r="M24" s="31">
        <f t="shared" si="9"/>
        <v>0.25579263888640641</v>
      </c>
      <c r="N24" s="31">
        <f t="shared" si="9"/>
        <v>0.1087478158168064</v>
      </c>
      <c r="R24" s="34"/>
      <c r="S24" t="s">
        <v>76</v>
      </c>
      <c r="T24" s="29" t="s">
        <v>96</v>
      </c>
      <c r="U24" t="s">
        <v>247</v>
      </c>
      <c r="V24" t="s">
        <v>92</v>
      </c>
      <c r="W24">
        <v>2025</v>
      </c>
      <c r="X24" s="2">
        <v>0</v>
      </c>
      <c r="Y24">
        <f t="shared" si="7"/>
        <v>0</v>
      </c>
      <c r="Z24" s="12">
        <f t="shared" si="10"/>
        <v>0</v>
      </c>
      <c r="AA24" s="10">
        <f>INDEX(Assumptions!C$110:C$111,MATCH(LEFT($T24,3),Assumptions!$B$110:$B$111,0))</f>
        <v>50</v>
      </c>
      <c r="AB24" s="10">
        <f>INDEX(Assumptions!D$110:D$111,MATCH(LEFT($T24,3),Assumptions!$B$110:$B$111,0))</f>
        <v>50</v>
      </c>
      <c r="AC24" s="10">
        <f>INDEX(Assumptions!E$110:E$111,MATCH(LEFT($T24,3),Assumptions!$B$110:$B$111,0))</f>
        <v>32.799999999999997</v>
      </c>
      <c r="AD24" s="10">
        <f t="shared" si="11"/>
        <v>-36.64</v>
      </c>
      <c r="AE24" s="10">
        <f t="shared" si="12"/>
        <v>-36.64</v>
      </c>
      <c r="AF24" s="10">
        <f t="shared" si="13"/>
        <v>-53.84</v>
      </c>
      <c r="AI24" s="26"/>
      <c r="AJ24" t="s">
        <v>107</v>
      </c>
      <c r="AK24" t="s">
        <v>92</v>
      </c>
      <c r="AL24" t="s">
        <v>180</v>
      </c>
      <c r="AM24">
        <v>2025</v>
      </c>
      <c r="AN24" s="8">
        <f>INDEX(GREET3.0!$K$27:$K$52,MATCH(RenewableJetFuel!AM24,GREET3.0!$J$27:$J$52,0))</f>
        <v>86.64</v>
      </c>
      <c r="AP24" s="36"/>
      <c r="AQ24">
        <v>2041</v>
      </c>
      <c r="AR24">
        <v>5.2578428593069902E-2</v>
      </c>
      <c r="AS24">
        <v>369146184.46990025</v>
      </c>
    </row>
    <row r="25" spans="1:45" x14ac:dyDescent="0.35">
      <c r="A25" t="s">
        <v>107</v>
      </c>
      <c r="B25">
        <v>2026</v>
      </c>
      <c r="C25" s="11">
        <f t="shared" si="0"/>
        <v>1.176358584558E-2</v>
      </c>
      <c r="D25" s="13">
        <f t="shared" si="1"/>
        <v>82.590578432622507</v>
      </c>
      <c r="E25" s="51" cm="1">
        <f t="array" ref="E25">IF($C25=0,0,SUMPRODUCT(IF($S$3:$S$212=$A25,1,0),IF($W$3:$W$212=$B25,1,0),$Y$3:$Y$212,AA$3:AA$212)/$C25)</f>
        <v>70</v>
      </c>
      <c r="F25" s="51" cm="1">
        <f t="array" ref="F25">IF($C25=0,0,SUMPRODUCT(IF($S$3:$S$212=$A25,1,0),IF($W$3:$W$212=$B25,1,0),$Y$3:$Y$212,AB$3:AB$212)/$C25)</f>
        <v>70</v>
      </c>
      <c r="G25" s="51" cm="1">
        <f t="array" ref="G25">IF($C25=0,0,SUMPRODUCT(IF($S$3:$S$212=$A25,1,0),IF($W$3:$W$212=$B25,1,0),$Y$3:$Y$212,AC$3:AC$212)/$C25)</f>
        <v>47.5</v>
      </c>
      <c r="H25" s="11">
        <f t="shared" si="2"/>
        <v>85.38</v>
      </c>
      <c r="I25" s="51">
        <f t="shared" si="3"/>
        <v>-15.379999999999995</v>
      </c>
      <c r="J25" s="51">
        <f t="shared" si="4"/>
        <v>-37.879999999999995</v>
      </c>
      <c r="K25" s="51">
        <f t="shared" si="5"/>
        <v>-15.379999999999995</v>
      </c>
      <c r="L25" s="31">
        <f t="shared" si="9"/>
        <v>0.18092395030502034</v>
      </c>
      <c r="M25" s="31">
        <f t="shared" si="9"/>
        <v>0.44560463183057036</v>
      </c>
      <c r="N25" s="31">
        <f t="shared" si="9"/>
        <v>0.18092395030502034</v>
      </c>
      <c r="R25" s="34"/>
      <c r="S25" t="s">
        <v>76</v>
      </c>
      <c r="T25" s="29" t="s">
        <v>96</v>
      </c>
      <c r="U25" t="s">
        <v>247</v>
      </c>
      <c r="V25" t="s">
        <v>92</v>
      </c>
      <c r="W25">
        <v>2026</v>
      </c>
      <c r="X25" s="2">
        <v>0</v>
      </c>
      <c r="Y25">
        <f t="shared" si="7"/>
        <v>0</v>
      </c>
      <c r="Z25" s="12">
        <f t="shared" si="10"/>
        <v>0</v>
      </c>
      <c r="AA25" s="10">
        <f>INDEX(Assumptions!C$110:C$111,MATCH(LEFT($T25,3),Assumptions!$B$110:$B$111,0))</f>
        <v>50</v>
      </c>
      <c r="AB25" s="10">
        <f>INDEX(Assumptions!D$110:D$111,MATCH(LEFT($T25,3),Assumptions!$B$110:$B$111,0))</f>
        <v>50</v>
      </c>
      <c r="AC25" s="10">
        <f>INDEX(Assumptions!E$110:E$111,MATCH(LEFT($T25,3),Assumptions!$B$110:$B$111,0))</f>
        <v>32.799999999999997</v>
      </c>
      <c r="AD25" s="10">
        <f t="shared" si="11"/>
        <v>-36.64</v>
      </c>
      <c r="AE25" s="10">
        <f t="shared" si="12"/>
        <v>-36.64</v>
      </c>
      <c r="AF25" s="10">
        <f t="shared" si="13"/>
        <v>-53.84</v>
      </c>
      <c r="AI25" s="26"/>
      <c r="AJ25" t="s">
        <v>107</v>
      </c>
      <c r="AK25" t="s">
        <v>92</v>
      </c>
      <c r="AL25" t="s">
        <v>180</v>
      </c>
      <c r="AM25">
        <v>2026</v>
      </c>
      <c r="AN25" s="8">
        <f>INDEX(GREET3.0!$K$27:$K$52,MATCH(RenewableJetFuel!AM25,GREET3.0!$J$27:$J$52,0))</f>
        <v>85.38</v>
      </c>
      <c r="AP25" s="36"/>
      <c r="AQ25">
        <v>2042</v>
      </c>
      <c r="AR25">
        <v>5.4387683251620002E-2</v>
      </c>
      <c r="AS25">
        <v>381848721.8375954</v>
      </c>
    </row>
    <row r="26" spans="1:45" x14ac:dyDescent="0.35">
      <c r="A26" t="s">
        <v>107</v>
      </c>
      <c r="B26">
        <v>2027</v>
      </c>
      <c r="C26" s="11">
        <f t="shared" si="0"/>
        <v>1.6991846221409999E-2</v>
      </c>
      <c r="D26" s="13">
        <f t="shared" si="1"/>
        <v>119.29750218057175</v>
      </c>
      <c r="E26" s="51" cm="1">
        <f t="array" ref="E26">IF($C26=0,0,SUMPRODUCT(IF($S$3:$S$212=$A26,1,0),IF($W$3:$W$212=$B26,1,0),$Y$3:$Y$212,AA$3:AA$212)/$C26)</f>
        <v>70</v>
      </c>
      <c r="F26" s="51" cm="1">
        <f t="array" ref="F26">IF($C26=0,0,SUMPRODUCT(IF($S$3:$S$212=$A26,1,0),IF($W$3:$W$212=$B26,1,0),$Y$3:$Y$212,AB$3:AB$212)/$C26)</f>
        <v>70</v>
      </c>
      <c r="G26" s="51" cm="1">
        <f t="array" ref="G26">IF($C26=0,0,SUMPRODUCT(IF($S$3:$S$212=$A26,1,0),IF($W$3:$W$212=$B26,1,0),$Y$3:$Y$212,AC$3:AC$212)/$C26)</f>
        <v>47.5</v>
      </c>
      <c r="H26" s="11">
        <f t="shared" si="2"/>
        <v>84.13</v>
      </c>
      <c r="I26" s="51">
        <f t="shared" si="3"/>
        <v>-14.129999999999995</v>
      </c>
      <c r="J26" s="51">
        <f t="shared" si="4"/>
        <v>-36.629999999999995</v>
      </c>
      <c r="K26" s="51">
        <f t="shared" si="5"/>
        <v>-14.129999999999995</v>
      </c>
      <c r="L26" s="31">
        <f t="shared" si="9"/>
        <v>0.24009478710852322</v>
      </c>
      <c r="M26" s="31">
        <f t="shared" si="9"/>
        <v>0.62241132709024816</v>
      </c>
      <c r="N26" s="31">
        <f t="shared" si="9"/>
        <v>0.24009478710852322</v>
      </c>
      <c r="R26" s="34"/>
      <c r="S26" t="s">
        <v>76</v>
      </c>
      <c r="T26" s="29" t="s">
        <v>96</v>
      </c>
      <c r="U26" t="s">
        <v>247</v>
      </c>
      <c r="V26" t="s">
        <v>92</v>
      </c>
      <c r="W26">
        <v>2027</v>
      </c>
      <c r="X26" s="2">
        <v>0</v>
      </c>
      <c r="Y26">
        <f t="shared" si="7"/>
        <v>0</v>
      </c>
      <c r="Z26" s="12">
        <f t="shared" si="10"/>
        <v>0</v>
      </c>
      <c r="AA26" s="10">
        <f>INDEX(Assumptions!C$110:C$111,MATCH(LEFT($T26,3),Assumptions!$B$110:$B$111,0))</f>
        <v>50</v>
      </c>
      <c r="AB26" s="10">
        <f>INDEX(Assumptions!D$110:D$111,MATCH(LEFT($T26,3),Assumptions!$B$110:$B$111,0))</f>
        <v>50</v>
      </c>
      <c r="AC26" s="10">
        <f>INDEX(Assumptions!E$110:E$111,MATCH(LEFT($T26,3),Assumptions!$B$110:$B$111,0))</f>
        <v>32.799999999999997</v>
      </c>
      <c r="AD26" s="10">
        <f t="shared" si="11"/>
        <v>-36.64</v>
      </c>
      <c r="AE26" s="10">
        <f t="shared" si="12"/>
        <v>-36.64</v>
      </c>
      <c r="AF26" s="10">
        <f t="shared" si="13"/>
        <v>-53.84</v>
      </c>
      <c r="AI26" s="26"/>
      <c r="AJ26" t="s">
        <v>107</v>
      </c>
      <c r="AK26" t="s">
        <v>92</v>
      </c>
      <c r="AL26" t="s">
        <v>180</v>
      </c>
      <c r="AM26">
        <v>2027</v>
      </c>
      <c r="AN26" s="8">
        <f>INDEX(GREET3.0!$K$27:$K$52,MATCH(RenewableJetFuel!AM26,GREET3.0!$J$27:$J$52,0))</f>
        <v>84.13</v>
      </c>
      <c r="AP26" s="36"/>
      <c r="AQ26">
        <v>2043</v>
      </c>
      <c r="AR26">
        <v>5.6196937910200001E-2</v>
      </c>
      <c r="AS26">
        <v>394551259.20550048</v>
      </c>
    </row>
    <row r="27" spans="1:45" x14ac:dyDescent="0.35">
      <c r="A27" t="s">
        <v>107</v>
      </c>
      <c r="B27">
        <v>2028</v>
      </c>
      <c r="C27" s="11">
        <f t="shared" si="0"/>
        <v>2.2220106597219999E-2</v>
      </c>
      <c r="D27" s="13">
        <f t="shared" si="1"/>
        <v>156.00442592838056</v>
      </c>
      <c r="E27" s="51" cm="1">
        <f t="array" ref="E27">IF($C27=0,0,SUMPRODUCT(IF($S$3:$S$212=$A27,1,0),IF($W$3:$W$212=$B27,1,0),$Y$3:$Y$212,AA$3:AA$212)/$C27)</f>
        <v>68.8004016176085</v>
      </c>
      <c r="F27" s="51" cm="1">
        <f t="array" ref="F27">IF($C27=0,0,SUMPRODUCT(IF($S$3:$S$212=$A27,1,0),IF($W$3:$W$212=$B27,1,0),$Y$3:$Y$212,AB$3:AB$212)/$C27)</f>
        <v>68.8004016176085</v>
      </c>
      <c r="G27" s="51" cm="1">
        <f t="array" ref="G27">IF($C27=0,0,SUMPRODUCT(IF($S$3:$S$212=$A27,1,0),IF($W$3:$W$212=$B27,1,0),$Y$3:$Y$212,AC$3:AC$212)/$C27)</f>
        <v>46.618295188942248</v>
      </c>
      <c r="H27" s="11">
        <f t="shared" si="2"/>
        <v>82.87</v>
      </c>
      <c r="I27" s="51">
        <f t="shared" si="3"/>
        <v>-14.069598382391504</v>
      </c>
      <c r="J27" s="51">
        <f t="shared" si="4"/>
        <v>-36.251704811057756</v>
      </c>
      <c r="K27" s="51">
        <f t="shared" si="5"/>
        <v>-14.069598382391504</v>
      </c>
      <c r="L27" s="31">
        <f t="shared" si="9"/>
        <v>0.31262797583681329</v>
      </c>
      <c r="M27" s="31">
        <f t="shared" si="9"/>
        <v>0.80551674523265637</v>
      </c>
      <c r="N27" s="31">
        <f t="shared" si="9"/>
        <v>0.31262797583681329</v>
      </c>
      <c r="R27" s="34"/>
      <c r="S27" t="s">
        <v>76</v>
      </c>
      <c r="T27" s="29" t="s">
        <v>96</v>
      </c>
      <c r="U27" t="s">
        <v>247</v>
      </c>
      <c r="V27" t="s">
        <v>92</v>
      </c>
      <c r="W27">
        <v>2028</v>
      </c>
      <c r="X27" s="2">
        <v>0</v>
      </c>
      <c r="Y27">
        <f t="shared" si="7"/>
        <v>0</v>
      </c>
      <c r="Z27" s="12">
        <f t="shared" si="10"/>
        <v>0</v>
      </c>
      <c r="AA27" s="10">
        <f>INDEX(Assumptions!C$110:C$111,MATCH(LEFT($T27,3),Assumptions!$B$110:$B$111,0))</f>
        <v>50</v>
      </c>
      <c r="AB27" s="10">
        <f>INDEX(Assumptions!D$110:D$111,MATCH(LEFT($T27,3),Assumptions!$B$110:$B$111,0))</f>
        <v>50</v>
      </c>
      <c r="AC27" s="10">
        <f>INDEX(Assumptions!E$110:E$111,MATCH(LEFT($T27,3),Assumptions!$B$110:$B$111,0))</f>
        <v>32.799999999999997</v>
      </c>
      <c r="AD27" s="10">
        <f t="shared" si="11"/>
        <v>-36.64</v>
      </c>
      <c r="AE27" s="10">
        <f t="shared" si="12"/>
        <v>-36.64</v>
      </c>
      <c r="AF27" s="10">
        <f t="shared" si="13"/>
        <v>-53.84</v>
      </c>
      <c r="AI27" s="26"/>
      <c r="AJ27" t="s">
        <v>107</v>
      </c>
      <c r="AK27" t="s">
        <v>92</v>
      </c>
      <c r="AL27" t="s">
        <v>180</v>
      </c>
      <c r="AM27">
        <v>2028</v>
      </c>
      <c r="AN27" s="8">
        <f>INDEX(GREET3.0!$K$27:$K$52,MATCH(RenewableJetFuel!AM27,GREET3.0!$J$27:$J$52,0))</f>
        <v>82.87</v>
      </c>
      <c r="AP27" s="36"/>
      <c r="AQ27">
        <v>2044</v>
      </c>
      <c r="AR27">
        <v>5.8006192568759898E-2</v>
      </c>
      <c r="AS27">
        <v>407253796.57326442</v>
      </c>
    </row>
    <row r="28" spans="1:45" x14ac:dyDescent="0.35">
      <c r="A28" t="s">
        <v>107</v>
      </c>
      <c r="B28">
        <v>2029</v>
      </c>
      <c r="C28" s="11">
        <f t="shared" si="0"/>
        <v>2.7448366973029999E-2</v>
      </c>
      <c r="D28" s="13">
        <f t="shared" si="1"/>
        <v>192.7113496761894</v>
      </c>
      <c r="E28" s="51" cm="1">
        <f t="array" ref="E28">IF($C28=0,0,SUMPRODUCT(IF($S$3:$S$212=$A28,1,0),IF($W$3:$W$212=$B28,1,0),$Y$3:$Y$212,AA$3:AA$212)/$C28)</f>
        <v>68.584473908778023</v>
      </c>
      <c r="F28" s="51" cm="1">
        <f t="array" ref="F28">IF($C28=0,0,SUMPRODUCT(IF($S$3:$S$212=$A28,1,0),IF($W$3:$W$212=$B28,1,0),$Y$3:$Y$212,AB$3:AB$212)/$C28)</f>
        <v>68.584473908778023</v>
      </c>
      <c r="G28" s="51" cm="1">
        <f t="array" ref="G28">IF($C28=0,0,SUMPRODUCT(IF($S$3:$S$212=$A28,1,0),IF($W$3:$W$212=$B28,1,0),$Y$3:$Y$212,AC$3:AC$212)/$C28)</f>
        <v>46.459588322951845</v>
      </c>
      <c r="H28" s="11">
        <f t="shared" si="2"/>
        <v>81.62</v>
      </c>
      <c r="I28" s="51">
        <f t="shared" si="3"/>
        <v>-13.035526091221982</v>
      </c>
      <c r="J28" s="51">
        <f t="shared" si="4"/>
        <v>-35.16041167704816</v>
      </c>
      <c r="K28" s="51">
        <f t="shared" si="5"/>
        <v>-13.035526091221982</v>
      </c>
      <c r="L28" s="31">
        <f t="shared" si="9"/>
        <v>0.3578039038383683</v>
      </c>
      <c r="M28" s="31">
        <f t="shared" si="9"/>
        <v>0.96509588263442703</v>
      </c>
      <c r="N28" s="31">
        <f t="shared" si="9"/>
        <v>0.3578039038383683</v>
      </c>
      <c r="R28" s="34"/>
      <c r="S28" t="s">
        <v>76</v>
      </c>
      <c r="T28" s="29" t="s">
        <v>96</v>
      </c>
      <c r="U28" t="s">
        <v>247</v>
      </c>
      <c r="V28" t="s">
        <v>92</v>
      </c>
      <c r="W28">
        <v>2029</v>
      </c>
      <c r="X28" s="2">
        <v>0</v>
      </c>
      <c r="Y28">
        <f t="shared" si="7"/>
        <v>0</v>
      </c>
      <c r="Z28" s="12">
        <f t="shared" si="10"/>
        <v>0</v>
      </c>
      <c r="AA28" s="10">
        <f>INDEX(Assumptions!C$110:C$111,MATCH(LEFT($T28,3),Assumptions!$B$110:$B$111,0))</f>
        <v>50</v>
      </c>
      <c r="AB28" s="10">
        <f>INDEX(Assumptions!D$110:D$111,MATCH(LEFT($T28,3),Assumptions!$B$110:$B$111,0))</f>
        <v>50</v>
      </c>
      <c r="AC28" s="10">
        <f>INDEX(Assumptions!E$110:E$111,MATCH(LEFT($T28,3),Assumptions!$B$110:$B$111,0))</f>
        <v>32.799999999999997</v>
      </c>
      <c r="AD28" s="10">
        <f t="shared" si="11"/>
        <v>-36.64</v>
      </c>
      <c r="AE28" s="10">
        <f t="shared" si="12"/>
        <v>-36.64</v>
      </c>
      <c r="AF28" s="10">
        <f t="shared" si="13"/>
        <v>-53.84</v>
      </c>
      <c r="AI28" s="26"/>
      <c r="AJ28" t="s">
        <v>107</v>
      </c>
      <c r="AK28" t="s">
        <v>92</v>
      </c>
      <c r="AL28" t="s">
        <v>180</v>
      </c>
      <c r="AM28">
        <v>2029</v>
      </c>
      <c r="AN28" s="8">
        <f>INDEX(GREET3.0!$K$27:$K$52,MATCH(RenewableJetFuel!AM28,GREET3.0!$J$27:$J$52,0))</f>
        <v>81.62</v>
      </c>
      <c r="AP28" s="36"/>
      <c r="AQ28">
        <v>2045</v>
      </c>
      <c r="AR28">
        <v>5.98154472273199E-2</v>
      </c>
      <c r="AS28">
        <v>419956333.94102907</v>
      </c>
    </row>
    <row r="29" spans="1:45" x14ac:dyDescent="0.35">
      <c r="A29" t="s">
        <v>107</v>
      </c>
      <c r="B29">
        <v>2030</v>
      </c>
      <c r="C29" s="11">
        <f t="shared" si="0"/>
        <v>3.2676627348849997E-2</v>
      </c>
      <c r="D29" s="13">
        <f t="shared" si="1"/>
        <v>229.41827342406842</v>
      </c>
      <c r="E29" s="51" cm="1">
        <f t="array" ref="E29">IF($C29=0,0,SUMPRODUCT(IF($S$3:$S$212=$A29,1,0),IF($W$3:$W$212=$B29,1,0),$Y$3:$Y$212,AA$3:AA$212)/$C29)</f>
        <v>68.329679212358073</v>
      </c>
      <c r="F29" s="51" cm="1">
        <f t="array" ref="F29">IF($C29=0,0,SUMPRODUCT(IF($S$3:$S$212=$A29,1,0),IF($W$3:$W$212=$B29,1,0),$Y$3:$Y$212,AB$3:AB$212)/$C29)</f>
        <v>68.329679212358073</v>
      </c>
      <c r="G29" s="51" cm="1">
        <f t="array" ref="G29">IF($C29=0,0,SUMPRODUCT(IF($S$3:$S$212=$A29,1,0),IF($W$3:$W$212=$B29,1,0),$Y$3:$Y$212,AC$3:AC$212)/$C29)</f>
        <v>46.272314221083178</v>
      </c>
      <c r="H29" s="11">
        <f t="shared" si="2"/>
        <v>80.36</v>
      </c>
      <c r="I29" s="51">
        <f t="shared" si="3"/>
        <v>-12.030320787641926</v>
      </c>
      <c r="J29" s="51">
        <f t="shared" si="4"/>
        <v>-34.087685778916821</v>
      </c>
      <c r="K29" s="51">
        <f t="shared" si="5"/>
        <v>-12.030320787641926</v>
      </c>
      <c r="L29" s="31">
        <f t="shared" si="9"/>
        <v>0.39311030926489882</v>
      </c>
      <c r="M29" s="31">
        <f t="shared" si="9"/>
        <v>1.1138706053823586</v>
      </c>
      <c r="N29" s="31">
        <f t="shared" si="9"/>
        <v>0.39311030926489882</v>
      </c>
      <c r="R29" s="34"/>
      <c r="S29" t="s">
        <v>76</v>
      </c>
      <c r="T29" s="29" t="s">
        <v>96</v>
      </c>
      <c r="U29" t="s">
        <v>247</v>
      </c>
      <c r="V29" t="s">
        <v>92</v>
      </c>
      <c r="W29">
        <v>2030</v>
      </c>
      <c r="X29" s="2">
        <v>0</v>
      </c>
      <c r="Y29">
        <f t="shared" si="7"/>
        <v>0</v>
      </c>
      <c r="Z29" s="12">
        <f t="shared" si="10"/>
        <v>0</v>
      </c>
      <c r="AA29" s="10">
        <f>INDEX(Assumptions!C$110:C$111,MATCH(LEFT($T29,3),Assumptions!$B$110:$B$111,0))</f>
        <v>50</v>
      </c>
      <c r="AB29" s="10">
        <f>INDEX(Assumptions!D$110:D$111,MATCH(LEFT($T29,3),Assumptions!$B$110:$B$111,0))</f>
        <v>50</v>
      </c>
      <c r="AC29" s="10">
        <f>INDEX(Assumptions!E$110:E$111,MATCH(LEFT($T29,3),Assumptions!$B$110:$B$111,0))</f>
        <v>32.799999999999997</v>
      </c>
      <c r="AD29" s="10">
        <f t="shared" si="11"/>
        <v>-36.64</v>
      </c>
      <c r="AE29" s="10">
        <f t="shared" si="12"/>
        <v>-36.64</v>
      </c>
      <c r="AF29" s="10">
        <f t="shared" si="13"/>
        <v>-53.84</v>
      </c>
      <c r="AI29" s="26"/>
      <c r="AJ29" t="s">
        <v>107</v>
      </c>
      <c r="AK29" t="s">
        <v>92</v>
      </c>
      <c r="AL29" t="s">
        <v>180</v>
      </c>
      <c r="AM29">
        <v>2030</v>
      </c>
      <c r="AN29" s="8">
        <f>INDEX(GREET3.0!$K$27:$K$52,MATCH(RenewableJetFuel!AM29,GREET3.0!$J$27:$J$52,0))</f>
        <v>80.36</v>
      </c>
      <c r="AP29" s="36"/>
    </row>
    <row r="30" spans="1:45" x14ac:dyDescent="0.35">
      <c r="A30" t="s">
        <v>107</v>
      </c>
      <c r="B30">
        <v>2031</v>
      </c>
      <c r="C30" s="11">
        <f t="shared" si="0"/>
        <v>3.4485882007429997E-2</v>
      </c>
      <c r="D30" s="13">
        <f t="shared" si="1"/>
        <v>242.12081079197347</v>
      </c>
      <c r="E30" s="51" cm="1">
        <f t="array" ref="E30">IF($C30=0,0,SUMPRODUCT(IF($S$3:$S$212=$A30,1,0),IF($W$3:$W$212=$B30,1,0),$Y$3:$Y$212,AA$3:AA$212)/$C30)</f>
        <v>68.029021470582506</v>
      </c>
      <c r="F30" s="51" cm="1">
        <f t="array" ref="F30">IF($C30=0,0,SUMPRODUCT(IF($S$3:$S$212=$A30,1,0),IF($W$3:$W$212=$B30,1,0),$Y$3:$Y$212,AB$3:AB$212)/$C30)</f>
        <v>68.029021470582506</v>
      </c>
      <c r="G30" s="51" cm="1">
        <f t="array" ref="G30">IF($C30=0,0,SUMPRODUCT(IF($S$3:$S$212=$A30,1,0),IF($W$3:$W$212=$B30,1,0),$Y$3:$Y$212,AC$3:AC$212)/$C30)</f>
        <v>46.051330780878153</v>
      </c>
      <c r="H30" s="11">
        <f t="shared" si="2"/>
        <v>80.36</v>
      </c>
      <c r="I30" s="51">
        <f t="shared" si="3"/>
        <v>-12.330978529417493</v>
      </c>
      <c r="J30" s="51">
        <f t="shared" si="4"/>
        <v>-34.308669219121846</v>
      </c>
      <c r="K30" s="51">
        <f t="shared" si="5"/>
        <v>-12.330978529417493</v>
      </c>
      <c r="L30" s="31">
        <f t="shared" si="9"/>
        <v>0.42524467060164434</v>
      </c>
      <c r="M30" s="31">
        <f t="shared" si="9"/>
        <v>1.1831647185225813</v>
      </c>
      <c r="N30" s="31">
        <f t="shared" si="9"/>
        <v>0.42524467060164434</v>
      </c>
      <c r="R30" s="34"/>
      <c r="S30" t="s">
        <v>76</v>
      </c>
      <c r="T30" s="29" t="s">
        <v>96</v>
      </c>
      <c r="U30" t="s">
        <v>247</v>
      </c>
      <c r="V30" t="s">
        <v>92</v>
      </c>
      <c r="W30">
        <v>2031</v>
      </c>
      <c r="X30" s="2">
        <v>0</v>
      </c>
      <c r="Y30">
        <f t="shared" si="7"/>
        <v>0</v>
      </c>
      <c r="Z30" s="12">
        <f t="shared" si="10"/>
        <v>0</v>
      </c>
      <c r="AA30" s="10">
        <f>INDEX(Assumptions!C$110:C$111,MATCH(LEFT($T30,3),Assumptions!$B$110:$B$111,0))</f>
        <v>50</v>
      </c>
      <c r="AB30" s="10">
        <f>INDEX(Assumptions!D$110:D$111,MATCH(LEFT($T30,3),Assumptions!$B$110:$B$111,0))</f>
        <v>50</v>
      </c>
      <c r="AC30" s="10">
        <f>INDEX(Assumptions!E$110:E$111,MATCH(LEFT($T30,3),Assumptions!$B$110:$B$111,0))</f>
        <v>32.799999999999997</v>
      </c>
      <c r="AD30" s="10">
        <f t="shared" si="11"/>
        <v>-36.64</v>
      </c>
      <c r="AE30" s="10">
        <f t="shared" si="12"/>
        <v>-36.64</v>
      </c>
      <c r="AF30" s="10">
        <f t="shared" si="13"/>
        <v>-53.84</v>
      </c>
      <c r="AI30" s="26"/>
      <c r="AJ30" t="s">
        <v>107</v>
      </c>
      <c r="AK30" t="s">
        <v>92</v>
      </c>
      <c r="AL30" t="s">
        <v>180</v>
      </c>
      <c r="AM30">
        <v>2031</v>
      </c>
      <c r="AN30" s="8">
        <f>INDEX(GREET3.0!$K$27:$K$52,MATCH(RenewableJetFuel!AM30,GREET3.0!$J$27:$J$52,0))</f>
        <v>80.36</v>
      </c>
      <c r="AP30" s="36"/>
    </row>
    <row r="31" spans="1:45" x14ac:dyDescent="0.35">
      <c r="A31" t="s">
        <v>107</v>
      </c>
      <c r="B31">
        <v>2032</v>
      </c>
      <c r="C31" s="11">
        <f t="shared" si="0"/>
        <v>3.629513666597E-2</v>
      </c>
      <c r="D31" s="13">
        <f t="shared" si="1"/>
        <v>254.82334815959774</v>
      </c>
      <c r="E31" s="51" cm="1">
        <f t="array" ref="E31">IF($C31=0,0,SUMPRODUCT(IF($S$3:$S$212=$A31,1,0),IF($W$3:$W$212=$B31,1,0),$Y$3:$Y$212,AA$3:AA$212)/$C31)</f>
        <v>67.674245335287367</v>
      </c>
      <c r="F31" s="51" cm="1">
        <f t="array" ref="F31">IF($C31=0,0,SUMPRODUCT(IF($S$3:$S$212=$A31,1,0),IF($W$3:$W$212=$B31,1,0),$Y$3:$Y$212,AB$3:AB$212)/$C31)</f>
        <v>67.674245335287367</v>
      </c>
      <c r="G31" s="51" cm="1">
        <f t="array" ref="G31">IF($C31=0,0,SUMPRODUCT(IF($S$3:$S$212=$A31,1,0),IF($W$3:$W$212=$B31,1,0),$Y$3:$Y$212,AC$3:AC$212)/$C31)</f>
        <v>45.790570321436213</v>
      </c>
      <c r="H31" s="11">
        <f t="shared" si="2"/>
        <v>80.36</v>
      </c>
      <c r="I31" s="51">
        <f t="shared" si="3"/>
        <v>-12.685754664712633</v>
      </c>
      <c r="J31" s="51">
        <f t="shared" si="4"/>
        <v>-34.569429678563786</v>
      </c>
      <c r="K31" s="51">
        <f t="shared" si="5"/>
        <v>-12.685754664712633</v>
      </c>
      <c r="L31" s="31">
        <f t="shared" si="9"/>
        <v>0.46043119926671144</v>
      </c>
      <c r="M31" s="31">
        <f t="shared" si="9"/>
        <v>1.254702174648112</v>
      </c>
      <c r="N31" s="31">
        <f t="shared" si="9"/>
        <v>0.46043119926671144</v>
      </c>
      <c r="R31" s="34"/>
      <c r="S31" t="s">
        <v>76</v>
      </c>
      <c r="T31" s="29" t="s">
        <v>96</v>
      </c>
      <c r="U31" t="s">
        <v>247</v>
      </c>
      <c r="V31" t="s">
        <v>92</v>
      </c>
      <c r="W31">
        <v>2032</v>
      </c>
      <c r="X31" s="2">
        <v>0</v>
      </c>
      <c r="Y31">
        <f t="shared" si="7"/>
        <v>0</v>
      </c>
      <c r="Z31" s="12">
        <f t="shared" si="10"/>
        <v>0</v>
      </c>
      <c r="AA31" s="10">
        <f>INDEX(Assumptions!C$110:C$111,MATCH(LEFT($T31,3),Assumptions!$B$110:$B$111,0))</f>
        <v>50</v>
      </c>
      <c r="AB31" s="10">
        <f>INDEX(Assumptions!D$110:D$111,MATCH(LEFT($T31,3),Assumptions!$B$110:$B$111,0))</f>
        <v>50</v>
      </c>
      <c r="AC31" s="10">
        <f>INDEX(Assumptions!E$110:E$111,MATCH(LEFT($T31,3),Assumptions!$B$110:$B$111,0))</f>
        <v>32.799999999999997</v>
      </c>
      <c r="AD31" s="10">
        <f t="shared" si="11"/>
        <v>-36.64</v>
      </c>
      <c r="AE31" s="10">
        <f t="shared" si="12"/>
        <v>-36.64</v>
      </c>
      <c r="AF31" s="10">
        <f t="shared" si="13"/>
        <v>-53.84</v>
      </c>
      <c r="AI31" s="26"/>
      <c r="AJ31" t="s">
        <v>107</v>
      </c>
      <c r="AK31" t="s">
        <v>92</v>
      </c>
      <c r="AL31" t="s">
        <v>180</v>
      </c>
      <c r="AM31">
        <v>2032</v>
      </c>
      <c r="AN31" s="8">
        <f>INDEX(GREET3.0!$K$27:$K$52,MATCH(RenewableJetFuel!AM31,GREET3.0!$J$27:$J$52,0))</f>
        <v>80.36</v>
      </c>
      <c r="AP31" s="36"/>
    </row>
    <row r="32" spans="1:45" x14ac:dyDescent="0.35">
      <c r="A32" t="s">
        <v>107</v>
      </c>
      <c r="B32">
        <v>2033</v>
      </c>
      <c r="C32" s="11">
        <f t="shared" si="0"/>
        <v>3.810439132454E-2</v>
      </c>
      <c r="D32" s="13">
        <f t="shared" si="1"/>
        <v>267.52588552743259</v>
      </c>
      <c r="E32" s="51" cm="1">
        <f t="array" ref="E32">IF($C32=0,0,SUMPRODUCT(IF($S$3:$S$212=$A32,1,0),IF($W$3:$W$212=$B32,1,0),$Y$3:$Y$212,AA$3:AA$212)/$C32)</f>
        <v>67.255609495639106</v>
      </c>
      <c r="F32" s="51" cm="1">
        <f t="array" ref="F32">IF($C32=0,0,SUMPRODUCT(IF($S$3:$S$212=$A32,1,0),IF($W$3:$W$212=$B32,1,0),$Y$3:$Y$212,AB$3:AB$212)/$C32)</f>
        <v>67.255609495639106</v>
      </c>
      <c r="G32" s="51" cm="1">
        <f t="array" ref="G32">IF($C32=0,0,SUMPRODUCT(IF($S$3:$S$212=$A32,1,0),IF($W$3:$W$212=$B32,1,0),$Y$3:$Y$212,AC$3:AC$212)/$C32)</f>
        <v>45.48287297929474</v>
      </c>
      <c r="H32" s="11">
        <f t="shared" si="2"/>
        <v>80.36</v>
      </c>
      <c r="I32" s="51">
        <f t="shared" si="3"/>
        <v>-13.104390504360893</v>
      </c>
      <c r="J32" s="51">
        <f t="shared" si="4"/>
        <v>-34.877127020705259</v>
      </c>
      <c r="K32" s="51">
        <f t="shared" si="5"/>
        <v>-13.104390504360893</v>
      </c>
      <c r="L32" s="31">
        <f t="shared" si="9"/>
        <v>0.49933482384775357</v>
      </c>
      <c r="M32" s="31">
        <f t="shared" si="9"/>
        <v>1.3289716962726412</v>
      </c>
      <c r="N32" s="31">
        <f t="shared" si="9"/>
        <v>0.49933482384775357</v>
      </c>
      <c r="R32" s="34"/>
      <c r="S32" t="s">
        <v>76</v>
      </c>
      <c r="T32" s="29" t="s">
        <v>96</v>
      </c>
      <c r="U32" t="s">
        <v>247</v>
      </c>
      <c r="V32" t="s">
        <v>92</v>
      </c>
      <c r="W32">
        <v>2033</v>
      </c>
      <c r="X32" s="2">
        <v>0</v>
      </c>
      <c r="Y32">
        <f t="shared" si="7"/>
        <v>0</v>
      </c>
      <c r="Z32" s="12">
        <f t="shared" si="10"/>
        <v>0</v>
      </c>
      <c r="AA32" s="10">
        <f>INDEX(Assumptions!C$110:C$111,MATCH(LEFT($T32,3),Assumptions!$B$110:$B$111,0))</f>
        <v>50</v>
      </c>
      <c r="AB32" s="10">
        <f>INDEX(Assumptions!D$110:D$111,MATCH(LEFT($T32,3),Assumptions!$B$110:$B$111,0))</f>
        <v>50</v>
      </c>
      <c r="AC32" s="10">
        <f>INDEX(Assumptions!E$110:E$111,MATCH(LEFT($T32,3),Assumptions!$B$110:$B$111,0))</f>
        <v>32.799999999999997</v>
      </c>
      <c r="AD32" s="10">
        <f t="shared" si="11"/>
        <v>-36.64</v>
      </c>
      <c r="AE32" s="10">
        <f t="shared" si="12"/>
        <v>-36.64</v>
      </c>
      <c r="AF32" s="10">
        <f t="shared" si="13"/>
        <v>-53.84</v>
      </c>
      <c r="AI32" s="26"/>
      <c r="AJ32" t="s">
        <v>107</v>
      </c>
      <c r="AK32" t="s">
        <v>92</v>
      </c>
      <c r="AL32" t="s">
        <v>180</v>
      </c>
      <c r="AM32">
        <v>2033</v>
      </c>
      <c r="AN32" s="8">
        <f>INDEX(GREET3.0!$K$27:$K$52,MATCH(RenewableJetFuel!AM32,GREET3.0!$J$27:$J$52,0))</f>
        <v>80.36</v>
      </c>
      <c r="AP32" s="36"/>
    </row>
    <row r="33" spans="1:42" x14ac:dyDescent="0.35">
      <c r="A33" t="s">
        <v>107</v>
      </c>
      <c r="B33">
        <v>2034</v>
      </c>
      <c r="C33" s="11">
        <f t="shared" si="0"/>
        <v>3.9913645983110001E-2</v>
      </c>
      <c r="D33" s="13">
        <f t="shared" si="1"/>
        <v>280.2284228952675</v>
      </c>
      <c r="E33" s="51" cm="1">
        <f t="array" ref="E33">IF($C33=0,0,SUMPRODUCT(IF($S$3:$S$212=$A33,1,0),IF($W$3:$W$212=$B33,1,0),$Y$3:$Y$212,AA$3:AA$212)/$C33)</f>
        <v>66.761619204854142</v>
      </c>
      <c r="F33" s="51" cm="1">
        <f t="array" ref="F33">IF($C33=0,0,SUMPRODUCT(IF($S$3:$S$212=$A33,1,0),IF($W$3:$W$212=$B33,1,0),$Y$3:$Y$212,AB$3:AB$212)/$C33)</f>
        <v>66.761619204854142</v>
      </c>
      <c r="G33" s="51" cm="1">
        <f t="array" ref="G33">IF($C33=0,0,SUMPRODUCT(IF($S$3:$S$212=$A33,1,0),IF($W$3:$W$212=$B33,1,0),$Y$3:$Y$212,AC$3:AC$212)/$C33)</f>
        <v>45.119790115567795</v>
      </c>
      <c r="H33" s="11">
        <f t="shared" si="2"/>
        <v>80.36</v>
      </c>
      <c r="I33" s="51">
        <f t="shared" si="3"/>
        <v>-13.598380795145857</v>
      </c>
      <c r="J33" s="51">
        <f t="shared" si="4"/>
        <v>-35.240209884432204</v>
      </c>
      <c r="K33" s="51">
        <f t="shared" si="5"/>
        <v>-13.598380795145857</v>
      </c>
      <c r="L33" s="31">
        <f t="shared" si="9"/>
        <v>0.5427609570009736</v>
      </c>
      <c r="M33" s="31">
        <f t="shared" si="9"/>
        <v>1.4065652616977209</v>
      </c>
      <c r="N33" s="31">
        <f t="shared" si="9"/>
        <v>0.5427609570009736</v>
      </c>
      <c r="R33" s="34"/>
      <c r="S33" t="s">
        <v>76</v>
      </c>
      <c r="T33" s="29" t="s">
        <v>96</v>
      </c>
      <c r="U33" t="s">
        <v>247</v>
      </c>
      <c r="V33" t="s">
        <v>92</v>
      </c>
      <c r="W33">
        <v>2034</v>
      </c>
      <c r="X33" s="2">
        <v>0</v>
      </c>
      <c r="Y33">
        <f t="shared" si="7"/>
        <v>0</v>
      </c>
      <c r="Z33" s="12">
        <f t="shared" si="10"/>
        <v>0</v>
      </c>
      <c r="AA33" s="10">
        <f>INDEX(Assumptions!C$110:C$111,MATCH(LEFT($T33,3),Assumptions!$B$110:$B$111,0))</f>
        <v>50</v>
      </c>
      <c r="AB33" s="10">
        <f>INDEX(Assumptions!D$110:D$111,MATCH(LEFT($T33,3),Assumptions!$B$110:$B$111,0))</f>
        <v>50</v>
      </c>
      <c r="AC33" s="10">
        <f>INDEX(Assumptions!E$110:E$111,MATCH(LEFT($T33,3),Assumptions!$B$110:$B$111,0))</f>
        <v>32.799999999999997</v>
      </c>
      <c r="AD33" s="10">
        <f t="shared" si="11"/>
        <v>-36.64</v>
      </c>
      <c r="AE33" s="10">
        <f t="shared" si="12"/>
        <v>-36.64</v>
      </c>
      <c r="AF33" s="10">
        <f t="shared" si="13"/>
        <v>-53.84</v>
      </c>
      <c r="AI33" s="26"/>
      <c r="AJ33" t="s">
        <v>107</v>
      </c>
      <c r="AK33" t="s">
        <v>92</v>
      </c>
      <c r="AL33" t="s">
        <v>180</v>
      </c>
      <c r="AM33">
        <v>2034</v>
      </c>
      <c r="AN33" s="8">
        <f>INDEX(GREET3.0!$K$27:$K$52,MATCH(RenewableJetFuel!AM33,GREET3.0!$J$27:$J$52,0))</f>
        <v>80.36</v>
      </c>
      <c r="AP33" s="36"/>
    </row>
    <row r="34" spans="1:42" x14ac:dyDescent="0.35">
      <c r="A34" t="s">
        <v>107</v>
      </c>
      <c r="B34">
        <v>2035</v>
      </c>
      <c r="C34" s="11">
        <f t="shared" si="0"/>
        <v>4.172290064169E-2</v>
      </c>
      <c r="D34" s="13">
        <f t="shared" si="1"/>
        <v>292.93096026317255</v>
      </c>
      <c r="E34" s="51" cm="1">
        <f t="array" ref="E34">IF($C34=0,0,SUMPRODUCT(IF($S$3:$S$212=$A34,1,0),IF($W$3:$W$212=$B34,1,0),$Y$3:$Y$212,AA$3:AA$212)/$C34)</f>
        <v>66.178710661727891</v>
      </c>
      <c r="F34" s="51" cm="1">
        <f t="array" ref="F34">IF($C34=0,0,SUMPRODUCT(IF($S$3:$S$212=$A34,1,0),IF($W$3:$W$212=$B34,1,0),$Y$3:$Y$212,AB$3:AB$212)/$C34)</f>
        <v>66.178710661727891</v>
      </c>
      <c r="G34" s="51" cm="1">
        <f t="array" ref="G34">IF($C34=0,0,SUMPRODUCT(IF($S$3:$S$212=$A34,1,0),IF($W$3:$W$212=$B34,1,0),$Y$3:$Y$212,AC$3:AC$212)/$C34)</f>
        <v>44.691352336369988</v>
      </c>
      <c r="H34" s="11">
        <f t="shared" si="2"/>
        <v>80.36</v>
      </c>
      <c r="I34" s="51">
        <f t="shared" si="3"/>
        <v>-14.181289338272109</v>
      </c>
      <c r="J34" s="51">
        <f t="shared" si="4"/>
        <v>-35.668647663630011</v>
      </c>
      <c r="K34" s="51">
        <f t="shared" si="5"/>
        <v>-14.181289338272109</v>
      </c>
      <c r="L34" s="31">
        <f t="shared" si="9"/>
        <v>0.5916845260317849</v>
      </c>
      <c r="M34" s="31">
        <f t="shared" si="9"/>
        <v>1.4881994424930831</v>
      </c>
      <c r="N34" s="31">
        <f t="shared" si="9"/>
        <v>0.5916845260317849</v>
      </c>
      <c r="R34" s="34"/>
      <c r="S34" t="s">
        <v>76</v>
      </c>
      <c r="T34" s="29" t="s">
        <v>96</v>
      </c>
      <c r="U34" t="s">
        <v>247</v>
      </c>
      <c r="V34" t="s">
        <v>92</v>
      </c>
      <c r="W34">
        <v>2035</v>
      </c>
      <c r="X34" s="2">
        <v>0</v>
      </c>
      <c r="Y34">
        <f t="shared" si="7"/>
        <v>0</v>
      </c>
      <c r="Z34" s="12">
        <f t="shared" si="10"/>
        <v>0</v>
      </c>
      <c r="AA34" s="10">
        <f>INDEX(Assumptions!C$110:C$111,MATCH(LEFT($T34,3),Assumptions!$B$110:$B$111,0))</f>
        <v>50</v>
      </c>
      <c r="AB34" s="10">
        <f>INDEX(Assumptions!D$110:D$111,MATCH(LEFT($T34,3),Assumptions!$B$110:$B$111,0))</f>
        <v>50</v>
      </c>
      <c r="AC34" s="10">
        <f>INDEX(Assumptions!E$110:E$111,MATCH(LEFT($T34,3),Assumptions!$B$110:$B$111,0))</f>
        <v>32.799999999999997</v>
      </c>
      <c r="AD34" s="10">
        <f t="shared" si="11"/>
        <v>-36.64</v>
      </c>
      <c r="AE34" s="10">
        <f t="shared" si="12"/>
        <v>-36.64</v>
      </c>
      <c r="AF34" s="10">
        <f t="shared" si="13"/>
        <v>-53.84</v>
      </c>
      <c r="AI34" s="26"/>
      <c r="AJ34" t="s">
        <v>107</v>
      </c>
      <c r="AK34" t="s">
        <v>92</v>
      </c>
      <c r="AL34" t="s">
        <v>180</v>
      </c>
      <c r="AM34">
        <v>2035</v>
      </c>
      <c r="AN34" s="8">
        <f>INDEX(GREET3.0!$K$27:$K$52,MATCH(RenewableJetFuel!AM34,GREET3.0!$J$27:$J$52,0))</f>
        <v>80.36</v>
      </c>
      <c r="AP34" s="36"/>
    </row>
    <row r="35" spans="1:42" x14ac:dyDescent="0.35">
      <c r="A35" t="s">
        <v>107</v>
      </c>
      <c r="B35">
        <v>2036</v>
      </c>
      <c r="C35" s="11">
        <f t="shared" si="0"/>
        <v>4.3532155300249897E-2</v>
      </c>
      <c r="D35" s="13">
        <f t="shared" si="1"/>
        <v>305.63349763093652</v>
      </c>
      <c r="E35" s="51" cm="1">
        <f t="array" ref="E35">IF($C35=0,0,SUMPRODUCT(IF($S$3:$S$212=$A35,1,0),IF($W$3:$W$212=$B35,1,0),$Y$3:$Y$212,AA$3:AA$212)/$C35)</f>
        <v>65.490878580838896</v>
      </c>
      <c r="F35" s="51" cm="1">
        <f t="array" ref="F35">IF($C35=0,0,SUMPRODUCT(IF($S$3:$S$212=$A35,1,0),IF($W$3:$W$212=$B35,1,0),$Y$3:$Y$212,AB$3:AB$212)/$C35)</f>
        <v>65.490878580838896</v>
      </c>
      <c r="G35" s="51" cm="1">
        <f t="array" ref="G35">IF($C35=0,0,SUMPRODUCT(IF($S$3:$S$212=$A35,1,0),IF($W$3:$W$212=$B35,1,0),$Y$3:$Y$212,AC$3:AC$212)/$C35)</f>
        <v>44.18579575691659</v>
      </c>
      <c r="H35" s="11">
        <f t="shared" si="2"/>
        <v>80.36</v>
      </c>
      <c r="I35" s="51">
        <f t="shared" si="3"/>
        <v>-14.869121419161104</v>
      </c>
      <c r="J35" s="51">
        <f t="shared" si="4"/>
        <v>-36.174204243083409</v>
      </c>
      <c r="K35" s="51">
        <f t="shared" si="5"/>
        <v>-14.869121419161104</v>
      </c>
      <c r="L35" s="31">
        <f t="shared" si="9"/>
        <v>0.64728490279719331</v>
      </c>
      <c r="M35" s="31">
        <f t="shared" si="9"/>
        <v>1.5747410769728658</v>
      </c>
      <c r="N35" s="31">
        <f t="shared" si="9"/>
        <v>0.64728490279719331</v>
      </c>
      <c r="R35" s="34"/>
      <c r="S35" t="s">
        <v>76</v>
      </c>
      <c r="T35" s="29" t="s">
        <v>96</v>
      </c>
      <c r="U35" t="s">
        <v>247</v>
      </c>
      <c r="V35" t="s">
        <v>92</v>
      </c>
      <c r="W35">
        <v>2036</v>
      </c>
      <c r="X35" s="2">
        <v>0</v>
      </c>
      <c r="Y35">
        <f t="shared" si="7"/>
        <v>0</v>
      </c>
      <c r="Z35" s="12">
        <f t="shared" si="10"/>
        <v>0</v>
      </c>
      <c r="AA35" s="10">
        <f>INDEX(Assumptions!C$110:C$111,MATCH(LEFT($T35,3),Assumptions!$B$110:$B$111,0))</f>
        <v>50</v>
      </c>
      <c r="AB35" s="10">
        <f>INDEX(Assumptions!D$110:D$111,MATCH(LEFT($T35,3),Assumptions!$B$110:$B$111,0))</f>
        <v>50</v>
      </c>
      <c r="AC35" s="10">
        <f>INDEX(Assumptions!E$110:E$111,MATCH(LEFT($T35,3),Assumptions!$B$110:$B$111,0))</f>
        <v>32.799999999999997</v>
      </c>
      <c r="AD35" s="10">
        <f t="shared" si="11"/>
        <v>-36.64</v>
      </c>
      <c r="AE35" s="10">
        <f t="shared" si="12"/>
        <v>-36.64</v>
      </c>
      <c r="AF35" s="10">
        <f t="shared" si="13"/>
        <v>-53.84</v>
      </c>
      <c r="AI35" s="26"/>
      <c r="AJ35" t="s">
        <v>107</v>
      </c>
      <c r="AK35" t="s">
        <v>92</v>
      </c>
      <c r="AL35" t="s">
        <v>180</v>
      </c>
      <c r="AM35">
        <v>2036</v>
      </c>
      <c r="AN35" s="8">
        <f>INDEX(GREET3.0!$K$27:$K$52,MATCH(RenewableJetFuel!AM35,GREET3.0!$J$27:$J$52,0))</f>
        <v>80.36</v>
      </c>
      <c r="AP35" s="36"/>
    </row>
    <row r="36" spans="1:42" x14ac:dyDescent="0.35">
      <c r="A36" t="s">
        <v>107</v>
      </c>
      <c r="B36">
        <v>2037</v>
      </c>
      <c r="C36" s="11">
        <f t="shared" si="0"/>
        <v>4.5341409958799997E-2</v>
      </c>
      <c r="D36" s="13">
        <f t="shared" si="1"/>
        <v>318.33603499863165</v>
      </c>
      <c r="E36" s="51" cm="1">
        <f t="array" ref="E36">IF($C36=0,0,SUMPRODUCT(IF($S$3:$S$212=$A36,1,0),IF($W$3:$W$212=$B36,1,0),$Y$3:$Y$212,AA$3:AA$212)/$C36)</f>
        <v>64.679236725389899</v>
      </c>
      <c r="F36" s="51" cm="1">
        <f t="array" ref="F36">IF($C36=0,0,SUMPRODUCT(IF($S$3:$S$212=$A36,1,0),IF($W$3:$W$212=$B36,1,0),$Y$3:$Y$212,AB$3:AB$212)/$C36)</f>
        <v>64.679236725389899</v>
      </c>
      <c r="G36" s="51" cm="1">
        <f t="array" ref="G36">IF($C36=0,0,SUMPRODUCT(IF($S$3:$S$212=$A36,1,0),IF($W$3:$W$212=$B36,1,0),$Y$3:$Y$212,AC$3:AC$212)/$C36)</f>
        <v>43.58923899316158</v>
      </c>
      <c r="H36" s="11">
        <f t="shared" si="2"/>
        <v>80.36</v>
      </c>
      <c r="I36" s="51">
        <f t="shared" si="3"/>
        <v>-15.680763274610101</v>
      </c>
      <c r="J36" s="51">
        <f t="shared" si="4"/>
        <v>-36.77076100683842</v>
      </c>
      <c r="K36" s="51">
        <f t="shared" si="5"/>
        <v>-15.680763274610101</v>
      </c>
      <c r="L36" s="31">
        <f t="shared" si="9"/>
        <v>0.71098791610099166</v>
      </c>
      <c r="M36" s="31">
        <f t="shared" si="9"/>
        <v>1.6672381493081181</v>
      </c>
      <c r="N36" s="31">
        <f t="shared" si="9"/>
        <v>0.71098791610099166</v>
      </c>
      <c r="R36" s="34"/>
      <c r="S36" t="s">
        <v>76</v>
      </c>
      <c r="T36" s="29" t="s">
        <v>96</v>
      </c>
      <c r="U36" t="s">
        <v>247</v>
      </c>
      <c r="V36" t="s">
        <v>92</v>
      </c>
      <c r="W36">
        <v>2037</v>
      </c>
      <c r="X36" s="2">
        <v>0</v>
      </c>
      <c r="Y36">
        <f t="shared" si="7"/>
        <v>0</v>
      </c>
      <c r="Z36" s="12">
        <f t="shared" si="10"/>
        <v>0</v>
      </c>
      <c r="AA36" s="10">
        <f>INDEX(Assumptions!C$110:C$111,MATCH(LEFT($T36,3),Assumptions!$B$110:$B$111,0))</f>
        <v>50</v>
      </c>
      <c r="AB36" s="10">
        <f>INDEX(Assumptions!D$110:D$111,MATCH(LEFT($T36,3),Assumptions!$B$110:$B$111,0))</f>
        <v>50</v>
      </c>
      <c r="AC36" s="10">
        <f>INDEX(Assumptions!E$110:E$111,MATCH(LEFT($T36,3),Assumptions!$B$110:$B$111,0))</f>
        <v>32.799999999999997</v>
      </c>
      <c r="AD36" s="10">
        <f t="shared" si="11"/>
        <v>-36.64</v>
      </c>
      <c r="AE36" s="10">
        <f t="shared" si="12"/>
        <v>-36.64</v>
      </c>
      <c r="AF36" s="10">
        <f t="shared" si="13"/>
        <v>-53.84</v>
      </c>
      <c r="AI36" s="26"/>
      <c r="AJ36" t="s">
        <v>107</v>
      </c>
      <c r="AK36" t="s">
        <v>92</v>
      </c>
      <c r="AL36" t="s">
        <v>180</v>
      </c>
      <c r="AM36">
        <v>2037</v>
      </c>
      <c r="AN36" s="8">
        <f>INDEX(GREET3.0!$K$27:$K$52,MATCH(RenewableJetFuel!AM36,GREET3.0!$J$27:$J$52,0))</f>
        <v>80.36</v>
      </c>
      <c r="AP36" s="36"/>
    </row>
    <row r="37" spans="1:42" x14ac:dyDescent="0.35">
      <c r="A37" t="s">
        <v>107</v>
      </c>
      <c r="B37">
        <v>2038</v>
      </c>
      <c r="C37" s="11">
        <f t="shared" si="0"/>
        <v>4.7150664617369997E-2</v>
      </c>
      <c r="D37" s="13">
        <f t="shared" si="1"/>
        <v>331.0385723664665</v>
      </c>
      <c r="E37" s="51" cm="1">
        <f t="array" ref="E37">IF($C37=0,0,SUMPRODUCT(IF($S$3:$S$212=$A37,1,0),IF($W$3:$W$212=$B37,1,0),$Y$3:$Y$212,AA$3:AA$212)/$C37)</f>
        <v>63.721499335960097</v>
      </c>
      <c r="F37" s="51" cm="1">
        <f t="array" ref="F37">IF($C37=0,0,SUMPRODUCT(IF($S$3:$S$212=$A37,1,0),IF($W$3:$W$212=$B37,1,0),$Y$3:$Y$212,AB$3:AB$212)/$C37)</f>
        <v>63.721499335960097</v>
      </c>
      <c r="G37" s="51" cm="1">
        <f t="array" ref="G37">IF($C37=0,0,SUMPRODUCT(IF($S$3:$S$212=$A37,1,0),IF($W$3:$W$212=$B37,1,0),$Y$3:$Y$212,AC$3:AC$212)/$C37)</f>
        <v>42.885302011930669</v>
      </c>
      <c r="H37" s="11">
        <f t="shared" si="2"/>
        <v>80.36</v>
      </c>
      <c r="I37" s="51">
        <f t="shared" si="3"/>
        <v>-16.638500664039903</v>
      </c>
      <c r="J37" s="51">
        <f t="shared" si="4"/>
        <v>-37.47469798806933</v>
      </c>
      <c r="K37" s="51">
        <f t="shared" si="5"/>
        <v>-16.638500664039903</v>
      </c>
      <c r="L37" s="31">
        <f t="shared" si="9"/>
        <v>0.78451636454603346</v>
      </c>
      <c r="M37" s="31">
        <f t="shared" si="9"/>
        <v>1.7669569164726873</v>
      </c>
      <c r="N37" s="31">
        <f t="shared" si="9"/>
        <v>0.78451636454603346</v>
      </c>
      <c r="R37" s="34"/>
      <c r="S37" t="s">
        <v>76</v>
      </c>
      <c r="T37" s="29" t="s">
        <v>96</v>
      </c>
      <c r="U37" t="s">
        <v>247</v>
      </c>
      <c r="V37" t="s">
        <v>92</v>
      </c>
      <c r="W37">
        <v>2038</v>
      </c>
      <c r="X37" s="2">
        <v>0</v>
      </c>
      <c r="Y37">
        <f t="shared" si="7"/>
        <v>0</v>
      </c>
      <c r="Z37" s="12">
        <f t="shared" si="10"/>
        <v>0</v>
      </c>
      <c r="AA37" s="10">
        <f>INDEX(Assumptions!C$110:C$111,MATCH(LEFT($T37,3),Assumptions!$B$110:$B$111,0))</f>
        <v>50</v>
      </c>
      <c r="AB37" s="10">
        <f>INDEX(Assumptions!D$110:D$111,MATCH(LEFT($T37,3),Assumptions!$B$110:$B$111,0))</f>
        <v>50</v>
      </c>
      <c r="AC37" s="10">
        <f>INDEX(Assumptions!E$110:E$111,MATCH(LEFT($T37,3),Assumptions!$B$110:$B$111,0))</f>
        <v>32.799999999999997</v>
      </c>
      <c r="AD37" s="10">
        <f t="shared" si="11"/>
        <v>-36.64</v>
      </c>
      <c r="AE37" s="10">
        <f t="shared" si="12"/>
        <v>-36.64</v>
      </c>
      <c r="AF37" s="10">
        <f t="shared" si="13"/>
        <v>-53.84</v>
      </c>
      <c r="AI37" s="26"/>
      <c r="AJ37" t="s">
        <v>107</v>
      </c>
      <c r="AK37" t="s">
        <v>92</v>
      </c>
      <c r="AL37" t="s">
        <v>180</v>
      </c>
      <c r="AM37">
        <v>2038</v>
      </c>
      <c r="AN37" s="8">
        <f>INDEX(GREET3.0!$K$27:$K$52,MATCH(RenewableJetFuel!AM37,GREET3.0!$J$27:$J$52,0))</f>
        <v>80.36</v>
      </c>
      <c r="AP37" s="36"/>
    </row>
    <row r="38" spans="1:42" x14ac:dyDescent="0.35">
      <c r="A38" t="s">
        <v>107</v>
      </c>
      <c r="B38">
        <v>2039</v>
      </c>
      <c r="C38" s="11">
        <f t="shared" si="0"/>
        <v>4.8959919275939998E-2</v>
      </c>
      <c r="D38" s="13">
        <f t="shared" si="1"/>
        <v>343.7411097343014</v>
      </c>
      <c r="E38" s="51" cm="1">
        <f t="array" ref="E38">IF($C38=0,0,SUMPRODUCT(IF($S$3:$S$212=$A38,1,0),IF($W$3:$W$212=$B38,1,0),$Y$3:$Y$212,AA$3:AA$212)/$C38)</f>
        <v>62.591369216432902</v>
      </c>
      <c r="F38" s="51" cm="1">
        <f t="array" ref="F38">IF($C38=0,0,SUMPRODUCT(IF($S$3:$S$212=$A38,1,0),IF($W$3:$W$212=$B38,1,0),$Y$3:$Y$212,AB$3:AB$212)/$C38)</f>
        <v>62.591369216432902</v>
      </c>
      <c r="G38" s="51" cm="1">
        <f t="array" ref="G38">IF($C38=0,0,SUMPRODUCT(IF($S$3:$S$212=$A38,1,0),IF($W$3:$W$212=$B38,1,0),$Y$3:$Y$212,AC$3:AC$212)/$C38)</f>
        <v>42.054656374078192</v>
      </c>
      <c r="H38" s="11">
        <f t="shared" si="2"/>
        <v>80.36</v>
      </c>
      <c r="I38" s="51">
        <f t="shared" si="3"/>
        <v>-17.768630783567097</v>
      </c>
      <c r="J38" s="51">
        <f t="shared" si="4"/>
        <v>-38.305343625921807</v>
      </c>
      <c r="K38" s="51">
        <f t="shared" si="5"/>
        <v>-17.768630783567097</v>
      </c>
      <c r="L38" s="31">
        <f t="shared" si="9"/>
        <v>0.86995072880742752</v>
      </c>
      <c r="M38" s="31">
        <f t="shared" si="9"/>
        <v>1.8754265317622745</v>
      </c>
      <c r="N38" s="31">
        <f t="shared" si="9"/>
        <v>0.86995072880742752</v>
      </c>
      <c r="R38" s="34"/>
      <c r="S38" t="s">
        <v>76</v>
      </c>
      <c r="T38" s="29" t="s">
        <v>96</v>
      </c>
      <c r="U38" t="s">
        <v>247</v>
      </c>
      <c r="V38" t="s">
        <v>92</v>
      </c>
      <c r="W38">
        <v>2039</v>
      </c>
      <c r="X38" s="2">
        <v>0</v>
      </c>
      <c r="Y38">
        <f t="shared" si="7"/>
        <v>0</v>
      </c>
      <c r="Z38" s="12">
        <f t="shared" si="10"/>
        <v>0</v>
      </c>
      <c r="AA38" s="10">
        <f>INDEX(Assumptions!C$110:C$111,MATCH(LEFT($T38,3),Assumptions!$B$110:$B$111,0))</f>
        <v>50</v>
      </c>
      <c r="AB38" s="10">
        <f>INDEX(Assumptions!D$110:D$111,MATCH(LEFT($T38,3),Assumptions!$B$110:$B$111,0))</f>
        <v>50</v>
      </c>
      <c r="AC38" s="10">
        <f>INDEX(Assumptions!E$110:E$111,MATCH(LEFT($T38,3),Assumptions!$B$110:$B$111,0))</f>
        <v>32.799999999999997</v>
      </c>
      <c r="AD38" s="10">
        <f t="shared" si="11"/>
        <v>-36.64</v>
      </c>
      <c r="AE38" s="10">
        <f t="shared" si="12"/>
        <v>-36.64</v>
      </c>
      <c r="AF38" s="10">
        <f t="shared" si="13"/>
        <v>-53.84</v>
      </c>
      <c r="AI38" s="26"/>
      <c r="AJ38" t="s">
        <v>107</v>
      </c>
      <c r="AK38" t="s">
        <v>92</v>
      </c>
      <c r="AL38" t="s">
        <v>180</v>
      </c>
      <c r="AM38">
        <v>2039</v>
      </c>
      <c r="AN38" s="8">
        <f>INDEX(GREET3.0!$K$27:$K$52,MATCH(RenewableJetFuel!AM38,GREET3.0!$J$27:$J$52,0))</f>
        <v>80.36</v>
      </c>
      <c r="AP38" s="36"/>
    </row>
    <row r="39" spans="1:42" x14ac:dyDescent="0.35">
      <c r="A39" t="s">
        <v>107</v>
      </c>
      <c r="B39">
        <v>2040</v>
      </c>
      <c r="C39" s="11">
        <f t="shared" si="0"/>
        <v>5.0769173934509998E-2</v>
      </c>
      <c r="D39" s="13">
        <f t="shared" si="1"/>
        <v>356.4436471021362</v>
      </c>
      <c r="E39" s="51" cm="1">
        <f t="array" ref="E39">IF($C39=0,0,SUMPRODUCT(IF($S$3:$S$212=$A39,1,0),IF($W$3:$W$212=$B39,1,0),$Y$3:$Y$212,AA$3:AA$212)/$C39)</f>
        <v>61.25781567539083</v>
      </c>
      <c r="F39" s="51" cm="1">
        <f t="array" ref="F39">IF($C39=0,0,SUMPRODUCT(IF($S$3:$S$212=$A39,1,0),IF($W$3:$W$212=$B39,1,0),$Y$3:$Y$212,AB$3:AB$212)/$C39)</f>
        <v>61.25781567539083</v>
      </c>
      <c r="G39" s="51" cm="1">
        <f t="array" ref="G39">IF($C39=0,0,SUMPRODUCT(IF($S$3:$S$212=$A39,1,0),IF($W$3:$W$212=$B39,1,0),$Y$3:$Y$212,AC$3:AC$212)/$C39)</f>
        <v>41.074494521412255</v>
      </c>
      <c r="H39" s="11">
        <f t="shared" si="2"/>
        <v>80.36</v>
      </c>
      <c r="I39" s="51">
        <f t="shared" si="3"/>
        <v>-19.102184324609169</v>
      </c>
      <c r="J39" s="51">
        <f t="shared" si="4"/>
        <v>-39.285505478587744</v>
      </c>
      <c r="K39" s="51">
        <f t="shared" si="5"/>
        <v>-19.102184324609169</v>
      </c>
      <c r="L39" s="31">
        <f t="shared" si="9"/>
        <v>0.9698021185051533</v>
      </c>
      <c r="M39" s="31">
        <f t="shared" si="9"/>
        <v>1.9944926607475666</v>
      </c>
      <c r="N39" s="31">
        <f t="shared" si="9"/>
        <v>0.9698021185051533</v>
      </c>
      <c r="R39" s="34"/>
      <c r="S39" t="s">
        <v>76</v>
      </c>
      <c r="T39" s="29" t="s">
        <v>96</v>
      </c>
      <c r="U39" t="s">
        <v>247</v>
      </c>
      <c r="V39" t="s">
        <v>92</v>
      </c>
      <c r="W39">
        <v>2040</v>
      </c>
      <c r="X39" s="2">
        <v>0</v>
      </c>
      <c r="Y39">
        <f t="shared" si="7"/>
        <v>0</v>
      </c>
      <c r="Z39" s="12">
        <f t="shared" si="10"/>
        <v>0</v>
      </c>
      <c r="AA39" s="10">
        <f>INDEX(Assumptions!C$110:C$111,MATCH(LEFT($T39,3),Assumptions!$B$110:$B$111,0))</f>
        <v>50</v>
      </c>
      <c r="AB39" s="10">
        <f>INDEX(Assumptions!D$110:D$111,MATCH(LEFT($T39,3),Assumptions!$B$110:$B$111,0))</f>
        <v>50</v>
      </c>
      <c r="AC39" s="10">
        <f>INDEX(Assumptions!E$110:E$111,MATCH(LEFT($T39,3),Assumptions!$B$110:$B$111,0))</f>
        <v>32.799999999999997</v>
      </c>
      <c r="AD39" s="10">
        <f t="shared" si="11"/>
        <v>-36.64</v>
      </c>
      <c r="AE39" s="10">
        <f t="shared" si="12"/>
        <v>-36.64</v>
      </c>
      <c r="AF39" s="10">
        <f t="shared" si="13"/>
        <v>-53.84</v>
      </c>
      <c r="AI39" s="26"/>
      <c r="AJ39" t="s">
        <v>107</v>
      </c>
      <c r="AK39" t="s">
        <v>92</v>
      </c>
      <c r="AL39" t="s">
        <v>180</v>
      </c>
      <c r="AM39">
        <v>2040</v>
      </c>
      <c r="AN39" s="8">
        <f>INDEX(GREET3.0!$K$27:$K$52,MATCH(RenewableJetFuel!AM39,GREET3.0!$J$27:$J$52,0))</f>
        <v>80.36</v>
      </c>
      <c r="AP39" s="36"/>
    </row>
    <row r="40" spans="1:42" x14ac:dyDescent="0.35">
      <c r="A40" t="s">
        <v>107</v>
      </c>
      <c r="B40">
        <v>2041</v>
      </c>
      <c r="C40" s="11">
        <f t="shared" si="0"/>
        <v>5.2578428593069902E-2</v>
      </c>
      <c r="D40" s="13">
        <f t="shared" si="1"/>
        <v>369.14618446990022</v>
      </c>
      <c r="E40" s="51" cm="1">
        <f t="array" ref="E40">IF($C40=0,0,SUMPRODUCT(IF($S$3:$S$212=$A40,1,0),IF($W$3:$W$212=$B40,1,0),$Y$3:$Y$212,AA$3:AA$212)/$C40)</f>
        <v>59.684222496961169</v>
      </c>
      <c r="F40" s="51" cm="1">
        <f t="array" ref="F40">IF($C40=0,0,SUMPRODUCT(IF($S$3:$S$212=$A40,1,0),IF($W$3:$W$212=$B40,1,0),$Y$3:$Y$212,AB$3:AB$212)/$C40)</f>
        <v>59.684222496961169</v>
      </c>
      <c r="G40" s="51" cm="1">
        <f t="array" ref="G40">IF($C40=0,0,SUMPRODUCT(IF($S$3:$S$212=$A40,1,0),IF($W$3:$W$212=$B40,1,0),$Y$3:$Y$212,AC$3:AC$212)/$C40)</f>
        <v>39.917903535266461</v>
      </c>
      <c r="H40" s="11">
        <f t="shared" si="2"/>
        <v>80.36</v>
      </c>
      <c r="I40" s="51">
        <f t="shared" si="3"/>
        <v>-20.67577750303883</v>
      </c>
      <c r="J40" s="51">
        <f t="shared" si="4"/>
        <v>-40.442096464733538</v>
      </c>
      <c r="K40" s="51">
        <f t="shared" si="5"/>
        <v>-20.67577750303883</v>
      </c>
      <c r="L40" s="31">
        <f t="shared" ref="L40:L44" si="14">$C40*I40*-1</f>
        <v>1.0870998910497283</v>
      </c>
      <c r="M40" s="31">
        <f t="shared" ref="M40:M44" si="15">$C40*J40*-1</f>
        <v>2.1263818811250372</v>
      </c>
      <c r="N40" s="31">
        <f t="shared" ref="N40:N44" si="16">$C40*K40*-1</f>
        <v>1.0870998910497283</v>
      </c>
      <c r="S40" t="s">
        <v>76</v>
      </c>
      <c r="T40" s="29" t="s">
        <v>96</v>
      </c>
      <c r="U40" t="s">
        <v>247</v>
      </c>
      <c r="V40" t="s">
        <v>92</v>
      </c>
      <c r="W40">
        <v>2041</v>
      </c>
      <c r="X40" s="2">
        <v>0</v>
      </c>
      <c r="Y40">
        <f t="shared" si="7"/>
        <v>0</v>
      </c>
      <c r="Z40" s="12">
        <f t="shared" si="10"/>
        <v>0</v>
      </c>
      <c r="AA40" s="10">
        <f>INDEX(Assumptions!C$110:C$111,MATCH(LEFT($T40,3),Assumptions!$B$110:$B$111,0))</f>
        <v>50</v>
      </c>
      <c r="AB40" s="10">
        <f>INDEX(Assumptions!D$110:D$111,MATCH(LEFT($T40,3),Assumptions!$B$110:$B$111,0))</f>
        <v>50</v>
      </c>
      <c r="AC40" s="10">
        <f>INDEX(Assumptions!E$110:E$111,MATCH(LEFT($T40,3),Assumptions!$B$110:$B$111,0))</f>
        <v>32.799999999999997</v>
      </c>
      <c r="AD40" s="10">
        <f t="shared" si="11"/>
        <v>-36.64</v>
      </c>
      <c r="AE40" s="10">
        <f t="shared" si="12"/>
        <v>-36.64</v>
      </c>
      <c r="AF40" s="10">
        <f t="shared" si="13"/>
        <v>-53.84</v>
      </c>
      <c r="AJ40" t="s">
        <v>107</v>
      </c>
      <c r="AK40" t="s">
        <v>92</v>
      </c>
      <c r="AL40" t="s">
        <v>180</v>
      </c>
      <c r="AM40">
        <v>2041</v>
      </c>
      <c r="AN40" s="8">
        <f>INDEX(GREET3.0!$K$27:$K$52,MATCH(RenewableJetFuel!AM40,GREET3.0!$J$27:$J$52,0))</f>
        <v>80.36</v>
      </c>
    </row>
    <row r="41" spans="1:42" x14ac:dyDescent="0.35">
      <c r="A41" t="s">
        <v>107</v>
      </c>
      <c r="B41">
        <v>2042</v>
      </c>
      <c r="C41" s="11">
        <f t="shared" si="0"/>
        <v>5.4387683251620002E-2</v>
      </c>
      <c r="D41" s="13">
        <f t="shared" si="1"/>
        <v>381.84872183759535</v>
      </c>
      <c r="E41" s="51" cm="1">
        <f t="array" ref="E41">IF($C41=0,0,SUMPRODUCT(IF($S$3:$S$212=$A41,1,0),IF($W$3:$W$212=$B41,1,0),$Y$3:$Y$212,AA$3:AA$212)/$C41)</f>
        <v>57.827382546414185</v>
      </c>
      <c r="F41" s="51" cm="1">
        <f t="array" ref="F41">IF($C41=0,0,SUMPRODUCT(IF($S$3:$S$212=$A41,1,0),IF($W$3:$W$212=$B41,1,0),$Y$3:$Y$212,AB$3:AB$212)/$C41)</f>
        <v>57.827382546414185</v>
      </c>
      <c r="G41" s="51" cm="1">
        <f t="array" ref="G41">IF($C41=0,0,SUMPRODUCT(IF($S$3:$S$212=$A41,1,0),IF($W$3:$W$212=$B41,1,0),$Y$3:$Y$212,AC$3:AC$212)/$C41)</f>
        <v>38.553126171614423</v>
      </c>
      <c r="H41" s="11">
        <f t="shared" si="2"/>
        <v>80.36</v>
      </c>
      <c r="I41" s="51">
        <f t="shared" si="3"/>
        <v>-22.532617453585814</v>
      </c>
      <c r="J41" s="51">
        <f t="shared" si="4"/>
        <v>-41.806873828385577</v>
      </c>
      <c r="K41" s="51">
        <f t="shared" si="5"/>
        <v>-22.532617453585814</v>
      </c>
      <c r="L41" s="31">
        <f t="shared" si="14"/>
        <v>1.2254968608955497</v>
      </c>
      <c r="M41" s="31">
        <f t="shared" si="15"/>
        <v>2.2737790115186769</v>
      </c>
      <c r="N41" s="31">
        <f t="shared" si="16"/>
        <v>1.2254968608955497</v>
      </c>
      <c r="S41" t="s">
        <v>76</v>
      </c>
      <c r="T41" s="29" t="s">
        <v>96</v>
      </c>
      <c r="U41" t="s">
        <v>247</v>
      </c>
      <c r="V41" t="s">
        <v>92</v>
      </c>
      <c r="W41">
        <v>2042</v>
      </c>
      <c r="X41" s="2">
        <v>0</v>
      </c>
      <c r="Y41">
        <f t="shared" si="7"/>
        <v>0</v>
      </c>
      <c r="Z41" s="12">
        <f t="shared" si="10"/>
        <v>0</v>
      </c>
      <c r="AA41" s="10">
        <f>INDEX(Assumptions!C$110:C$111,MATCH(LEFT($T41,3),Assumptions!$B$110:$B$111,0))</f>
        <v>50</v>
      </c>
      <c r="AB41" s="10">
        <f>INDEX(Assumptions!D$110:D$111,MATCH(LEFT($T41,3),Assumptions!$B$110:$B$111,0))</f>
        <v>50</v>
      </c>
      <c r="AC41" s="10">
        <f>INDEX(Assumptions!E$110:E$111,MATCH(LEFT($T41,3),Assumptions!$B$110:$B$111,0))</f>
        <v>32.799999999999997</v>
      </c>
      <c r="AD41" s="10">
        <f t="shared" si="11"/>
        <v>-36.64</v>
      </c>
      <c r="AE41" s="10">
        <f t="shared" si="12"/>
        <v>-36.64</v>
      </c>
      <c r="AF41" s="10">
        <f t="shared" si="13"/>
        <v>-53.84</v>
      </c>
      <c r="AJ41" t="s">
        <v>107</v>
      </c>
      <c r="AK41" t="s">
        <v>92</v>
      </c>
      <c r="AL41" t="s">
        <v>180</v>
      </c>
      <c r="AM41">
        <v>2042</v>
      </c>
      <c r="AN41" s="8">
        <f>INDEX(GREET3.0!$K$27:$K$52,MATCH(RenewableJetFuel!AM41,GREET3.0!$J$27:$J$52,0))</f>
        <v>80.36</v>
      </c>
    </row>
    <row r="42" spans="1:42" x14ac:dyDescent="0.35">
      <c r="A42" t="s">
        <v>107</v>
      </c>
      <c r="B42">
        <v>2043</v>
      </c>
      <c r="C42" s="11">
        <f t="shared" si="0"/>
        <v>5.6196937910200001E-2</v>
      </c>
      <c r="D42" s="13">
        <f t="shared" si="1"/>
        <v>394.5512592055004</v>
      </c>
      <c r="E42" s="51" cm="1">
        <f t="array" ref="E42">IF($C42=0,0,SUMPRODUCT(IF($S$3:$S$212=$A42,1,0),IF($W$3:$W$212=$B42,1,0),$Y$3:$Y$212,AA$3:AA$212)/$C42)</f>
        <v>55.636311404768747</v>
      </c>
      <c r="F42" s="51" cm="1">
        <f t="array" ref="F42">IF($C42=0,0,SUMPRODUCT(IF($S$3:$S$212=$A42,1,0),IF($W$3:$W$212=$B42,1,0),$Y$3:$Y$212,AB$3:AB$212)/$C42)</f>
        <v>55.636311404768747</v>
      </c>
      <c r="G42" s="51" cm="1">
        <f t="array" ref="G42">IF($C42=0,0,SUMPRODUCT(IF($S$3:$S$212=$A42,1,0),IF($W$3:$W$212=$B42,1,0),$Y$3:$Y$212,AC$3:AC$212)/$C42)</f>
        <v>36.942688882505024</v>
      </c>
      <c r="H42" s="11">
        <f t="shared" si="2"/>
        <v>80.36</v>
      </c>
      <c r="I42" s="51">
        <f t="shared" si="3"/>
        <v>-24.723688595231252</v>
      </c>
      <c r="J42" s="51">
        <f t="shared" si="4"/>
        <v>-43.417311117494975</v>
      </c>
      <c r="K42" s="51">
        <f t="shared" si="5"/>
        <v>-24.723688595231252</v>
      </c>
      <c r="L42" s="31">
        <f t="shared" si="14"/>
        <v>1.3893955928973305</v>
      </c>
      <c r="M42" s="31">
        <f t="shared" si="15"/>
        <v>2.4399199370977014</v>
      </c>
      <c r="N42" s="31">
        <f t="shared" si="16"/>
        <v>1.3893955928973305</v>
      </c>
      <c r="S42" t="s">
        <v>76</v>
      </c>
      <c r="T42" s="29" t="s">
        <v>96</v>
      </c>
      <c r="U42" t="s">
        <v>247</v>
      </c>
      <c r="V42" t="s">
        <v>92</v>
      </c>
      <c r="W42">
        <v>2043</v>
      </c>
      <c r="X42" s="2">
        <v>0</v>
      </c>
      <c r="Y42">
        <f t="shared" si="7"/>
        <v>0</v>
      </c>
      <c r="Z42" s="12">
        <f t="shared" si="10"/>
        <v>0</v>
      </c>
      <c r="AA42" s="10">
        <f>INDEX(Assumptions!C$110:C$111,MATCH(LEFT($T42,3),Assumptions!$B$110:$B$111,0))</f>
        <v>50</v>
      </c>
      <c r="AB42" s="10">
        <f>INDEX(Assumptions!D$110:D$111,MATCH(LEFT($T42,3),Assumptions!$B$110:$B$111,0))</f>
        <v>50</v>
      </c>
      <c r="AC42" s="10">
        <f>INDEX(Assumptions!E$110:E$111,MATCH(LEFT($T42,3),Assumptions!$B$110:$B$111,0))</f>
        <v>32.799999999999997</v>
      </c>
      <c r="AD42" s="10">
        <f t="shared" si="11"/>
        <v>-36.64</v>
      </c>
      <c r="AE42" s="10">
        <f t="shared" si="12"/>
        <v>-36.64</v>
      </c>
      <c r="AF42" s="10">
        <f t="shared" si="13"/>
        <v>-53.84</v>
      </c>
      <c r="AJ42" t="s">
        <v>107</v>
      </c>
      <c r="AK42" t="s">
        <v>92</v>
      </c>
      <c r="AL42" t="s">
        <v>180</v>
      </c>
      <c r="AM42">
        <v>2043</v>
      </c>
      <c r="AN42" s="8">
        <f>INDEX(GREET3.0!$K$27:$K$52,MATCH(RenewableJetFuel!AM42,GREET3.0!$J$27:$J$52,0))</f>
        <v>80.36</v>
      </c>
    </row>
    <row r="43" spans="1:42" x14ac:dyDescent="0.35">
      <c r="A43" t="s">
        <v>107</v>
      </c>
      <c r="B43">
        <v>2044</v>
      </c>
      <c r="C43" s="11">
        <f t="shared" si="0"/>
        <v>5.8006192568759898E-2</v>
      </c>
      <c r="D43" s="13">
        <f t="shared" si="1"/>
        <v>407.25379657326431</v>
      </c>
      <c r="E43" s="51" cm="1">
        <f t="array" ref="E43">IF($C43=0,0,SUMPRODUCT(IF($S$3:$S$212=$A43,1,0),IF($W$3:$W$212=$B43,1,0),$Y$3:$Y$212,AA$3:AA$212)/$C43)</f>
        <v>53.050847457627121</v>
      </c>
      <c r="F43" s="51" cm="1">
        <f t="array" ref="F43">IF($C43=0,0,SUMPRODUCT(IF($S$3:$S$212=$A43,1,0),IF($W$3:$W$212=$B43,1,0),$Y$3:$Y$212,AB$3:AB$212)/$C43)</f>
        <v>53.050847457627121</v>
      </c>
      <c r="G43" s="51" cm="1">
        <f t="array" ref="G43">IF($C43=0,0,SUMPRODUCT(IF($S$3:$S$212=$A43,1,0),IF($W$3:$W$212=$B43,1,0),$Y$3:$Y$212,AC$3:AC$212)/$C43)</f>
        <v>35.042372881355924</v>
      </c>
      <c r="H43" s="11">
        <f t="shared" si="2"/>
        <v>80.36</v>
      </c>
      <c r="I43" s="51">
        <f t="shared" si="3"/>
        <v>-27.309152542372878</v>
      </c>
      <c r="J43" s="51">
        <f t="shared" si="4"/>
        <v>-45.317627118644076</v>
      </c>
      <c r="K43" s="51">
        <f t="shared" si="5"/>
        <v>-27.309152542372878</v>
      </c>
      <c r="L43" s="31">
        <f t="shared" si="14"/>
        <v>1.5840999612625202</v>
      </c>
      <c r="M43" s="31">
        <f t="shared" si="15"/>
        <v>2.6287030054033242</v>
      </c>
      <c r="N43" s="31">
        <f t="shared" si="16"/>
        <v>1.5840999612625202</v>
      </c>
      <c r="S43" t="s">
        <v>76</v>
      </c>
      <c r="T43" s="29" t="s">
        <v>96</v>
      </c>
      <c r="U43" t="s">
        <v>247</v>
      </c>
      <c r="V43" t="s">
        <v>92</v>
      </c>
      <c r="W43">
        <v>2044</v>
      </c>
      <c r="X43" s="2">
        <v>0</v>
      </c>
      <c r="Y43">
        <f t="shared" si="7"/>
        <v>0</v>
      </c>
      <c r="Z43" s="12">
        <f t="shared" si="10"/>
        <v>0</v>
      </c>
      <c r="AA43" s="10">
        <f>INDEX(Assumptions!C$110:C$111,MATCH(LEFT($T43,3),Assumptions!$B$110:$B$111,0))</f>
        <v>50</v>
      </c>
      <c r="AB43" s="10">
        <f>INDEX(Assumptions!D$110:D$111,MATCH(LEFT($T43,3),Assumptions!$B$110:$B$111,0))</f>
        <v>50</v>
      </c>
      <c r="AC43" s="10">
        <f>INDEX(Assumptions!E$110:E$111,MATCH(LEFT($T43,3),Assumptions!$B$110:$B$111,0))</f>
        <v>32.799999999999997</v>
      </c>
      <c r="AD43" s="10">
        <f t="shared" si="11"/>
        <v>-36.64</v>
      </c>
      <c r="AE43" s="10">
        <f t="shared" si="12"/>
        <v>-36.64</v>
      </c>
      <c r="AF43" s="10">
        <f t="shared" si="13"/>
        <v>-53.84</v>
      </c>
      <c r="AJ43" t="s">
        <v>107</v>
      </c>
      <c r="AK43" t="s">
        <v>92</v>
      </c>
      <c r="AL43" t="s">
        <v>180</v>
      </c>
      <c r="AM43">
        <v>2044</v>
      </c>
      <c r="AN43" s="8">
        <f>INDEX(GREET3.0!$K$27:$K$52,MATCH(RenewableJetFuel!AM43,GREET3.0!$J$27:$J$52,0))</f>
        <v>80.36</v>
      </c>
    </row>
    <row r="44" spans="1:42" x14ac:dyDescent="0.35">
      <c r="A44" t="s">
        <v>107</v>
      </c>
      <c r="B44">
        <v>2045</v>
      </c>
      <c r="C44" s="11">
        <f t="shared" si="0"/>
        <v>5.98154472273199E-2</v>
      </c>
      <c r="D44" s="13">
        <f t="shared" si="1"/>
        <v>419.95633394102902</v>
      </c>
      <c r="E44" s="51" cm="1">
        <f t="array" ref="E44">IF($C44=0,0,SUMPRODUCT(IF($S$3:$S$212=$A44,1,0),IF($W$3:$W$212=$B44,1,0),$Y$3:$Y$212,AA$3:AA$212)/$C44)</f>
        <v>50</v>
      </c>
      <c r="F44" s="51" cm="1">
        <f t="array" ref="F44">IF($C44=0,0,SUMPRODUCT(IF($S$3:$S$212=$A44,1,0),IF($W$3:$W$212=$B44,1,0),$Y$3:$Y$212,AB$3:AB$212)/$C44)</f>
        <v>50</v>
      </c>
      <c r="G44" s="51" cm="1">
        <f t="array" ref="G44">IF($C44=0,0,SUMPRODUCT(IF($S$3:$S$212=$A44,1,0),IF($W$3:$W$212=$B44,1,0),$Y$3:$Y$212,AC$3:AC$212)/$C44)</f>
        <v>32.799999999999997</v>
      </c>
      <c r="H44" s="11">
        <f t="shared" si="2"/>
        <v>80.36</v>
      </c>
      <c r="I44" s="51">
        <f t="shared" si="3"/>
        <v>-30.36</v>
      </c>
      <c r="J44" s="51">
        <f t="shared" si="4"/>
        <v>-47.56</v>
      </c>
      <c r="K44" s="51">
        <f t="shared" si="5"/>
        <v>-30.36</v>
      </c>
      <c r="L44" s="31">
        <f t="shared" si="14"/>
        <v>1.8159969778214322</v>
      </c>
      <c r="M44" s="31">
        <f t="shared" si="15"/>
        <v>2.8448226701313346</v>
      </c>
      <c r="N44" s="31">
        <f t="shared" si="16"/>
        <v>1.8159969778214322</v>
      </c>
      <c r="S44" t="s">
        <v>76</v>
      </c>
      <c r="T44" s="29" t="s">
        <v>96</v>
      </c>
      <c r="U44" t="s">
        <v>247</v>
      </c>
      <c r="V44" t="s">
        <v>92</v>
      </c>
      <c r="W44">
        <v>2045</v>
      </c>
      <c r="X44" s="2">
        <v>0</v>
      </c>
      <c r="Y44">
        <f t="shared" si="7"/>
        <v>0</v>
      </c>
      <c r="Z44" s="12">
        <f t="shared" si="10"/>
        <v>0</v>
      </c>
      <c r="AA44" s="10">
        <f>INDEX(Assumptions!C$110:C$111,MATCH(LEFT($T44,3),Assumptions!$B$110:$B$111,0))</f>
        <v>50</v>
      </c>
      <c r="AB44" s="10">
        <f>INDEX(Assumptions!D$110:D$111,MATCH(LEFT($T44,3),Assumptions!$B$110:$B$111,0))</f>
        <v>50</v>
      </c>
      <c r="AC44" s="10">
        <f>INDEX(Assumptions!E$110:E$111,MATCH(LEFT($T44,3),Assumptions!$B$110:$B$111,0))</f>
        <v>32.799999999999997</v>
      </c>
      <c r="AD44" s="10">
        <f t="shared" si="11"/>
        <v>-36.64</v>
      </c>
      <c r="AE44" s="10">
        <f t="shared" si="12"/>
        <v>-36.64</v>
      </c>
      <c r="AF44" s="10">
        <f t="shared" si="13"/>
        <v>-53.84</v>
      </c>
      <c r="AJ44" t="s">
        <v>107</v>
      </c>
      <c r="AK44" t="s">
        <v>92</v>
      </c>
      <c r="AL44" t="s">
        <v>180</v>
      </c>
      <c r="AM44">
        <v>2045</v>
      </c>
      <c r="AN44" s="8">
        <f>INDEX(GREET3.0!$K$27:$K$52,MATCH(RenewableJetFuel!AM44,GREET3.0!$J$27:$J$52,0))</f>
        <v>80.36</v>
      </c>
    </row>
    <row r="45" spans="1:42" x14ac:dyDescent="0.35">
      <c r="S45" t="s">
        <v>107</v>
      </c>
      <c r="T45" t="s">
        <v>93</v>
      </c>
      <c r="U45" t="s">
        <v>247</v>
      </c>
      <c r="V45" t="s">
        <v>92</v>
      </c>
      <c r="W45">
        <v>2025</v>
      </c>
      <c r="X45" s="2">
        <f t="shared" ref="X45:X64" si="17">1-X66</f>
        <v>1</v>
      </c>
      <c r="Y45">
        <f t="shared" ref="Y45:Y85" si="18">INDEX($AR$8:$AR$28,MATCH(W45,$AQ$8:$AQ$28,0))*X45</f>
        <v>6.5353254697599998E-3</v>
      </c>
      <c r="Z45" s="12">
        <f t="shared" si="10"/>
        <v>45.883654684743476</v>
      </c>
      <c r="AA45" s="10">
        <f>INDEX(Assumptions!C$110:C$111,MATCH(LEFT($T45,3),Assumptions!$B$110:$B$111,0))</f>
        <v>70</v>
      </c>
      <c r="AB45" s="10">
        <f>INDEX(Assumptions!D$110:D$111,MATCH(LEFT($T45,3),Assumptions!$B$110:$B$111,0))</f>
        <v>70</v>
      </c>
      <c r="AC45" s="10">
        <f>INDEX(Assumptions!E$110:E$111,MATCH(LEFT($T45,3),Assumptions!$B$110:$B$111,0))</f>
        <v>47.5</v>
      </c>
      <c r="AD45" s="10">
        <f t="shared" si="11"/>
        <v>-16.64</v>
      </c>
      <c r="AE45" s="10">
        <f t="shared" si="12"/>
        <v>-16.64</v>
      </c>
      <c r="AF45" s="10">
        <f t="shared" si="13"/>
        <v>-39.14</v>
      </c>
    </row>
    <row r="46" spans="1:42" x14ac:dyDescent="0.35">
      <c r="S46" t="s">
        <v>107</v>
      </c>
      <c r="T46" t="s">
        <v>93</v>
      </c>
      <c r="U46" t="s">
        <v>247</v>
      </c>
      <c r="V46" t="s">
        <v>92</v>
      </c>
      <c r="W46">
        <v>2026</v>
      </c>
      <c r="X46" s="2">
        <f t="shared" si="17"/>
        <v>1</v>
      </c>
      <c r="Y46">
        <f t="shared" si="18"/>
        <v>1.176358584558E-2</v>
      </c>
      <c r="Z46" s="12">
        <f t="shared" si="10"/>
        <v>82.590578432622507</v>
      </c>
      <c r="AA46" s="10">
        <f>INDEX(Assumptions!C$110:C$111,MATCH(LEFT($T46,3),Assumptions!$B$110:$B$111,0))</f>
        <v>70</v>
      </c>
      <c r="AB46" s="10">
        <f>INDEX(Assumptions!D$110:D$111,MATCH(LEFT($T46,3),Assumptions!$B$110:$B$111,0))</f>
        <v>70</v>
      </c>
      <c r="AC46" s="10">
        <f>INDEX(Assumptions!E$110:E$111,MATCH(LEFT($T46,3),Assumptions!$B$110:$B$111,0))</f>
        <v>47.5</v>
      </c>
      <c r="AD46" s="10">
        <f t="shared" si="11"/>
        <v>-16.64</v>
      </c>
      <c r="AE46" s="10">
        <f t="shared" si="12"/>
        <v>-16.64</v>
      </c>
      <c r="AF46" s="10">
        <f t="shared" si="13"/>
        <v>-39.14</v>
      </c>
    </row>
    <row r="47" spans="1:42" x14ac:dyDescent="0.35">
      <c r="S47" t="s">
        <v>107</v>
      </c>
      <c r="T47" t="s">
        <v>93</v>
      </c>
      <c r="U47" t="s">
        <v>247</v>
      </c>
      <c r="V47" t="s">
        <v>92</v>
      </c>
      <c r="W47">
        <v>2027</v>
      </c>
      <c r="X47" s="2">
        <f t="shared" si="17"/>
        <v>1</v>
      </c>
      <c r="Y47">
        <f t="shared" si="18"/>
        <v>1.6991846221409999E-2</v>
      </c>
      <c r="Z47" s="12">
        <f t="shared" si="10"/>
        <v>119.29750218057175</v>
      </c>
      <c r="AA47" s="10">
        <f>INDEX(Assumptions!C$110:C$111,MATCH(LEFT($T47,3),Assumptions!$B$110:$B$111,0))</f>
        <v>70</v>
      </c>
      <c r="AB47" s="10">
        <f>INDEX(Assumptions!D$110:D$111,MATCH(LEFT($T47,3),Assumptions!$B$110:$B$111,0))</f>
        <v>70</v>
      </c>
      <c r="AC47" s="10">
        <f>INDEX(Assumptions!E$110:E$111,MATCH(LEFT($T47,3),Assumptions!$B$110:$B$111,0))</f>
        <v>47.5</v>
      </c>
      <c r="AD47" s="10">
        <f t="shared" si="11"/>
        <v>-16.64</v>
      </c>
      <c r="AE47" s="10">
        <f t="shared" si="12"/>
        <v>-16.64</v>
      </c>
      <c r="AF47" s="10">
        <f t="shared" si="13"/>
        <v>-39.14</v>
      </c>
    </row>
    <row r="48" spans="1:42" x14ac:dyDescent="0.35">
      <c r="S48" t="s">
        <v>107</v>
      </c>
      <c r="T48" t="s">
        <v>93</v>
      </c>
      <c r="U48" t="s">
        <v>247</v>
      </c>
      <c r="V48" t="s">
        <v>92</v>
      </c>
      <c r="W48">
        <v>2028</v>
      </c>
      <c r="X48" s="2">
        <f t="shared" si="17"/>
        <v>0.94002008088042466</v>
      </c>
      <c r="Y48">
        <f t="shared" si="18"/>
        <v>2.0887346400690402E-2</v>
      </c>
      <c r="Z48" s="12">
        <f t="shared" si="10"/>
        <v>146.6472930789005</v>
      </c>
      <c r="AA48" s="10">
        <f>INDEX(Assumptions!C$110:C$111,MATCH(LEFT($T48,3),Assumptions!$B$110:$B$111,0))</f>
        <v>70</v>
      </c>
      <c r="AB48" s="10">
        <f>INDEX(Assumptions!D$110:D$111,MATCH(LEFT($T48,3),Assumptions!$B$110:$B$111,0))</f>
        <v>70</v>
      </c>
      <c r="AC48" s="10">
        <f>INDEX(Assumptions!E$110:E$111,MATCH(LEFT($T48,3),Assumptions!$B$110:$B$111,0))</f>
        <v>47.5</v>
      </c>
      <c r="AD48" s="10">
        <f t="shared" si="11"/>
        <v>-16.64</v>
      </c>
      <c r="AE48" s="10">
        <f t="shared" si="12"/>
        <v>-16.64</v>
      </c>
      <c r="AF48" s="10">
        <f t="shared" si="13"/>
        <v>-39.14</v>
      </c>
    </row>
    <row r="49" spans="19:32" x14ac:dyDescent="0.35">
      <c r="S49" t="s">
        <v>107</v>
      </c>
      <c r="T49" t="s">
        <v>93</v>
      </c>
      <c r="U49" t="s">
        <v>247</v>
      </c>
      <c r="V49" t="s">
        <v>92</v>
      </c>
      <c r="W49">
        <v>2029</v>
      </c>
      <c r="X49" s="2">
        <f t="shared" si="17"/>
        <v>0.92922369543890115</v>
      </c>
      <c r="Y49">
        <f t="shared" si="18"/>
        <v>2.5505672992442021E-2</v>
      </c>
      <c r="Z49" s="12">
        <f t="shared" si="10"/>
        <v>179.07195249912701</v>
      </c>
      <c r="AA49" s="10">
        <f>INDEX(Assumptions!C$110:C$111,MATCH(LEFT($T49,3),Assumptions!$B$110:$B$111,0))</f>
        <v>70</v>
      </c>
      <c r="AB49" s="10">
        <f>INDEX(Assumptions!D$110:D$111,MATCH(LEFT($T49,3),Assumptions!$B$110:$B$111,0))</f>
        <v>70</v>
      </c>
      <c r="AC49" s="10">
        <f>INDEX(Assumptions!E$110:E$111,MATCH(LEFT($T49,3),Assumptions!$B$110:$B$111,0))</f>
        <v>47.5</v>
      </c>
      <c r="AD49" s="10">
        <f t="shared" si="11"/>
        <v>-16.64</v>
      </c>
      <c r="AE49" s="10">
        <f t="shared" si="12"/>
        <v>-16.64</v>
      </c>
      <c r="AF49" s="10">
        <f t="shared" si="13"/>
        <v>-39.14</v>
      </c>
    </row>
    <row r="50" spans="19:32" x14ac:dyDescent="0.35">
      <c r="S50" t="s">
        <v>107</v>
      </c>
      <c r="T50" t="s">
        <v>93</v>
      </c>
      <c r="U50" t="s">
        <v>247</v>
      </c>
      <c r="V50" t="s">
        <v>92</v>
      </c>
      <c r="W50">
        <v>2030</v>
      </c>
      <c r="X50" s="2">
        <f t="shared" si="17"/>
        <v>0.91648396061790338</v>
      </c>
      <c r="Y50">
        <f t="shared" si="18"/>
        <v>2.9947604852309344E-2</v>
      </c>
      <c r="Z50" s="12">
        <f t="shared" si="10"/>
        <v>210.25816786581129</v>
      </c>
      <c r="AA50" s="10">
        <f>INDEX(Assumptions!C$110:C$111,MATCH(LEFT($T50,3),Assumptions!$B$110:$B$111,0))</f>
        <v>70</v>
      </c>
      <c r="AB50" s="10">
        <f>INDEX(Assumptions!D$110:D$111,MATCH(LEFT($T50,3),Assumptions!$B$110:$B$111,0))</f>
        <v>70</v>
      </c>
      <c r="AC50" s="10">
        <f>INDEX(Assumptions!E$110:E$111,MATCH(LEFT($T50,3),Assumptions!$B$110:$B$111,0))</f>
        <v>47.5</v>
      </c>
      <c r="AD50" s="10">
        <f t="shared" si="11"/>
        <v>-16.64</v>
      </c>
      <c r="AE50" s="10">
        <f t="shared" si="12"/>
        <v>-16.64</v>
      </c>
      <c r="AF50" s="10">
        <f t="shared" si="13"/>
        <v>-39.14</v>
      </c>
    </row>
    <row r="51" spans="19:32" x14ac:dyDescent="0.35">
      <c r="S51" t="s">
        <v>107</v>
      </c>
      <c r="T51" t="s">
        <v>93</v>
      </c>
      <c r="U51" t="s">
        <v>247</v>
      </c>
      <c r="V51" t="s">
        <v>92</v>
      </c>
      <c r="W51">
        <v>2031</v>
      </c>
      <c r="X51" s="2">
        <f t="shared" si="17"/>
        <v>0.9014510735291259</v>
      </c>
      <c r="Y51">
        <f t="shared" si="18"/>
        <v>3.1087335357196537E-2</v>
      </c>
      <c r="Z51" s="12">
        <f t="shared" si="10"/>
        <v>218.26006481216686</v>
      </c>
      <c r="AA51" s="10">
        <f>INDEX(Assumptions!C$110:C$111,MATCH(LEFT($T51,3),Assumptions!$B$110:$B$111,0))</f>
        <v>70</v>
      </c>
      <c r="AB51" s="10">
        <f>INDEX(Assumptions!D$110:D$111,MATCH(LEFT($T51,3),Assumptions!$B$110:$B$111,0))</f>
        <v>70</v>
      </c>
      <c r="AC51" s="10">
        <f>INDEX(Assumptions!E$110:E$111,MATCH(LEFT($T51,3),Assumptions!$B$110:$B$111,0))</f>
        <v>47.5</v>
      </c>
      <c r="AD51" s="10">
        <f t="shared" si="11"/>
        <v>-16.64</v>
      </c>
      <c r="AE51" s="10">
        <f t="shared" si="12"/>
        <v>-16.64</v>
      </c>
      <c r="AF51" s="10">
        <f t="shared" si="13"/>
        <v>-39.14</v>
      </c>
    </row>
    <row r="52" spans="19:32" x14ac:dyDescent="0.35">
      <c r="S52" t="s">
        <v>107</v>
      </c>
      <c r="T52" t="s">
        <v>93</v>
      </c>
      <c r="U52" t="s">
        <v>247</v>
      </c>
      <c r="V52" t="s">
        <v>92</v>
      </c>
      <c r="W52">
        <v>2032</v>
      </c>
      <c r="X52" s="2">
        <f t="shared" si="17"/>
        <v>0.88371226676436865</v>
      </c>
      <c r="Y52">
        <f t="shared" si="18"/>
        <v>3.2074457495606896E-2</v>
      </c>
      <c r="Z52" s="12">
        <f t="shared" si="10"/>
        <v>225.19051862660402</v>
      </c>
      <c r="AA52" s="10">
        <f>INDEX(Assumptions!C$110:C$111,MATCH(LEFT($T52,3),Assumptions!$B$110:$B$111,0))</f>
        <v>70</v>
      </c>
      <c r="AB52" s="10">
        <f>INDEX(Assumptions!D$110:D$111,MATCH(LEFT($T52,3),Assumptions!$B$110:$B$111,0))</f>
        <v>70</v>
      </c>
      <c r="AC52" s="10">
        <f>INDEX(Assumptions!E$110:E$111,MATCH(LEFT($T52,3),Assumptions!$B$110:$B$111,0))</f>
        <v>47.5</v>
      </c>
      <c r="AD52" s="10">
        <f t="shared" si="11"/>
        <v>-16.64</v>
      </c>
      <c r="AE52" s="10">
        <f t="shared" si="12"/>
        <v>-16.64</v>
      </c>
      <c r="AF52" s="10">
        <f t="shared" si="13"/>
        <v>-39.14</v>
      </c>
    </row>
    <row r="53" spans="19:32" x14ac:dyDescent="0.35">
      <c r="S53" t="s">
        <v>107</v>
      </c>
      <c r="T53" t="s">
        <v>93</v>
      </c>
      <c r="U53" t="s">
        <v>247</v>
      </c>
      <c r="V53" t="s">
        <v>92</v>
      </c>
      <c r="W53">
        <v>2033</v>
      </c>
      <c r="X53" s="2">
        <f t="shared" si="17"/>
        <v>0.86278047478195496</v>
      </c>
      <c r="Y53">
        <f t="shared" si="18"/>
        <v>3.287572483826403E-2</v>
      </c>
      <c r="Z53" s="12">
        <f t="shared" si="10"/>
        <v>230.81611053182124</v>
      </c>
      <c r="AA53" s="10">
        <f>INDEX(Assumptions!C$110:C$111,MATCH(LEFT($T53,3),Assumptions!$B$110:$B$111,0))</f>
        <v>70</v>
      </c>
      <c r="AB53" s="10">
        <f>INDEX(Assumptions!D$110:D$111,MATCH(LEFT($T53,3),Assumptions!$B$110:$B$111,0))</f>
        <v>70</v>
      </c>
      <c r="AC53" s="10">
        <f>INDEX(Assumptions!E$110:E$111,MATCH(LEFT($T53,3),Assumptions!$B$110:$B$111,0))</f>
        <v>47.5</v>
      </c>
      <c r="AD53" s="10">
        <f t="shared" si="11"/>
        <v>-16.64</v>
      </c>
      <c r="AE53" s="10">
        <f t="shared" si="12"/>
        <v>-16.64</v>
      </c>
      <c r="AF53" s="10">
        <f t="shared" si="13"/>
        <v>-39.14</v>
      </c>
    </row>
    <row r="54" spans="19:32" x14ac:dyDescent="0.35">
      <c r="S54" t="s">
        <v>107</v>
      </c>
      <c r="T54" t="s">
        <v>93</v>
      </c>
      <c r="U54" t="s">
        <v>247</v>
      </c>
      <c r="V54" t="s">
        <v>92</v>
      </c>
      <c r="W54">
        <v>2034</v>
      </c>
      <c r="X54" s="2">
        <f t="shared" si="17"/>
        <v>0.83808096024270684</v>
      </c>
      <c r="Y54">
        <f t="shared" si="18"/>
        <v>3.3450866752312292E-2</v>
      </c>
      <c r="Z54" s="12">
        <f t="shared" si="10"/>
        <v>234.85410574736511</v>
      </c>
      <c r="AA54" s="10">
        <f>INDEX(Assumptions!C$110:C$111,MATCH(LEFT($T54,3),Assumptions!$B$110:$B$111,0))</f>
        <v>70</v>
      </c>
      <c r="AB54" s="10">
        <f>INDEX(Assumptions!D$110:D$111,MATCH(LEFT($T54,3),Assumptions!$B$110:$B$111,0))</f>
        <v>70</v>
      </c>
      <c r="AC54" s="10">
        <f>INDEX(Assumptions!E$110:E$111,MATCH(LEFT($T54,3),Assumptions!$B$110:$B$111,0))</f>
        <v>47.5</v>
      </c>
      <c r="AD54" s="10">
        <f t="shared" si="11"/>
        <v>-16.64</v>
      </c>
      <c r="AE54" s="10">
        <f t="shared" si="12"/>
        <v>-16.64</v>
      </c>
      <c r="AF54" s="10">
        <f t="shared" si="13"/>
        <v>-39.14</v>
      </c>
    </row>
    <row r="55" spans="19:32" x14ac:dyDescent="0.35">
      <c r="S55" t="s">
        <v>107</v>
      </c>
      <c r="T55" t="s">
        <v>93</v>
      </c>
      <c r="U55" t="s">
        <v>247</v>
      </c>
      <c r="V55" t="s">
        <v>92</v>
      </c>
      <c r="W55">
        <v>2035</v>
      </c>
      <c r="X55" s="2">
        <f t="shared" si="17"/>
        <v>0.8089355330863941</v>
      </c>
      <c r="Y55">
        <f t="shared" si="18"/>
        <v>3.3751136872496153E-2</v>
      </c>
      <c r="Z55" s="12">
        <f t="shared" si="10"/>
        <v>236.96226249799881</v>
      </c>
      <c r="AA55" s="10">
        <f>INDEX(Assumptions!C$110:C$111,MATCH(LEFT($T55,3),Assumptions!$B$110:$B$111,0))</f>
        <v>70</v>
      </c>
      <c r="AB55" s="10">
        <f>INDEX(Assumptions!D$110:D$111,MATCH(LEFT($T55,3),Assumptions!$B$110:$B$111,0))</f>
        <v>70</v>
      </c>
      <c r="AC55" s="10">
        <f>INDEX(Assumptions!E$110:E$111,MATCH(LEFT($T55,3),Assumptions!$B$110:$B$111,0))</f>
        <v>47.5</v>
      </c>
      <c r="AD55" s="10">
        <f t="shared" si="11"/>
        <v>-16.64</v>
      </c>
      <c r="AE55" s="10">
        <f t="shared" si="12"/>
        <v>-16.64</v>
      </c>
      <c r="AF55" s="10">
        <f t="shared" si="13"/>
        <v>-39.14</v>
      </c>
    </row>
    <row r="56" spans="19:32" x14ac:dyDescent="0.35">
      <c r="S56" t="s">
        <v>107</v>
      </c>
      <c r="T56" t="s">
        <v>93</v>
      </c>
      <c r="U56" t="s">
        <v>247</v>
      </c>
      <c r="V56" t="s">
        <v>92</v>
      </c>
      <c r="W56">
        <v>2036</v>
      </c>
      <c r="X56" s="2">
        <f t="shared" si="17"/>
        <v>0.77454392904194502</v>
      </c>
      <c r="Y56">
        <f t="shared" si="18"/>
        <v>3.3717566605919687E-2</v>
      </c>
      <c r="Z56" s="12">
        <f t="shared" si="10"/>
        <v>236.72657010189755</v>
      </c>
      <c r="AA56" s="10">
        <f>INDEX(Assumptions!C$110:C$111,MATCH(LEFT($T56,3),Assumptions!$B$110:$B$111,0))</f>
        <v>70</v>
      </c>
      <c r="AB56" s="10">
        <f>INDEX(Assumptions!D$110:D$111,MATCH(LEFT($T56,3),Assumptions!$B$110:$B$111,0))</f>
        <v>70</v>
      </c>
      <c r="AC56" s="10">
        <f>INDEX(Assumptions!E$110:E$111,MATCH(LEFT($T56,3),Assumptions!$B$110:$B$111,0))</f>
        <v>47.5</v>
      </c>
      <c r="AD56" s="10">
        <f t="shared" si="11"/>
        <v>-16.64</v>
      </c>
      <c r="AE56" s="10">
        <f t="shared" si="12"/>
        <v>-16.64</v>
      </c>
      <c r="AF56" s="10">
        <f t="shared" si="13"/>
        <v>-39.14</v>
      </c>
    </row>
    <row r="57" spans="19:32" x14ac:dyDescent="0.35">
      <c r="S57" t="s">
        <v>107</v>
      </c>
      <c r="T57" t="s">
        <v>93</v>
      </c>
      <c r="U57" t="s">
        <v>247</v>
      </c>
      <c r="V57" t="s">
        <v>92</v>
      </c>
      <c r="W57">
        <v>2037</v>
      </c>
      <c r="X57" s="2">
        <f t="shared" si="17"/>
        <v>0.73396183626949518</v>
      </c>
      <c r="Y57">
        <f t="shared" si="18"/>
        <v>3.3278864512408822E-2</v>
      </c>
      <c r="Z57" s="12">
        <f t="shared" si="10"/>
        <v>233.64650079834595</v>
      </c>
      <c r="AA57" s="10">
        <f>INDEX(Assumptions!C$110:C$111,MATCH(LEFT($T57,3),Assumptions!$B$110:$B$111,0))</f>
        <v>70</v>
      </c>
      <c r="AB57" s="10">
        <f>INDEX(Assumptions!D$110:D$111,MATCH(LEFT($T57,3),Assumptions!$B$110:$B$111,0))</f>
        <v>70</v>
      </c>
      <c r="AC57" s="10">
        <f>INDEX(Assumptions!E$110:E$111,MATCH(LEFT($T57,3),Assumptions!$B$110:$B$111,0))</f>
        <v>47.5</v>
      </c>
      <c r="AD57" s="10">
        <f t="shared" si="11"/>
        <v>-16.64</v>
      </c>
      <c r="AE57" s="10">
        <f t="shared" si="12"/>
        <v>-16.64</v>
      </c>
      <c r="AF57" s="10">
        <f t="shared" si="13"/>
        <v>-39.14</v>
      </c>
    </row>
    <row r="58" spans="19:32" x14ac:dyDescent="0.35">
      <c r="S58" t="s">
        <v>107</v>
      </c>
      <c r="T58" t="s">
        <v>93</v>
      </c>
      <c r="U58" t="s">
        <v>247</v>
      </c>
      <c r="V58" t="s">
        <v>92</v>
      </c>
      <c r="W58">
        <v>2038</v>
      </c>
      <c r="X58" s="2">
        <f t="shared" si="17"/>
        <v>0.68607496679800439</v>
      </c>
      <c r="Y58">
        <f t="shared" si="18"/>
        <v>3.2348890661865963E-2</v>
      </c>
      <c r="Z58" s="12">
        <f t="shared" si="10"/>
        <v>227.11727754518228</v>
      </c>
      <c r="AA58" s="10">
        <f>INDEX(Assumptions!C$110:C$111,MATCH(LEFT($T58,3),Assumptions!$B$110:$B$111,0))</f>
        <v>70</v>
      </c>
      <c r="AB58" s="10">
        <f>INDEX(Assumptions!D$110:D$111,MATCH(LEFT($T58,3),Assumptions!$B$110:$B$111,0))</f>
        <v>70</v>
      </c>
      <c r="AC58" s="10">
        <f>INDEX(Assumptions!E$110:E$111,MATCH(LEFT($T58,3),Assumptions!$B$110:$B$111,0))</f>
        <v>47.5</v>
      </c>
      <c r="AD58" s="10">
        <f t="shared" si="11"/>
        <v>-16.64</v>
      </c>
      <c r="AE58" s="10">
        <f t="shared" si="12"/>
        <v>-16.64</v>
      </c>
      <c r="AF58" s="10">
        <f t="shared" si="13"/>
        <v>-39.14</v>
      </c>
    </row>
    <row r="59" spans="19:32" x14ac:dyDescent="0.35">
      <c r="S59" t="s">
        <v>107</v>
      </c>
      <c r="T59" t="s">
        <v>93</v>
      </c>
      <c r="U59" t="s">
        <v>247</v>
      </c>
      <c r="V59" t="s">
        <v>92</v>
      </c>
      <c r="W59">
        <v>2039</v>
      </c>
      <c r="X59" s="2">
        <f t="shared" si="17"/>
        <v>0.62956846082164519</v>
      </c>
      <c r="Y59">
        <f t="shared" si="18"/>
        <v>3.0823621020505541E-2</v>
      </c>
      <c r="Z59" s="12">
        <f t="shared" si="10"/>
        <v>216.40856137654836</v>
      </c>
      <c r="AA59" s="10">
        <f>INDEX(Assumptions!C$110:C$111,MATCH(LEFT($T59,3),Assumptions!$B$110:$B$111,0))</f>
        <v>70</v>
      </c>
      <c r="AB59" s="10">
        <f>INDEX(Assumptions!D$110:D$111,MATCH(LEFT($T59,3),Assumptions!$B$110:$B$111,0))</f>
        <v>70</v>
      </c>
      <c r="AC59" s="10">
        <f>INDEX(Assumptions!E$110:E$111,MATCH(LEFT($T59,3),Assumptions!$B$110:$B$111,0))</f>
        <v>47.5</v>
      </c>
      <c r="AD59" s="10">
        <f t="shared" si="11"/>
        <v>-16.64</v>
      </c>
      <c r="AE59" s="10">
        <f t="shared" si="12"/>
        <v>-16.64</v>
      </c>
      <c r="AF59" s="10">
        <f t="shared" si="13"/>
        <v>-39.14</v>
      </c>
    </row>
    <row r="60" spans="19:32" x14ac:dyDescent="0.35">
      <c r="S60" t="s">
        <v>107</v>
      </c>
      <c r="T60" t="s">
        <v>93</v>
      </c>
      <c r="U60" t="s">
        <v>247</v>
      </c>
      <c r="V60" t="s">
        <v>92</v>
      </c>
      <c r="W60">
        <v>2040</v>
      </c>
      <c r="X60" s="2">
        <f t="shared" si="17"/>
        <v>0.56289078376954127</v>
      </c>
      <c r="Y60">
        <f t="shared" si="18"/>
        <v>2.8577500107328499E-2</v>
      </c>
      <c r="Z60" s="12">
        <f t="shared" si="10"/>
        <v>200.63884388699526</v>
      </c>
      <c r="AA60" s="10">
        <f>INDEX(Assumptions!C$110:C$111,MATCH(LEFT($T60,3),Assumptions!$B$110:$B$111,0))</f>
        <v>70</v>
      </c>
      <c r="AB60" s="10">
        <f>INDEX(Assumptions!D$110:D$111,MATCH(LEFT($T60,3),Assumptions!$B$110:$B$111,0))</f>
        <v>70</v>
      </c>
      <c r="AC60" s="10">
        <f>INDEX(Assumptions!E$110:E$111,MATCH(LEFT($T60,3),Assumptions!$B$110:$B$111,0))</f>
        <v>47.5</v>
      </c>
      <c r="AD60" s="10">
        <f t="shared" si="11"/>
        <v>-16.64</v>
      </c>
      <c r="AE60" s="10">
        <f t="shared" si="12"/>
        <v>-16.64</v>
      </c>
      <c r="AF60" s="10">
        <f t="shared" si="13"/>
        <v>-39.14</v>
      </c>
    </row>
    <row r="61" spans="19:32" x14ac:dyDescent="0.35">
      <c r="S61" t="s">
        <v>107</v>
      </c>
      <c r="T61" t="s">
        <v>93</v>
      </c>
      <c r="U61" t="s">
        <v>247</v>
      </c>
      <c r="V61" t="s">
        <v>92</v>
      </c>
      <c r="W61">
        <v>2041</v>
      </c>
      <c r="X61" s="2">
        <f t="shared" si="17"/>
        <v>0.48421112484805873</v>
      </c>
      <c r="Y61">
        <f t="shared" si="18"/>
        <v>2.545906005179371E-2</v>
      </c>
      <c r="Z61" s="12">
        <f t="shared" si="10"/>
        <v>178.74468921553935</v>
      </c>
      <c r="AA61" s="10">
        <f>INDEX(Assumptions!C$110:C$111,MATCH(LEFT($T61,3),Assumptions!$B$110:$B$111,0))</f>
        <v>70</v>
      </c>
      <c r="AB61" s="10">
        <f>INDEX(Assumptions!D$110:D$111,MATCH(LEFT($T61,3),Assumptions!$B$110:$B$111,0))</f>
        <v>70</v>
      </c>
      <c r="AC61" s="10">
        <f>INDEX(Assumptions!E$110:E$111,MATCH(LEFT($T61,3),Assumptions!$B$110:$B$111,0))</f>
        <v>47.5</v>
      </c>
      <c r="AD61" s="10">
        <f t="shared" si="11"/>
        <v>-16.64</v>
      </c>
      <c r="AE61" s="10">
        <f t="shared" si="12"/>
        <v>-16.64</v>
      </c>
      <c r="AF61" s="10">
        <f t="shared" si="13"/>
        <v>-39.14</v>
      </c>
    </row>
    <row r="62" spans="19:32" x14ac:dyDescent="0.35">
      <c r="S62" t="s">
        <v>107</v>
      </c>
      <c r="T62" t="s">
        <v>93</v>
      </c>
      <c r="U62" t="s">
        <v>247</v>
      </c>
      <c r="V62" t="s">
        <v>92</v>
      </c>
      <c r="W62">
        <v>2042</v>
      </c>
      <c r="X62" s="2">
        <f t="shared" si="17"/>
        <v>0.39136912732070939</v>
      </c>
      <c r="Y62">
        <f t="shared" si="18"/>
        <v>2.1285660131181681E-2</v>
      </c>
      <c r="Z62" s="12">
        <f t="shared" si="10"/>
        <v>149.44380103410799</v>
      </c>
      <c r="AA62" s="10">
        <f>INDEX(Assumptions!C$110:C$111,MATCH(LEFT($T62,3),Assumptions!$B$110:$B$111,0))</f>
        <v>70</v>
      </c>
      <c r="AB62" s="10">
        <f>INDEX(Assumptions!D$110:D$111,MATCH(LEFT($T62,3),Assumptions!$B$110:$B$111,0))</f>
        <v>70</v>
      </c>
      <c r="AC62" s="10">
        <f>INDEX(Assumptions!E$110:E$111,MATCH(LEFT($T62,3),Assumptions!$B$110:$B$111,0))</f>
        <v>47.5</v>
      </c>
      <c r="AD62" s="10">
        <f t="shared" si="11"/>
        <v>-16.64</v>
      </c>
      <c r="AE62" s="10">
        <f t="shared" si="12"/>
        <v>-16.64</v>
      </c>
      <c r="AF62" s="10">
        <f t="shared" si="13"/>
        <v>-39.14</v>
      </c>
    </row>
    <row r="63" spans="19:32" x14ac:dyDescent="0.35">
      <c r="S63" t="s">
        <v>107</v>
      </c>
      <c r="T63" t="s">
        <v>93</v>
      </c>
      <c r="U63" t="s">
        <v>247</v>
      </c>
      <c r="V63" t="s">
        <v>92</v>
      </c>
      <c r="W63">
        <v>2043</v>
      </c>
      <c r="X63" s="2">
        <f t="shared" si="17"/>
        <v>0.28181557023843717</v>
      </c>
      <c r="Y63">
        <f t="shared" si="18"/>
        <v>1.583717210281706E-2</v>
      </c>
      <c r="Z63" s="12">
        <f t="shared" si="10"/>
        <v>111.19068810129154</v>
      </c>
      <c r="AA63" s="10">
        <f>INDEX(Assumptions!C$110:C$111,MATCH(LEFT($T63,3),Assumptions!$B$110:$B$111,0))</f>
        <v>70</v>
      </c>
      <c r="AB63" s="10">
        <f>INDEX(Assumptions!D$110:D$111,MATCH(LEFT($T63,3),Assumptions!$B$110:$B$111,0))</f>
        <v>70</v>
      </c>
      <c r="AC63" s="10">
        <f>INDEX(Assumptions!E$110:E$111,MATCH(LEFT($T63,3),Assumptions!$B$110:$B$111,0))</f>
        <v>47.5</v>
      </c>
      <c r="AD63" s="10">
        <f t="shared" si="11"/>
        <v>-16.64</v>
      </c>
      <c r="AE63" s="10">
        <f t="shared" si="12"/>
        <v>-16.64</v>
      </c>
      <c r="AF63" s="10">
        <f t="shared" si="13"/>
        <v>-39.14</v>
      </c>
    </row>
    <row r="64" spans="19:32" x14ac:dyDescent="0.35">
      <c r="S64" t="s">
        <v>107</v>
      </c>
      <c r="T64" t="s">
        <v>93</v>
      </c>
      <c r="U64" t="s">
        <v>247</v>
      </c>
      <c r="V64" t="s">
        <v>92</v>
      </c>
      <c r="W64">
        <v>2044</v>
      </c>
      <c r="X64" s="2">
        <f t="shared" si="17"/>
        <v>0.15254237288135586</v>
      </c>
      <c r="Y64">
        <f t="shared" si="18"/>
        <v>8.8484022562515061E-3</v>
      </c>
      <c r="Z64" s="12">
        <f t="shared" si="10"/>
        <v>62.123460494226741</v>
      </c>
      <c r="AA64" s="10">
        <f>INDEX(Assumptions!C$110:C$111,MATCH(LEFT($T64,3),Assumptions!$B$110:$B$111,0))</f>
        <v>70</v>
      </c>
      <c r="AB64" s="10">
        <f>INDEX(Assumptions!D$110:D$111,MATCH(LEFT($T64,3),Assumptions!$B$110:$B$111,0))</f>
        <v>70</v>
      </c>
      <c r="AC64" s="10">
        <f>INDEX(Assumptions!E$110:E$111,MATCH(LEFT($T64,3),Assumptions!$B$110:$B$111,0))</f>
        <v>47.5</v>
      </c>
      <c r="AD64" s="10">
        <f t="shared" si="11"/>
        <v>-16.64</v>
      </c>
      <c r="AE64" s="10">
        <f t="shared" si="12"/>
        <v>-16.64</v>
      </c>
      <c r="AF64" s="10">
        <f t="shared" si="13"/>
        <v>-39.14</v>
      </c>
    </row>
    <row r="65" spans="19:32" x14ac:dyDescent="0.35">
      <c r="S65" t="s">
        <v>107</v>
      </c>
      <c r="T65" t="s">
        <v>93</v>
      </c>
      <c r="U65" t="s">
        <v>247</v>
      </c>
      <c r="V65" t="s">
        <v>92</v>
      </c>
      <c r="W65">
        <v>2045</v>
      </c>
      <c r="X65" s="2">
        <f>1-X86</f>
        <v>0</v>
      </c>
      <c r="Y65">
        <f t="shared" si="18"/>
        <v>0</v>
      </c>
      <c r="Z65" s="12">
        <f t="shared" si="10"/>
        <v>0</v>
      </c>
      <c r="AA65" s="10">
        <f>INDEX(Assumptions!C$110:C$111,MATCH(LEFT($T65,3),Assumptions!$B$110:$B$111,0))</f>
        <v>70</v>
      </c>
      <c r="AB65" s="10">
        <f>INDEX(Assumptions!D$110:D$111,MATCH(LEFT($T65,3),Assumptions!$B$110:$B$111,0))</f>
        <v>70</v>
      </c>
      <c r="AC65" s="10">
        <f>INDEX(Assumptions!E$110:E$111,MATCH(LEFT($T65,3),Assumptions!$B$110:$B$111,0))</f>
        <v>47.5</v>
      </c>
      <c r="AD65" s="10">
        <f t="shared" si="11"/>
        <v>-16.64</v>
      </c>
      <c r="AE65" s="10">
        <f t="shared" si="12"/>
        <v>-16.64</v>
      </c>
      <c r="AF65" s="10">
        <f t="shared" si="13"/>
        <v>-39.14</v>
      </c>
    </row>
    <row r="66" spans="19:32" x14ac:dyDescent="0.35">
      <c r="S66" t="s">
        <v>107</v>
      </c>
      <c r="T66" s="29" t="s">
        <v>96</v>
      </c>
      <c r="U66" t="s">
        <v>247</v>
      </c>
      <c r="V66" t="s">
        <v>92</v>
      </c>
      <c r="W66">
        <v>2025</v>
      </c>
      <c r="X66" s="58">
        <v>0</v>
      </c>
      <c r="Y66">
        <f t="shared" si="18"/>
        <v>0</v>
      </c>
      <c r="Z66" s="12">
        <f t="shared" si="10"/>
        <v>0</v>
      </c>
      <c r="AA66" s="10">
        <f>INDEX(Assumptions!C$110:C$111,MATCH(LEFT($T66,3),Assumptions!$B$110:$B$111,0))</f>
        <v>50</v>
      </c>
      <c r="AB66" s="10">
        <f>INDEX(Assumptions!D$110:D$111,MATCH(LEFT($T66,3),Assumptions!$B$110:$B$111,0))</f>
        <v>50</v>
      </c>
      <c r="AC66" s="10">
        <f>INDEX(Assumptions!E$110:E$111,MATCH(LEFT($T66,3),Assumptions!$B$110:$B$111,0))</f>
        <v>32.799999999999997</v>
      </c>
      <c r="AD66" s="10">
        <f t="shared" si="11"/>
        <v>-36.64</v>
      </c>
      <c r="AE66" s="10">
        <f t="shared" si="12"/>
        <v>-36.64</v>
      </c>
      <c r="AF66" s="10">
        <f t="shared" si="13"/>
        <v>-53.84</v>
      </c>
    </row>
    <row r="67" spans="19:32" x14ac:dyDescent="0.35">
      <c r="S67" t="s">
        <v>107</v>
      </c>
      <c r="T67" s="29" t="s">
        <v>96</v>
      </c>
      <c r="U67" t="s">
        <v>247</v>
      </c>
      <c r="V67" t="s">
        <v>92</v>
      </c>
      <c r="W67">
        <v>2026</v>
      </c>
      <c r="X67" s="58">
        <v>0</v>
      </c>
      <c r="Y67">
        <f t="shared" si="18"/>
        <v>0</v>
      </c>
      <c r="Z67" s="12">
        <f t="shared" si="10"/>
        <v>0</v>
      </c>
      <c r="AA67" s="10">
        <f>INDEX(Assumptions!C$110:C$111,MATCH(LEFT($T67,3),Assumptions!$B$110:$B$111,0))</f>
        <v>50</v>
      </c>
      <c r="AB67" s="10">
        <f>INDEX(Assumptions!D$110:D$111,MATCH(LEFT($T67,3),Assumptions!$B$110:$B$111,0))</f>
        <v>50</v>
      </c>
      <c r="AC67" s="10">
        <f>INDEX(Assumptions!E$110:E$111,MATCH(LEFT($T67,3),Assumptions!$B$110:$B$111,0))</f>
        <v>32.799999999999997</v>
      </c>
      <c r="AD67" s="10">
        <f t="shared" si="11"/>
        <v>-36.64</v>
      </c>
      <c r="AE67" s="10">
        <f t="shared" si="12"/>
        <v>-36.64</v>
      </c>
      <c r="AF67" s="10">
        <f t="shared" si="13"/>
        <v>-53.84</v>
      </c>
    </row>
    <row r="68" spans="19:32" x14ac:dyDescent="0.35">
      <c r="S68" t="s">
        <v>107</v>
      </c>
      <c r="T68" s="29" t="s">
        <v>96</v>
      </c>
      <c r="U68" t="s">
        <v>247</v>
      </c>
      <c r="V68" t="s">
        <v>92</v>
      </c>
      <c r="W68">
        <v>2027</v>
      </c>
      <c r="X68" s="58">
        <v>0</v>
      </c>
      <c r="Y68">
        <f t="shared" si="18"/>
        <v>0</v>
      </c>
      <c r="Z68" s="12">
        <f t="shared" ref="Z68:Z86" si="19">Y68*$AT$8/1000000</f>
        <v>0</v>
      </c>
      <c r="AA68" s="10">
        <f>INDEX(Assumptions!C$110:C$111,MATCH(LEFT($T68,3),Assumptions!$B$110:$B$111,0))</f>
        <v>50</v>
      </c>
      <c r="AB68" s="10">
        <f>INDEX(Assumptions!D$110:D$111,MATCH(LEFT($T68,3),Assumptions!$B$110:$B$111,0))</f>
        <v>50</v>
      </c>
      <c r="AC68" s="10">
        <f>INDEX(Assumptions!E$110:E$111,MATCH(LEFT($T68,3),Assumptions!$B$110:$B$111,0))</f>
        <v>32.799999999999997</v>
      </c>
      <c r="AD68" s="10">
        <f t="shared" ref="AD68:AD86" si="20">AA68-$H$3</f>
        <v>-36.64</v>
      </c>
      <c r="AE68" s="10">
        <f t="shared" ref="AE68:AE86" si="21">AB68-$H$3</f>
        <v>-36.64</v>
      </c>
      <c r="AF68" s="10">
        <f t="shared" ref="AF68:AF86" si="22">AC68-$H$3</f>
        <v>-53.84</v>
      </c>
    </row>
    <row r="69" spans="19:32" x14ac:dyDescent="0.35">
      <c r="S69" t="s">
        <v>107</v>
      </c>
      <c r="T69" s="29" t="s">
        <v>96</v>
      </c>
      <c r="U69" t="s">
        <v>247</v>
      </c>
      <c r="V69" t="s">
        <v>92</v>
      </c>
      <c r="W69">
        <v>2028</v>
      </c>
      <c r="X69" s="58">
        <f t="shared" ref="X69:X84" si="23">X70/1.18</f>
        <v>5.9979919119575321E-2</v>
      </c>
      <c r="Y69">
        <f t="shared" si="18"/>
        <v>1.3327601965295976E-3</v>
      </c>
      <c r="Z69" s="12">
        <f t="shared" si="19"/>
        <v>9.3571328494800454</v>
      </c>
      <c r="AA69" s="10">
        <f>INDEX(Assumptions!C$110:C$111,MATCH(LEFT($T69,3),Assumptions!$B$110:$B$111,0))</f>
        <v>50</v>
      </c>
      <c r="AB69" s="10">
        <f>INDEX(Assumptions!D$110:D$111,MATCH(LEFT($T69,3),Assumptions!$B$110:$B$111,0))</f>
        <v>50</v>
      </c>
      <c r="AC69" s="10">
        <f>INDEX(Assumptions!E$110:E$111,MATCH(LEFT($T69,3),Assumptions!$B$110:$B$111,0))</f>
        <v>32.799999999999997</v>
      </c>
      <c r="AD69" s="10">
        <f t="shared" si="20"/>
        <v>-36.64</v>
      </c>
      <c r="AE69" s="10">
        <f t="shared" si="21"/>
        <v>-36.64</v>
      </c>
      <c r="AF69" s="10">
        <f t="shared" si="22"/>
        <v>-53.84</v>
      </c>
    </row>
    <row r="70" spans="19:32" x14ac:dyDescent="0.35">
      <c r="S70" t="s">
        <v>107</v>
      </c>
      <c r="T70" s="29" t="s">
        <v>96</v>
      </c>
      <c r="U70" t="s">
        <v>247</v>
      </c>
      <c r="V70" t="s">
        <v>92</v>
      </c>
      <c r="W70">
        <v>2029</v>
      </c>
      <c r="X70" s="58">
        <f t="shared" si="23"/>
        <v>7.0776304561098874E-2</v>
      </c>
      <c r="Y70">
        <f t="shared" si="18"/>
        <v>1.9426939805879788E-3</v>
      </c>
      <c r="Z70" s="12">
        <f t="shared" si="19"/>
        <v>13.639397177062403</v>
      </c>
      <c r="AA70" s="10">
        <f>INDEX(Assumptions!C$110:C$111,MATCH(LEFT($T70,3),Assumptions!$B$110:$B$111,0))</f>
        <v>50</v>
      </c>
      <c r="AB70" s="10">
        <f>INDEX(Assumptions!D$110:D$111,MATCH(LEFT($T70,3),Assumptions!$B$110:$B$111,0))</f>
        <v>50</v>
      </c>
      <c r="AC70" s="10">
        <f>INDEX(Assumptions!E$110:E$111,MATCH(LEFT($T70,3),Assumptions!$B$110:$B$111,0))</f>
        <v>32.799999999999997</v>
      </c>
      <c r="AD70" s="10">
        <f t="shared" si="20"/>
        <v>-36.64</v>
      </c>
      <c r="AE70" s="10">
        <f t="shared" si="21"/>
        <v>-36.64</v>
      </c>
      <c r="AF70" s="10">
        <f t="shared" si="22"/>
        <v>-53.84</v>
      </c>
    </row>
    <row r="71" spans="19:32" x14ac:dyDescent="0.35">
      <c r="S71" t="s">
        <v>107</v>
      </c>
      <c r="T71" s="29" t="s">
        <v>96</v>
      </c>
      <c r="U71" t="s">
        <v>247</v>
      </c>
      <c r="V71" t="s">
        <v>92</v>
      </c>
      <c r="W71">
        <v>2030</v>
      </c>
      <c r="X71" s="58">
        <f t="shared" si="23"/>
        <v>8.3516039382096674E-2</v>
      </c>
      <c r="Y71">
        <f t="shared" si="18"/>
        <v>2.7290224965406534E-3</v>
      </c>
      <c r="Z71" s="12">
        <f t="shared" si="19"/>
        <v>19.160105558257118</v>
      </c>
      <c r="AA71" s="10">
        <f>INDEX(Assumptions!C$110:C$111,MATCH(LEFT($T71,3),Assumptions!$B$110:$B$111,0))</f>
        <v>50</v>
      </c>
      <c r="AB71" s="10">
        <f>INDEX(Assumptions!D$110:D$111,MATCH(LEFT($T71,3),Assumptions!$B$110:$B$111,0))</f>
        <v>50</v>
      </c>
      <c r="AC71" s="10">
        <f>INDEX(Assumptions!E$110:E$111,MATCH(LEFT($T71,3),Assumptions!$B$110:$B$111,0))</f>
        <v>32.799999999999997</v>
      </c>
      <c r="AD71" s="10">
        <f t="shared" si="20"/>
        <v>-36.64</v>
      </c>
      <c r="AE71" s="10">
        <f t="shared" si="21"/>
        <v>-36.64</v>
      </c>
      <c r="AF71" s="10">
        <f t="shared" si="22"/>
        <v>-53.84</v>
      </c>
    </row>
    <row r="72" spans="19:32" x14ac:dyDescent="0.35">
      <c r="S72" t="s">
        <v>107</v>
      </c>
      <c r="T72" s="29" t="s">
        <v>96</v>
      </c>
      <c r="U72" t="s">
        <v>247</v>
      </c>
      <c r="V72" t="s">
        <v>92</v>
      </c>
      <c r="W72">
        <v>2031</v>
      </c>
      <c r="X72" s="58">
        <f t="shared" si="23"/>
        <v>9.8548926470874071E-2</v>
      </c>
      <c r="Y72">
        <f t="shared" si="18"/>
        <v>3.3985466502334579E-3</v>
      </c>
      <c r="Z72" s="12">
        <f t="shared" si="19"/>
        <v>23.860745979806609</v>
      </c>
      <c r="AA72" s="10">
        <f>INDEX(Assumptions!C$110:C$111,MATCH(LEFT($T72,3),Assumptions!$B$110:$B$111,0))</f>
        <v>50</v>
      </c>
      <c r="AB72" s="10">
        <f>INDEX(Assumptions!D$110:D$111,MATCH(LEFT($T72,3),Assumptions!$B$110:$B$111,0))</f>
        <v>50</v>
      </c>
      <c r="AC72" s="10">
        <f>INDEX(Assumptions!E$110:E$111,MATCH(LEFT($T72,3),Assumptions!$B$110:$B$111,0))</f>
        <v>32.799999999999997</v>
      </c>
      <c r="AD72" s="10">
        <f t="shared" si="20"/>
        <v>-36.64</v>
      </c>
      <c r="AE72" s="10">
        <f t="shared" si="21"/>
        <v>-36.64</v>
      </c>
      <c r="AF72" s="10">
        <f t="shared" si="22"/>
        <v>-53.84</v>
      </c>
    </row>
    <row r="73" spans="19:32" x14ac:dyDescent="0.35">
      <c r="S73" t="s">
        <v>107</v>
      </c>
      <c r="T73" s="29" t="s">
        <v>96</v>
      </c>
      <c r="U73" t="s">
        <v>247</v>
      </c>
      <c r="V73" t="s">
        <v>92</v>
      </c>
      <c r="W73">
        <v>2032</v>
      </c>
      <c r="X73" s="58">
        <f t="shared" si="23"/>
        <v>0.11628773323563139</v>
      </c>
      <c r="Y73">
        <f t="shared" si="18"/>
        <v>4.2206791703631036E-3</v>
      </c>
      <c r="Z73" s="12">
        <f t="shared" si="19"/>
        <v>29.632829532993725</v>
      </c>
      <c r="AA73" s="10">
        <f>INDEX(Assumptions!C$110:C$111,MATCH(LEFT($T73,3),Assumptions!$B$110:$B$111,0))</f>
        <v>50</v>
      </c>
      <c r="AB73" s="10">
        <f>INDEX(Assumptions!D$110:D$111,MATCH(LEFT($T73,3),Assumptions!$B$110:$B$111,0))</f>
        <v>50</v>
      </c>
      <c r="AC73" s="10">
        <f>INDEX(Assumptions!E$110:E$111,MATCH(LEFT($T73,3),Assumptions!$B$110:$B$111,0))</f>
        <v>32.799999999999997</v>
      </c>
      <c r="AD73" s="10">
        <f t="shared" si="20"/>
        <v>-36.64</v>
      </c>
      <c r="AE73" s="10">
        <f t="shared" si="21"/>
        <v>-36.64</v>
      </c>
      <c r="AF73" s="10">
        <f t="shared" si="22"/>
        <v>-53.84</v>
      </c>
    </row>
    <row r="74" spans="19:32" x14ac:dyDescent="0.35">
      <c r="S74" t="s">
        <v>107</v>
      </c>
      <c r="T74" s="29" t="s">
        <v>96</v>
      </c>
      <c r="U74" t="s">
        <v>247</v>
      </c>
      <c r="V74" t="s">
        <v>92</v>
      </c>
      <c r="W74">
        <v>2033</v>
      </c>
      <c r="X74" s="58">
        <f t="shared" si="23"/>
        <v>0.13721952521804504</v>
      </c>
      <c r="Y74">
        <f t="shared" si="18"/>
        <v>5.2286664862759734E-3</v>
      </c>
      <c r="Z74" s="12">
        <f t="shared" si="19"/>
        <v>36.709774995611369</v>
      </c>
      <c r="AA74" s="10">
        <f>INDEX(Assumptions!C$110:C$111,MATCH(LEFT($T74,3),Assumptions!$B$110:$B$111,0))</f>
        <v>50</v>
      </c>
      <c r="AB74" s="10">
        <f>INDEX(Assumptions!D$110:D$111,MATCH(LEFT($T74,3),Assumptions!$B$110:$B$111,0))</f>
        <v>50</v>
      </c>
      <c r="AC74" s="10">
        <f>INDEX(Assumptions!E$110:E$111,MATCH(LEFT($T74,3),Assumptions!$B$110:$B$111,0))</f>
        <v>32.799999999999997</v>
      </c>
      <c r="AD74" s="10">
        <f t="shared" si="20"/>
        <v>-36.64</v>
      </c>
      <c r="AE74" s="10">
        <f t="shared" si="21"/>
        <v>-36.64</v>
      </c>
      <c r="AF74" s="10">
        <f t="shared" si="22"/>
        <v>-53.84</v>
      </c>
    </row>
    <row r="75" spans="19:32" x14ac:dyDescent="0.35">
      <c r="S75" t="s">
        <v>107</v>
      </c>
      <c r="T75" s="29" t="s">
        <v>96</v>
      </c>
      <c r="U75" t="s">
        <v>247</v>
      </c>
      <c r="V75" t="s">
        <v>92</v>
      </c>
      <c r="W75">
        <v>2034</v>
      </c>
      <c r="X75" s="58">
        <f t="shared" si="23"/>
        <v>0.16191903975729313</v>
      </c>
      <c r="Y75">
        <f t="shared" si="18"/>
        <v>6.4627792307977118E-3</v>
      </c>
      <c r="Z75" s="12">
        <f t="shared" si="19"/>
        <v>45.374317147902367</v>
      </c>
      <c r="AA75" s="10">
        <f>INDEX(Assumptions!C$110:C$111,MATCH(LEFT($T75,3),Assumptions!$B$110:$B$111,0))</f>
        <v>50</v>
      </c>
      <c r="AB75" s="10">
        <f>INDEX(Assumptions!D$110:D$111,MATCH(LEFT($T75,3),Assumptions!$B$110:$B$111,0))</f>
        <v>50</v>
      </c>
      <c r="AC75" s="10">
        <f>INDEX(Assumptions!E$110:E$111,MATCH(LEFT($T75,3),Assumptions!$B$110:$B$111,0))</f>
        <v>32.799999999999997</v>
      </c>
      <c r="AD75" s="10">
        <f t="shared" si="20"/>
        <v>-36.64</v>
      </c>
      <c r="AE75" s="10">
        <f t="shared" si="21"/>
        <v>-36.64</v>
      </c>
      <c r="AF75" s="10">
        <f t="shared" si="22"/>
        <v>-53.84</v>
      </c>
    </row>
    <row r="76" spans="19:32" x14ac:dyDescent="0.35">
      <c r="S76" t="s">
        <v>107</v>
      </c>
      <c r="T76" s="29" t="s">
        <v>96</v>
      </c>
      <c r="U76" t="s">
        <v>247</v>
      </c>
      <c r="V76" t="s">
        <v>92</v>
      </c>
      <c r="W76">
        <v>2035</v>
      </c>
      <c r="X76" s="58">
        <f t="shared" si="23"/>
        <v>0.1910644669136059</v>
      </c>
      <c r="Y76">
        <f t="shared" si="18"/>
        <v>7.9717637691938455E-3</v>
      </c>
      <c r="Z76" s="12">
        <f t="shared" si="19"/>
        <v>55.968697765173737</v>
      </c>
      <c r="AA76" s="10">
        <f>INDEX(Assumptions!C$110:C$111,MATCH(LEFT($T76,3),Assumptions!$B$110:$B$111,0))</f>
        <v>50</v>
      </c>
      <c r="AB76" s="10">
        <f>INDEX(Assumptions!D$110:D$111,MATCH(LEFT($T76,3),Assumptions!$B$110:$B$111,0))</f>
        <v>50</v>
      </c>
      <c r="AC76" s="10">
        <f>INDEX(Assumptions!E$110:E$111,MATCH(LEFT($T76,3),Assumptions!$B$110:$B$111,0))</f>
        <v>32.799999999999997</v>
      </c>
      <c r="AD76" s="10">
        <f t="shared" si="20"/>
        <v>-36.64</v>
      </c>
      <c r="AE76" s="10">
        <f t="shared" si="21"/>
        <v>-36.64</v>
      </c>
      <c r="AF76" s="10">
        <f t="shared" si="22"/>
        <v>-53.84</v>
      </c>
    </row>
    <row r="77" spans="19:32" x14ac:dyDescent="0.35">
      <c r="S77" t="s">
        <v>107</v>
      </c>
      <c r="T77" s="29" t="s">
        <v>96</v>
      </c>
      <c r="U77" t="s">
        <v>247</v>
      </c>
      <c r="V77" t="s">
        <v>92</v>
      </c>
      <c r="W77">
        <v>2036</v>
      </c>
      <c r="X77" s="58">
        <f t="shared" si="23"/>
        <v>0.22545607095805495</v>
      </c>
      <c r="Y77">
        <f t="shared" si="18"/>
        <v>9.8145886943302087E-3</v>
      </c>
      <c r="Z77" s="12">
        <f t="shared" si="19"/>
        <v>68.906927529038938</v>
      </c>
      <c r="AA77" s="10">
        <f>INDEX(Assumptions!C$110:C$111,MATCH(LEFT($T77,3),Assumptions!$B$110:$B$111,0))</f>
        <v>50</v>
      </c>
      <c r="AB77" s="10">
        <f>INDEX(Assumptions!D$110:D$111,MATCH(LEFT($T77,3),Assumptions!$B$110:$B$111,0))</f>
        <v>50</v>
      </c>
      <c r="AC77" s="10">
        <f>INDEX(Assumptions!E$110:E$111,MATCH(LEFT($T77,3),Assumptions!$B$110:$B$111,0))</f>
        <v>32.799999999999997</v>
      </c>
      <c r="AD77" s="10">
        <f t="shared" si="20"/>
        <v>-36.64</v>
      </c>
      <c r="AE77" s="10">
        <f t="shared" si="21"/>
        <v>-36.64</v>
      </c>
      <c r="AF77" s="10">
        <f t="shared" si="22"/>
        <v>-53.84</v>
      </c>
    </row>
    <row r="78" spans="19:32" x14ac:dyDescent="0.35">
      <c r="S78" t="s">
        <v>107</v>
      </c>
      <c r="T78" s="29" t="s">
        <v>96</v>
      </c>
      <c r="U78" t="s">
        <v>247</v>
      </c>
      <c r="V78" t="s">
        <v>92</v>
      </c>
      <c r="W78">
        <v>2037</v>
      </c>
      <c r="X78" s="58">
        <f t="shared" si="23"/>
        <v>0.26603816373050482</v>
      </c>
      <c r="Y78">
        <f t="shared" si="18"/>
        <v>1.2062545446391175E-2</v>
      </c>
      <c r="Z78" s="12">
        <f t="shared" si="19"/>
        <v>84.689534200285678</v>
      </c>
      <c r="AA78" s="10">
        <f>INDEX(Assumptions!C$110:C$111,MATCH(LEFT($T78,3),Assumptions!$B$110:$B$111,0))</f>
        <v>50</v>
      </c>
      <c r="AB78" s="10">
        <f>INDEX(Assumptions!D$110:D$111,MATCH(LEFT($T78,3),Assumptions!$B$110:$B$111,0))</f>
        <v>50</v>
      </c>
      <c r="AC78" s="10">
        <f>INDEX(Assumptions!E$110:E$111,MATCH(LEFT($T78,3),Assumptions!$B$110:$B$111,0))</f>
        <v>32.799999999999997</v>
      </c>
      <c r="AD78" s="10">
        <f t="shared" si="20"/>
        <v>-36.64</v>
      </c>
      <c r="AE78" s="10">
        <f t="shared" si="21"/>
        <v>-36.64</v>
      </c>
      <c r="AF78" s="10">
        <f t="shared" si="22"/>
        <v>-53.84</v>
      </c>
    </row>
    <row r="79" spans="19:32" x14ac:dyDescent="0.35">
      <c r="S79" t="s">
        <v>107</v>
      </c>
      <c r="T79" s="29" t="s">
        <v>96</v>
      </c>
      <c r="U79" t="s">
        <v>247</v>
      </c>
      <c r="V79" t="s">
        <v>92</v>
      </c>
      <c r="W79">
        <v>2038</v>
      </c>
      <c r="X79" s="58">
        <f t="shared" si="23"/>
        <v>0.31392503320199566</v>
      </c>
      <c r="Y79">
        <f t="shared" si="18"/>
        <v>1.4801773955504038E-2</v>
      </c>
      <c r="Z79" s="12">
        <f t="shared" si="19"/>
        <v>103.92129482128423</v>
      </c>
      <c r="AA79" s="10">
        <f>INDEX(Assumptions!C$110:C$111,MATCH(LEFT($T79,3),Assumptions!$B$110:$B$111,0))</f>
        <v>50</v>
      </c>
      <c r="AB79" s="10">
        <f>INDEX(Assumptions!D$110:D$111,MATCH(LEFT($T79,3),Assumptions!$B$110:$B$111,0))</f>
        <v>50</v>
      </c>
      <c r="AC79" s="10">
        <f>INDEX(Assumptions!E$110:E$111,MATCH(LEFT($T79,3),Assumptions!$B$110:$B$111,0))</f>
        <v>32.799999999999997</v>
      </c>
      <c r="AD79" s="10">
        <f t="shared" si="20"/>
        <v>-36.64</v>
      </c>
      <c r="AE79" s="10">
        <f t="shared" si="21"/>
        <v>-36.64</v>
      </c>
      <c r="AF79" s="10">
        <f t="shared" si="22"/>
        <v>-53.84</v>
      </c>
    </row>
    <row r="80" spans="19:32" x14ac:dyDescent="0.35">
      <c r="S80" t="s">
        <v>107</v>
      </c>
      <c r="T80" s="29" t="s">
        <v>96</v>
      </c>
      <c r="U80" t="s">
        <v>247</v>
      </c>
      <c r="V80" t="s">
        <v>92</v>
      </c>
      <c r="W80">
        <v>2039</v>
      </c>
      <c r="X80" s="58">
        <f t="shared" si="23"/>
        <v>0.37043153917835486</v>
      </c>
      <c r="Y80">
        <f t="shared" si="18"/>
        <v>1.813629825543446E-2</v>
      </c>
      <c r="Z80" s="12">
        <f t="shared" si="19"/>
        <v>127.33254835775304</v>
      </c>
      <c r="AA80" s="10">
        <f>INDEX(Assumptions!C$110:C$111,MATCH(LEFT($T80,3),Assumptions!$B$110:$B$111,0))</f>
        <v>50</v>
      </c>
      <c r="AB80" s="10">
        <f>INDEX(Assumptions!D$110:D$111,MATCH(LEFT($T80,3),Assumptions!$B$110:$B$111,0))</f>
        <v>50</v>
      </c>
      <c r="AC80" s="10">
        <f>INDEX(Assumptions!E$110:E$111,MATCH(LEFT($T80,3),Assumptions!$B$110:$B$111,0))</f>
        <v>32.799999999999997</v>
      </c>
      <c r="AD80" s="10">
        <f t="shared" si="20"/>
        <v>-36.64</v>
      </c>
      <c r="AE80" s="10">
        <f t="shared" si="21"/>
        <v>-36.64</v>
      </c>
      <c r="AF80" s="10">
        <f t="shared" si="22"/>
        <v>-53.84</v>
      </c>
    </row>
    <row r="81" spans="19:32" x14ac:dyDescent="0.35">
      <c r="S81" t="s">
        <v>107</v>
      </c>
      <c r="T81" s="29" t="s">
        <v>96</v>
      </c>
      <c r="U81" t="s">
        <v>247</v>
      </c>
      <c r="V81" t="s">
        <v>92</v>
      </c>
      <c r="W81">
        <v>2040</v>
      </c>
      <c r="X81" s="58">
        <f t="shared" si="23"/>
        <v>0.43710921623045873</v>
      </c>
      <c r="Y81">
        <f t="shared" si="18"/>
        <v>2.2191673827181499E-2</v>
      </c>
      <c r="Z81" s="12">
        <f t="shared" si="19"/>
        <v>155.80480321514096</v>
      </c>
      <c r="AA81" s="10">
        <f>INDEX(Assumptions!C$110:C$111,MATCH(LEFT($T81,3),Assumptions!$B$110:$B$111,0))</f>
        <v>50</v>
      </c>
      <c r="AB81" s="10">
        <f>INDEX(Assumptions!D$110:D$111,MATCH(LEFT($T81,3),Assumptions!$B$110:$B$111,0))</f>
        <v>50</v>
      </c>
      <c r="AC81" s="10">
        <f>INDEX(Assumptions!E$110:E$111,MATCH(LEFT($T81,3),Assumptions!$B$110:$B$111,0))</f>
        <v>32.799999999999997</v>
      </c>
      <c r="AD81" s="10">
        <f t="shared" si="20"/>
        <v>-36.64</v>
      </c>
      <c r="AE81" s="10">
        <f t="shared" si="21"/>
        <v>-36.64</v>
      </c>
      <c r="AF81" s="10">
        <f t="shared" si="22"/>
        <v>-53.84</v>
      </c>
    </row>
    <row r="82" spans="19:32" x14ac:dyDescent="0.35">
      <c r="S82" t="s">
        <v>107</v>
      </c>
      <c r="T82" s="29" t="s">
        <v>96</v>
      </c>
      <c r="U82" t="s">
        <v>247</v>
      </c>
      <c r="V82" t="s">
        <v>92</v>
      </c>
      <c r="W82">
        <v>2041</v>
      </c>
      <c r="X82" s="58">
        <f t="shared" si="23"/>
        <v>0.51578887515194127</v>
      </c>
      <c r="Y82">
        <f t="shared" si="18"/>
        <v>2.7119368541276192E-2</v>
      </c>
      <c r="Z82" s="12">
        <f t="shared" si="19"/>
        <v>190.40149525436087</v>
      </c>
      <c r="AA82" s="10">
        <f>INDEX(Assumptions!C$110:C$111,MATCH(LEFT($T82,3),Assumptions!$B$110:$B$111,0))</f>
        <v>50</v>
      </c>
      <c r="AB82" s="10">
        <f>INDEX(Assumptions!D$110:D$111,MATCH(LEFT($T82,3),Assumptions!$B$110:$B$111,0))</f>
        <v>50</v>
      </c>
      <c r="AC82" s="10">
        <f>INDEX(Assumptions!E$110:E$111,MATCH(LEFT($T82,3),Assumptions!$B$110:$B$111,0))</f>
        <v>32.799999999999997</v>
      </c>
      <c r="AD82" s="10">
        <f t="shared" si="20"/>
        <v>-36.64</v>
      </c>
      <c r="AE82" s="10">
        <f t="shared" si="21"/>
        <v>-36.64</v>
      </c>
      <c r="AF82" s="10">
        <f t="shared" si="22"/>
        <v>-53.84</v>
      </c>
    </row>
    <row r="83" spans="19:32" x14ac:dyDescent="0.35">
      <c r="S83" t="s">
        <v>107</v>
      </c>
      <c r="T83" s="29" t="s">
        <v>96</v>
      </c>
      <c r="U83" t="s">
        <v>247</v>
      </c>
      <c r="V83" t="s">
        <v>92</v>
      </c>
      <c r="W83">
        <v>2042</v>
      </c>
      <c r="X83" s="58">
        <f t="shared" si="23"/>
        <v>0.60863087267929061</v>
      </c>
      <c r="Y83">
        <f t="shared" si="18"/>
        <v>3.310202312043832E-2</v>
      </c>
      <c r="Z83" s="12">
        <f t="shared" si="19"/>
        <v>232.40492080348736</v>
      </c>
      <c r="AA83" s="10">
        <f>INDEX(Assumptions!C$110:C$111,MATCH(LEFT($T83,3),Assumptions!$B$110:$B$111,0))</f>
        <v>50</v>
      </c>
      <c r="AB83" s="10">
        <f>INDEX(Assumptions!D$110:D$111,MATCH(LEFT($T83,3),Assumptions!$B$110:$B$111,0))</f>
        <v>50</v>
      </c>
      <c r="AC83" s="10">
        <f>INDEX(Assumptions!E$110:E$111,MATCH(LEFT($T83,3),Assumptions!$B$110:$B$111,0))</f>
        <v>32.799999999999997</v>
      </c>
      <c r="AD83" s="10">
        <f t="shared" si="20"/>
        <v>-36.64</v>
      </c>
      <c r="AE83" s="10">
        <f t="shared" si="21"/>
        <v>-36.64</v>
      </c>
      <c r="AF83" s="10">
        <f t="shared" si="22"/>
        <v>-53.84</v>
      </c>
    </row>
    <row r="84" spans="19:32" x14ac:dyDescent="0.35">
      <c r="S84" t="s">
        <v>107</v>
      </c>
      <c r="T84" s="29" t="s">
        <v>96</v>
      </c>
      <c r="U84" t="s">
        <v>247</v>
      </c>
      <c r="V84" t="s">
        <v>92</v>
      </c>
      <c r="W84">
        <v>2043</v>
      </c>
      <c r="X84" s="58">
        <f t="shared" si="23"/>
        <v>0.71818442976156283</v>
      </c>
      <c r="Y84">
        <f t="shared" si="18"/>
        <v>4.0359765807382937E-2</v>
      </c>
      <c r="Z84" s="12">
        <f t="shared" si="19"/>
        <v>283.36057110420887</v>
      </c>
      <c r="AA84" s="10">
        <f>INDEX(Assumptions!C$110:C$111,MATCH(LEFT($T84,3),Assumptions!$B$110:$B$111,0))</f>
        <v>50</v>
      </c>
      <c r="AB84" s="10">
        <f>INDEX(Assumptions!D$110:D$111,MATCH(LEFT($T84,3),Assumptions!$B$110:$B$111,0))</f>
        <v>50</v>
      </c>
      <c r="AC84" s="10">
        <f>INDEX(Assumptions!E$110:E$111,MATCH(LEFT($T84,3),Assumptions!$B$110:$B$111,0))</f>
        <v>32.799999999999997</v>
      </c>
      <c r="AD84" s="10">
        <f t="shared" si="20"/>
        <v>-36.64</v>
      </c>
      <c r="AE84" s="10">
        <f t="shared" si="21"/>
        <v>-36.64</v>
      </c>
      <c r="AF84" s="10">
        <f t="shared" si="22"/>
        <v>-53.84</v>
      </c>
    </row>
    <row r="85" spans="19:32" x14ac:dyDescent="0.35">
      <c r="S85" t="s">
        <v>107</v>
      </c>
      <c r="T85" s="29" t="s">
        <v>96</v>
      </c>
      <c r="U85" t="s">
        <v>247</v>
      </c>
      <c r="V85" t="s">
        <v>92</v>
      </c>
      <c r="W85">
        <v>2044</v>
      </c>
      <c r="X85" s="58">
        <f>X86/1.18</f>
        <v>0.84745762711864414</v>
      </c>
      <c r="Y85">
        <f t="shared" si="18"/>
        <v>4.9157790312508394E-2</v>
      </c>
      <c r="Z85" s="12">
        <f t="shared" si="19"/>
        <v>345.13033607903759</v>
      </c>
      <c r="AA85" s="10">
        <f>INDEX(Assumptions!C$110:C$111,MATCH(LEFT($T85,3),Assumptions!$B$110:$B$111,0))</f>
        <v>50</v>
      </c>
      <c r="AB85" s="10">
        <f>INDEX(Assumptions!D$110:D$111,MATCH(LEFT($T85,3),Assumptions!$B$110:$B$111,0))</f>
        <v>50</v>
      </c>
      <c r="AC85" s="10">
        <f>INDEX(Assumptions!E$110:E$111,MATCH(LEFT($T85,3),Assumptions!$B$110:$B$111,0))</f>
        <v>32.799999999999997</v>
      </c>
      <c r="AD85" s="10">
        <f t="shared" si="20"/>
        <v>-36.64</v>
      </c>
      <c r="AE85" s="10">
        <f t="shared" si="21"/>
        <v>-36.64</v>
      </c>
      <c r="AF85" s="10">
        <f t="shared" si="22"/>
        <v>-53.84</v>
      </c>
    </row>
    <row r="86" spans="19:32" x14ac:dyDescent="0.35">
      <c r="S86" t="s">
        <v>107</v>
      </c>
      <c r="T86" s="29" t="s">
        <v>96</v>
      </c>
      <c r="U86" t="s">
        <v>247</v>
      </c>
      <c r="V86" t="s">
        <v>92</v>
      </c>
      <c r="W86">
        <v>2045</v>
      </c>
      <c r="X86" s="2">
        <f>AS4</f>
        <v>1</v>
      </c>
      <c r="Y86">
        <f>INDEX($AR$8:$AR$28,MATCH(W86,$AQ$8:$AQ$28,0))*X86</f>
        <v>5.98154472273199E-2</v>
      </c>
      <c r="Z86" s="12">
        <f t="shared" si="19"/>
        <v>419.95633394102902</v>
      </c>
      <c r="AA86" s="10">
        <f>INDEX(Assumptions!C$110:C$111,MATCH(LEFT($T86,3),Assumptions!$B$110:$B$111,0))</f>
        <v>50</v>
      </c>
      <c r="AB86" s="10">
        <f>INDEX(Assumptions!D$110:D$111,MATCH(LEFT($T86,3),Assumptions!$B$110:$B$111,0))</f>
        <v>50</v>
      </c>
      <c r="AC86" s="10">
        <f>INDEX(Assumptions!E$110:E$111,MATCH(LEFT($T86,3),Assumptions!$B$110:$B$111,0))</f>
        <v>32.799999999999997</v>
      </c>
      <c r="AD86" s="10">
        <f t="shared" si="20"/>
        <v>-36.64</v>
      </c>
      <c r="AE86" s="10">
        <f t="shared" si="21"/>
        <v>-36.64</v>
      </c>
      <c r="AF86" s="10">
        <f t="shared" si="22"/>
        <v>-53.84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61B01-D43B-4BB6-A10F-8666C9C1BB50}">
  <dimension ref="A1:M20"/>
  <sheetViews>
    <sheetView workbookViewId="0">
      <selection activeCell="L29" sqref="L29"/>
    </sheetView>
  </sheetViews>
  <sheetFormatPr defaultColWidth="8.83203125" defaultRowHeight="15.5" x14ac:dyDescent="0.35"/>
  <sheetData>
    <row r="1" spans="1:13" x14ac:dyDescent="0.35">
      <c r="A1" s="17" t="s">
        <v>111</v>
      </c>
      <c r="H1" s="17" t="s">
        <v>139</v>
      </c>
    </row>
    <row r="2" spans="1:13" x14ac:dyDescent="0.35">
      <c r="A2" t="s">
        <v>254</v>
      </c>
      <c r="B2" t="s">
        <v>255</v>
      </c>
      <c r="C2" t="s">
        <v>256</v>
      </c>
      <c r="D2" t="s">
        <v>0</v>
      </c>
      <c r="E2" t="s">
        <v>257</v>
      </c>
      <c r="F2" t="s">
        <v>258</v>
      </c>
      <c r="H2" t="s">
        <v>254</v>
      </c>
      <c r="I2" t="s">
        <v>255</v>
      </c>
      <c r="J2" t="s">
        <v>259</v>
      </c>
      <c r="K2" t="s">
        <v>0</v>
      </c>
      <c r="L2" t="s">
        <v>257</v>
      </c>
      <c r="M2" t="s">
        <v>258</v>
      </c>
    </row>
    <row r="3" spans="1:13" x14ac:dyDescent="0.35">
      <c r="A3" t="s">
        <v>260</v>
      </c>
      <c r="B3" t="s">
        <v>261</v>
      </c>
      <c r="C3" t="s">
        <v>262</v>
      </c>
      <c r="D3">
        <v>2025</v>
      </c>
      <c r="E3">
        <v>0</v>
      </c>
      <c r="F3" t="s">
        <v>263</v>
      </c>
      <c r="H3" t="s">
        <v>260</v>
      </c>
      <c r="I3" t="s">
        <v>261</v>
      </c>
      <c r="J3" t="s">
        <v>264</v>
      </c>
      <c r="K3">
        <v>2025</v>
      </c>
      <c r="L3">
        <v>0</v>
      </c>
      <c r="M3" t="s">
        <v>263</v>
      </c>
    </row>
    <row r="4" spans="1:13" x14ac:dyDescent="0.35">
      <c r="A4" t="s">
        <v>260</v>
      </c>
      <c r="B4" t="s">
        <v>261</v>
      </c>
      <c r="C4" t="s">
        <v>262</v>
      </c>
      <c r="D4">
        <v>2030</v>
      </c>
      <c r="E4">
        <v>0</v>
      </c>
      <c r="F4" t="s">
        <v>263</v>
      </c>
      <c r="H4" t="s">
        <v>260</v>
      </c>
      <c r="I4" t="s">
        <v>261</v>
      </c>
      <c r="J4" t="s">
        <v>264</v>
      </c>
      <c r="K4">
        <v>2030</v>
      </c>
      <c r="L4">
        <v>0</v>
      </c>
      <c r="M4" t="s">
        <v>263</v>
      </c>
    </row>
    <row r="5" spans="1:13" x14ac:dyDescent="0.35">
      <c r="A5" t="s">
        <v>260</v>
      </c>
      <c r="B5" t="s">
        <v>261</v>
      </c>
      <c r="C5" t="s">
        <v>262</v>
      </c>
      <c r="D5">
        <v>2035</v>
      </c>
      <c r="E5">
        <v>1E-3</v>
      </c>
      <c r="F5" t="s">
        <v>263</v>
      </c>
      <c r="H5" t="s">
        <v>260</v>
      </c>
      <c r="I5" t="s">
        <v>261</v>
      </c>
      <c r="J5" t="s">
        <v>264</v>
      </c>
      <c r="K5">
        <v>2035</v>
      </c>
      <c r="L5">
        <v>0</v>
      </c>
      <c r="M5" t="s">
        <v>263</v>
      </c>
    </row>
    <row r="6" spans="1:13" x14ac:dyDescent="0.35">
      <c r="A6" t="s">
        <v>260</v>
      </c>
      <c r="B6" t="s">
        <v>261</v>
      </c>
      <c r="C6" t="s">
        <v>262</v>
      </c>
      <c r="D6">
        <v>2040</v>
      </c>
      <c r="E6">
        <v>1E-3</v>
      </c>
      <c r="F6" t="s">
        <v>263</v>
      </c>
      <c r="H6" t="s">
        <v>260</v>
      </c>
      <c r="I6" t="s">
        <v>261</v>
      </c>
      <c r="J6" t="s">
        <v>264</v>
      </c>
      <c r="K6">
        <v>2040</v>
      </c>
      <c r="L6">
        <v>0</v>
      </c>
      <c r="M6" t="s">
        <v>263</v>
      </c>
    </row>
    <row r="7" spans="1:13" x14ac:dyDescent="0.35">
      <c r="A7" t="s">
        <v>260</v>
      </c>
      <c r="B7" t="s">
        <v>261</v>
      </c>
      <c r="C7" t="s">
        <v>262</v>
      </c>
      <c r="D7">
        <v>2045</v>
      </c>
      <c r="E7">
        <v>2E-3</v>
      </c>
      <c r="F7" t="s">
        <v>263</v>
      </c>
      <c r="H7" t="s">
        <v>260</v>
      </c>
      <c r="I7" t="s">
        <v>261</v>
      </c>
      <c r="J7" t="s">
        <v>264</v>
      </c>
      <c r="K7">
        <v>2045</v>
      </c>
      <c r="L7">
        <v>0</v>
      </c>
      <c r="M7" t="s">
        <v>263</v>
      </c>
    </row>
    <row r="8" spans="1:13" x14ac:dyDescent="0.35">
      <c r="A8" t="s">
        <v>260</v>
      </c>
      <c r="B8" t="s">
        <v>261</v>
      </c>
      <c r="C8" t="s">
        <v>262</v>
      </c>
      <c r="D8">
        <v>2050</v>
      </c>
      <c r="E8">
        <v>4.0000000000000001E-3</v>
      </c>
      <c r="F8" t="s">
        <v>263</v>
      </c>
      <c r="H8" t="s">
        <v>260</v>
      </c>
      <c r="I8" t="s">
        <v>261</v>
      </c>
      <c r="J8" t="s">
        <v>264</v>
      </c>
      <c r="K8">
        <v>2050</v>
      </c>
      <c r="L8">
        <v>0</v>
      </c>
      <c r="M8" t="s">
        <v>263</v>
      </c>
    </row>
    <row r="9" spans="1:13" x14ac:dyDescent="0.35">
      <c r="H9" t="s">
        <v>260</v>
      </c>
      <c r="I9" t="s">
        <v>261</v>
      </c>
      <c r="J9" t="s">
        <v>265</v>
      </c>
      <c r="K9">
        <v>2025</v>
      </c>
      <c r="L9">
        <v>0</v>
      </c>
      <c r="M9" t="s">
        <v>263</v>
      </c>
    </row>
    <row r="10" spans="1:13" x14ac:dyDescent="0.35">
      <c r="H10" t="s">
        <v>260</v>
      </c>
      <c r="I10" t="s">
        <v>261</v>
      </c>
      <c r="J10" t="s">
        <v>265</v>
      </c>
      <c r="K10">
        <v>2030</v>
      </c>
      <c r="L10">
        <v>0</v>
      </c>
      <c r="M10" t="s">
        <v>263</v>
      </c>
    </row>
    <row r="11" spans="1:13" x14ac:dyDescent="0.35">
      <c r="H11" t="s">
        <v>260</v>
      </c>
      <c r="I11" t="s">
        <v>261</v>
      </c>
      <c r="J11" t="s">
        <v>265</v>
      </c>
      <c r="K11">
        <v>2035</v>
      </c>
      <c r="L11">
        <v>0</v>
      </c>
      <c r="M11" t="s">
        <v>263</v>
      </c>
    </row>
    <row r="12" spans="1:13" x14ac:dyDescent="0.35">
      <c r="H12" t="s">
        <v>260</v>
      </c>
      <c r="I12" t="s">
        <v>261</v>
      </c>
      <c r="J12" t="s">
        <v>265</v>
      </c>
      <c r="K12">
        <v>2040</v>
      </c>
      <c r="L12">
        <v>3.0000000000000001E-3</v>
      </c>
      <c r="M12" t="s">
        <v>263</v>
      </c>
    </row>
    <row r="13" spans="1:13" x14ac:dyDescent="0.35">
      <c r="H13" t="s">
        <v>260</v>
      </c>
      <c r="I13" t="s">
        <v>261</v>
      </c>
      <c r="J13" t="s">
        <v>265</v>
      </c>
      <c r="K13">
        <v>2045</v>
      </c>
      <c r="L13">
        <v>0.01</v>
      </c>
      <c r="M13" t="s">
        <v>263</v>
      </c>
    </row>
    <row r="14" spans="1:13" x14ac:dyDescent="0.35">
      <c r="H14" t="s">
        <v>260</v>
      </c>
      <c r="I14" t="s">
        <v>261</v>
      </c>
      <c r="J14" t="s">
        <v>265</v>
      </c>
      <c r="K14">
        <v>2050</v>
      </c>
      <c r="L14">
        <v>1.4E-2</v>
      </c>
      <c r="M14" t="s">
        <v>263</v>
      </c>
    </row>
    <row r="15" spans="1:13" x14ac:dyDescent="0.35">
      <c r="H15" t="s">
        <v>260</v>
      </c>
      <c r="I15" t="s">
        <v>261</v>
      </c>
      <c r="J15" t="s">
        <v>266</v>
      </c>
      <c r="K15">
        <v>2025</v>
      </c>
      <c r="L15">
        <v>3.0000000000000001E-3</v>
      </c>
      <c r="M15" t="s">
        <v>263</v>
      </c>
    </row>
    <row r="16" spans="1:13" x14ac:dyDescent="0.35">
      <c r="H16" t="s">
        <v>260</v>
      </c>
      <c r="I16" t="s">
        <v>261</v>
      </c>
      <c r="J16" t="s">
        <v>266</v>
      </c>
      <c r="K16">
        <v>2030</v>
      </c>
      <c r="L16">
        <v>2.9000000000000001E-2</v>
      </c>
      <c r="M16" t="s">
        <v>263</v>
      </c>
    </row>
    <row r="17" spans="8:13" x14ac:dyDescent="0.35">
      <c r="H17" t="s">
        <v>260</v>
      </c>
      <c r="I17" t="s">
        <v>261</v>
      </c>
      <c r="J17" t="s">
        <v>266</v>
      </c>
      <c r="K17">
        <v>2035</v>
      </c>
      <c r="L17">
        <v>3.7999999999999999E-2</v>
      </c>
      <c r="M17" t="s">
        <v>263</v>
      </c>
    </row>
    <row r="18" spans="8:13" x14ac:dyDescent="0.35">
      <c r="H18" t="s">
        <v>260</v>
      </c>
      <c r="I18" t="s">
        <v>261</v>
      </c>
      <c r="J18" t="s">
        <v>266</v>
      </c>
      <c r="K18">
        <v>2040</v>
      </c>
      <c r="L18">
        <v>4.8000000000000001E-2</v>
      </c>
      <c r="M18" t="s">
        <v>263</v>
      </c>
    </row>
    <row r="19" spans="8:13" x14ac:dyDescent="0.35">
      <c r="H19" t="s">
        <v>260</v>
      </c>
      <c r="I19" t="s">
        <v>261</v>
      </c>
      <c r="J19" t="s">
        <v>266</v>
      </c>
      <c r="K19">
        <v>2045</v>
      </c>
      <c r="L19">
        <v>4.5999999999999999E-2</v>
      </c>
      <c r="M19" t="s">
        <v>263</v>
      </c>
    </row>
    <row r="20" spans="8:13" x14ac:dyDescent="0.35">
      <c r="H20" t="s">
        <v>260</v>
      </c>
      <c r="I20" t="s">
        <v>261</v>
      </c>
      <c r="J20" t="s">
        <v>266</v>
      </c>
      <c r="K20">
        <v>2050</v>
      </c>
      <c r="L20">
        <v>5.7000000000000002E-2</v>
      </c>
      <c r="M20" t="s">
        <v>263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1FB5-7027-4955-9272-305A52861027}">
  <dimension ref="A1:M166"/>
  <sheetViews>
    <sheetView workbookViewId="0">
      <selection activeCell="E32" sqref="E32"/>
    </sheetView>
  </sheetViews>
  <sheetFormatPr defaultColWidth="8.83203125" defaultRowHeight="15.5" x14ac:dyDescent="0.35"/>
  <cols>
    <col min="1" max="1" width="29.08203125" customWidth="1"/>
    <col min="2" max="2" width="36.58203125" customWidth="1"/>
    <col min="3" max="4" width="38.83203125" customWidth="1"/>
    <col min="5" max="5" width="35.5" customWidth="1"/>
    <col min="6" max="6" width="25.08203125" customWidth="1"/>
    <col min="7" max="7" width="13.08203125" customWidth="1"/>
    <col min="8" max="8" width="11.83203125" bestFit="1" customWidth="1"/>
    <col min="10" max="10" width="12.58203125" bestFit="1" customWidth="1"/>
    <col min="11" max="11" width="11.83203125" bestFit="1" customWidth="1"/>
  </cols>
  <sheetData>
    <row r="1" spans="1:13" x14ac:dyDescent="0.35">
      <c r="A1" s="5" t="s">
        <v>267</v>
      </c>
      <c r="B1" t="s">
        <v>268</v>
      </c>
    </row>
    <row r="2" spans="1:13" x14ac:dyDescent="0.35">
      <c r="A2" t="s">
        <v>269</v>
      </c>
      <c r="B2" t="s">
        <v>270</v>
      </c>
      <c r="C2" t="s">
        <v>271</v>
      </c>
      <c r="D2" t="s">
        <v>45</v>
      </c>
      <c r="E2" t="s">
        <v>272</v>
      </c>
      <c r="F2" t="s">
        <v>273</v>
      </c>
      <c r="G2" t="s">
        <v>274</v>
      </c>
      <c r="H2" t="s">
        <v>275</v>
      </c>
    </row>
    <row r="3" spans="1:13" x14ac:dyDescent="0.35">
      <c r="A3" t="s">
        <v>276</v>
      </c>
      <c r="B3" t="s">
        <v>277</v>
      </c>
      <c r="C3">
        <v>167</v>
      </c>
      <c r="D3" t="s">
        <v>278</v>
      </c>
      <c r="E3">
        <v>165</v>
      </c>
      <c r="F3" s="2">
        <v>0.73</v>
      </c>
      <c r="G3">
        <v>120</v>
      </c>
      <c r="H3" t="s">
        <v>279</v>
      </c>
    </row>
    <row r="4" spans="1:13" x14ac:dyDescent="0.35">
      <c r="A4" t="s">
        <v>280</v>
      </c>
      <c r="B4" t="s">
        <v>281</v>
      </c>
      <c r="C4">
        <v>8.6</v>
      </c>
      <c r="D4" t="s">
        <v>282</v>
      </c>
      <c r="E4">
        <v>225</v>
      </c>
      <c r="F4" s="3">
        <v>0.53500000000000003</v>
      </c>
      <c r="G4">
        <v>120</v>
      </c>
      <c r="H4" t="s">
        <v>279</v>
      </c>
    </row>
    <row r="5" spans="1:13" x14ac:dyDescent="0.35">
      <c r="A5" t="s">
        <v>283</v>
      </c>
      <c r="B5" t="s">
        <v>284</v>
      </c>
      <c r="C5" s="1">
        <v>4.6199999999999998E-5</v>
      </c>
      <c r="D5" t="s">
        <v>285</v>
      </c>
      <c r="E5">
        <v>240</v>
      </c>
      <c r="F5" s="3">
        <v>0.502</v>
      </c>
      <c r="G5">
        <v>120</v>
      </c>
      <c r="H5" t="s">
        <v>279</v>
      </c>
    </row>
    <row r="6" spans="1:13" x14ac:dyDescent="0.35">
      <c r="A6" t="s">
        <v>84</v>
      </c>
      <c r="B6" t="s">
        <v>286</v>
      </c>
      <c r="C6">
        <v>13</v>
      </c>
      <c r="D6" t="s">
        <v>287</v>
      </c>
      <c r="E6">
        <v>242</v>
      </c>
      <c r="F6" s="3">
        <v>0.48299999999999998</v>
      </c>
      <c r="G6">
        <v>120</v>
      </c>
      <c r="H6" t="s">
        <v>279</v>
      </c>
    </row>
    <row r="7" spans="1:13" x14ac:dyDescent="0.35">
      <c r="A7" t="s">
        <v>288</v>
      </c>
      <c r="B7" t="s">
        <v>277</v>
      </c>
      <c r="C7">
        <v>3.29</v>
      </c>
      <c r="D7" t="s">
        <v>289</v>
      </c>
      <c r="E7">
        <v>165</v>
      </c>
      <c r="F7" s="2">
        <v>0.73</v>
      </c>
      <c r="G7">
        <v>120</v>
      </c>
      <c r="H7" t="s">
        <v>279</v>
      </c>
    </row>
    <row r="8" spans="1:13" x14ac:dyDescent="0.35">
      <c r="A8" t="s">
        <v>80</v>
      </c>
      <c r="B8" t="s">
        <v>290</v>
      </c>
      <c r="C8">
        <v>51.3</v>
      </c>
      <c r="D8" t="s">
        <v>291</v>
      </c>
      <c r="E8">
        <v>185</v>
      </c>
      <c r="F8" s="3">
        <v>0.64900000000000002</v>
      </c>
      <c r="G8">
        <v>120</v>
      </c>
      <c r="H8" t="s">
        <v>279</v>
      </c>
    </row>
    <row r="9" spans="1:13" x14ac:dyDescent="0.35">
      <c r="A9" t="s">
        <v>83</v>
      </c>
      <c r="B9" t="s">
        <v>290</v>
      </c>
      <c r="C9">
        <v>51.3</v>
      </c>
      <c r="D9" t="s">
        <v>291</v>
      </c>
      <c r="E9">
        <v>185</v>
      </c>
      <c r="F9" s="3">
        <v>0.64900000000000002</v>
      </c>
      <c r="G9">
        <v>120</v>
      </c>
      <c r="H9" t="s">
        <v>279</v>
      </c>
    </row>
    <row r="10" spans="1:13" x14ac:dyDescent="0.35">
      <c r="A10" t="s">
        <v>292</v>
      </c>
      <c r="B10" t="s">
        <v>290</v>
      </c>
      <c r="C10">
        <v>51.3</v>
      </c>
      <c r="D10" t="s">
        <v>291</v>
      </c>
      <c r="E10">
        <v>185</v>
      </c>
      <c r="F10" s="3">
        <v>0.64900000000000002</v>
      </c>
      <c r="G10">
        <v>120</v>
      </c>
      <c r="H10" t="s">
        <v>279</v>
      </c>
      <c r="K10" s="2"/>
    </row>
    <row r="11" spans="1:13" x14ac:dyDescent="0.35">
      <c r="A11" t="s">
        <v>293</v>
      </c>
      <c r="B11" t="s">
        <v>290</v>
      </c>
      <c r="C11">
        <v>51.3</v>
      </c>
      <c r="D11" t="s">
        <v>291</v>
      </c>
      <c r="E11">
        <v>185</v>
      </c>
      <c r="F11" s="3">
        <v>0.64900000000000002</v>
      </c>
      <c r="G11">
        <v>120</v>
      </c>
      <c r="H11" t="s">
        <v>279</v>
      </c>
    </row>
    <row r="12" spans="1:13" x14ac:dyDescent="0.35">
      <c r="F12" s="3"/>
    </row>
    <row r="13" spans="1:13" x14ac:dyDescent="0.35">
      <c r="A13" s="5" t="s">
        <v>294</v>
      </c>
      <c r="M13">
        <f>J13*1000*F13/10000000000000</f>
        <v>0</v>
      </c>
    </row>
    <row r="14" spans="1:13" x14ac:dyDescent="0.35">
      <c r="A14" t="s">
        <v>269</v>
      </c>
      <c r="B14" t="s">
        <v>295</v>
      </c>
      <c r="C14" t="s">
        <v>45</v>
      </c>
      <c r="D14" t="s">
        <v>111</v>
      </c>
      <c r="H14" s="13"/>
    </row>
    <row r="15" spans="1:13" x14ac:dyDescent="0.35">
      <c r="A15" t="s">
        <v>276</v>
      </c>
      <c r="B15">
        <v>1036</v>
      </c>
      <c r="C15" t="s">
        <v>296</v>
      </c>
      <c r="D15" t="s">
        <v>297</v>
      </c>
      <c r="J15" s="13"/>
    </row>
    <row r="16" spans="1:13" x14ac:dyDescent="0.35">
      <c r="A16" t="s">
        <v>276</v>
      </c>
      <c r="B16">
        <v>1.093</v>
      </c>
      <c r="C16" t="s">
        <v>298</v>
      </c>
      <c r="D16" t="s">
        <v>299</v>
      </c>
      <c r="F16" t="s">
        <v>300</v>
      </c>
      <c r="J16" s="13"/>
    </row>
    <row r="17" spans="1:13" x14ac:dyDescent="0.35">
      <c r="A17" t="s">
        <v>301</v>
      </c>
      <c r="B17" s="10">
        <v>120</v>
      </c>
      <c r="C17" t="s">
        <v>302</v>
      </c>
      <c r="D17" t="s">
        <v>303</v>
      </c>
      <c r="G17" t="s">
        <v>304</v>
      </c>
    </row>
    <row r="18" spans="1:13" x14ac:dyDescent="0.35">
      <c r="A18" t="s">
        <v>305</v>
      </c>
      <c r="B18">
        <v>18.600000000000001</v>
      </c>
      <c r="C18" t="s">
        <v>306</v>
      </c>
      <c r="D18" t="s">
        <v>307</v>
      </c>
      <c r="G18">
        <f>30*365</f>
        <v>10950</v>
      </c>
      <c r="H18" t="s">
        <v>308</v>
      </c>
      <c r="I18">
        <f>G18*B17</f>
        <v>1314000</v>
      </c>
      <c r="J18" t="s">
        <v>279</v>
      </c>
      <c r="K18">
        <f>I18/10000000000000</f>
        <v>1.314E-7</v>
      </c>
      <c r="L18" t="s">
        <v>220</v>
      </c>
    </row>
    <row r="19" spans="1:13" x14ac:dyDescent="0.35">
      <c r="A19" t="s">
        <v>309</v>
      </c>
      <c r="B19">
        <v>19.7</v>
      </c>
      <c r="C19" t="s">
        <v>310</v>
      </c>
      <c r="D19" t="s">
        <v>311</v>
      </c>
      <c r="G19">
        <f>G18*2</f>
        <v>21900</v>
      </c>
      <c r="I19">
        <f>I18*2</f>
        <v>2628000</v>
      </c>
      <c r="K19">
        <f>K18*2</f>
        <v>2.628E-7</v>
      </c>
    </row>
    <row r="20" spans="1:13" x14ac:dyDescent="0.35">
      <c r="A20" t="s">
        <v>312</v>
      </c>
      <c r="B20">
        <v>50</v>
      </c>
      <c r="C20" t="s">
        <v>313</v>
      </c>
      <c r="D20" t="s">
        <v>314</v>
      </c>
    </row>
    <row r="21" spans="1:13" x14ac:dyDescent="0.35">
      <c r="A21" t="s">
        <v>315</v>
      </c>
      <c r="B21">
        <v>56.4</v>
      </c>
      <c r="C21" t="s">
        <v>316</v>
      </c>
      <c r="D21" t="s">
        <v>311</v>
      </c>
    </row>
    <row r="22" spans="1:13" x14ac:dyDescent="0.35">
      <c r="A22" t="s">
        <v>41</v>
      </c>
      <c r="B22">
        <v>293.07</v>
      </c>
      <c r="C22" t="s">
        <v>317</v>
      </c>
      <c r="D22" t="s">
        <v>318</v>
      </c>
      <c r="F22" s="22" t="s">
        <v>319</v>
      </c>
    </row>
    <row r="23" spans="1:13" x14ac:dyDescent="0.35">
      <c r="A23" t="s">
        <v>41</v>
      </c>
      <c r="B23" s="6">
        <f>B22/1055/1000</f>
        <v>2.7779146919431279E-4</v>
      </c>
      <c r="C23" t="s">
        <v>320</v>
      </c>
      <c r="D23" t="s">
        <v>321</v>
      </c>
    </row>
    <row r="24" spans="1:13" x14ac:dyDescent="0.35">
      <c r="A24" t="s">
        <v>41</v>
      </c>
      <c r="B24" s="1">
        <f>1/B23/1000000000000</f>
        <v>3.5998225679871703E-9</v>
      </c>
      <c r="C24" t="s">
        <v>82</v>
      </c>
      <c r="D24" t="s">
        <v>321</v>
      </c>
    </row>
    <row r="25" spans="1:13" x14ac:dyDescent="0.35">
      <c r="H25" s="9"/>
    </row>
    <row r="26" spans="1:13" x14ac:dyDescent="0.35">
      <c r="A26" s="5" t="s">
        <v>322</v>
      </c>
    </row>
    <row r="27" spans="1:13" x14ac:dyDescent="0.35">
      <c r="A27" t="s">
        <v>323</v>
      </c>
      <c r="B27" t="s">
        <v>324</v>
      </c>
      <c r="C27" t="s">
        <v>325</v>
      </c>
      <c r="D27" t="s">
        <v>326</v>
      </c>
      <c r="E27" t="s">
        <v>327</v>
      </c>
      <c r="F27" t="s">
        <v>328</v>
      </c>
    </row>
    <row r="28" spans="1:13" x14ac:dyDescent="0.35">
      <c r="A28" t="s">
        <v>329</v>
      </c>
      <c r="B28" s="13">
        <v>12400000</v>
      </c>
    </row>
    <row r="29" spans="1:13" ht="31" x14ac:dyDescent="0.35">
      <c r="A29" t="s">
        <v>111</v>
      </c>
      <c r="B29" s="16" t="s">
        <v>330</v>
      </c>
      <c r="M29" t="s">
        <v>331</v>
      </c>
    </row>
    <row r="32" spans="1:13" x14ac:dyDescent="0.35">
      <c r="A32" s="5" t="s">
        <v>332</v>
      </c>
      <c r="C32" t="s">
        <v>333</v>
      </c>
      <c r="M32" t="s">
        <v>74</v>
      </c>
    </row>
    <row r="33" spans="1:13" x14ac:dyDescent="0.35">
      <c r="A33" t="s">
        <v>157</v>
      </c>
      <c r="B33" t="s">
        <v>334</v>
      </c>
      <c r="C33" t="s">
        <v>335</v>
      </c>
    </row>
    <row r="34" spans="1:13" x14ac:dyDescent="0.35">
      <c r="A34" t="s">
        <v>336</v>
      </c>
      <c r="B34">
        <v>2.8</v>
      </c>
      <c r="C34" t="s">
        <v>234</v>
      </c>
      <c r="M34" t="s">
        <v>191</v>
      </c>
    </row>
    <row r="35" spans="1:13" x14ac:dyDescent="0.35">
      <c r="A35" t="s">
        <v>337</v>
      </c>
      <c r="B35">
        <v>4.0999999999999996</v>
      </c>
      <c r="C35" t="s">
        <v>338</v>
      </c>
      <c r="D35" t="s">
        <v>339</v>
      </c>
    </row>
    <row r="36" spans="1:13" x14ac:dyDescent="0.35">
      <c r="A36" t="s">
        <v>340</v>
      </c>
      <c r="B36">
        <v>2.1</v>
      </c>
    </row>
    <row r="37" spans="1:13" x14ac:dyDescent="0.35">
      <c r="A37" t="s">
        <v>341</v>
      </c>
      <c r="B37">
        <v>2.9</v>
      </c>
    </row>
    <row r="38" spans="1:13" x14ac:dyDescent="0.35">
      <c r="A38" t="s">
        <v>342</v>
      </c>
      <c r="B38">
        <v>4.0999999999999996</v>
      </c>
      <c r="C38" t="s">
        <v>343</v>
      </c>
    </row>
    <row r="39" spans="1:13" x14ac:dyDescent="0.35">
      <c r="A39" t="s">
        <v>342</v>
      </c>
      <c r="B39">
        <v>4.0999999999999996</v>
      </c>
      <c r="C39" t="s">
        <v>344</v>
      </c>
    </row>
    <row r="42" spans="1:13" x14ac:dyDescent="0.35">
      <c r="A42" s="5" t="s">
        <v>345</v>
      </c>
      <c r="C42" s="22" t="s">
        <v>346</v>
      </c>
    </row>
    <row r="43" spans="1:13" x14ac:dyDescent="0.35">
      <c r="A43" s="2" t="s">
        <v>347</v>
      </c>
      <c r="B43" t="s">
        <v>134</v>
      </c>
      <c r="C43" t="s">
        <v>111</v>
      </c>
    </row>
    <row r="44" spans="1:13" x14ac:dyDescent="0.35">
      <c r="A44" s="2">
        <v>0.9</v>
      </c>
      <c r="B44" t="s">
        <v>348</v>
      </c>
      <c r="C44" t="s">
        <v>349</v>
      </c>
    </row>
    <row r="47" spans="1:13" x14ac:dyDescent="0.35">
      <c r="A47" s="5" t="s">
        <v>350</v>
      </c>
    </row>
    <row r="48" spans="1:13" x14ac:dyDescent="0.35">
      <c r="A48" t="s">
        <v>198</v>
      </c>
      <c r="B48" t="s">
        <v>351</v>
      </c>
      <c r="C48" t="s">
        <v>352</v>
      </c>
    </row>
    <row r="49" spans="1:11" x14ac:dyDescent="0.35">
      <c r="A49" t="s">
        <v>353</v>
      </c>
      <c r="B49">
        <v>6</v>
      </c>
      <c r="C49">
        <v>19</v>
      </c>
    </row>
    <row r="54" spans="1:11" x14ac:dyDescent="0.35">
      <c r="A54" s="5" t="s">
        <v>354</v>
      </c>
      <c r="C54" s="22" t="s">
        <v>355</v>
      </c>
      <c r="E54" t="s">
        <v>356</v>
      </c>
    </row>
    <row r="55" spans="1:11" x14ac:dyDescent="0.35">
      <c r="A55" t="s">
        <v>42</v>
      </c>
      <c r="B55" t="s">
        <v>157</v>
      </c>
      <c r="C55" t="s">
        <v>357</v>
      </c>
      <c r="D55" t="s">
        <v>358</v>
      </c>
      <c r="E55" s="4" t="s">
        <v>359</v>
      </c>
      <c r="F55" t="s">
        <v>360</v>
      </c>
      <c r="G55" t="s">
        <v>361</v>
      </c>
      <c r="H55" t="s">
        <v>362</v>
      </c>
    </row>
    <row r="56" spans="1:11" x14ac:dyDescent="0.35">
      <c r="A56" t="s">
        <v>363</v>
      </c>
      <c r="B56" t="s">
        <v>234</v>
      </c>
      <c r="C56">
        <v>38.5</v>
      </c>
      <c r="D56">
        <v>31.8</v>
      </c>
      <c r="F56">
        <v>0</v>
      </c>
      <c r="G56">
        <f>SUM(SMR_GHG[[#This Row],[Production Process]:[Energy to Power CCS]])</f>
        <v>70.3</v>
      </c>
      <c r="H56" t="s">
        <v>364</v>
      </c>
    </row>
    <row r="57" spans="1:11" x14ac:dyDescent="0.35">
      <c r="A57" t="s">
        <v>365</v>
      </c>
      <c r="B57" t="s">
        <v>234</v>
      </c>
      <c r="C57" cm="1">
        <f t="array" ref="C57">C56*(1-CCS_capture[Efficiency])</f>
        <v>3.8499999999999992</v>
      </c>
      <c r="D57">
        <v>31.8</v>
      </c>
      <c r="F57">
        <v>8.1999999999999993</v>
      </c>
      <c r="G57">
        <f>SUM(SMR_GHG[[#This Row],[Production Process]:[Energy to Power CCS]])</f>
        <v>43.849999999999994</v>
      </c>
      <c r="H57" t="s">
        <v>364</v>
      </c>
    </row>
    <row r="58" spans="1:11" x14ac:dyDescent="0.35">
      <c r="A58" t="s">
        <v>363</v>
      </c>
      <c r="B58" t="s">
        <v>234</v>
      </c>
      <c r="G58">
        <v>117.67</v>
      </c>
      <c r="H58" t="s">
        <v>366</v>
      </c>
      <c r="K58" s="22" t="s">
        <v>367</v>
      </c>
    </row>
    <row r="59" spans="1:11" x14ac:dyDescent="0.35">
      <c r="A59" t="s">
        <v>365</v>
      </c>
      <c r="B59" t="s">
        <v>234</v>
      </c>
      <c r="C59" cm="1">
        <f t="array" ref="C59">C58*(1-CCS_capture[Efficiency])</f>
        <v>0</v>
      </c>
      <c r="D59">
        <f>D58</f>
        <v>0</v>
      </c>
      <c r="E59">
        <f>E58</f>
        <v>0</v>
      </c>
      <c r="G59" s="8">
        <f>G58*G57/G56</f>
        <v>73.397290184921758</v>
      </c>
      <c r="H59" t="s">
        <v>368</v>
      </c>
    </row>
    <row r="60" spans="1:11" x14ac:dyDescent="0.35">
      <c r="A60" t="s">
        <v>78</v>
      </c>
      <c r="B60" t="s">
        <v>369</v>
      </c>
      <c r="C60">
        <v>0</v>
      </c>
      <c r="G60">
        <v>10.51</v>
      </c>
      <c r="H60" t="s">
        <v>366</v>
      </c>
    </row>
    <row r="63" spans="1:11" x14ac:dyDescent="0.35">
      <c r="A63" s="5" t="s">
        <v>370</v>
      </c>
      <c r="C63" t="s">
        <v>371</v>
      </c>
    </row>
    <row r="64" spans="1:11" x14ac:dyDescent="0.35">
      <c r="A64" t="s">
        <v>372</v>
      </c>
      <c r="B64" t="s">
        <v>373</v>
      </c>
    </row>
    <row r="65" spans="1:6" x14ac:dyDescent="0.35">
      <c r="A65" t="s">
        <v>374</v>
      </c>
      <c r="B65">
        <v>68.400000000000006</v>
      </c>
    </row>
    <row r="66" spans="1:6" x14ac:dyDescent="0.35">
      <c r="A66" t="s">
        <v>375</v>
      </c>
      <c r="B66">
        <v>67.2</v>
      </c>
    </row>
    <row r="67" spans="1:6" x14ac:dyDescent="0.35">
      <c r="A67" t="s">
        <v>376</v>
      </c>
      <c r="B67">
        <v>68.400000000000006</v>
      </c>
    </row>
    <row r="72" spans="1:6" x14ac:dyDescent="0.35">
      <c r="C72">
        <f>1*C73</f>
        <v>2.4700000000000002</v>
      </c>
      <c r="D72">
        <f>0.7*C73</f>
        <v>1.7290000000000001</v>
      </c>
      <c r="E72">
        <f>SUM(C72:D72)</f>
        <v>4.1989999999999998</v>
      </c>
      <c r="F72" t="s">
        <v>377</v>
      </c>
    </row>
    <row r="73" spans="1:6" x14ac:dyDescent="0.35">
      <c r="C73">
        <v>2.4700000000000002</v>
      </c>
      <c r="D73" t="s">
        <v>378</v>
      </c>
      <c r="E73" t="s">
        <v>379</v>
      </c>
    </row>
    <row r="74" spans="1:6" x14ac:dyDescent="0.35">
      <c r="A74" s="5" t="s">
        <v>380</v>
      </c>
      <c r="B74" t="s">
        <v>381</v>
      </c>
      <c r="D74" t="s">
        <v>382</v>
      </c>
    </row>
    <row r="75" spans="1:6" x14ac:dyDescent="0.35">
      <c r="A75" t="s">
        <v>122</v>
      </c>
      <c r="B75" t="s">
        <v>383</v>
      </c>
      <c r="C75" t="s">
        <v>384</v>
      </c>
      <c r="D75" t="s">
        <v>385</v>
      </c>
      <c r="E75" t="s">
        <v>323</v>
      </c>
    </row>
    <row r="76" spans="1:6" x14ac:dyDescent="0.35">
      <c r="A76" t="s">
        <v>80</v>
      </c>
      <c r="B76">
        <f>AVERAGE(Land_Use[[#This Row],[MIN]:[MAX]])</f>
        <v>3.5</v>
      </c>
      <c r="C76">
        <v>2.8</v>
      </c>
      <c r="D76">
        <v>4.2</v>
      </c>
      <c r="E76" t="s">
        <v>386</v>
      </c>
    </row>
    <row r="77" spans="1:6" x14ac:dyDescent="0.35">
      <c r="A77" t="s">
        <v>387</v>
      </c>
      <c r="B77">
        <v>7.9</v>
      </c>
      <c r="C77">
        <v>7.5</v>
      </c>
      <c r="D77">
        <v>13</v>
      </c>
      <c r="E77" t="s">
        <v>388</v>
      </c>
    </row>
    <row r="78" spans="1:6" x14ac:dyDescent="0.35">
      <c r="A78" t="s">
        <v>83</v>
      </c>
      <c r="B78">
        <f>AVERAGE(Land_Use[[#This Row],[MIN]:[MAX]])</f>
        <v>2.5</v>
      </c>
      <c r="C78">
        <v>0.8</v>
      </c>
      <c r="D78">
        <v>4.2</v>
      </c>
      <c r="E78" t="s">
        <v>389</v>
      </c>
    </row>
    <row r="79" spans="1:6" x14ac:dyDescent="0.35">
      <c r="A79" t="s">
        <v>390</v>
      </c>
      <c r="B79">
        <v>82</v>
      </c>
      <c r="C79">
        <v>24</v>
      </c>
      <c r="D79">
        <v>123</v>
      </c>
      <c r="E79" t="s">
        <v>170</v>
      </c>
    </row>
    <row r="81" spans="1:8" x14ac:dyDescent="0.35">
      <c r="H81" s="1"/>
    </row>
    <row r="83" spans="1:8" x14ac:dyDescent="0.35">
      <c r="A83" s="5" t="s">
        <v>391</v>
      </c>
      <c r="C83" t="s">
        <v>392</v>
      </c>
      <c r="E83" s="49">
        <v>7.6729999999999992E-6</v>
      </c>
      <c r="F83" t="s">
        <v>393</v>
      </c>
    </row>
    <row r="84" spans="1:8" ht="31" x14ac:dyDescent="0.35">
      <c r="A84" t="s">
        <v>0</v>
      </c>
      <c r="B84" s="16" t="s">
        <v>394</v>
      </c>
      <c r="C84" s="16" t="s">
        <v>395</v>
      </c>
      <c r="D84" s="16" t="s">
        <v>396</v>
      </c>
      <c r="E84" s="16" t="s">
        <v>397</v>
      </c>
      <c r="F84" s="16" t="s">
        <v>398</v>
      </c>
      <c r="G84" s="16" t="s">
        <v>399</v>
      </c>
    </row>
    <row r="85" spans="1:8" x14ac:dyDescent="0.35">
      <c r="A85">
        <v>2025</v>
      </c>
      <c r="B85" s="117">
        <v>-0.14403038200000001</v>
      </c>
      <c r="C85" s="117">
        <v>-0.13205013099999999</v>
      </c>
      <c r="D85" s="117">
        <v>-0.15601063200000001</v>
      </c>
      <c r="E85" s="48">
        <f>Table11[[#This Row],[AVG
CO2e MT per MWh]]*$B$23</f>
        <v>-4.0010411424398109E-5</v>
      </c>
      <c r="F85" s="48">
        <f>Table11[[#This Row],[MIN
CO2e MT per MWh]]*$B$23</f>
        <v>-3.6682399897791468E-5</v>
      </c>
      <c r="G85" s="48">
        <f>Table11[[#This Row],[MAX CO2e MT per MWh]]*$B$23</f>
        <v>-4.3338422673213274E-5</v>
      </c>
    </row>
    <row r="86" spans="1:8" x14ac:dyDescent="0.35">
      <c r="A86">
        <v>2026</v>
      </c>
      <c r="B86" s="117">
        <v>-0.13980645780000001</v>
      </c>
      <c r="C86" s="117">
        <v>-0.12689236385</v>
      </c>
      <c r="D86" s="117">
        <v>-0.15272055075000002</v>
      </c>
      <c r="E86" s="48">
        <f>Table11[[#This Row],[AVG
CO2e MT per MWh]]*$B$23</f>
        <v>-3.8837041315114694E-5</v>
      </c>
      <c r="F86" s="48">
        <f>Table11[[#This Row],[MIN
CO2e MT per MWh]]*$B$23</f>
        <v>-3.5249616183430805E-5</v>
      </c>
      <c r="G86" s="48">
        <f>Table11[[#This Row],[MAX CO2e MT per MWh]]*$B$23</f>
        <v>-4.2424466169007116E-5</v>
      </c>
    </row>
    <row r="87" spans="1:8" x14ac:dyDescent="0.35">
      <c r="A87">
        <v>2027</v>
      </c>
      <c r="B87" s="117">
        <v>-0.1355825336</v>
      </c>
      <c r="C87" s="117">
        <v>-0.1217345967</v>
      </c>
      <c r="D87" s="117">
        <v>-0.14943046950000002</v>
      </c>
      <c r="E87" s="48">
        <f>Table11[[#This Row],[AVG
CO2e MT per MWh]]*$B$23</f>
        <v>-3.766367120583128E-5</v>
      </c>
      <c r="F87" s="48">
        <f>Table11[[#This Row],[MIN
CO2e MT per MWh]]*$B$23</f>
        <v>-3.3816832469070141E-5</v>
      </c>
      <c r="G87" s="48">
        <f>Table11[[#This Row],[MAX CO2e MT per MWh]]*$B$23</f>
        <v>-4.1510509664800957E-5</v>
      </c>
    </row>
    <row r="88" spans="1:8" x14ac:dyDescent="0.35">
      <c r="A88">
        <v>2028</v>
      </c>
      <c r="B88" s="117">
        <v>-0.13135860939999999</v>
      </c>
      <c r="C88" s="117">
        <v>-0.11657682955000001</v>
      </c>
      <c r="D88" s="117">
        <v>-0.14614038825000003</v>
      </c>
      <c r="E88" s="48">
        <f>Table11[[#This Row],[AVG
CO2e MT per MWh]]*$B$23</f>
        <v>-3.6490301096547866E-5</v>
      </c>
      <c r="F88" s="48">
        <f>Table11[[#This Row],[MIN
CO2e MT per MWh]]*$B$23</f>
        <v>-3.2384048754709478E-5</v>
      </c>
      <c r="G88" s="48">
        <f>Table11[[#This Row],[MAX CO2e MT per MWh]]*$B$23</f>
        <v>-4.0596553160594792E-5</v>
      </c>
    </row>
    <row r="89" spans="1:8" x14ac:dyDescent="0.35">
      <c r="A89">
        <v>2029</v>
      </c>
      <c r="B89" s="117">
        <v>-0.12713468519999999</v>
      </c>
      <c r="C89" s="117">
        <v>-0.11141906240000002</v>
      </c>
      <c r="D89" s="117">
        <v>-0.14285030700000004</v>
      </c>
      <c r="E89" s="48">
        <f>Table11[[#This Row],[AVG
CO2e MT per MWh]]*$B$23</f>
        <v>-3.5316930987264452E-5</v>
      </c>
      <c r="F89" s="48">
        <f>Table11[[#This Row],[MIN
CO2e MT per MWh]]*$B$23</f>
        <v>-3.0951265040348822E-5</v>
      </c>
      <c r="G89" s="48">
        <f>Table11[[#This Row],[MAX CO2e MT per MWh]]*$B$23</f>
        <v>-3.9682596656388634E-5</v>
      </c>
    </row>
    <row r="90" spans="1:8" x14ac:dyDescent="0.35">
      <c r="A90">
        <v>2030</v>
      </c>
      <c r="B90" s="117">
        <v>-0.12291076099999998</v>
      </c>
      <c r="C90" s="117">
        <v>-0.10626129525000003</v>
      </c>
      <c r="D90" s="117">
        <v>-0.13956022575000004</v>
      </c>
      <c r="E90" s="48">
        <f>Table11[[#This Row],[AVG
CO2e MT per MWh]]*$B$23</f>
        <v>-3.4143560877981038E-5</v>
      </c>
      <c r="F90" s="48">
        <f>Table11[[#This Row],[MIN
CO2e MT per MWh]]*$B$23</f>
        <v>-2.9518481325988158E-5</v>
      </c>
      <c r="G90" s="48">
        <f>Table11[[#This Row],[MAX CO2e MT per MWh]]*$B$23</f>
        <v>-3.8768640152182476E-5</v>
      </c>
    </row>
    <row r="91" spans="1:8" x14ac:dyDescent="0.35">
      <c r="A91">
        <v>2031</v>
      </c>
      <c r="B91" s="117">
        <v>-0.11868683679999997</v>
      </c>
      <c r="C91" s="117">
        <v>-0.10110352810000003</v>
      </c>
      <c r="D91" s="117">
        <v>-0.13627014450000005</v>
      </c>
      <c r="E91" s="48">
        <f>Table11[[#This Row],[AVG
CO2e MT per MWh]]*$B$23</f>
        <v>-3.2970190768697623E-5</v>
      </c>
      <c r="F91" s="48">
        <f>Table11[[#This Row],[MIN
CO2e MT per MWh]]*$B$23</f>
        <v>-2.8085697611627498E-5</v>
      </c>
      <c r="G91" s="48">
        <f>Table11[[#This Row],[MAX CO2e MT per MWh]]*$B$23</f>
        <v>-3.7854683647976317E-5</v>
      </c>
    </row>
    <row r="92" spans="1:8" x14ac:dyDescent="0.35">
      <c r="A92">
        <v>2032</v>
      </c>
      <c r="B92" s="117">
        <v>-0.11446291259999997</v>
      </c>
      <c r="C92" s="117">
        <v>-9.5945760950000042E-2</v>
      </c>
      <c r="D92" s="117">
        <v>-0.13298006325000006</v>
      </c>
      <c r="E92" s="48">
        <f>Table11[[#This Row],[AVG
CO2e MT per MWh]]*$B$23</f>
        <v>-3.1796820659414209E-5</v>
      </c>
      <c r="F92" s="48">
        <f>Table11[[#This Row],[MIN
CO2e MT per MWh]]*$B$23</f>
        <v>-2.6652913897266835E-5</v>
      </c>
      <c r="G92" s="48">
        <f>Table11[[#This Row],[MAX CO2e MT per MWh]]*$B$23</f>
        <v>-3.6940727143770159E-5</v>
      </c>
    </row>
    <row r="93" spans="1:8" x14ac:dyDescent="0.35">
      <c r="A93">
        <v>2033</v>
      </c>
      <c r="B93" s="117">
        <v>-0.11023898839999996</v>
      </c>
      <c r="C93" s="117">
        <v>-9.078799380000005E-2</v>
      </c>
      <c r="D93" s="117">
        <v>-0.12968998200000006</v>
      </c>
      <c r="E93" s="48">
        <f>Table11[[#This Row],[AVG
CO2e MT per MWh]]*$B$23</f>
        <v>-3.0623450550130795E-5</v>
      </c>
      <c r="F93" s="48">
        <f>Table11[[#This Row],[MIN
CO2e MT per MWh]]*$B$23</f>
        <v>-2.5220130182906175E-5</v>
      </c>
      <c r="G93" s="48">
        <f>Table11[[#This Row],[MAX CO2e MT per MWh]]*$B$23</f>
        <v>-3.6026770639564001E-5</v>
      </c>
    </row>
    <row r="94" spans="1:8" x14ac:dyDescent="0.35">
      <c r="A94">
        <v>2034</v>
      </c>
      <c r="B94" s="117">
        <v>-0.10601506419999995</v>
      </c>
      <c r="C94" s="117">
        <v>-8.5630226650000058E-2</v>
      </c>
      <c r="D94" s="117">
        <v>-0.12639990075000007</v>
      </c>
      <c r="E94" s="48">
        <f>Table11[[#This Row],[AVG
CO2e MT per MWh]]*$B$23</f>
        <v>-2.9450080440847381E-5</v>
      </c>
      <c r="F94" s="48">
        <f>Table11[[#This Row],[MIN
CO2e MT per MWh]]*$B$23</f>
        <v>-2.3787346468545512E-5</v>
      </c>
      <c r="G94" s="48">
        <f>Table11[[#This Row],[MAX CO2e MT per MWh]]*$B$23</f>
        <v>-3.5112814135357842E-5</v>
      </c>
    </row>
    <row r="95" spans="1:8" x14ac:dyDescent="0.35">
      <c r="A95">
        <v>2035</v>
      </c>
      <c r="B95" s="117">
        <v>-0.10179113999999995</v>
      </c>
      <c r="C95" s="117">
        <v>-8.0472459500000065E-2</v>
      </c>
      <c r="D95" s="117">
        <v>-0.12310981950000006</v>
      </c>
      <c r="E95" s="48">
        <f>Table11[[#This Row],[AVG
CO2e MT per MWh]]*$B$23</f>
        <v>-2.8276710331563967E-5</v>
      </c>
      <c r="F95" s="48">
        <f>Table11[[#This Row],[MIN
CO2e MT per MWh]]*$B$23</f>
        <v>-2.2354562754184852E-5</v>
      </c>
      <c r="G95" s="48">
        <f>Table11[[#This Row],[MAX CO2e MT per MWh]]*$B$23</f>
        <v>-3.4198857631151677E-5</v>
      </c>
    </row>
    <row r="96" spans="1:8" x14ac:dyDescent="0.35">
      <c r="A96">
        <v>2036</v>
      </c>
      <c r="B96" s="117">
        <v>-9.756721579999994E-2</v>
      </c>
      <c r="C96" s="117">
        <v>-7.5314692350000073E-2</v>
      </c>
      <c r="D96" s="117">
        <v>-0.11981973825000006</v>
      </c>
      <c r="E96" s="48">
        <f>Table11[[#This Row],[AVG
CO2e MT per MWh]]*$B$23</f>
        <v>-2.7103340222280552E-5</v>
      </c>
      <c r="F96" s="48">
        <f>Table11[[#This Row],[MIN
CO2e MT per MWh]]*$B$23</f>
        <v>-2.0921779039824192E-5</v>
      </c>
      <c r="G96" s="48">
        <f>Table11[[#This Row],[MAX CO2e MT per MWh]]*$B$23</f>
        <v>-3.3284901126945512E-5</v>
      </c>
    </row>
    <row r="97" spans="1:7" x14ac:dyDescent="0.35">
      <c r="A97">
        <v>2037</v>
      </c>
      <c r="B97" s="117">
        <v>-9.3343291599999934E-2</v>
      </c>
      <c r="C97" s="117">
        <v>-7.0156925200000081E-2</v>
      </c>
      <c r="D97" s="117">
        <v>-0.11652965700000005</v>
      </c>
      <c r="E97" s="48">
        <f>Table11[[#This Row],[AVG
CO2e MT per MWh]]*$B$23</f>
        <v>-2.5929970112997138E-5</v>
      </c>
      <c r="F97" s="48">
        <f>Table11[[#This Row],[MIN
CO2e MT per MWh]]*$B$23</f>
        <v>-1.9488995325463529E-5</v>
      </c>
      <c r="G97" s="48">
        <f>Table11[[#This Row],[MAX CO2e MT per MWh]]*$B$23</f>
        <v>-3.2370944622739347E-5</v>
      </c>
    </row>
    <row r="98" spans="1:7" x14ac:dyDescent="0.35">
      <c r="A98">
        <v>2038</v>
      </c>
      <c r="B98" s="117">
        <v>-8.9119367399999927E-2</v>
      </c>
      <c r="C98" s="117">
        <v>-6.4999158050000089E-2</v>
      </c>
      <c r="D98" s="117">
        <v>-0.11323957575000004</v>
      </c>
      <c r="E98" s="48">
        <f>Table11[[#This Row],[AVG
CO2e MT per MWh]]*$B$23</f>
        <v>-2.4756600003713724E-5</v>
      </c>
      <c r="F98" s="48">
        <f>Table11[[#This Row],[MIN
CO2e MT per MWh]]*$B$23</f>
        <v>-1.8056211611102869E-5</v>
      </c>
      <c r="G98" s="48">
        <f>Table11[[#This Row],[MAX CO2e MT per MWh]]*$B$23</f>
        <v>-3.1456988118533189E-5</v>
      </c>
    </row>
    <row r="99" spans="1:7" x14ac:dyDescent="0.35">
      <c r="A99">
        <v>2039</v>
      </c>
      <c r="B99" s="117">
        <v>-8.489544319999992E-2</v>
      </c>
      <c r="C99" s="117">
        <v>-5.984139090000009E-2</v>
      </c>
      <c r="D99" s="117">
        <v>-0.10994949450000004</v>
      </c>
      <c r="E99" s="48">
        <f>Table11[[#This Row],[AVG
CO2e MT per MWh]]*$B$23</f>
        <v>-2.358322989443031E-5</v>
      </c>
      <c r="F99" s="48">
        <f>Table11[[#This Row],[MIN
CO2e MT per MWh]]*$B$23</f>
        <v>-1.6623427896742205E-5</v>
      </c>
      <c r="G99" s="48">
        <f>Table11[[#This Row],[MAX CO2e MT per MWh]]*$B$23</f>
        <v>-3.0543031614327023E-5</v>
      </c>
    </row>
    <row r="100" spans="1:7" x14ac:dyDescent="0.35">
      <c r="A100">
        <v>2040</v>
      </c>
      <c r="B100" s="117">
        <v>-8.0671518999999914E-2</v>
      </c>
      <c r="C100" s="117">
        <v>-5.468362375000009E-2</v>
      </c>
      <c r="D100" s="117">
        <v>-0.10665941325000003</v>
      </c>
      <c r="E100" s="48">
        <f>Table11[[#This Row],[AVG
CO2e MT per MWh]]*$B$23</f>
        <v>-2.2409859785146895E-5</v>
      </c>
      <c r="F100" s="48">
        <f>Table11[[#This Row],[MIN
CO2e MT per MWh]]*$B$23</f>
        <v>-1.5190644182381542E-5</v>
      </c>
      <c r="G100" s="48">
        <f>Table11[[#This Row],[MAX CO2e MT per MWh]]*$B$23</f>
        <v>-2.9629075110120862E-5</v>
      </c>
    </row>
    <row r="101" spans="1:7" x14ac:dyDescent="0.35">
      <c r="A101">
        <v>2041</v>
      </c>
      <c r="B101" s="117">
        <v>-7.6447594799999907E-2</v>
      </c>
      <c r="C101" s="117">
        <v>-4.9525856600000091E-2</v>
      </c>
      <c r="D101" s="117">
        <v>-0.10336933200000002</v>
      </c>
      <c r="E101" s="48">
        <f>Table11[[#This Row],[AVG
CO2e MT per MWh]]*$B$23</f>
        <v>-2.1236489675863481E-5</v>
      </c>
      <c r="F101" s="48">
        <f>Table11[[#This Row],[MIN
CO2e MT per MWh]]*$B$23</f>
        <v>-1.3757860468020879E-5</v>
      </c>
      <c r="G101" s="48">
        <f>Table11[[#This Row],[MAX CO2e MT per MWh]]*$B$23</f>
        <v>-2.8715118605914697E-5</v>
      </c>
    </row>
    <row r="102" spans="1:7" x14ac:dyDescent="0.35">
      <c r="A102">
        <v>2042</v>
      </c>
      <c r="B102" s="117">
        <v>-7.2223670599999901E-2</v>
      </c>
      <c r="C102" s="117">
        <v>-4.4368089450000092E-2</v>
      </c>
      <c r="D102" s="117">
        <v>-0.10007925075000002</v>
      </c>
      <c r="E102" s="48">
        <f>Table11[[#This Row],[AVG
CO2e MT per MWh]]*$B$23</f>
        <v>-2.0063119566580067E-5</v>
      </c>
      <c r="F102" s="48">
        <f>Table11[[#This Row],[MIN
CO2e MT per MWh]]*$B$23</f>
        <v>-1.2325076753660215E-5</v>
      </c>
      <c r="G102" s="48">
        <f>Table11[[#This Row],[MAX CO2e MT per MWh]]*$B$23</f>
        <v>-2.7801162101708535E-5</v>
      </c>
    </row>
    <row r="103" spans="1:7" x14ac:dyDescent="0.35">
      <c r="A103">
        <v>2043</v>
      </c>
      <c r="B103" s="117">
        <v>-6.7999746399999894E-2</v>
      </c>
      <c r="C103" s="117">
        <v>-3.9210322300000093E-2</v>
      </c>
      <c r="D103" s="117">
        <v>-9.6789169500000008E-2</v>
      </c>
      <c r="E103" s="48">
        <f>Table11[[#This Row],[AVG
CO2e MT per MWh]]*$B$23</f>
        <v>-1.8889749457296653E-5</v>
      </c>
      <c r="F103" s="48">
        <f>Table11[[#This Row],[MIN
CO2e MT per MWh]]*$B$23</f>
        <v>-1.0892293039299552E-5</v>
      </c>
      <c r="G103" s="48">
        <f>Table11[[#This Row],[MAX CO2e MT per MWh]]*$B$23</f>
        <v>-2.6887205597502373E-5</v>
      </c>
    </row>
    <row r="104" spans="1:7" x14ac:dyDescent="0.35">
      <c r="A104">
        <v>2044</v>
      </c>
      <c r="B104" s="117">
        <v>-6.3775822199999888E-2</v>
      </c>
      <c r="C104" s="117">
        <v>-3.4052555150000094E-2</v>
      </c>
      <c r="D104" s="117">
        <v>-9.3499088250000001E-2</v>
      </c>
      <c r="E104" s="48">
        <f>Table11[[#This Row],[AVG
CO2e MT per MWh]]*$B$23</f>
        <v>-1.7716379348013239E-5</v>
      </c>
      <c r="F104" s="48">
        <f>Table11[[#This Row],[MIN
CO2e MT per MWh]]*$B$23</f>
        <v>-9.4595093249388888E-6</v>
      </c>
      <c r="G104" s="48">
        <f>Table11[[#This Row],[MAX CO2e MT per MWh]]*$B$23</f>
        <v>-2.5973249093296208E-5</v>
      </c>
    </row>
    <row r="105" spans="1:7" x14ac:dyDescent="0.35">
      <c r="A105">
        <v>2045</v>
      </c>
      <c r="B105" s="117">
        <v>-5.9551897999999888E-2</v>
      </c>
      <c r="C105" s="117">
        <v>-2.8894788000000095E-2</v>
      </c>
      <c r="D105" s="117">
        <v>-9.0209006999999994E-2</v>
      </c>
      <c r="E105" s="48">
        <f>Table11[[#This Row],[AVG
CO2e MT per MWh]]*$B$23</f>
        <v>-1.6543009238729828E-5</v>
      </c>
      <c r="F105" s="48">
        <f>Table11[[#This Row],[MIN
CO2e MT per MWh]]*$B$23</f>
        <v>-8.0267256105782254E-6</v>
      </c>
      <c r="G105" s="48">
        <f>Table11[[#This Row],[MAX CO2e MT per MWh]]*$B$23</f>
        <v>-2.5059292589090046E-5</v>
      </c>
    </row>
    <row r="108" spans="1:7" x14ac:dyDescent="0.35">
      <c r="A108" s="5" t="s">
        <v>400</v>
      </c>
      <c r="C108" s="22" t="s">
        <v>401</v>
      </c>
      <c r="G108" t="s">
        <v>402</v>
      </c>
    </row>
    <row r="109" spans="1:7" x14ac:dyDescent="0.35">
      <c r="A109" t="s">
        <v>403</v>
      </c>
      <c r="B109" t="s">
        <v>20</v>
      </c>
      <c r="C109" t="s">
        <v>404</v>
      </c>
      <c r="D109" t="s">
        <v>405</v>
      </c>
      <c r="E109" t="s">
        <v>406</v>
      </c>
      <c r="F109" t="s">
        <v>269</v>
      </c>
      <c r="G109" t="s">
        <v>407</v>
      </c>
    </row>
    <row r="110" spans="1:7" x14ac:dyDescent="0.35">
      <c r="A110" t="s">
        <v>408</v>
      </c>
      <c r="B110" t="s">
        <v>28</v>
      </c>
      <c r="C110" s="9">
        <f>GREET3.0!N22</f>
        <v>70</v>
      </c>
      <c r="D110" s="9">
        <f>GREET3.0!O22</f>
        <v>70</v>
      </c>
      <c r="E110" s="9">
        <f>GREET3.0!P22</f>
        <v>47.5</v>
      </c>
      <c r="F110" s="9" t="s">
        <v>409</v>
      </c>
      <c r="G110" s="9"/>
    </row>
    <row r="111" spans="1:7" x14ac:dyDescent="0.35">
      <c r="A111" t="s">
        <v>408</v>
      </c>
      <c r="B111" t="s">
        <v>29</v>
      </c>
      <c r="C111" s="9">
        <f>GREET3.0!K22</f>
        <v>50</v>
      </c>
      <c r="D111" s="9">
        <f>GREET3.0!L22</f>
        <v>50</v>
      </c>
      <c r="E111" s="9">
        <f>GREET3.0!M22</f>
        <v>32.799999999999997</v>
      </c>
      <c r="F111" s="9" t="s">
        <v>410</v>
      </c>
      <c r="G111" s="9"/>
    </row>
    <row r="112" spans="1:7" x14ac:dyDescent="0.35">
      <c r="A112" t="s">
        <v>232</v>
      </c>
      <c r="B112" t="s">
        <v>411</v>
      </c>
      <c r="C112" s="9">
        <f>GREET3.0!L59</f>
        <v>-150</v>
      </c>
      <c r="D112" s="9">
        <f>GREET3.0!M59</f>
        <v>-132.51</v>
      </c>
      <c r="E112" s="9">
        <f>GREET3.0!N59</f>
        <v>-328.81697478991583</v>
      </c>
      <c r="F112" t="s">
        <v>223</v>
      </c>
      <c r="G112" s="9">
        <v>100</v>
      </c>
    </row>
    <row r="113" spans="1:7" x14ac:dyDescent="0.35">
      <c r="A113" t="s">
        <v>232</v>
      </c>
      <c r="B113" t="s">
        <v>412</v>
      </c>
      <c r="C113" s="38">
        <f>GREET3.0!L58</f>
        <v>45</v>
      </c>
      <c r="D113" s="38">
        <f>GREET3.0!M58</f>
        <v>45</v>
      </c>
      <c r="E113" s="38">
        <f>GREET3.0!N58</f>
        <v>-54.055</v>
      </c>
      <c r="F113" s="20" t="s">
        <v>413</v>
      </c>
      <c r="G113" s="9">
        <v>100</v>
      </c>
    </row>
    <row r="114" spans="1:7" x14ac:dyDescent="0.35">
      <c r="A114" t="s">
        <v>414</v>
      </c>
      <c r="B114" t="s">
        <v>415</v>
      </c>
      <c r="C114" s="9">
        <v>129.89642857142857</v>
      </c>
      <c r="D114" s="9">
        <v>176.43</v>
      </c>
      <c r="E114" s="102">
        <v>105.13</v>
      </c>
      <c r="F114" t="s">
        <v>415</v>
      </c>
      <c r="G114" s="9">
        <v>185</v>
      </c>
    </row>
    <row r="116" spans="1:7" x14ac:dyDescent="0.35">
      <c r="A116" s="5" t="s">
        <v>416</v>
      </c>
    </row>
    <row r="117" spans="1:7" x14ac:dyDescent="0.35">
      <c r="A117" t="s">
        <v>372</v>
      </c>
      <c r="B117" s="134" t="s">
        <v>92</v>
      </c>
      <c r="C117" s="134"/>
      <c r="D117" s="134"/>
      <c r="E117" s="134"/>
      <c r="F117" s="134"/>
      <c r="G117" s="134"/>
    </row>
    <row r="118" spans="1:7" x14ac:dyDescent="0.35">
      <c r="A118" t="s">
        <v>269</v>
      </c>
      <c r="B118" s="29" t="s">
        <v>96</v>
      </c>
      <c r="C118" s="29" t="s">
        <v>96</v>
      </c>
      <c r="D118" s="29" t="s">
        <v>96</v>
      </c>
      <c r="E118" t="s">
        <v>93</v>
      </c>
      <c r="F118" t="s">
        <v>93</v>
      </c>
      <c r="G118" t="s">
        <v>93</v>
      </c>
    </row>
    <row r="119" spans="1:7" x14ac:dyDescent="0.35">
      <c r="A119" t="s">
        <v>0</v>
      </c>
      <c r="B119" s="109" t="s">
        <v>383</v>
      </c>
      <c r="C119" s="109" t="s">
        <v>384</v>
      </c>
      <c r="D119" s="110" t="s">
        <v>385</v>
      </c>
      <c r="E119" s="109" t="s">
        <v>383</v>
      </c>
      <c r="F119" s="109" t="s">
        <v>384</v>
      </c>
      <c r="G119" s="109" t="s">
        <v>385</v>
      </c>
    </row>
    <row r="120" spans="1:7" x14ac:dyDescent="0.35">
      <c r="A120">
        <v>2024</v>
      </c>
      <c r="B120">
        <f>GREET3.0!L31</f>
        <v>-37.89</v>
      </c>
      <c r="C120">
        <f>GREET3.0!M31</f>
        <v>-37.89</v>
      </c>
      <c r="D120">
        <f>GREET3.0!N31</f>
        <v>-55.09</v>
      </c>
      <c r="E120">
        <f>GREET3.0!O31</f>
        <v>-17.89</v>
      </c>
      <c r="F120">
        <f>GREET3.0!P31</f>
        <v>-17.89</v>
      </c>
      <c r="G120">
        <f>GREET3.0!Q31</f>
        <v>-40.39</v>
      </c>
    </row>
    <row r="121" spans="1:7" x14ac:dyDescent="0.35">
      <c r="A121">
        <v>2025</v>
      </c>
      <c r="B121">
        <f>GREET3.0!L32</f>
        <v>-36.64</v>
      </c>
      <c r="C121">
        <f>GREET3.0!M32</f>
        <v>-36.64</v>
      </c>
      <c r="D121">
        <f>GREET3.0!N32</f>
        <v>-53.84</v>
      </c>
      <c r="E121">
        <f>GREET3.0!O32</f>
        <v>-16.64</v>
      </c>
      <c r="F121">
        <f>GREET3.0!P32</f>
        <v>-16.64</v>
      </c>
      <c r="G121">
        <f>GREET3.0!Q32</f>
        <v>-39.14</v>
      </c>
    </row>
    <row r="122" spans="1:7" x14ac:dyDescent="0.35">
      <c r="A122">
        <v>2026</v>
      </c>
      <c r="B122">
        <f>GREET3.0!L33</f>
        <v>-35.379999999999995</v>
      </c>
      <c r="C122">
        <f>GREET3.0!M33</f>
        <v>-35.379999999999995</v>
      </c>
      <c r="D122">
        <f>GREET3.0!N33</f>
        <v>-52.58</v>
      </c>
      <c r="E122">
        <f>GREET3.0!O33</f>
        <v>-15.379999999999995</v>
      </c>
      <c r="F122">
        <f>GREET3.0!P33</f>
        <v>-15.379999999999995</v>
      </c>
      <c r="G122">
        <f>GREET3.0!Q33</f>
        <v>-37.879999999999995</v>
      </c>
    </row>
    <row r="123" spans="1:7" x14ac:dyDescent="0.35">
      <c r="A123">
        <v>2027</v>
      </c>
      <c r="B123">
        <f>GREET3.0!L34</f>
        <v>-34.129999999999995</v>
      </c>
      <c r="C123">
        <f>GREET3.0!M34</f>
        <v>-34.129999999999995</v>
      </c>
      <c r="D123">
        <f>GREET3.0!N34</f>
        <v>-51.33</v>
      </c>
      <c r="E123">
        <f>GREET3.0!O34</f>
        <v>-14.129999999999995</v>
      </c>
      <c r="F123">
        <f>GREET3.0!P34</f>
        <v>-14.129999999999995</v>
      </c>
      <c r="G123">
        <f>GREET3.0!Q34</f>
        <v>-36.629999999999995</v>
      </c>
    </row>
    <row r="124" spans="1:7" x14ac:dyDescent="0.35">
      <c r="A124">
        <v>2028</v>
      </c>
      <c r="B124">
        <f>GREET3.0!L35</f>
        <v>-32.870000000000005</v>
      </c>
      <c r="C124">
        <f>GREET3.0!M35</f>
        <v>-32.870000000000005</v>
      </c>
      <c r="D124">
        <f>GREET3.0!N35</f>
        <v>-50.070000000000007</v>
      </c>
      <c r="E124">
        <f>GREET3.0!O35</f>
        <v>-12.870000000000005</v>
      </c>
      <c r="F124">
        <f>GREET3.0!P35</f>
        <v>-12.870000000000005</v>
      </c>
      <c r="G124">
        <f>GREET3.0!Q35</f>
        <v>-35.370000000000005</v>
      </c>
    </row>
    <row r="125" spans="1:7" x14ac:dyDescent="0.35">
      <c r="A125">
        <v>2029</v>
      </c>
      <c r="B125">
        <f>GREET3.0!L36</f>
        <v>-31.620000000000005</v>
      </c>
      <c r="C125">
        <f>GREET3.0!M36</f>
        <v>-31.620000000000005</v>
      </c>
      <c r="D125">
        <f>GREET3.0!N36</f>
        <v>-48.820000000000007</v>
      </c>
      <c r="E125">
        <f>GREET3.0!O36</f>
        <v>-11.620000000000005</v>
      </c>
      <c r="F125">
        <f>GREET3.0!P36</f>
        <v>-11.620000000000005</v>
      </c>
      <c r="G125">
        <f>GREET3.0!Q36</f>
        <v>-34.120000000000005</v>
      </c>
    </row>
    <row r="126" spans="1:7" x14ac:dyDescent="0.35">
      <c r="A126">
        <v>2030</v>
      </c>
      <c r="B126">
        <f>GREET3.0!L37</f>
        <v>-30.36</v>
      </c>
      <c r="C126">
        <f>GREET3.0!M37</f>
        <v>-30.36</v>
      </c>
      <c r="D126">
        <f>GREET3.0!N37</f>
        <v>-47.56</v>
      </c>
      <c r="E126">
        <f>GREET3.0!O37</f>
        <v>-10.36</v>
      </c>
      <c r="F126">
        <f>GREET3.0!P37</f>
        <v>-10.36</v>
      </c>
      <c r="G126">
        <f>GREET3.0!Q37</f>
        <v>-32.86</v>
      </c>
    </row>
    <row r="127" spans="1:7" x14ac:dyDescent="0.35">
      <c r="A127">
        <v>2031</v>
      </c>
      <c r="B127">
        <f>GREET3.0!L38</f>
        <v>-30.36</v>
      </c>
      <c r="C127">
        <f>GREET3.0!M38</f>
        <v>-30.36</v>
      </c>
      <c r="D127">
        <f>GREET3.0!N38</f>
        <v>-47.56</v>
      </c>
      <c r="E127">
        <f>GREET3.0!O38</f>
        <v>-10.36</v>
      </c>
      <c r="F127">
        <f>GREET3.0!P38</f>
        <v>-10.36</v>
      </c>
      <c r="G127">
        <f>GREET3.0!Q38</f>
        <v>-32.86</v>
      </c>
    </row>
    <row r="128" spans="1:7" x14ac:dyDescent="0.35">
      <c r="A128">
        <v>2032</v>
      </c>
      <c r="B128">
        <f>GREET3.0!L39</f>
        <v>-30.36</v>
      </c>
      <c r="C128">
        <f>GREET3.0!M39</f>
        <v>-30.36</v>
      </c>
      <c r="D128">
        <f>GREET3.0!N39</f>
        <v>-47.56</v>
      </c>
      <c r="E128">
        <f>GREET3.0!O39</f>
        <v>-10.36</v>
      </c>
      <c r="F128">
        <f>GREET3.0!P39</f>
        <v>-10.36</v>
      </c>
      <c r="G128">
        <f>GREET3.0!Q39</f>
        <v>-32.86</v>
      </c>
    </row>
    <row r="129" spans="1:7" x14ac:dyDescent="0.35">
      <c r="A129">
        <v>2033</v>
      </c>
      <c r="B129">
        <f>GREET3.0!L40</f>
        <v>-30.36</v>
      </c>
      <c r="C129">
        <f>GREET3.0!M40</f>
        <v>-30.36</v>
      </c>
      <c r="D129">
        <f>GREET3.0!N40</f>
        <v>-47.56</v>
      </c>
      <c r="E129">
        <f>GREET3.0!O40</f>
        <v>-10.36</v>
      </c>
      <c r="F129">
        <f>GREET3.0!P40</f>
        <v>-10.36</v>
      </c>
      <c r="G129">
        <f>GREET3.0!Q40</f>
        <v>-32.86</v>
      </c>
    </row>
    <row r="130" spans="1:7" x14ac:dyDescent="0.35">
      <c r="A130">
        <v>2034</v>
      </c>
      <c r="B130">
        <f>GREET3.0!L41</f>
        <v>-30.36</v>
      </c>
      <c r="C130">
        <f>GREET3.0!M41</f>
        <v>-30.36</v>
      </c>
      <c r="D130">
        <f>GREET3.0!N41</f>
        <v>-47.56</v>
      </c>
      <c r="E130">
        <f>GREET3.0!O41</f>
        <v>-10.36</v>
      </c>
      <c r="F130">
        <f>GREET3.0!P41</f>
        <v>-10.36</v>
      </c>
      <c r="G130">
        <f>GREET3.0!Q41</f>
        <v>-32.86</v>
      </c>
    </row>
    <row r="131" spans="1:7" x14ac:dyDescent="0.35">
      <c r="A131">
        <v>2035</v>
      </c>
      <c r="B131">
        <f>GREET3.0!L42</f>
        <v>-30.36</v>
      </c>
      <c r="C131">
        <f>GREET3.0!M42</f>
        <v>-30.36</v>
      </c>
      <c r="D131">
        <f>GREET3.0!N42</f>
        <v>-47.56</v>
      </c>
      <c r="E131">
        <f>GREET3.0!O42</f>
        <v>-10.36</v>
      </c>
      <c r="F131">
        <f>GREET3.0!P42</f>
        <v>-10.36</v>
      </c>
      <c r="G131">
        <f>GREET3.0!Q42</f>
        <v>-32.86</v>
      </c>
    </row>
    <row r="132" spans="1:7" x14ac:dyDescent="0.35">
      <c r="A132">
        <v>2036</v>
      </c>
      <c r="B132">
        <f>GREET3.0!L43</f>
        <v>-30.36</v>
      </c>
      <c r="C132">
        <f>GREET3.0!M43</f>
        <v>-30.36</v>
      </c>
      <c r="D132">
        <f>GREET3.0!N43</f>
        <v>-47.56</v>
      </c>
      <c r="E132">
        <f>GREET3.0!O43</f>
        <v>-10.36</v>
      </c>
      <c r="F132">
        <f>GREET3.0!P43</f>
        <v>-10.36</v>
      </c>
      <c r="G132">
        <f>GREET3.0!Q43</f>
        <v>-32.86</v>
      </c>
    </row>
    <row r="133" spans="1:7" x14ac:dyDescent="0.35">
      <c r="A133">
        <v>2037</v>
      </c>
      <c r="B133">
        <f>GREET3.0!L44</f>
        <v>-30.36</v>
      </c>
      <c r="C133">
        <f>GREET3.0!M44</f>
        <v>-30.36</v>
      </c>
      <c r="D133">
        <f>GREET3.0!N44</f>
        <v>-47.56</v>
      </c>
      <c r="E133">
        <f>GREET3.0!O44</f>
        <v>-10.36</v>
      </c>
      <c r="F133">
        <f>GREET3.0!P44</f>
        <v>-10.36</v>
      </c>
      <c r="G133">
        <f>GREET3.0!Q44</f>
        <v>-32.86</v>
      </c>
    </row>
    <row r="134" spans="1:7" x14ac:dyDescent="0.35">
      <c r="A134">
        <v>2038</v>
      </c>
      <c r="B134">
        <f>GREET3.0!L45</f>
        <v>-30.36</v>
      </c>
      <c r="C134">
        <f>GREET3.0!M45</f>
        <v>-30.36</v>
      </c>
      <c r="D134">
        <f>GREET3.0!N45</f>
        <v>-47.56</v>
      </c>
      <c r="E134">
        <f>GREET3.0!O45</f>
        <v>-10.36</v>
      </c>
      <c r="F134">
        <f>GREET3.0!P45</f>
        <v>-10.36</v>
      </c>
      <c r="G134">
        <f>GREET3.0!Q45</f>
        <v>-32.86</v>
      </c>
    </row>
    <row r="135" spans="1:7" x14ac:dyDescent="0.35">
      <c r="A135">
        <v>2039</v>
      </c>
      <c r="B135">
        <f>GREET3.0!L46</f>
        <v>-30.36</v>
      </c>
      <c r="C135">
        <f>GREET3.0!M46</f>
        <v>-30.36</v>
      </c>
      <c r="D135">
        <f>GREET3.0!N46</f>
        <v>-47.56</v>
      </c>
      <c r="E135">
        <f>GREET3.0!O46</f>
        <v>-10.36</v>
      </c>
      <c r="F135">
        <f>GREET3.0!P46</f>
        <v>-10.36</v>
      </c>
      <c r="G135">
        <f>GREET3.0!Q46</f>
        <v>-32.86</v>
      </c>
    </row>
    <row r="136" spans="1:7" x14ac:dyDescent="0.35">
      <c r="A136">
        <v>2040</v>
      </c>
      <c r="B136">
        <f>GREET3.0!L47</f>
        <v>-30.36</v>
      </c>
      <c r="C136">
        <f>GREET3.0!M47</f>
        <v>-30.36</v>
      </c>
      <c r="D136">
        <f>GREET3.0!N47</f>
        <v>-47.56</v>
      </c>
      <c r="E136">
        <f>GREET3.0!O47</f>
        <v>-10.36</v>
      </c>
      <c r="F136">
        <f>GREET3.0!P47</f>
        <v>-10.36</v>
      </c>
      <c r="G136">
        <f>GREET3.0!Q47</f>
        <v>-32.86</v>
      </c>
    </row>
    <row r="137" spans="1:7" x14ac:dyDescent="0.35">
      <c r="A137">
        <v>2041</v>
      </c>
      <c r="B137">
        <f>GREET3.0!L48</f>
        <v>-30.36</v>
      </c>
      <c r="C137">
        <f>GREET3.0!M48</f>
        <v>-30.36</v>
      </c>
      <c r="D137">
        <f>GREET3.0!N48</f>
        <v>-47.56</v>
      </c>
      <c r="E137">
        <f>GREET3.0!O48</f>
        <v>-10.36</v>
      </c>
      <c r="F137">
        <f>GREET3.0!P48</f>
        <v>-10.36</v>
      </c>
      <c r="G137">
        <f>GREET3.0!Q48</f>
        <v>-32.86</v>
      </c>
    </row>
    <row r="138" spans="1:7" x14ac:dyDescent="0.35">
      <c r="A138">
        <v>2042</v>
      </c>
      <c r="B138">
        <f>GREET3.0!L49</f>
        <v>-30.36</v>
      </c>
      <c r="C138">
        <f>GREET3.0!M49</f>
        <v>-30.36</v>
      </c>
      <c r="D138">
        <f>GREET3.0!N49</f>
        <v>-47.56</v>
      </c>
      <c r="E138">
        <f>GREET3.0!O49</f>
        <v>-10.36</v>
      </c>
      <c r="F138">
        <f>GREET3.0!P49</f>
        <v>-10.36</v>
      </c>
      <c r="G138">
        <f>GREET3.0!Q49</f>
        <v>-32.86</v>
      </c>
    </row>
    <row r="139" spans="1:7" x14ac:dyDescent="0.35">
      <c r="A139">
        <v>2043</v>
      </c>
      <c r="B139">
        <f>GREET3.0!L50</f>
        <v>-30.36</v>
      </c>
      <c r="C139">
        <f>GREET3.0!M50</f>
        <v>-30.36</v>
      </c>
      <c r="D139">
        <f>GREET3.0!N50</f>
        <v>-47.56</v>
      </c>
      <c r="E139">
        <f>GREET3.0!O50</f>
        <v>-10.36</v>
      </c>
      <c r="F139">
        <f>GREET3.0!P50</f>
        <v>-10.36</v>
      </c>
      <c r="G139">
        <f>GREET3.0!Q50</f>
        <v>-32.86</v>
      </c>
    </row>
    <row r="140" spans="1:7" x14ac:dyDescent="0.35">
      <c r="A140">
        <v>2044</v>
      </c>
      <c r="B140">
        <f>GREET3.0!L51</f>
        <v>-30.36</v>
      </c>
      <c r="C140">
        <f>GREET3.0!M51</f>
        <v>-30.36</v>
      </c>
      <c r="D140">
        <f>GREET3.0!N51</f>
        <v>-47.56</v>
      </c>
      <c r="E140">
        <f>GREET3.0!O51</f>
        <v>-10.36</v>
      </c>
      <c r="F140">
        <f>GREET3.0!P51</f>
        <v>-10.36</v>
      </c>
      <c r="G140">
        <f>GREET3.0!Q51</f>
        <v>-32.86</v>
      </c>
    </row>
    <row r="141" spans="1:7" x14ac:dyDescent="0.35">
      <c r="A141">
        <v>2045</v>
      </c>
      <c r="B141">
        <f>GREET3.0!L52</f>
        <v>-30.36</v>
      </c>
      <c r="C141">
        <f>GREET3.0!M52</f>
        <v>-30.36</v>
      </c>
      <c r="D141">
        <f>GREET3.0!N52</f>
        <v>-47.56</v>
      </c>
      <c r="E141">
        <f>GREET3.0!O52</f>
        <v>-10.36</v>
      </c>
      <c r="F141">
        <f>GREET3.0!P52</f>
        <v>-10.36</v>
      </c>
      <c r="G141">
        <f>GREET3.0!Q52</f>
        <v>-32.86</v>
      </c>
    </row>
    <row r="143" spans="1:7" x14ac:dyDescent="0.35">
      <c r="A143" s="5" t="s">
        <v>417</v>
      </c>
      <c r="B143" s="5"/>
      <c r="C143" s="5"/>
      <c r="D143" s="5"/>
    </row>
    <row r="144" spans="1:7" x14ac:dyDescent="0.35">
      <c r="B144" s="109" t="s">
        <v>383</v>
      </c>
      <c r="C144" s="109" t="s">
        <v>384</v>
      </c>
      <c r="D144" s="109" t="s">
        <v>385</v>
      </c>
    </row>
    <row r="145" spans="1:4" x14ac:dyDescent="0.35">
      <c r="A145" t="s">
        <v>91</v>
      </c>
      <c r="B145" s="9">
        <f>GREET3.0!K63</f>
        <v>-34.209999999999994</v>
      </c>
      <c r="C145" s="9">
        <f>GREET3.0!L63</f>
        <v>-34.209999999999994</v>
      </c>
      <c r="D145" s="9">
        <f>GREET3.0!M63</f>
        <v>-133.26499999999999</v>
      </c>
    </row>
    <row r="146" spans="1:4" x14ac:dyDescent="0.35">
      <c r="A146" t="s">
        <v>88</v>
      </c>
      <c r="B146" s="9">
        <f>GREET3.0!K64</f>
        <v>-229.20999999999998</v>
      </c>
      <c r="C146" s="9">
        <f>GREET3.0!L64</f>
        <v>-211.71999999999997</v>
      </c>
      <c r="D146" s="9">
        <f>GREET3.0!M64</f>
        <v>-408.02697478991581</v>
      </c>
    </row>
    <row r="149" spans="1:4" x14ac:dyDescent="0.35">
      <c r="D149" s="101"/>
    </row>
    <row r="151" spans="1:4" x14ac:dyDescent="0.35">
      <c r="A151" t="s">
        <v>418</v>
      </c>
    </row>
    <row r="152" spans="1:4" ht="31" x14ac:dyDescent="0.35">
      <c r="A152" t="s">
        <v>122</v>
      </c>
      <c r="B152" s="72" t="s">
        <v>419</v>
      </c>
      <c r="C152" s="72" t="s">
        <v>420</v>
      </c>
      <c r="D152" s="72" t="s">
        <v>421</v>
      </c>
    </row>
    <row r="153" spans="1:4" x14ac:dyDescent="0.35">
      <c r="A153" t="s">
        <v>80</v>
      </c>
      <c r="B153">
        <v>6.2799999999999995E-2</v>
      </c>
      <c r="C153">
        <v>3.3399999999999999E-2</v>
      </c>
      <c r="D153">
        <v>5.62E-3</v>
      </c>
    </row>
    <row r="154" spans="1:4" x14ac:dyDescent="0.35">
      <c r="A154" t="s">
        <v>83</v>
      </c>
      <c r="B154">
        <v>6.4500000000000002E-2</v>
      </c>
      <c r="C154">
        <v>0.02</v>
      </c>
      <c r="D154">
        <v>1.1299999999999999E-3</v>
      </c>
    </row>
    <row r="159" spans="1:4" x14ac:dyDescent="0.35">
      <c r="A159" t="s">
        <v>422</v>
      </c>
    </row>
    <row r="160" spans="1:4" x14ac:dyDescent="0.35">
      <c r="A160" t="s">
        <v>423</v>
      </c>
      <c r="B160" t="s">
        <v>424</v>
      </c>
      <c r="C160" t="s">
        <v>80</v>
      </c>
      <c r="D160" t="s">
        <v>83</v>
      </c>
    </row>
    <row r="161" spans="1:4" x14ac:dyDescent="0.35">
      <c r="A161" t="s">
        <v>58</v>
      </c>
      <c r="B161" t="s">
        <v>425</v>
      </c>
      <c r="C161">
        <v>3.4599999999999999E-2</v>
      </c>
      <c r="D161" s="117">
        <v>2.3599999999999999E-2</v>
      </c>
    </row>
    <row r="162" spans="1:4" x14ac:dyDescent="0.35">
      <c r="A162" t="s">
        <v>59</v>
      </c>
      <c r="B162" t="s">
        <v>426</v>
      </c>
      <c r="C162">
        <v>2.8199999999999999E-2</v>
      </c>
      <c r="D162" s="117">
        <v>4.0899999999999999E-2</v>
      </c>
    </row>
    <row r="163" spans="1:4" x14ac:dyDescent="0.35">
      <c r="A163" t="s">
        <v>60</v>
      </c>
      <c r="B163" t="s">
        <v>425</v>
      </c>
      <c r="C163">
        <v>3.3399999999999999E-2</v>
      </c>
      <c r="D163" s="117">
        <v>0.02</v>
      </c>
    </row>
    <row r="164" spans="1:4" x14ac:dyDescent="0.35">
      <c r="A164" t="s">
        <v>61</v>
      </c>
      <c r="B164" t="s">
        <v>229</v>
      </c>
      <c r="C164">
        <v>5.62E-3</v>
      </c>
      <c r="D164" s="117">
        <v>1.1299999999999999E-3</v>
      </c>
    </row>
    <row r="165" spans="1:4" x14ac:dyDescent="0.35">
      <c r="A165" t="s">
        <v>170</v>
      </c>
      <c r="B165" t="s">
        <v>475</v>
      </c>
      <c r="C165" s="117">
        <f>SUM(C161:C164)</f>
        <v>0.10181999999999999</v>
      </c>
      <c r="D165" s="117">
        <f>SUM(D161:D164)</f>
        <v>8.5630000000000012E-2</v>
      </c>
    </row>
    <row r="166" spans="1:4" x14ac:dyDescent="0.35">
      <c r="A166" t="s">
        <v>170</v>
      </c>
      <c r="B166" t="s">
        <v>476</v>
      </c>
      <c r="C166" s="117">
        <f>C165*60</f>
        <v>6.1091999999999995</v>
      </c>
      <c r="D166" s="117">
        <f>D165*8</f>
        <v>0.68504000000000009</v>
      </c>
    </row>
  </sheetData>
  <mergeCells count="1">
    <mergeCell ref="B117:G117"/>
  </mergeCells>
  <phoneticPr fontId="5" type="noConversion"/>
  <hyperlinks>
    <hyperlink ref="C42" r:id="rId1" xr:uid="{4DB2E1D1-1674-40CE-813C-4B5F58B553A5}"/>
    <hyperlink ref="C54" r:id="rId2" xr:uid="{0321D8AB-A88B-4599-AF32-60BDDF702A75}"/>
    <hyperlink ref="F22" r:id="rId3" xr:uid="{C0CE6AC1-FF11-45B7-A6E4-B9A18442C384}"/>
    <hyperlink ref="K58" r:id="rId4" xr:uid="{73BFC399-20A6-47CC-AA5E-8D9272C8C24B}"/>
    <hyperlink ref="C108" r:id="rId5" xr:uid="{8E26A151-C591-4524-B1C4-428C03585A33}"/>
  </hyperlinks>
  <pageMargins left="0.7" right="0.7" top="0.75" bottom="0.75" header="0.3" footer="0.3"/>
  <drawing r:id="rId6"/>
  <tableParts count="13"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A1591-1546-4E0C-A43E-0A30FB87D015}">
  <dimension ref="A2:Q173"/>
  <sheetViews>
    <sheetView topLeftCell="I42" workbookViewId="0">
      <selection activeCell="L65" sqref="L65"/>
    </sheetView>
  </sheetViews>
  <sheetFormatPr defaultColWidth="8.83203125" defaultRowHeight="15.5" x14ac:dyDescent="0.35"/>
  <cols>
    <col min="1" max="1" width="25.58203125" customWidth="1"/>
    <col min="10" max="10" width="21" bestFit="1" customWidth="1"/>
    <col min="11" max="11" width="37.83203125" bestFit="1" customWidth="1"/>
    <col min="12" max="12" width="35.08203125" bestFit="1" customWidth="1"/>
    <col min="13" max="14" width="35.33203125" bestFit="1" customWidth="1"/>
    <col min="15" max="15" width="22.08203125" customWidth="1"/>
  </cols>
  <sheetData>
    <row r="2" spans="1:15" x14ac:dyDescent="0.35">
      <c r="A2" t="s">
        <v>269</v>
      </c>
      <c r="B2" t="s">
        <v>403</v>
      </c>
      <c r="C2" t="s">
        <v>427</v>
      </c>
      <c r="J2" t="s">
        <v>428</v>
      </c>
      <c r="O2" s="22" t="s">
        <v>429</v>
      </c>
    </row>
    <row r="3" spans="1:15" x14ac:dyDescent="0.35">
      <c r="A3" t="s">
        <v>223</v>
      </c>
      <c r="B3" t="s">
        <v>232</v>
      </c>
      <c r="C3">
        <v>-355.35</v>
      </c>
      <c r="J3" s="57" t="s">
        <v>403</v>
      </c>
      <c r="K3" s="57" t="s">
        <v>269</v>
      </c>
      <c r="L3" t="s">
        <v>404</v>
      </c>
      <c r="M3" t="s">
        <v>430</v>
      </c>
      <c r="N3" t="s">
        <v>431</v>
      </c>
      <c r="O3" t="s">
        <v>415</v>
      </c>
    </row>
    <row r="4" spans="1:15" x14ac:dyDescent="0.35">
      <c r="A4" t="s">
        <v>223</v>
      </c>
      <c r="B4" t="s">
        <v>232</v>
      </c>
      <c r="C4">
        <v>-377.83</v>
      </c>
      <c r="J4" t="s">
        <v>408</v>
      </c>
      <c r="K4" t="s">
        <v>432</v>
      </c>
      <c r="L4" s="9">
        <v>33</v>
      </c>
      <c r="M4" s="9">
        <v>33</v>
      </c>
      <c r="N4" s="9">
        <v>33</v>
      </c>
    </row>
    <row r="5" spans="1:15" x14ac:dyDescent="0.35">
      <c r="A5" t="s">
        <v>223</v>
      </c>
      <c r="B5" t="s">
        <v>232</v>
      </c>
      <c r="C5">
        <v>-368.04</v>
      </c>
      <c r="K5" t="s">
        <v>433</v>
      </c>
      <c r="L5" s="9">
        <v>62</v>
      </c>
      <c r="M5" s="9">
        <v>62</v>
      </c>
      <c r="N5" s="9">
        <v>62</v>
      </c>
    </row>
    <row r="6" spans="1:15" x14ac:dyDescent="0.35">
      <c r="A6" t="s">
        <v>223</v>
      </c>
      <c r="B6" t="s">
        <v>232</v>
      </c>
      <c r="C6">
        <v>-374.1</v>
      </c>
      <c r="K6" t="s">
        <v>434</v>
      </c>
      <c r="L6" s="9">
        <v>33.94384615384616</v>
      </c>
      <c r="M6" s="9">
        <v>15.64</v>
      </c>
      <c r="N6" s="9">
        <v>49.97</v>
      </c>
    </row>
    <row r="7" spans="1:15" x14ac:dyDescent="0.35">
      <c r="A7" t="s">
        <v>223</v>
      </c>
      <c r="B7" t="s">
        <v>232</v>
      </c>
      <c r="C7">
        <v>-167.04</v>
      </c>
      <c r="K7" t="s">
        <v>435</v>
      </c>
      <c r="L7" s="9">
        <v>29.021250000000006</v>
      </c>
      <c r="M7" s="9">
        <v>20.5</v>
      </c>
      <c r="N7" s="9">
        <v>35.72</v>
      </c>
    </row>
    <row r="8" spans="1:15" x14ac:dyDescent="0.35">
      <c r="A8" t="s">
        <v>223</v>
      </c>
      <c r="B8" t="s">
        <v>232</v>
      </c>
      <c r="C8">
        <v>-151.41</v>
      </c>
      <c r="J8" t="s">
        <v>232</v>
      </c>
      <c r="K8" t="s">
        <v>223</v>
      </c>
      <c r="L8" s="9">
        <v>-328.81697478991583</v>
      </c>
      <c r="M8" s="9">
        <v>-532.74</v>
      </c>
      <c r="N8" s="9">
        <v>-132.51</v>
      </c>
      <c r="O8" s="9">
        <v>79.209999999999994</v>
      </c>
    </row>
    <row r="9" spans="1:15" x14ac:dyDescent="0.35">
      <c r="A9" t="s">
        <v>223</v>
      </c>
      <c r="B9" t="s">
        <v>232</v>
      </c>
      <c r="C9">
        <v>-257.77999999999997</v>
      </c>
      <c r="K9" t="s">
        <v>413</v>
      </c>
      <c r="L9" s="9">
        <v>-54.055</v>
      </c>
      <c r="M9" s="9">
        <v>-79.91</v>
      </c>
      <c r="N9" s="9">
        <v>-28.2</v>
      </c>
      <c r="O9" s="9">
        <v>79.209999999999994</v>
      </c>
    </row>
    <row r="10" spans="1:15" x14ac:dyDescent="0.35">
      <c r="A10" t="s">
        <v>223</v>
      </c>
      <c r="B10" t="s">
        <v>232</v>
      </c>
      <c r="C10">
        <v>-255.74</v>
      </c>
      <c r="J10" t="s">
        <v>414</v>
      </c>
      <c r="K10" t="s">
        <v>415</v>
      </c>
      <c r="L10" s="9">
        <v>129.89642857142857</v>
      </c>
      <c r="M10" s="9">
        <v>105.13</v>
      </c>
      <c r="N10" s="9">
        <v>176.43</v>
      </c>
    </row>
    <row r="11" spans="1:15" x14ac:dyDescent="0.35">
      <c r="A11" t="s">
        <v>223</v>
      </c>
      <c r="B11" t="s">
        <v>232</v>
      </c>
      <c r="C11">
        <v>-188.78</v>
      </c>
    </row>
    <row r="12" spans="1:15" x14ac:dyDescent="0.35">
      <c r="A12" t="s">
        <v>223</v>
      </c>
      <c r="B12" t="s">
        <v>232</v>
      </c>
      <c r="C12">
        <v>-453.1</v>
      </c>
      <c r="L12" s="9">
        <f>AVERAGE(L6:L7)</f>
        <v>31.482548076923081</v>
      </c>
      <c r="M12" s="9">
        <f t="shared" ref="M12:N12" si="0">AVERAGE(M6:M7)</f>
        <v>18.07</v>
      </c>
      <c r="N12" s="9">
        <f t="shared" si="0"/>
        <v>42.844999999999999</v>
      </c>
    </row>
    <row r="13" spans="1:15" x14ac:dyDescent="0.35">
      <c r="A13" t="s">
        <v>223</v>
      </c>
      <c r="B13" t="s">
        <v>232</v>
      </c>
      <c r="C13">
        <v>-308.48</v>
      </c>
      <c r="J13" s="22" t="s">
        <v>436</v>
      </c>
      <c r="L13" s="9">
        <f>AVERAGE(L4:L5)</f>
        <v>47.5</v>
      </c>
    </row>
    <row r="14" spans="1:15" x14ac:dyDescent="0.35">
      <c r="A14" t="s">
        <v>223</v>
      </c>
      <c r="B14" t="s">
        <v>232</v>
      </c>
      <c r="C14">
        <v>-236.96</v>
      </c>
      <c r="J14" s="57" t="s">
        <v>269</v>
      </c>
      <c r="K14" t="s">
        <v>437</v>
      </c>
    </row>
    <row r="15" spans="1:15" x14ac:dyDescent="0.35">
      <c r="A15" t="s">
        <v>223</v>
      </c>
      <c r="B15" t="s">
        <v>232</v>
      </c>
      <c r="C15">
        <v>-532.74</v>
      </c>
    </row>
    <row r="16" spans="1:15" x14ac:dyDescent="0.35">
      <c r="A16" t="s">
        <v>223</v>
      </c>
      <c r="B16" t="s">
        <v>232</v>
      </c>
      <c r="C16">
        <v>-372.2</v>
      </c>
      <c r="J16" s="57" t="s">
        <v>403</v>
      </c>
      <c r="K16" t="s">
        <v>404</v>
      </c>
      <c r="L16" t="s">
        <v>430</v>
      </c>
      <c r="M16" t="s">
        <v>431</v>
      </c>
    </row>
    <row r="17" spans="1:17" x14ac:dyDescent="0.35">
      <c r="A17" t="s">
        <v>223</v>
      </c>
      <c r="B17" t="s">
        <v>232</v>
      </c>
      <c r="C17">
        <v>-230.13</v>
      </c>
      <c r="J17" t="s">
        <v>408</v>
      </c>
      <c r="K17" s="9">
        <v>32.785588235294114</v>
      </c>
      <c r="L17" s="9">
        <v>15.64</v>
      </c>
      <c r="M17" s="9">
        <v>49.97</v>
      </c>
      <c r="N17" t="s">
        <v>434</v>
      </c>
    </row>
    <row r="18" spans="1:17" x14ac:dyDescent="0.35">
      <c r="A18" t="s">
        <v>223</v>
      </c>
      <c r="B18" t="s">
        <v>232</v>
      </c>
      <c r="C18">
        <v>-408.62</v>
      </c>
      <c r="N18" t="s">
        <v>435</v>
      </c>
    </row>
    <row r="19" spans="1:17" x14ac:dyDescent="0.35">
      <c r="A19" t="s">
        <v>223</v>
      </c>
      <c r="B19" t="s">
        <v>232</v>
      </c>
      <c r="C19">
        <v>-289.76</v>
      </c>
    </row>
    <row r="20" spans="1:17" x14ac:dyDescent="0.35">
      <c r="A20" t="s">
        <v>223</v>
      </c>
      <c r="B20" t="s">
        <v>232</v>
      </c>
      <c r="C20">
        <v>-308.74</v>
      </c>
      <c r="K20" t="s">
        <v>438</v>
      </c>
      <c r="L20" s="134" t="s">
        <v>439</v>
      </c>
      <c r="M20" s="134"/>
    </row>
    <row r="21" spans="1:17" x14ac:dyDescent="0.35">
      <c r="A21" t="s">
        <v>223</v>
      </c>
      <c r="B21" t="s">
        <v>232</v>
      </c>
      <c r="C21">
        <v>-417.35</v>
      </c>
      <c r="K21" t="s">
        <v>383</v>
      </c>
      <c r="L21" t="s">
        <v>384</v>
      </c>
      <c r="M21" t="s">
        <v>385</v>
      </c>
      <c r="N21" t="s">
        <v>440</v>
      </c>
    </row>
    <row r="22" spans="1:17" ht="13.5" customHeight="1" x14ac:dyDescent="0.35">
      <c r="A22" t="s">
        <v>223</v>
      </c>
      <c r="B22" t="s">
        <v>232</v>
      </c>
      <c r="C22">
        <v>-417.27</v>
      </c>
      <c r="J22" s="5" t="s">
        <v>408</v>
      </c>
      <c r="K22">
        <v>50</v>
      </c>
      <c r="L22">
        <v>50</v>
      </c>
      <c r="M22">
        <v>32.799999999999997</v>
      </c>
      <c r="N22" s="112">
        <v>70</v>
      </c>
      <c r="O22">
        <v>70</v>
      </c>
      <c r="P22">
        <v>47.5</v>
      </c>
    </row>
    <row r="23" spans="1:17" x14ac:dyDescent="0.35">
      <c r="A23" t="s">
        <v>223</v>
      </c>
      <c r="B23" t="s">
        <v>232</v>
      </c>
      <c r="C23">
        <v>-418.9</v>
      </c>
      <c r="K23" s="22" t="s">
        <v>441</v>
      </c>
    </row>
    <row r="24" spans="1:17" ht="46.5" x14ac:dyDescent="0.35">
      <c r="A24" t="s">
        <v>223</v>
      </c>
      <c r="B24" t="s">
        <v>232</v>
      </c>
      <c r="C24">
        <v>-392.44</v>
      </c>
      <c r="K24" s="104" t="s">
        <v>442</v>
      </c>
      <c r="L24" s="136" t="s">
        <v>443</v>
      </c>
      <c r="M24" s="136"/>
      <c r="N24" s="137"/>
      <c r="O24" s="135" t="s">
        <v>444</v>
      </c>
      <c r="P24" s="135"/>
      <c r="Q24" s="135"/>
    </row>
    <row r="25" spans="1:17" x14ac:dyDescent="0.35">
      <c r="A25" t="s">
        <v>223</v>
      </c>
      <c r="B25" t="s">
        <v>232</v>
      </c>
      <c r="C25">
        <v>-408.62</v>
      </c>
      <c r="J25" s="103" t="s">
        <v>0</v>
      </c>
      <c r="K25" s="103" t="s">
        <v>445</v>
      </c>
      <c r="L25" s="105" t="s">
        <v>383</v>
      </c>
      <c r="M25" s="105" t="s">
        <v>384</v>
      </c>
      <c r="N25" s="107" t="s">
        <v>385</v>
      </c>
      <c r="O25" s="105" t="s">
        <v>383</v>
      </c>
      <c r="P25" s="106" t="s">
        <v>384</v>
      </c>
      <c r="Q25" s="106" t="s">
        <v>385</v>
      </c>
    </row>
    <row r="26" spans="1:17" x14ac:dyDescent="0.35">
      <c r="A26" t="s">
        <v>223</v>
      </c>
      <c r="B26" t="s">
        <v>232</v>
      </c>
      <c r="C26">
        <v>-435.22</v>
      </c>
      <c r="J26" t="s">
        <v>446</v>
      </c>
      <c r="K26">
        <v>89.37</v>
      </c>
      <c r="L26" s="20">
        <f>-$K26+K$22</f>
        <v>-39.370000000000005</v>
      </c>
      <c r="M26" s="20">
        <f t="shared" ref="M26:N26" si="1">-$K26+L$22</f>
        <v>-39.370000000000005</v>
      </c>
      <c r="N26" s="108">
        <f t="shared" si="1"/>
        <v>-56.570000000000007</v>
      </c>
      <c r="O26" s="20">
        <f>-$K26+N$22</f>
        <v>-19.370000000000005</v>
      </c>
      <c r="P26" s="20">
        <f>-$K26+O$22</f>
        <v>-19.370000000000005</v>
      </c>
      <c r="Q26" s="20">
        <f>-$K26+P$22</f>
        <v>-41.870000000000005</v>
      </c>
    </row>
    <row r="27" spans="1:17" x14ac:dyDescent="0.35">
      <c r="A27" t="s">
        <v>223</v>
      </c>
      <c r="B27" t="s">
        <v>232</v>
      </c>
      <c r="C27">
        <v>-406.35</v>
      </c>
      <c r="J27">
        <v>2020</v>
      </c>
      <c r="K27">
        <v>89.37</v>
      </c>
      <c r="L27" s="20">
        <f t="shared" ref="L27:N27" si="2">-$K27+K$22</f>
        <v>-39.370000000000005</v>
      </c>
      <c r="M27" s="20">
        <f t="shared" si="2"/>
        <v>-39.370000000000005</v>
      </c>
      <c r="N27" s="108">
        <f t="shared" si="2"/>
        <v>-56.570000000000007</v>
      </c>
      <c r="O27" s="20">
        <f t="shared" ref="O27:Q27" si="3">-$K27+N$22</f>
        <v>-19.370000000000005</v>
      </c>
      <c r="P27" s="20">
        <f t="shared" si="3"/>
        <v>-19.370000000000005</v>
      </c>
      <c r="Q27" s="20">
        <f t="shared" si="3"/>
        <v>-41.870000000000005</v>
      </c>
    </row>
    <row r="28" spans="1:17" x14ac:dyDescent="0.35">
      <c r="A28" t="s">
        <v>223</v>
      </c>
      <c r="B28" t="s">
        <v>232</v>
      </c>
      <c r="C28">
        <v>-389.66</v>
      </c>
      <c r="J28">
        <v>2021</v>
      </c>
      <c r="K28">
        <v>89.37</v>
      </c>
      <c r="L28" s="20">
        <f t="shared" ref="L28:N28" si="4">-$K28+K$22</f>
        <v>-39.370000000000005</v>
      </c>
      <c r="M28" s="20">
        <f t="shared" si="4"/>
        <v>-39.370000000000005</v>
      </c>
      <c r="N28" s="108">
        <f t="shared" si="4"/>
        <v>-56.570000000000007</v>
      </c>
      <c r="O28" s="20">
        <f t="shared" ref="O28:Q28" si="5">-$K28+N$22</f>
        <v>-19.370000000000005</v>
      </c>
      <c r="P28" s="20">
        <f t="shared" si="5"/>
        <v>-19.370000000000005</v>
      </c>
      <c r="Q28" s="20">
        <f t="shared" si="5"/>
        <v>-41.870000000000005</v>
      </c>
    </row>
    <row r="29" spans="1:17" x14ac:dyDescent="0.35">
      <c r="A29" t="s">
        <v>223</v>
      </c>
      <c r="B29" t="s">
        <v>232</v>
      </c>
      <c r="C29">
        <v>-388.91</v>
      </c>
      <c r="J29">
        <v>2022</v>
      </c>
      <c r="K29">
        <v>89.37</v>
      </c>
      <c r="L29" s="20">
        <f t="shared" ref="L29:N29" si="6">-$K29+K$22</f>
        <v>-39.370000000000005</v>
      </c>
      <c r="M29" s="20">
        <f t="shared" si="6"/>
        <v>-39.370000000000005</v>
      </c>
      <c r="N29" s="108">
        <f t="shared" si="6"/>
        <v>-56.570000000000007</v>
      </c>
      <c r="O29" s="20">
        <f t="shared" ref="O29:Q29" si="7">-$K29+N$22</f>
        <v>-19.370000000000005</v>
      </c>
      <c r="P29" s="20">
        <f t="shared" si="7"/>
        <v>-19.370000000000005</v>
      </c>
      <c r="Q29" s="20">
        <f t="shared" si="7"/>
        <v>-41.870000000000005</v>
      </c>
    </row>
    <row r="30" spans="1:17" x14ac:dyDescent="0.35">
      <c r="A30" t="s">
        <v>223</v>
      </c>
      <c r="B30" t="s">
        <v>232</v>
      </c>
      <c r="C30">
        <v>-388.29</v>
      </c>
      <c r="J30">
        <v>2023</v>
      </c>
      <c r="K30">
        <v>89.15</v>
      </c>
      <c r="L30" s="20">
        <f t="shared" ref="L30:N30" si="8">-$K30+K$22</f>
        <v>-39.150000000000006</v>
      </c>
      <c r="M30" s="20">
        <f t="shared" si="8"/>
        <v>-39.150000000000006</v>
      </c>
      <c r="N30" s="108">
        <f t="shared" si="8"/>
        <v>-56.350000000000009</v>
      </c>
      <c r="O30" s="20">
        <f t="shared" ref="O30:Q30" si="9">-$K30+N$22</f>
        <v>-19.150000000000006</v>
      </c>
      <c r="P30" s="20">
        <f t="shared" si="9"/>
        <v>-19.150000000000006</v>
      </c>
      <c r="Q30" s="20">
        <f t="shared" si="9"/>
        <v>-41.650000000000006</v>
      </c>
    </row>
    <row r="31" spans="1:17" x14ac:dyDescent="0.35">
      <c r="A31" t="s">
        <v>223</v>
      </c>
      <c r="B31" t="s">
        <v>232</v>
      </c>
      <c r="C31">
        <v>-135.37</v>
      </c>
      <c r="J31">
        <v>2024</v>
      </c>
      <c r="K31">
        <v>87.89</v>
      </c>
      <c r="L31" s="20">
        <f t="shared" ref="L31:N31" si="10">-$K31+K$22</f>
        <v>-37.89</v>
      </c>
      <c r="M31" s="20">
        <f t="shared" si="10"/>
        <v>-37.89</v>
      </c>
      <c r="N31" s="108">
        <f t="shared" si="10"/>
        <v>-55.09</v>
      </c>
      <c r="O31" s="20">
        <f t="shared" ref="O31:Q31" si="11">-$K31+N$22</f>
        <v>-17.89</v>
      </c>
      <c r="P31" s="20">
        <f t="shared" si="11"/>
        <v>-17.89</v>
      </c>
      <c r="Q31" s="20">
        <f t="shared" si="11"/>
        <v>-40.39</v>
      </c>
    </row>
    <row r="32" spans="1:17" x14ac:dyDescent="0.35">
      <c r="A32" t="s">
        <v>223</v>
      </c>
      <c r="B32" t="s">
        <v>232</v>
      </c>
      <c r="C32">
        <v>-211.01</v>
      </c>
      <c r="J32">
        <v>2025</v>
      </c>
      <c r="K32">
        <v>86.64</v>
      </c>
      <c r="L32" s="20">
        <f t="shared" ref="L32:N32" si="12">-$K32+K$22</f>
        <v>-36.64</v>
      </c>
      <c r="M32" s="20">
        <f t="shared" si="12"/>
        <v>-36.64</v>
      </c>
      <c r="N32" s="108">
        <f t="shared" si="12"/>
        <v>-53.84</v>
      </c>
      <c r="O32" s="20">
        <f t="shared" ref="O32:Q32" si="13">-$K32+N$22</f>
        <v>-16.64</v>
      </c>
      <c r="P32" s="20">
        <f t="shared" si="13"/>
        <v>-16.64</v>
      </c>
      <c r="Q32" s="20">
        <f t="shared" si="13"/>
        <v>-39.14</v>
      </c>
    </row>
    <row r="33" spans="1:17" x14ac:dyDescent="0.35">
      <c r="A33" t="s">
        <v>223</v>
      </c>
      <c r="B33" t="s">
        <v>232</v>
      </c>
      <c r="C33">
        <v>-382.83</v>
      </c>
      <c r="J33">
        <v>2026</v>
      </c>
      <c r="K33">
        <v>85.38</v>
      </c>
      <c r="L33" s="20">
        <f t="shared" ref="L33:N33" si="14">-$K33+K$22</f>
        <v>-35.379999999999995</v>
      </c>
      <c r="M33" s="20">
        <f t="shared" si="14"/>
        <v>-35.379999999999995</v>
      </c>
      <c r="N33" s="108">
        <f t="shared" si="14"/>
        <v>-52.58</v>
      </c>
      <c r="O33" s="20">
        <f t="shared" ref="O33:Q33" si="15">-$K33+N$22</f>
        <v>-15.379999999999995</v>
      </c>
      <c r="P33" s="20">
        <f t="shared" si="15"/>
        <v>-15.379999999999995</v>
      </c>
      <c r="Q33" s="20">
        <f t="shared" si="15"/>
        <v>-37.879999999999995</v>
      </c>
    </row>
    <row r="34" spans="1:17" x14ac:dyDescent="0.35">
      <c r="A34" t="s">
        <v>223</v>
      </c>
      <c r="B34" t="s">
        <v>232</v>
      </c>
      <c r="C34">
        <v>-303.92</v>
      </c>
      <c r="J34">
        <v>2027</v>
      </c>
      <c r="K34">
        <v>84.13</v>
      </c>
      <c r="L34" s="20">
        <f t="shared" ref="L34:N34" si="16">-$K34+K$22</f>
        <v>-34.129999999999995</v>
      </c>
      <c r="M34" s="20">
        <f t="shared" si="16"/>
        <v>-34.129999999999995</v>
      </c>
      <c r="N34" s="108">
        <f t="shared" si="16"/>
        <v>-51.33</v>
      </c>
      <c r="O34" s="20">
        <f t="shared" ref="O34:Q34" si="17">-$K34+N$22</f>
        <v>-14.129999999999995</v>
      </c>
      <c r="P34" s="20">
        <f t="shared" si="17"/>
        <v>-14.129999999999995</v>
      </c>
      <c r="Q34" s="20">
        <f t="shared" si="17"/>
        <v>-36.629999999999995</v>
      </c>
    </row>
    <row r="35" spans="1:17" x14ac:dyDescent="0.35">
      <c r="A35" t="s">
        <v>223</v>
      </c>
      <c r="B35" t="s">
        <v>232</v>
      </c>
      <c r="C35">
        <v>-192.49</v>
      </c>
      <c r="J35">
        <v>2028</v>
      </c>
      <c r="K35">
        <v>82.87</v>
      </c>
      <c r="L35" s="20">
        <f t="shared" ref="L35:N35" si="18">-$K35+K$22</f>
        <v>-32.870000000000005</v>
      </c>
      <c r="M35" s="20">
        <f t="shared" si="18"/>
        <v>-32.870000000000005</v>
      </c>
      <c r="N35" s="108">
        <f t="shared" si="18"/>
        <v>-50.070000000000007</v>
      </c>
      <c r="O35" s="20">
        <f t="shared" ref="O35:Q35" si="19">-$K35+N$22</f>
        <v>-12.870000000000005</v>
      </c>
      <c r="P35" s="20">
        <f t="shared" si="19"/>
        <v>-12.870000000000005</v>
      </c>
      <c r="Q35" s="20">
        <f t="shared" si="19"/>
        <v>-35.370000000000005</v>
      </c>
    </row>
    <row r="36" spans="1:17" x14ac:dyDescent="0.35">
      <c r="A36" t="s">
        <v>223</v>
      </c>
      <c r="B36" t="s">
        <v>232</v>
      </c>
      <c r="C36">
        <v>-323.10000000000002</v>
      </c>
      <c r="J36">
        <v>2029</v>
      </c>
      <c r="K36">
        <v>81.62</v>
      </c>
      <c r="L36" s="20">
        <f t="shared" ref="L36:N36" si="20">-$K36+K$22</f>
        <v>-31.620000000000005</v>
      </c>
      <c r="M36" s="20">
        <f t="shared" si="20"/>
        <v>-31.620000000000005</v>
      </c>
      <c r="N36" s="108">
        <f t="shared" si="20"/>
        <v>-48.820000000000007</v>
      </c>
      <c r="O36" s="20">
        <f t="shared" ref="O36:Q36" si="21">-$K36+N$22</f>
        <v>-11.620000000000005</v>
      </c>
      <c r="P36" s="20">
        <f t="shared" si="21"/>
        <v>-11.620000000000005</v>
      </c>
      <c r="Q36" s="20">
        <f t="shared" si="21"/>
        <v>-34.120000000000005</v>
      </c>
    </row>
    <row r="37" spans="1:17" x14ac:dyDescent="0.35">
      <c r="A37" t="s">
        <v>223</v>
      </c>
      <c r="B37" t="s">
        <v>232</v>
      </c>
      <c r="C37">
        <v>-329.76</v>
      </c>
      <c r="J37">
        <v>2030</v>
      </c>
      <c r="K37">
        <v>80.36</v>
      </c>
      <c r="L37" s="20">
        <f t="shared" ref="L37:N37" si="22">-$K37+K$22</f>
        <v>-30.36</v>
      </c>
      <c r="M37" s="20">
        <f t="shared" si="22"/>
        <v>-30.36</v>
      </c>
      <c r="N37" s="108">
        <f t="shared" si="22"/>
        <v>-47.56</v>
      </c>
      <c r="O37" s="20">
        <f t="shared" ref="O37:Q37" si="23">-$K37+N$22</f>
        <v>-10.36</v>
      </c>
      <c r="P37" s="20">
        <f t="shared" si="23"/>
        <v>-10.36</v>
      </c>
      <c r="Q37" s="20">
        <f t="shared" si="23"/>
        <v>-32.86</v>
      </c>
    </row>
    <row r="38" spans="1:17" x14ac:dyDescent="0.35">
      <c r="A38" t="s">
        <v>223</v>
      </c>
      <c r="B38" t="s">
        <v>232</v>
      </c>
      <c r="C38">
        <v>-177.03</v>
      </c>
      <c r="J38">
        <v>2031</v>
      </c>
      <c r="K38">
        <v>80.36</v>
      </c>
      <c r="L38" s="20">
        <f t="shared" ref="L38:N38" si="24">-$K38+K$22</f>
        <v>-30.36</v>
      </c>
      <c r="M38" s="20">
        <f t="shared" si="24"/>
        <v>-30.36</v>
      </c>
      <c r="N38" s="108">
        <f t="shared" si="24"/>
        <v>-47.56</v>
      </c>
      <c r="O38" s="20">
        <f t="shared" ref="O38:Q38" si="25">-$K38+N$22</f>
        <v>-10.36</v>
      </c>
      <c r="P38" s="20">
        <f t="shared" si="25"/>
        <v>-10.36</v>
      </c>
      <c r="Q38" s="20">
        <f t="shared" si="25"/>
        <v>-32.86</v>
      </c>
    </row>
    <row r="39" spans="1:17" x14ac:dyDescent="0.35">
      <c r="A39" t="s">
        <v>223</v>
      </c>
      <c r="B39" t="s">
        <v>232</v>
      </c>
      <c r="C39">
        <v>-156.78</v>
      </c>
      <c r="J39">
        <v>2032</v>
      </c>
      <c r="K39">
        <v>80.36</v>
      </c>
      <c r="L39" s="20">
        <f t="shared" ref="L39:N39" si="26">-$K39+K$22</f>
        <v>-30.36</v>
      </c>
      <c r="M39" s="20">
        <f t="shared" si="26"/>
        <v>-30.36</v>
      </c>
      <c r="N39" s="108">
        <f t="shared" si="26"/>
        <v>-47.56</v>
      </c>
      <c r="O39" s="20">
        <f t="shared" ref="O39:Q39" si="27">-$K39+N$22</f>
        <v>-10.36</v>
      </c>
      <c r="P39" s="20">
        <f t="shared" si="27"/>
        <v>-10.36</v>
      </c>
      <c r="Q39" s="20">
        <f t="shared" si="27"/>
        <v>-32.86</v>
      </c>
    </row>
    <row r="40" spans="1:17" x14ac:dyDescent="0.35">
      <c r="A40" t="s">
        <v>223</v>
      </c>
      <c r="B40" t="s">
        <v>232</v>
      </c>
      <c r="C40">
        <v>-295.26</v>
      </c>
      <c r="J40">
        <v>2033</v>
      </c>
      <c r="K40">
        <v>80.36</v>
      </c>
      <c r="L40" s="20">
        <f t="shared" ref="L40:N40" si="28">-$K40+K$22</f>
        <v>-30.36</v>
      </c>
      <c r="M40" s="20">
        <f t="shared" si="28"/>
        <v>-30.36</v>
      </c>
      <c r="N40" s="108">
        <f t="shared" si="28"/>
        <v>-47.56</v>
      </c>
      <c r="O40" s="20">
        <f t="shared" ref="O40:Q40" si="29">-$K40+N$22</f>
        <v>-10.36</v>
      </c>
      <c r="P40" s="20">
        <f t="shared" si="29"/>
        <v>-10.36</v>
      </c>
      <c r="Q40" s="20">
        <f t="shared" si="29"/>
        <v>-32.86</v>
      </c>
    </row>
    <row r="41" spans="1:17" x14ac:dyDescent="0.35">
      <c r="A41" t="s">
        <v>223</v>
      </c>
      <c r="B41" t="s">
        <v>232</v>
      </c>
      <c r="C41">
        <v>-382.11</v>
      </c>
      <c r="J41">
        <v>2034</v>
      </c>
      <c r="K41">
        <v>80.36</v>
      </c>
      <c r="L41" s="20">
        <f t="shared" ref="L41:N41" si="30">-$K41+K$22</f>
        <v>-30.36</v>
      </c>
      <c r="M41" s="20">
        <f t="shared" si="30"/>
        <v>-30.36</v>
      </c>
      <c r="N41" s="108">
        <f t="shared" si="30"/>
        <v>-47.56</v>
      </c>
      <c r="O41" s="20">
        <f t="shared" ref="O41:Q41" si="31">-$K41+N$22</f>
        <v>-10.36</v>
      </c>
      <c r="P41" s="20">
        <f t="shared" si="31"/>
        <v>-10.36</v>
      </c>
      <c r="Q41" s="20">
        <f t="shared" si="31"/>
        <v>-32.86</v>
      </c>
    </row>
    <row r="42" spans="1:17" x14ac:dyDescent="0.35">
      <c r="A42" t="s">
        <v>223</v>
      </c>
      <c r="B42" t="s">
        <v>232</v>
      </c>
      <c r="C42">
        <v>-414.26</v>
      </c>
      <c r="J42">
        <v>2035</v>
      </c>
      <c r="K42">
        <v>80.36</v>
      </c>
      <c r="L42" s="20">
        <f t="shared" ref="L42:N42" si="32">-$K42+K$22</f>
        <v>-30.36</v>
      </c>
      <c r="M42" s="20">
        <f t="shared" si="32"/>
        <v>-30.36</v>
      </c>
      <c r="N42" s="108">
        <f t="shared" si="32"/>
        <v>-47.56</v>
      </c>
      <c r="O42" s="20">
        <f t="shared" ref="O42:Q42" si="33">-$K42+N$22</f>
        <v>-10.36</v>
      </c>
      <c r="P42" s="20">
        <f t="shared" si="33"/>
        <v>-10.36</v>
      </c>
      <c r="Q42" s="20">
        <f t="shared" si="33"/>
        <v>-32.86</v>
      </c>
    </row>
    <row r="43" spans="1:17" x14ac:dyDescent="0.35">
      <c r="A43" t="s">
        <v>223</v>
      </c>
      <c r="B43" t="s">
        <v>232</v>
      </c>
      <c r="C43">
        <v>-405.41</v>
      </c>
      <c r="J43">
        <v>2036</v>
      </c>
      <c r="K43">
        <v>80.36</v>
      </c>
      <c r="L43" s="20">
        <f t="shared" ref="L43:N43" si="34">-$K43+K$22</f>
        <v>-30.36</v>
      </c>
      <c r="M43" s="20">
        <f t="shared" si="34"/>
        <v>-30.36</v>
      </c>
      <c r="N43" s="108">
        <f t="shared" si="34"/>
        <v>-47.56</v>
      </c>
      <c r="O43" s="20">
        <f t="shared" ref="O43:Q43" si="35">-$K43+N$22</f>
        <v>-10.36</v>
      </c>
      <c r="P43" s="20">
        <f t="shared" si="35"/>
        <v>-10.36</v>
      </c>
      <c r="Q43" s="20">
        <f t="shared" si="35"/>
        <v>-32.86</v>
      </c>
    </row>
    <row r="44" spans="1:17" x14ac:dyDescent="0.35">
      <c r="A44" t="s">
        <v>223</v>
      </c>
      <c r="B44" t="s">
        <v>232</v>
      </c>
      <c r="C44">
        <v>-385.4</v>
      </c>
      <c r="J44">
        <v>2037</v>
      </c>
      <c r="K44">
        <v>80.36</v>
      </c>
      <c r="L44" s="20">
        <f t="shared" ref="L44:N44" si="36">-$K44+K$22</f>
        <v>-30.36</v>
      </c>
      <c r="M44" s="20">
        <f t="shared" si="36"/>
        <v>-30.36</v>
      </c>
      <c r="N44" s="108">
        <f t="shared" si="36"/>
        <v>-47.56</v>
      </c>
      <c r="O44" s="20">
        <f t="shared" ref="O44:Q44" si="37">-$K44+N$22</f>
        <v>-10.36</v>
      </c>
      <c r="P44" s="20">
        <f t="shared" si="37"/>
        <v>-10.36</v>
      </c>
      <c r="Q44" s="20">
        <f t="shared" si="37"/>
        <v>-32.86</v>
      </c>
    </row>
    <row r="45" spans="1:17" x14ac:dyDescent="0.35">
      <c r="A45" t="s">
        <v>223</v>
      </c>
      <c r="B45" t="s">
        <v>232</v>
      </c>
      <c r="C45">
        <v>-420.69</v>
      </c>
      <c r="J45">
        <v>2038</v>
      </c>
      <c r="K45">
        <v>80.36</v>
      </c>
      <c r="L45" s="20">
        <f t="shared" ref="L45:N45" si="38">-$K45+K$22</f>
        <v>-30.36</v>
      </c>
      <c r="M45" s="20">
        <f t="shared" si="38"/>
        <v>-30.36</v>
      </c>
      <c r="N45" s="108">
        <f t="shared" si="38"/>
        <v>-47.56</v>
      </c>
      <c r="O45" s="20">
        <f t="shared" ref="O45:Q45" si="39">-$K45+N$22</f>
        <v>-10.36</v>
      </c>
      <c r="P45" s="20">
        <f t="shared" si="39"/>
        <v>-10.36</v>
      </c>
      <c r="Q45" s="20">
        <f t="shared" si="39"/>
        <v>-32.86</v>
      </c>
    </row>
    <row r="46" spans="1:17" x14ac:dyDescent="0.35">
      <c r="A46" t="s">
        <v>223</v>
      </c>
      <c r="B46" t="s">
        <v>232</v>
      </c>
      <c r="C46">
        <v>-310.70999999999998</v>
      </c>
      <c r="J46">
        <v>2039</v>
      </c>
      <c r="K46">
        <v>80.36</v>
      </c>
      <c r="L46" s="20">
        <f t="shared" ref="L46:N46" si="40">-$K46+K$22</f>
        <v>-30.36</v>
      </c>
      <c r="M46" s="20">
        <f t="shared" si="40"/>
        <v>-30.36</v>
      </c>
      <c r="N46" s="108">
        <f t="shared" si="40"/>
        <v>-47.56</v>
      </c>
      <c r="O46" s="20">
        <f t="shared" ref="O46:Q46" si="41">-$K46+N$22</f>
        <v>-10.36</v>
      </c>
      <c r="P46" s="20">
        <f t="shared" si="41"/>
        <v>-10.36</v>
      </c>
      <c r="Q46" s="20">
        <f t="shared" si="41"/>
        <v>-32.86</v>
      </c>
    </row>
    <row r="47" spans="1:17" x14ac:dyDescent="0.35">
      <c r="A47" t="s">
        <v>223</v>
      </c>
      <c r="B47" t="s">
        <v>232</v>
      </c>
      <c r="C47">
        <v>-182.67</v>
      </c>
      <c r="J47">
        <v>2040</v>
      </c>
      <c r="K47">
        <v>80.36</v>
      </c>
      <c r="L47" s="20">
        <f t="shared" ref="L47:N47" si="42">-$K47+K$22</f>
        <v>-30.36</v>
      </c>
      <c r="M47" s="20">
        <f t="shared" si="42"/>
        <v>-30.36</v>
      </c>
      <c r="N47" s="108">
        <f t="shared" si="42"/>
        <v>-47.56</v>
      </c>
      <c r="O47" s="20">
        <f t="shared" ref="O47:Q47" si="43">-$K47+N$22</f>
        <v>-10.36</v>
      </c>
      <c r="P47" s="20">
        <f t="shared" si="43"/>
        <v>-10.36</v>
      </c>
      <c r="Q47" s="20">
        <f t="shared" si="43"/>
        <v>-32.86</v>
      </c>
    </row>
    <row r="48" spans="1:17" x14ac:dyDescent="0.35">
      <c r="A48" t="s">
        <v>223</v>
      </c>
      <c r="B48" t="s">
        <v>232</v>
      </c>
      <c r="C48">
        <v>-267.51</v>
      </c>
      <c r="J48">
        <v>2041</v>
      </c>
      <c r="K48">
        <v>80.36</v>
      </c>
      <c r="L48" s="20">
        <f t="shared" ref="L48:N48" si="44">-$K48+K$22</f>
        <v>-30.36</v>
      </c>
      <c r="M48" s="20">
        <f t="shared" si="44"/>
        <v>-30.36</v>
      </c>
      <c r="N48" s="108">
        <f t="shared" si="44"/>
        <v>-47.56</v>
      </c>
      <c r="O48" s="20">
        <f t="shared" ref="O48:Q48" si="45">-$K48+N$22</f>
        <v>-10.36</v>
      </c>
      <c r="P48" s="20">
        <f t="shared" si="45"/>
        <v>-10.36</v>
      </c>
      <c r="Q48" s="20">
        <f t="shared" si="45"/>
        <v>-32.86</v>
      </c>
    </row>
    <row r="49" spans="1:17" x14ac:dyDescent="0.35">
      <c r="A49" t="s">
        <v>223</v>
      </c>
      <c r="B49" t="s">
        <v>232</v>
      </c>
      <c r="C49">
        <v>-255.34</v>
      </c>
      <c r="J49">
        <v>2042</v>
      </c>
      <c r="K49">
        <v>80.36</v>
      </c>
      <c r="L49" s="20">
        <f t="shared" ref="L49:N49" si="46">-$K49+K$22</f>
        <v>-30.36</v>
      </c>
      <c r="M49" s="20">
        <f t="shared" si="46"/>
        <v>-30.36</v>
      </c>
      <c r="N49" s="108">
        <f t="shared" si="46"/>
        <v>-47.56</v>
      </c>
      <c r="O49" s="20">
        <f t="shared" ref="O49:Q49" si="47">-$K49+N$22</f>
        <v>-10.36</v>
      </c>
      <c r="P49" s="20">
        <f t="shared" si="47"/>
        <v>-10.36</v>
      </c>
      <c r="Q49" s="20">
        <f t="shared" si="47"/>
        <v>-32.86</v>
      </c>
    </row>
    <row r="50" spans="1:17" x14ac:dyDescent="0.35">
      <c r="A50" t="s">
        <v>223</v>
      </c>
      <c r="B50" t="s">
        <v>232</v>
      </c>
      <c r="C50">
        <v>-353.38</v>
      </c>
      <c r="J50">
        <v>2043</v>
      </c>
      <c r="K50">
        <v>80.36</v>
      </c>
      <c r="L50" s="20">
        <f t="shared" ref="L50:N50" si="48">-$K50+K$22</f>
        <v>-30.36</v>
      </c>
      <c r="M50" s="20">
        <f t="shared" si="48"/>
        <v>-30.36</v>
      </c>
      <c r="N50" s="108">
        <f t="shared" si="48"/>
        <v>-47.56</v>
      </c>
      <c r="O50" s="20">
        <f t="shared" ref="O50:Q50" si="49">-$K50+N$22</f>
        <v>-10.36</v>
      </c>
      <c r="P50" s="20">
        <f t="shared" si="49"/>
        <v>-10.36</v>
      </c>
      <c r="Q50" s="20">
        <f t="shared" si="49"/>
        <v>-32.86</v>
      </c>
    </row>
    <row r="51" spans="1:17" x14ac:dyDescent="0.35">
      <c r="A51" t="s">
        <v>223</v>
      </c>
      <c r="B51" t="s">
        <v>232</v>
      </c>
      <c r="C51">
        <v>-405.57</v>
      </c>
      <c r="J51">
        <v>2044</v>
      </c>
      <c r="K51">
        <v>80.36</v>
      </c>
      <c r="L51" s="20">
        <f t="shared" ref="L51:N52" si="50">-$K51+K$22</f>
        <v>-30.36</v>
      </c>
      <c r="M51" s="20">
        <f t="shared" si="50"/>
        <v>-30.36</v>
      </c>
      <c r="N51" s="108">
        <f t="shared" si="50"/>
        <v>-47.56</v>
      </c>
      <c r="O51" s="20">
        <f t="shared" ref="O51:Q51" si="51">-$K51+N$22</f>
        <v>-10.36</v>
      </c>
      <c r="P51" s="20">
        <f t="shared" si="51"/>
        <v>-10.36</v>
      </c>
      <c r="Q51" s="20">
        <f t="shared" si="51"/>
        <v>-32.86</v>
      </c>
    </row>
    <row r="52" spans="1:17" x14ac:dyDescent="0.35">
      <c r="A52" t="s">
        <v>223</v>
      </c>
      <c r="B52" t="s">
        <v>232</v>
      </c>
      <c r="C52">
        <v>-255.83</v>
      </c>
      <c r="J52">
        <v>2045</v>
      </c>
      <c r="K52">
        <v>80.36</v>
      </c>
      <c r="L52" s="20">
        <f t="shared" si="50"/>
        <v>-30.36</v>
      </c>
      <c r="M52" s="20">
        <f t="shared" si="50"/>
        <v>-30.36</v>
      </c>
      <c r="N52" s="108">
        <f t="shared" si="50"/>
        <v>-47.56</v>
      </c>
      <c r="O52" s="20">
        <f t="shared" ref="O52:Q52" si="52">-$K52+N$22</f>
        <v>-10.36</v>
      </c>
      <c r="P52" s="20">
        <f t="shared" si="52"/>
        <v>-10.36</v>
      </c>
      <c r="Q52" s="20">
        <f t="shared" si="52"/>
        <v>-32.86</v>
      </c>
    </row>
    <row r="53" spans="1:17" x14ac:dyDescent="0.35">
      <c r="A53" t="s">
        <v>223</v>
      </c>
      <c r="B53" t="s">
        <v>232</v>
      </c>
      <c r="C53">
        <v>-366.91</v>
      </c>
    </row>
    <row r="54" spans="1:17" x14ac:dyDescent="0.35">
      <c r="A54" t="s">
        <v>223</v>
      </c>
      <c r="B54" t="s">
        <v>232</v>
      </c>
      <c r="C54">
        <v>-249.43</v>
      </c>
    </row>
    <row r="55" spans="1:17" x14ac:dyDescent="0.35">
      <c r="A55" t="s">
        <v>223</v>
      </c>
      <c r="B55" t="s">
        <v>232</v>
      </c>
      <c r="C55">
        <v>-195.09</v>
      </c>
      <c r="J55" s="5" t="s">
        <v>447</v>
      </c>
      <c r="K55" s="22" t="s">
        <v>429</v>
      </c>
    </row>
    <row r="56" spans="1:17" ht="41.25" customHeight="1" x14ac:dyDescent="0.35">
      <c r="A56" t="s">
        <v>223</v>
      </c>
      <c r="B56" t="s">
        <v>232</v>
      </c>
      <c r="C56">
        <v>-362.84</v>
      </c>
      <c r="K56" s="104" t="s">
        <v>448</v>
      </c>
      <c r="L56" t="s">
        <v>438</v>
      </c>
      <c r="M56" s="134" t="s">
        <v>439</v>
      </c>
      <c r="N56" s="134"/>
    </row>
    <row r="57" spans="1:17" ht="39" customHeight="1" x14ac:dyDescent="0.35">
      <c r="A57" t="s">
        <v>223</v>
      </c>
      <c r="B57" t="s">
        <v>232</v>
      </c>
      <c r="C57">
        <v>-349.17</v>
      </c>
      <c r="K57" s="104" t="s">
        <v>232</v>
      </c>
      <c r="L57" t="s">
        <v>383</v>
      </c>
      <c r="M57" t="s">
        <v>449</v>
      </c>
      <c r="N57" t="s">
        <v>450</v>
      </c>
    </row>
    <row r="58" spans="1:17" ht="77.5" x14ac:dyDescent="0.35">
      <c r="A58" t="s">
        <v>223</v>
      </c>
      <c r="B58" t="s">
        <v>232</v>
      </c>
      <c r="C58">
        <v>-210.67</v>
      </c>
      <c r="J58" s="16" t="s">
        <v>451</v>
      </c>
      <c r="K58" s="9">
        <v>79.209999999999994</v>
      </c>
      <c r="L58">
        <v>45</v>
      </c>
      <c r="M58">
        <v>45</v>
      </c>
      <c r="N58" s="9">
        <v>-54.055</v>
      </c>
    </row>
    <row r="59" spans="1:17" x14ac:dyDescent="0.35">
      <c r="A59" t="s">
        <v>223</v>
      </c>
      <c r="B59" t="s">
        <v>232</v>
      </c>
      <c r="C59">
        <v>-417.26</v>
      </c>
      <c r="J59" t="s">
        <v>223</v>
      </c>
      <c r="K59" s="9">
        <v>79.209999999999994</v>
      </c>
      <c r="L59">
        <v>-150</v>
      </c>
      <c r="M59">
        <v>-132.51</v>
      </c>
      <c r="N59" s="9">
        <v>-328.81697478991583</v>
      </c>
    </row>
    <row r="60" spans="1:17" x14ac:dyDescent="0.35">
      <c r="A60" t="s">
        <v>223</v>
      </c>
      <c r="B60" t="s">
        <v>232</v>
      </c>
      <c r="C60">
        <v>-406.28</v>
      </c>
    </row>
    <row r="61" spans="1:17" x14ac:dyDescent="0.35">
      <c r="A61" t="s">
        <v>223</v>
      </c>
      <c r="B61" t="s">
        <v>232</v>
      </c>
      <c r="C61">
        <v>-417.24</v>
      </c>
      <c r="K61" s="136" t="s">
        <v>417</v>
      </c>
      <c r="L61" s="136"/>
      <c r="M61" s="136"/>
    </row>
    <row r="62" spans="1:17" x14ac:dyDescent="0.35">
      <c r="A62" t="s">
        <v>223</v>
      </c>
      <c r="B62" t="s">
        <v>232</v>
      </c>
      <c r="C62">
        <v>-356.29</v>
      </c>
      <c r="K62" s="105" t="s">
        <v>383</v>
      </c>
      <c r="L62" s="105" t="s">
        <v>384</v>
      </c>
      <c r="M62" s="105" t="s">
        <v>385</v>
      </c>
    </row>
    <row r="63" spans="1:17" x14ac:dyDescent="0.35">
      <c r="A63" t="s">
        <v>223</v>
      </c>
      <c r="B63" t="s">
        <v>232</v>
      </c>
      <c r="C63">
        <v>-272.08</v>
      </c>
      <c r="K63" s="38">
        <f>-$K58+L58</f>
        <v>-34.209999999999994</v>
      </c>
      <c r="L63" s="38">
        <f t="shared" ref="L63:M64" si="53">-$K58+M58</f>
        <v>-34.209999999999994</v>
      </c>
      <c r="M63" s="38">
        <f t="shared" si="53"/>
        <v>-133.26499999999999</v>
      </c>
    </row>
    <row r="64" spans="1:17" x14ac:dyDescent="0.35">
      <c r="A64" t="s">
        <v>223</v>
      </c>
      <c r="B64" t="s">
        <v>232</v>
      </c>
      <c r="C64">
        <v>-418.04</v>
      </c>
      <c r="K64" s="38">
        <f>-$K59+L59</f>
        <v>-229.20999999999998</v>
      </c>
      <c r="L64" s="38">
        <f t="shared" si="53"/>
        <v>-211.71999999999997</v>
      </c>
      <c r="M64" s="38">
        <f t="shared" si="53"/>
        <v>-408.02697478991581</v>
      </c>
    </row>
    <row r="65" spans="1:3" x14ac:dyDescent="0.35">
      <c r="A65" t="s">
        <v>223</v>
      </c>
      <c r="B65" t="s">
        <v>232</v>
      </c>
      <c r="C65">
        <v>-383.14</v>
      </c>
    </row>
    <row r="66" spans="1:3" x14ac:dyDescent="0.35">
      <c r="A66" t="s">
        <v>223</v>
      </c>
      <c r="B66" t="s">
        <v>232</v>
      </c>
      <c r="C66">
        <v>-419.34</v>
      </c>
    </row>
    <row r="67" spans="1:3" x14ac:dyDescent="0.35">
      <c r="A67" t="s">
        <v>223</v>
      </c>
      <c r="B67" t="s">
        <v>232</v>
      </c>
      <c r="C67">
        <v>-276.38</v>
      </c>
    </row>
    <row r="68" spans="1:3" x14ac:dyDescent="0.35">
      <c r="A68" t="s">
        <v>223</v>
      </c>
      <c r="B68" t="s">
        <v>232</v>
      </c>
      <c r="C68">
        <v>-299.39</v>
      </c>
    </row>
    <row r="69" spans="1:3" x14ac:dyDescent="0.35">
      <c r="A69" t="s">
        <v>223</v>
      </c>
      <c r="B69" t="s">
        <v>232</v>
      </c>
      <c r="C69">
        <v>-341.84</v>
      </c>
    </row>
    <row r="70" spans="1:3" x14ac:dyDescent="0.35">
      <c r="A70" t="s">
        <v>223</v>
      </c>
      <c r="B70" t="s">
        <v>232</v>
      </c>
      <c r="C70">
        <v>-403.86</v>
      </c>
    </row>
    <row r="71" spans="1:3" x14ac:dyDescent="0.35">
      <c r="A71" t="s">
        <v>223</v>
      </c>
      <c r="B71" t="s">
        <v>232</v>
      </c>
      <c r="C71">
        <v>-273.88</v>
      </c>
    </row>
    <row r="72" spans="1:3" x14ac:dyDescent="0.35">
      <c r="A72" t="s">
        <v>223</v>
      </c>
      <c r="B72" t="s">
        <v>232</v>
      </c>
      <c r="C72">
        <v>-403.96</v>
      </c>
    </row>
    <row r="73" spans="1:3" x14ac:dyDescent="0.35">
      <c r="A73" t="s">
        <v>223</v>
      </c>
      <c r="B73" t="s">
        <v>232</v>
      </c>
      <c r="C73">
        <v>-311.72000000000003</v>
      </c>
    </row>
    <row r="74" spans="1:3" x14ac:dyDescent="0.35">
      <c r="A74" t="s">
        <v>223</v>
      </c>
      <c r="B74" t="s">
        <v>232</v>
      </c>
      <c r="C74">
        <v>-344.72</v>
      </c>
    </row>
    <row r="75" spans="1:3" x14ac:dyDescent="0.35">
      <c r="A75" t="s">
        <v>223</v>
      </c>
      <c r="B75" t="s">
        <v>232</v>
      </c>
      <c r="C75">
        <v>-411.77</v>
      </c>
    </row>
    <row r="76" spans="1:3" x14ac:dyDescent="0.35">
      <c r="A76" t="s">
        <v>223</v>
      </c>
      <c r="B76" t="s">
        <v>232</v>
      </c>
      <c r="C76">
        <v>-351.51</v>
      </c>
    </row>
    <row r="77" spans="1:3" x14ac:dyDescent="0.35">
      <c r="A77" t="s">
        <v>223</v>
      </c>
      <c r="B77" t="s">
        <v>232</v>
      </c>
      <c r="C77">
        <v>-180.73</v>
      </c>
    </row>
    <row r="78" spans="1:3" x14ac:dyDescent="0.35">
      <c r="A78" t="s">
        <v>223</v>
      </c>
      <c r="B78" t="s">
        <v>232</v>
      </c>
      <c r="C78">
        <v>-318.35000000000002</v>
      </c>
    </row>
    <row r="79" spans="1:3" x14ac:dyDescent="0.35">
      <c r="A79" t="s">
        <v>223</v>
      </c>
      <c r="B79" t="s">
        <v>232</v>
      </c>
      <c r="C79">
        <v>-206.88</v>
      </c>
    </row>
    <row r="80" spans="1:3" x14ac:dyDescent="0.35">
      <c r="A80" t="s">
        <v>223</v>
      </c>
      <c r="B80" t="s">
        <v>232</v>
      </c>
      <c r="C80">
        <v>-237.77</v>
      </c>
    </row>
    <row r="81" spans="1:3" x14ac:dyDescent="0.35">
      <c r="A81" t="s">
        <v>223</v>
      </c>
      <c r="B81" t="s">
        <v>232</v>
      </c>
      <c r="C81">
        <v>-171.65</v>
      </c>
    </row>
    <row r="82" spans="1:3" x14ac:dyDescent="0.35">
      <c r="A82" t="s">
        <v>223</v>
      </c>
      <c r="B82" t="s">
        <v>232</v>
      </c>
      <c r="C82">
        <v>-288.39</v>
      </c>
    </row>
    <row r="83" spans="1:3" x14ac:dyDescent="0.35">
      <c r="A83" t="s">
        <v>223</v>
      </c>
      <c r="B83" t="s">
        <v>232</v>
      </c>
      <c r="C83">
        <v>-278.19</v>
      </c>
    </row>
    <row r="84" spans="1:3" x14ac:dyDescent="0.35">
      <c r="A84" t="s">
        <v>223</v>
      </c>
      <c r="B84" t="s">
        <v>232</v>
      </c>
      <c r="C84">
        <v>-247.83</v>
      </c>
    </row>
    <row r="85" spans="1:3" x14ac:dyDescent="0.35">
      <c r="A85" t="s">
        <v>223</v>
      </c>
      <c r="B85" t="s">
        <v>232</v>
      </c>
      <c r="C85">
        <v>-372.4</v>
      </c>
    </row>
    <row r="86" spans="1:3" x14ac:dyDescent="0.35">
      <c r="A86" t="s">
        <v>223</v>
      </c>
      <c r="B86" t="s">
        <v>232</v>
      </c>
      <c r="C86">
        <v>-445.37</v>
      </c>
    </row>
    <row r="87" spans="1:3" x14ac:dyDescent="0.35">
      <c r="A87" t="s">
        <v>223</v>
      </c>
      <c r="B87" t="s">
        <v>232</v>
      </c>
      <c r="C87">
        <v>-392.3</v>
      </c>
    </row>
    <row r="88" spans="1:3" x14ac:dyDescent="0.35">
      <c r="A88" t="s">
        <v>223</v>
      </c>
      <c r="B88" t="s">
        <v>232</v>
      </c>
      <c r="C88">
        <v>-399.36</v>
      </c>
    </row>
    <row r="89" spans="1:3" x14ac:dyDescent="0.35">
      <c r="A89" t="s">
        <v>223</v>
      </c>
      <c r="B89" t="s">
        <v>232</v>
      </c>
      <c r="C89">
        <v>-240.91</v>
      </c>
    </row>
    <row r="90" spans="1:3" x14ac:dyDescent="0.35">
      <c r="A90" t="s">
        <v>223</v>
      </c>
      <c r="B90" t="s">
        <v>232</v>
      </c>
      <c r="C90">
        <v>-419.62</v>
      </c>
    </row>
    <row r="91" spans="1:3" x14ac:dyDescent="0.35">
      <c r="A91" t="s">
        <v>223</v>
      </c>
      <c r="B91" t="s">
        <v>232</v>
      </c>
      <c r="C91">
        <v>-420.14</v>
      </c>
    </row>
    <row r="92" spans="1:3" x14ac:dyDescent="0.35">
      <c r="A92" t="s">
        <v>223</v>
      </c>
      <c r="B92" t="s">
        <v>232</v>
      </c>
      <c r="C92">
        <v>-420.7</v>
      </c>
    </row>
    <row r="93" spans="1:3" x14ac:dyDescent="0.35">
      <c r="A93" t="s">
        <v>223</v>
      </c>
      <c r="B93" t="s">
        <v>232</v>
      </c>
      <c r="C93">
        <v>-410.41</v>
      </c>
    </row>
    <row r="94" spans="1:3" x14ac:dyDescent="0.35">
      <c r="A94" t="s">
        <v>223</v>
      </c>
      <c r="B94" t="s">
        <v>232</v>
      </c>
      <c r="C94">
        <v>-392.3</v>
      </c>
    </row>
    <row r="95" spans="1:3" x14ac:dyDescent="0.35">
      <c r="A95" t="s">
        <v>223</v>
      </c>
      <c r="B95" t="s">
        <v>232</v>
      </c>
      <c r="C95">
        <v>-403.57</v>
      </c>
    </row>
    <row r="96" spans="1:3" x14ac:dyDescent="0.35">
      <c r="A96" t="s">
        <v>223</v>
      </c>
      <c r="B96" t="s">
        <v>232</v>
      </c>
      <c r="C96">
        <v>-366.51</v>
      </c>
    </row>
    <row r="97" spans="1:3" x14ac:dyDescent="0.35">
      <c r="A97" t="s">
        <v>223</v>
      </c>
      <c r="B97" t="s">
        <v>232</v>
      </c>
      <c r="C97">
        <v>-421.53</v>
      </c>
    </row>
    <row r="98" spans="1:3" x14ac:dyDescent="0.35">
      <c r="A98" t="s">
        <v>223</v>
      </c>
      <c r="B98" t="s">
        <v>232</v>
      </c>
      <c r="C98">
        <v>-294.39999999999998</v>
      </c>
    </row>
    <row r="99" spans="1:3" x14ac:dyDescent="0.35">
      <c r="A99" t="s">
        <v>223</v>
      </c>
      <c r="B99" t="s">
        <v>232</v>
      </c>
      <c r="C99">
        <v>-193.95</v>
      </c>
    </row>
    <row r="100" spans="1:3" x14ac:dyDescent="0.35">
      <c r="A100" t="s">
        <v>223</v>
      </c>
      <c r="B100" t="s">
        <v>232</v>
      </c>
      <c r="C100">
        <v>-132.51</v>
      </c>
    </row>
    <row r="101" spans="1:3" x14ac:dyDescent="0.35">
      <c r="A101" t="s">
        <v>223</v>
      </c>
      <c r="B101" t="s">
        <v>232</v>
      </c>
      <c r="C101">
        <v>-333.34</v>
      </c>
    </row>
    <row r="102" spans="1:3" x14ac:dyDescent="0.35">
      <c r="A102" t="s">
        <v>223</v>
      </c>
      <c r="B102" t="s">
        <v>232</v>
      </c>
      <c r="C102">
        <v>-274.25</v>
      </c>
    </row>
    <row r="103" spans="1:3" x14ac:dyDescent="0.35">
      <c r="A103" t="s">
        <v>223</v>
      </c>
      <c r="B103" t="s">
        <v>232</v>
      </c>
      <c r="C103">
        <v>-260.56</v>
      </c>
    </row>
    <row r="104" spans="1:3" x14ac:dyDescent="0.35">
      <c r="A104" t="s">
        <v>223</v>
      </c>
      <c r="B104" t="s">
        <v>232</v>
      </c>
      <c r="C104">
        <v>-204.42</v>
      </c>
    </row>
    <row r="105" spans="1:3" x14ac:dyDescent="0.35">
      <c r="A105" t="s">
        <v>223</v>
      </c>
      <c r="B105" t="s">
        <v>232</v>
      </c>
      <c r="C105">
        <v>-216.27</v>
      </c>
    </row>
    <row r="106" spans="1:3" x14ac:dyDescent="0.35">
      <c r="A106" t="s">
        <v>223</v>
      </c>
      <c r="B106" t="s">
        <v>232</v>
      </c>
      <c r="C106">
        <v>-216.63</v>
      </c>
    </row>
    <row r="107" spans="1:3" x14ac:dyDescent="0.35">
      <c r="A107" t="s">
        <v>223</v>
      </c>
      <c r="B107" t="s">
        <v>232</v>
      </c>
      <c r="C107">
        <v>-284.20999999999998</v>
      </c>
    </row>
    <row r="108" spans="1:3" x14ac:dyDescent="0.35">
      <c r="A108" t="s">
        <v>223</v>
      </c>
      <c r="B108" t="s">
        <v>232</v>
      </c>
      <c r="C108">
        <v>-411.32</v>
      </c>
    </row>
    <row r="109" spans="1:3" x14ac:dyDescent="0.35">
      <c r="A109" t="s">
        <v>223</v>
      </c>
      <c r="B109" t="s">
        <v>232</v>
      </c>
      <c r="C109">
        <v>-416.41</v>
      </c>
    </row>
    <row r="110" spans="1:3" x14ac:dyDescent="0.35">
      <c r="A110" t="s">
        <v>223</v>
      </c>
      <c r="B110" t="s">
        <v>232</v>
      </c>
      <c r="C110">
        <v>-417.71</v>
      </c>
    </row>
    <row r="111" spans="1:3" x14ac:dyDescent="0.35">
      <c r="A111" t="s">
        <v>223</v>
      </c>
      <c r="B111" t="s">
        <v>232</v>
      </c>
      <c r="C111">
        <v>-418.87</v>
      </c>
    </row>
    <row r="112" spans="1:3" x14ac:dyDescent="0.35">
      <c r="A112" t="s">
        <v>223</v>
      </c>
      <c r="B112" t="s">
        <v>232</v>
      </c>
      <c r="C112">
        <v>-419.4</v>
      </c>
    </row>
    <row r="113" spans="1:3" x14ac:dyDescent="0.35">
      <c r="A113" t="s">
        <v>223</v>
      </c>
      <c r="B113" t="s">
        <v>232</v>
      </c>
      <c r="C113">
        <v>-404.74</v>
      </c>
    </row>
    <row r="114" spans="1:3" x14ac:dyDescent="0.35">
      <c r="A114" t="s">
        <v>223</v>
      </c>
      <c r="B114" t="s">
        <v>232</v>
      </c>
      <c r="C114">
        <v>-191.29</v>
      </c>
    </row>
    <row r="115" spans="1:3" x14ac:dyDescent="0.35">
      <c r="A115" t="s">
        <v>223</v>
      </c>
      <c r="B115" t="s">
        <v>232</v>
      </c>
      <c r="C115">
        <v>-416.31</v>
      </c>
    </row>
    <row r="116" spans="1:3" x14ac:dyDescent="0.35">
      <c r="A116" t="s">
        <v>223</v>
      </c>
      <c r="B116" t="s">
        <v>232</v>
      </c>
      <c r="C116">
        <v>-429.59</v>
      </c>
    </row>
    <row r="117" spans="1:3" x14ac:dyDescent="0.35">
      <c r="A117" t="s">
        <v>223</v>
      </c>
      <c r="B117" t="s">
        <v>232</v>
      </c>
      <c r="C117">
        <v>-249.95</v>
      </c>
    </row>
    <row r="118" spans="1:3" x14ac:dyDescent="0.35">
      <c r="A118" t="s">
        <v>223</v>
      </c>
      <c r="B118" t="s">
        <v>232</v>
      </c>
      <c r="C118">
        <v>-260.14</v>
      </c>
    </row>
    <row r="119" spans="1:3" x14ac:dyDescent="0.35">
      <c r="A119" t="s">
        <v>223</v>
      </c>
      <c r="B119" t="s">
        <v>232</v>
      </c>
      <c r="C119">
        <v>-411.49</v>
      </c>
    </row>
    <row r="120" spans="1:3" x14ac:dyDescent="0.35">
      <c r="A120" t="s">
        <v>223</v>
      </c>
      <c r="B120" t="s">
        <v>232</v>
      </c>
      <c r="C120">
        <v>-418.96</v>
      </c>
    </row>
    <row r="121" spans="1:3" x14ac:dyDescent="0.35">
      <c r="A121" t="s">
        <v>223</v>
      </c>
      <c r="B121" t="s">
        <v>232</v>
      </c>
      <c r="C121">
        <v>-328.54</v>
      </c>
    </row>
    <row r="122" spans="1:3" x14ac:dyDescent="0.35">
      <c r="A122" t="s">
        <v>413</v>
      </c>
      <c r="B122" t="s">
        <v>232</v>
      </c>
      <c r="C122">
        <v>-79.91</v>
      </c>
    </row>
    <row r="123" spans="1:3" x14ac:dyDescent="0.35">
      <c r="A123" t="s">
        <v>413</v>
      </c>
      <c r="B123" t="s">
        <v>232</v>
      </c>
      <c r="C123">
        <v>-28.2</v>
      </c>
    </row>
    <row r="124" spans="1:3" x14ac:dyDescent="0.35">
      <c r="A124" t="s">
        <v>415</v>
      </c>
      <c r="B124" t="s">
        <v>414</v>
      </c>
      <c r="C124">
        <v>165.88</v>
      </c>
    </row>
    <row r="125" spans="1:3" x14ac:dyDescent="0.35">
      <c r="A125" t="s">
        <v>415</v>
      </c>
      <c r="B125" t="s">
        <v>414</v>
      </c>
      <c r="C125">
        <v>151.01</v>
      </c>
    </row>
    <row r="126" spans="1:3" x14ac:dyDescent="0.35">
      <c r="A126" t="s">
        <v>415</v>
      </c>
      <c r="B126" t="s">
        <v>414</v>
      </c>
      <c r="C126">
        <v>151.01</v>
      </c>
    </row>
    <row r="127" spans="1:3" x14ac:dyDescent="0.35">
      <c r="A127" t="s">
        <v>415</v>
      </c>
      <c r="B127" t="s">
        <v>414</v>
      </c>
      <c r="C127">
        <v>105.65</v>
      </c>
    </row>
    <row r="128" spans="1:3" x14ac:dyDescent="0.35">
      <c r="A128" t="s">
        <v>415</v>
      </c>
      <c r="B128" t="s">
        <v>414</v>
      </c>
      <c r="C128">
        <v>105.13</v>
      </c>
    </row>
    <row r="129" spans="1:3" x14ac:dyDescent="0.35">
      <c r="A129" t="s">
        <v>415</v>
      </c>
      <c r="B129" t="s">
        <v>414</v>
      </c>
      <c r="C129">
        <v>176.43</v>
      </c>
    </row>
    <row r="130" spans="1:3" x14ac:dyDescent="0.35">
      <c r="A130" t="s">
        <v>415</v>
      </c>
      <c r="B130" t="s">
        <v>414</v>
      </c>
      <c r="C130">
        <v>117.67</v>
      </c>
    </row>
    <row r="131" spans="1:3" x14ac:dyDescent="0.35">
      <c r="A131" t="s">
        <v>415</v>
      </c>
      <c r="B131" t="s">
        <v>414</v>
      </c>
      <c r="C131">
        <v>117.67</v>
      </c>
    </row>
    <row r="132" spans="1:3" x14ac:dyDescent="0.35">
      <c r="A132" t="s">
        <v>415</v>
      </c>
      <c r="B132" t="s">
        <v>414</v>
      </c>
      <c r="C132">
        <v>117.67</v>
      </c>
    </row>
    <row r="133" spans="1:3" x14ac:dyDescent="0.35">
      <c r="A133" t="s">
        <v>415</v>
      </c>
      <c r="B133" t="s">
        <v>414</v>
      </c>
      <c r="C133">
        <v>117.67</v>
      </c>
    </row>
    <row r="134" spans="1:3" x14ac:dyDescent="0.35">
      <c r="A134" t="s">
        <v>415</v>
      </c>
      <c r="B134" t="s">
        <v>414</v>
      </c>
      <c r="C134">
        <v>117.67</v>
      </c>
    </row>
    <row r="135" spans="1:3" x14ac:dyDescent="0.35">
      <c r="A135" t="s">
        <v>415</v>
      </c>
      <c r="B135" t="s">
        <v>414</v>
      </c>
      <c r="C135">
        <v>115.15</v>
      </c>
    </row>
    <row r="136" spans="1:3" x14ac:dyDescent="0.35">
      <c r="A136" t="s">
        <v>415</v>
      </c>
      <c r="B136" t="s">
        <v>414</v>
      </c>
      <c r="C136">
        <v>117.67</v>
      </c>
    </row>
    <row r="137" spans="1:3" x14ac:dyDescent="0.35">
      <c r="A137" t="s">
        <v>415</v>
      </c>
      <c r="B137" t="s">
        <v>414</v>
      </c>
      <c r="C137">
        <v>142.27000000000001</v>
      </c>
    </row>
    <row r="138" spans="1:3" x14ac:dyDescent="0.35">
      <c r="A138" t="s">
        <v>434</v>
      </c>
      <c r="B138" t="s">
        <v>408</v>
      </c>
      <c r="C138">
        <v>25.08</v>
      </c>
    </row>
    <row r="139" spans="1:3" x14ac:dyDescent="0.35">
      <c r="A139" t="s">
        <v>434</v>
      </c>
      <c r="B139" t="s">
        <v>408</v>
      </c>
      <c r="C139">
        <v>42.91</v>
      </c>
    </row>
    <row r="140" spans="1:3" x14ac:dyDescent="0.35">
      <c r="A140" t="s">
        <v>434</v>
      </c>
      <c r="B140" t="s">
        <v>408</v>
      </c>
      <c r="C140">
        <v>37.130000000000003</v>
      </c>
    </row>
    <row r="141" spans="1:3" x14ac:dyDescent="0.35">
      <c r="A141" t="s">
        <v>434</v>
      </c>
      <c r="B141" t="s">
        <v>408</v>
      </c>
      <c r="C141">
        <v>23.93</v>
      </c>
    </row>
    <row r="142" spans="1:3" x14ac:dyDescent="0.35">
      <c r="A142" t="s">
        <v>434</v>
      </c>
      <c r="B142" t="s">
        <v>408</v>
      </c>
      <c r="C142">
        <v>19.510000000000002</v>
      </c>
    </row>
    <row r="143" spans="1:3" x14ac:dyDescent="0.35">
      <c r="A143" t="s">
        <v>434</v>
      </c>
      <c r="B143" t="s">
        <v>408</v>
      </c>
      <c r="C143">
        <v>33.42</v>
      </c>
    </row>
    <row r="144" spans="1:3" x14ac:dyDescent="0.35">
      <c r="A144" t="s">
        <v>434</v>
      </c>
      <c r="B144" t="s">
        <v>408</v>
      </c>
      <c r="C144">
        <v>18.87</v>
      </c>
    </row>
    <row r="145" spans="1:3" x14ac:dyDescent="0.35">
      <c r="A145" t="s">
        <v>434</v>
      </c>
      <c r="B145" t="s">
        <v>408</v>
      </c>
      <c r="C145">
        <v>29.26</v>
      </c>
    </row>
    <row r="146" spans="1:3" x14ac:dyDescent="0.35">
      <c r="A146" t="s">
        <v>434</v>
      </c>
      <c r="B146" t="s">
        <v>408</v>
      </c>
      <c r="C146">
        <v>38.93</v>
      </c>
    </row>
    <row r="147" spans="1:3" x14ac:dyDescent="0.35">
      <c r="A147" t="s">
        <v>434</v>
      </c>
      <c r="B147" t="s">
        <v>408</v>
      </c>
      <c r="C147">
        <v>35.53</v>
      </c>
    </row>
    <row r="148" spans="1:3" x14ac:dyDescent="0.35">
      <c r="A148" t="s">
        <v>434</v>
      </c>
      <c r="B148" t="s">
        <v>408</v>
      </c>
      <c r="C148">
        <v>19.54</v>
      </c>
    </row>
    <row r="149" spans="1:3" x14ac:dyDescent="0.35">
      <c r="A149" t="s">
        <v>434</v>
      </c>
      <c r="B149" t="s">
        <v>408</v>
      </c>
      <c r="C149">
        <v>15.64</v>
      </c>
    </row>
    <row r="150" spans="1:3" x14ac:dyDescent="0.35">
      <c r="A150" t="s">
        <v>434</v>
      </c>
      <c r="B150" t="s">
        <v>408</v>
      </c>
      <c r="C150">
        <v>32.93</v>
      </c>
    </row>
    <row r="151" spans="1:3" x14ac:dyDescent="0.35">
      <c r="A151" t="s">
        <v>434</v>
      </c>
      <c r="B151" t="s">
        <v>408</v>
      </c>
      <c r="C151">
        <v>38.43</v>
      </c>
    </row>
    <row r="152" spans="1:3" x14ac:dyDescent="0.35">
      <c r="A152" t="s">
        <v>434</v>
      </c>
      <c r="B152" t="s">
        <v>408</v>
      </c>
      <c r="C152">
        <v>29.78</v>
      </c>
    </row>
    <row r="153" spans="1:3" x14ac:dyDescent="0.35">
      <c r="A153" t="s">
        <v>434</v>
      </c>
      <c r="B153" t="s">
        <v>408</v>
      </c>
      <c r="C153">
        <v>18.93</v>
      </c>
    </row>
    <row r="154" spans="1:3" x14ac:dyDescent="0.35">
      <c r="A154" t="s">
        <v>433</v>
      </c>
      <c r="B154" t="s">
        <v>408</v>
      </c>
      <c r="C154">
        <v>62</v>
      </c>
    </row>
    <row r="155" spans="1:3" x14ac:dyDescent="0.35">
      <c r="A155" t="s">
        <v>432</v>
      </c>
      <c r="B155" t="s">
        <v>408</v>
      </c>
      <c r="C155">
        <v>33</v>
      </c>
    </row>
    <row r="156" spans="1:3" x14ac:dyDescent="0.35">
      <c r="A156" t="s">
        <v>435</v>
      </c>
      <c r="B156" t="s">
        <v>408</v>
      </c>
      <c r="C156">
        <v>26.5</v>
      </c>
    </row>
    <row r="157" spans="1:3" x14ac:dyDescent="0.35">
      <c r="A157" t="s">
        <v>435</v>
      </c>
      <c r="B157" t="s">
        <v>408</v>
      </c>
      <c r="C157">
        <v>20.5</v>
      </c>
    </row>
    <row r="158" spans="1:3" x14ac:dyDescent="0.35">
      <c r="A158" t="s">
        <v>435</v>
      </c>
      <c r="B158" t="s">
        <v>408</v>
      </c>
      <c r="C158">
        <v>27</v>
      </c>
    </row>
    <row r="159" spans="1:3" x14ac:dyDescent="0.35">
      <c r="A159" t="s">
        <v>435</v>
      </c>
      <c r="B159" t="s">
        <v>408</v>
      </c>
      <c r="C159">
        <v>31.5</v>
      </c>
    </row>
    <row r="160" spans="1:3" x14ac:dyDescent="0.35">
      <c r="A160" t="s">
        <v>434</v>
      </c>
      <c r="B160" t="s">
        <v>408</v>
      </c>
      <c r="C160">
        <v>37.5</v>
      </c>
    </row>
    <row r="161" spans="1:3" x14ac:dyDescent="0.35">
      <c r="A161" t="s">
        <v>434</v>
      </c>
      <c r="B161" t="s">
        <v>408</v>
      </c>
      <c r="C161">
        <v>40</v>
      </c>
    </row>
    <row r="162" spans="1:3" x14ac:dyDescent="0.35">
      <c r="A162" t="s">
        <v>434</v>
      </c>
      <c r="B162" t="s">
        <v>408</v>
      </c>
      <c r="C162">
        <v>48.5</v>
      </c>
    </row>
    <row r="163" spans="1:3" x14ac:dyDescent="0.35">
      <c r="A163" t="s">
        <v>434</v>
      </c>
      <c r="B163" t="s">
        <v>408</v>
      </c>
      <c r="C163">
        <v>24.5</v>
      </c>
    </row>
    <row r="164" spans="1:3" x14ac:dyDescent="0.35">
      <c r="A164" t="s">
        <v>435</v>
      </c>
      <c r="B164" t="s">
        <v>408</v>
      </c>
      <c r="C164">
        <v>27.61</v>
      </c>
    </row>
    <row r="165" spans="1:3" x14ac:dyDescent="0.35">
      <c r="A165" t="s">
        <v>435</v>
      </c>
      <c r="B165" t="s">
        <v>408</v>
      </c>
      <c r="C165">
        <v>33.92</v>
      </c>
    </row>
    <row r="166" spans="1:3" x14ac:dyDescent="0.35">
      <c r="A166" t="s">
        <v>434</v>
      </c>
      <c r="B166" t="s">
        <v>408</v>
      </c>
      <c r="C166">
        <v>48.17</v>
      </c>
    </row>
    <row r="167" spans="1:3" x14ac:dyDescent="0.35">
      <c r="A167" t="s">
        <v>434</v>
      </c>
      <c r="B167" t="s">
        <v>408</v>
      </c>
      <c r="C167">
        <v>41.36</v>
      </c>
    </row>
    <row r="168" spans="1:3" x14ac:dyDescent="0.35">
      <c r="A168" t="s">
        <v>434</v>
      </c>
      <c r="B168" t="s">
        <v>408</v>
      </c>
      <c r="C168">
        <v>43.87</v>
      </c>
    </row>
    <row r="169" spans="1:3" x14ac:dyDescent="0.35">
      <c r="A169" t="s">
        <v>435</v>
      </c>
      <c r="B169" t="s">
        <v>408</v>
      </c>
      <c r="C169">
        <v>29.42</v>
      </c>
    </row>
    <row r="170" spans="1:3" x14ac:dyDescent="0.35">
      <c r="A170" t="s">
        <v>435</v>
      </c>
      <c r="B170" t="s">
        <v>408</v>
      </c>
      <c r="C170">
        <v>35.72</v>
      </c>
    </row>
    <row r="171" spans="1:3" x14ac:dyDescent="0.35">
      <c r="A171" t="s">
        <v>434</v>
      </c>
      <c r="B171" t="s">
        <v>408</v>
      </c>
      <c r="C171">
        <v>43.17</v>
      </c>
    </row>
    <row r="172" spans="1:3" x14ac:dyDescent="0.35">
      <c r="A172" t="s">
        <v>434</v>
      </c>
      <c r="B172" t="s">
        <v>408</v>
      </c>
      <c r="C172">
        <v>49.97</v>
      </c>
    </row>
    <row r="173" spans="1:3" x14ac:dyDescent="0.35">
      <c r="A173" t="s">
        <v>434</v>
      </c>
      <c r="B173" t="s">
        <v>408</v>
      </c>
      <c r="C173">
        <v>45.68</v>
      </c>
    </row>
  </sheetData>
  <autoFilter ref="A2:C173" xr:uid="{9FDA1591-1546-4E0C-A43E-0A30FB87D015}"/>
  <mergeCells count="5">
    <mergeCell ref="O24:Q24"/>
    <mergeCell ref="L24:N24"/>
    <mergeCell ref="L20:M20"/>
    <mergeCell ref="K61:M61"/>
    <mergeCell ref="M56:N56"/>
  </mergeCells>
  <hyperlinks>
    <hyperlink ref="J13" r:id="rId3" xr:uid="{B3DC60E0-A835-45A8-8728-B630472FDCB9}"/>
    <hyperlink ref="O2" r:id="rId4" xr:uid="{7A5C599D-597D-46AD-8AB1-B8790E7B5595}"/>
    <hyperlink ref="K55" r:id="rId5" xr:uid="{7D262A50-6031-4172-BED5-7CC24FD56849}"/>
    <hyperlink ref="K23" r:id="rId6" xr:uid="{FE32AC51-6791-455E-BBD4-F1E27DEF72C8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3C080-861C-41D2-AC25-3F74DA490EFC}">
  <dimension ref="A1:D17"/>
  <sheetViews>
    <sheetView topLeftCell="A8" workbookViewId="0">
      <selection activeCell="C15" sqref="C15"/>
    </sheetView>
  </sheetViews>
  <sheetFormatPr defaultColWidth="8.83203125" defaultRowHeight="15.5" x14ac:dyDescent="0.35"/>
  <cols>
    <col min="1" max="1" width="24.83203125" customWidth="1"/>
    <col min="2" max="2" width="36.83203125" customWidth="1"/>
    <col min="3" max="3" width="42.08203125" customWidth="1"/>
    <col min="4" max="4" width="29" customWidth="1"/>
  </cols>
  <sheetData>
    <row r="1" spans="1:4" ht="31" x14ac:dyDescent="0.35">
      <c r="A1" s="18" t="s">
        <v>198</v>
      </c>
      <c r="B1" s="19" t="s">
        <v>452</v>
      </c>
      <c r="C1" s="19" t="s">
        <v>453</v>
      </c>
      <c r="D1" s="19" t="s">
        <v>454</v>
      </c>
    </row>
    <row r="2" spans="1:4" ht="31" x14ac:dyDescent="0.35">
      <c r="A2" s="18" t="s">
        <v>455</v>
      </c>
      <c r="B2" s="16" t="s">
        <v>456</v>
      </c>
      <c r="C2" s="16"/>
      <c r="D2" s="16"/>
    </row>
    <row r="3" spans="1:4" ht="31" x14ac:dyDescent="0.35">
      <c r="A3" s="18" t="s">
        <v>457</v>
      </c>
      <c r="B3" s="16" t="s">
        <v>456</v>
      </c>
      <c r="C3" s="16"/>
      <c r="D3" s="16"/>
    </row>
    <row r="4" spans="1:4" ht="31" x14ac:dyDescent="0.35">
      <c r="A4" s="18" t="s">
        <v>458</v>
      </c>
      <c r="B4" s="16" t="s">
        <v>456</v>
      </c>
      <c r="C4" s="16" t="s">
        <v>459</v>
      </c>
      <c r="D4" s="16" t="s">
        <v>460</v>
      </c>
    </row>
    <row r="5" spans="1:4" x14ac:dyDescent="0.35">
      <c r="A5" s="18" t="s">
        <v>86</v>
      </c>
      <c r="B5" s="16" t="s">
        <v>461</v>
      </c>
      <c r="C5" s="16" t="s">
        <v>462</v>
      </c>
      <c r="D5" s="16" t="s">
        <v>463</v>
      </c>
    </row>
    <row r="6" spans="1:4" ht="31" x14ac:dyDescent="0.35">
      <c r="A6" s="18" t="s">
        <v>369</v>
      </c>
      <c r="B6" s="16" t="s">
        <v>464</v>
      </c>
      <c r="C6" s="16" t="s">
        <v>465</v>
      </c>
      <c r="D6" s="16" t="s">
        <v>463</v>
      </c>
    </row>
    <row r="7" spans="1:4" x14ac:dyDescent="0.35">
      <c r="A7" s="18" t="s">
        <v>234</v>
      </c>
      <c r="B7" s="16"/>
      <c r="C7" s="16"/>
      <c r="D7" s="16"/>
    </row>
    <row r="8" spans="1:4" x14ac:dyDescent="0.35">
      <c r="A8" s="18" t="s">
        <v>266</v>
      </c>
      <c r="B8" s="16" t="s">
        <v>466</v>
      </c>
      <c r="C8" s="16" t="s">
        <v>467</v>
      </c>
      <c r="D8" s="16"/>
    </row>
    <row r="9" spans="1:4" ht="62" x14ac:dyDescent="0.35">
      <c r="A9" s="18" t="s">
        <v>87</v>
      </c>
      <c r="B9" s="16" t="s">
        <v>468</v>
      </c>
      <c r="C9" s="16" t="s">
        <v>469</v>
      </c>
      <c r="D9" s="16" t="s">
        <v>463</v>
      </c>
    </row>
    <row r="10" spans="1:4" ht="31" x14ac:dyDescent="0.35">
      <c r="A10" s="18" t="s">
        <v>470</v>
      </c>
      <c r="B10" s="16" t="s">
        <v>471</v>
      </c>
      <c r="C10" s="16" t="s">
        <v>472</v>
      </c>
      <c r="D10" s="16" t="s">
        <v>473</v>
      </c>
    </row>
    <row r="11" spans="1:4" x14ac:dyDescent="0.35">
      <c r="A11" s="18" t="s">
        <v>474</v>
      </c>
      <c r="B11" s="16" t="s">
        <v>236</v>
      </c>
      <c r="C11" s="16" t="s">
        <v>236</v>
      </c>
      <c r="D11" s="16" t="s">
        <v>236</v>
      </c>
    </row>
    <row r="14" spans="1:4" x14ac:dyDescent="0.35">
      <c r="D14" s="111"/>
    </row>
    <row r="15" spans="1:4" x14ac:dyDescent="0.35">
      <c r="D15" s="111"/>
    </row>
    <row r="16" spans="1:4" x14ac:dyDescent="0.35">
      <c r="D16" s="111"/>
    </row>
    <row r="17" spans="4:4" x14ac:dyDescent="0.35">
      <c r="D17" s="2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8975c20-18d4-40c9-811f-0d8ea387c6ea}" enabled="0" method="" siteId="{78975c20-18d4-40c9-811f-0d8ea387c6e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UserInput</vt:lpstr>
      <vt:lpstr>Template Portfolio</vt:lpstr>
      <vt:lpstr>State Policy Aligned Portfolio</vt:lpstr>
      <vt:lpstr>Maximum Portfolio</vt:lpstr>
      <vt:lpstr>Current Projects Portfolio</vt:lpstr>
      <vt:lpstr>Sheet1</vt:lpstr>
      <vt:lpstr>Sheet2</vt:lpstr>
      <vt:lpstr>UserMade_Scenario</vt:lpstr>
      <vt:lpstr>Predev_Scenarios</vt:lpstr>
      <vt:lpstr>Electricity</vt:lpstr>
      <vt:lpstr>Hydrogen</vt:lpstr>
      <vt:lpstr>Biogas</vt:lpstr>
      <vt:lpstr>RenewableJetFuel</vt:lpstr>
      <vt:lpstr>CarbonCapture</vt:lpstr>
      <vt:lpstr>Assumptions</vt:lpstr>
      <vt:lpstr>GREET3.0</vt:lpstr>
      <vt:lpstr>Constraints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Nidhi Kalra</dc:creator>
  <cp:keywords/>
  <dc:description/>
  <cp:lastModifiedBy>Javier Rojas Aguilera</cp:lastModifiedBy>
  <cp:revision/>
  <dcterms:created xsi:type="dcterms:W3CDTF">2023-11-20T18:24:52Z</dcterms:created>
  <dcterms:modified xsi:type="dcterms:W3CDTF">2024-01-10T23:53:56Z</dcterms:modified>
  <cp:category/>
  <cp:contentStatus/>
</cp:coreProperties>
</file>